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Šī_darbgrāmata" hidePivotFieldList="1"/>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33DCCB05-8700-451B-81CE-34A1FD1A6C62}" xr6:coauthVersionLast="47" xr6:coauthVersionMax="47" xr10:uidLastSave="{00000000-0000-0000-0000-000000000000}"/>
  <bookViews>
    <workbookView xWindow="-108" yWindow="-108" windowWidth="23256" windowHeight="12456" tabRatio="921" activeTab="4" xr2:uid="{00000000-000D-0000-FFFF-FFFF00000000}"/>
  </bookViews>
  <sheets>
    <sheet name="Faila apraksts" sheetId="147" r:id="rId1"/>
    <sheet name="BAZE_2026" sheetId="105" r:id="rId2"/>
    <sheet name="INPUT" sheetId="109" state="hidden" r:id="rId3"/>
    <sheet name="Ieņēmumi" sheetId="151" state="hidden" r:id="rId4"/>
    <sheet name="Investīcijas_2026" sheetId="143" r:id="rId5"/>
    <sheet name="Līgumu saraksts_01012026" sheetId="152" r:id="rId6"/>
  </sheets>
  <definedNames>
    <definedName name="_0812" localSheetId="3">#REF!</definedName>
    <definedName name="_0812" localSheetId="4">#REF!</definedName>
    <definedName name="_0812">#REF!</definedName>
    <definedName name="_xlnm._FilterDatabase" localSheetId="3" hidden="1">Ieņēmumi!$A$1:$BF$442</definedName>
    <definedName name="_xlnm._FilterDatabase" localSheetId="2" hidden="1">INPUT!$A$1:$XEM$5180</definedName>
    <definedName name="_xlnm._FilterDatabase" localSheetId="4" hidden="1">Investīcijas_2026!$A$208:$Y$393</definedName>
    <definedName name="_xlnm._FilterDatabase" localSheetId="5" hidden="1">'Līgumu saraksts_01012026'!$A$3:$AY$136</definedName>
    <definedName name="Apmaksa" localSheetId="3">#REF!</definedName>
    <definedName name="Apmaksa" localSheetId="4">#REF!</definedName>
    <definedName name="Apmaksa">#REF!</definedName>
    <definedName name="Darijums" localSheetId="3">#REF!</definedName>
    <definedName name="Darijums" localSheetId="4">#REF!</definedName>
    <definedName name="Darijums">#REF!</definedName>
    <definedName name="Excel_BuiltIn__FilterDatabase" localSheetId="3">#REF!</definedName>
    <definedName name="Excel_BuiltIn__FilterDatabase" localSheetId="4">#REF!</definedName>
    <definedName name="Excel_BuiltIn__FilterDatabase">#REF!</definedName>
    <definedName name="Firmas" localSheetId="3">#REF!</definedName>
    <definedName name="Firmas" localSheetId="4">#REF!</definedName>
    <definedName name="Firmas">#REF!</definedName>
    <definedName name="Kolonnas_virsraksta_reģions1..B11.1" localSheetId="4">#REF!</definedName>
    <definedName name="Kolonnas_virsraksta_reģions1..B11.1">#REF!</definedName>
    <definedName name="Kolonnas_virsraksta_reģions1..D4" localSheetId="4">#REF!</definedName>
    <definedName name="Kolonnas_virsraksta_reģions1..D4">#REF!</definedName>
    <definedName name="Kolonnas_virsraksta_reģions2..D7" localSheetId="4">#REF!</definedName>
    <definedName name="Kolonnas_virsraksta_reģions2..D7">#REF!</definedName>
    <definedName name="Kolonnas_virsraksta_reģions3..C12" localSheetId="4">#REF!</definedName>
    <definedName name="Kolonnas_virsraksta_reģions3..C12">#REF!</definedName>
    <definedName name="KolonnasNosaukums1" localSheetId="3">#REF!</definedName>
    <definedName name="KolonnasNosaukums1" localSheetId="4">#REF!</definedName>
    <definedName name="KolonnasNosaukums1">#REF!</definedName>
    <definedName name="Parvadataji" localSheetId="3">#REF!</definedName>
    <definedName name="Parvadataji" localSheetId="4">#REF!</definedName>
    <definedName name="Parvadataji">#REF!</definedName>
    <definedName name="Saist_apmers_ar_galvojumu" localSheetId="3">#REF!</definedName>
    <definedName name="Saist_apmers_ar_galvojumu" localSheetId="4">#REF!</definedName>
    <definedName name="Saist_apmers_ar_galvojumu">#REF!</definedName>
    <definedName name="Z_1893421C_DBAA_4C10_AA6C_4D0F39122205_.wvu.FilterData" localSheetId="3">#REF!</definedName>
    <definedName name="Z_1893421C_DBAA_4C10_AA6C_4D0F39122205_.wvu.FilterData" localSheetId="4">#REF!</definedName>
    <definedName name="Z_1893421C_DBAA_4C10_AA6C_4D0F39122205_.wvu.FilterData">#REF!</definedName>
    <definedName name="Z_483F8D4B_D649_4D59_A67B_5E8B6C0D2E28_.wvu.FilterData" localSheetId="3">#REF!</definedName>
    <definedName name="Z_483F8D4B_D649_4D59_A67B_5E8B6C0D2E28_.wvu.FilterData" localSheetId="4">#REF!</definedName>
    <definedName name="Z_483F8D4B_D649_4D59_A67B_5E8B6C0D2E28_.wvu.FilterData">#REF!</definedName>
    <definedName name="Z_56A06D27_97E5_4D01_ADCE_F8E0A2A870EF_.wvu.FilterData" localSheetId="3">#REF!</definedName>
    <definedName name="Z_56A06D27_97E5_4D01_ADCE_F8E0A2A870EF_.wvu.FilterData" localSheetId="4">#REF!</definedName>
    <definedName name="Z_56A06D27_97E5_4D01_ADCE_F8E0A2A870EF_.wvu.FilterData">#REF!</definedName>
    <definedName name="Z_81EB1DB6_89AB_4045_90FA_EF2BA7E792F9_.wvu.FilterData" localSheetId="3">#REF!</definedName>
    <definedName name="Z_81EB1DB6_89AB_4045_90FA_EF2BA7E792F9_.wvu.FilterData" localSheetId="4">#REF!</definedName>
    <definedName name="Z_81EB1DB6_89AB_4045_90FA_EF2BA7E792F9_.wvu.FilterData">#REF!</definedName>
    <definedName name="Z_81EB1DB6_89AB_4045_90FA_EF2BA7E792F9_.wvu.PrintArea" localSheetId="3">#REF!</definedName>
    <definedName name="Z_81EB1DB6_89AB_4045_90FA_EF2BA7E792F9_.wvu.PrintArea" localSheetId="4">#REF!</definedName>
    <definedName name="Z_81EB1DB6_89AB_4045_90FA_EF2BA7E792F9_.wvu.PrintArea">#REF!</definedName>
    <definedName name="Z_8545B4E6_A517_4BD7_BFB7_42FEB5F229AD_.wvu.FilterData" localSheetId="3">#REF!</definedName>
    <definedName name="Z_8545B4E6_A517_4BD7_BFB7_42FEB5F229AD_.wvu.FilterData" localSheetId="4">#REF!</definedName>
    <definedName name="Z_8545B4E6_A517_4BD7_BFB7_42FEB5F229AD_.wvu.FilterData">#REF!</definedName>
    <definedName name="Z_877A1030_2452_46B0_88DF_8A068656C08E_.wvu.FilterData" localSheetId="3">#REF!</definedName>
    <definedName name="Z_877A1030_2452_46B0_88DF_8A068656C08E_.wvu.FilterData" localSheetId="4">#REF!</definedName>
    <definedName name="Z_877A1030_2452_46B0_88DF_8A068656C08E_.wvu.FilterData">#REF!</definedName>
    <definedName name="Z_ABD8A783_3A6C_4629_9559_1E4E89E80131_.wvu.FilterData" localSheetId="3">#REF!</definedName>
    <definedName name="Z_ABD8A783_3A6C_4629_9559_1E4E89E80131_.wvu.FilterData" localSheetId="4">#REF!</definedName>
    <definedName name="Z_ABD8A783_3A6C_4629_9559_1E4E89E80131_.wvu.FilterData">#REF!</definedName>
    <definedName name="Z_AF277C95_CBD9_4696_AC72_D010599E9831_.wvu.FilterData" localSheetId="3">#REF!</definedName>
    <definedName name="Z_AF277C95_CBD9_4696_AC72_D010599E9831_.wvu.FilterData" localSheetId="4">#REF!</definedName>
    <definedName name="Z_AF277C95_CBD9_4696_AC72_D010599E9831_.wvu.FilterData">#REF!</definedName>
    <definedName name="Z_B7CBCF06_FF41_423A_9AB3_E1D1F70C6FC5_.wvu.FilterData" localSheetId="3">#REF!</definedName>
    <definedName name="Z_B7CBCF06_FF41_423A_9AB3_E1D1F70C6FC5_.wvu.FilterData" localSheetId="4">#REF!</definedName>
    <definedName name="Z_B7CBCF06_FF41_423A_9AB3_E1D1F70C6FC5_.wvu.FilterData">#REF!</definedName>
    <definedName name="Z_C5511FB8_86C5_41F3_ADCD_B10310F066F5_.wvu.FilterData" localSheetId="3">#REF!</definedName>
    <definedName name="Z_C5511FB8_86C5_41F3_ADCD_B10310F066F5_.wvu.FilterData" localSheetId="4">#REF!</definedName>
    <definedName name="Z_C5511FB8_86C5_41F3_ADCD_B10310F066F5_.wvu.FilterData">#REF!</definedName>
    <definedName name="Z_DB8ECBD1_2D44_4F97_BCC9_F610BA0A3109_.wvu.FilterData" localSheetId="3">#REF!</definedName>
    <definedName name="Z_DB8ECBD1_2D44_4F97_BCC9_F610BA0A3109_.wvu.FilterData" localSheetId="4">#REF!</definedName>
    <definedName name="Z_DB8ECBD1_2D44_4F97_BCC9_F610BA0A3109_.wvu.FilterData">#REF!</definedName>
    <definedName name="Z_DEE3A27E_689A_4E9F_A3EB_C84F1E3B413E_.wvu.FilterData" localSheetId="3">#REF!</definedName>
    <definedName name="Z_DEE3A27E_689A_4E9F_A3EB_C84F1E3B413E_.wvu.FilterData" localSheetId="4">#REF!</definedName>
    <definedName name="Z_DEE3A27E_689A_4E9F_A3EB_C84F1E3B413E_.wvu.FilterData">#REF!</definedName>
    <definedName name="Z_F1F489B9_0F61_4F1F_A151_75EF77465344_.wvu.Cols" localSheetId="3">#REF!</definedName>
    <definedName name="Z_F1F489B9_0F61_4F1F_A151_75EF77465344_.wvu.Cols" localSheetId="4">#REF!</definedName>
    <definedName name="Z_F1F489B9_0F61_4F1F_A151_75EF77465344_.wvu.Cols">#REF!</definedName>
    <definedName name="Z_F1F489B9_0F61_4F1F_A151_75EF77465344_.wvu.FilterData" localSheetId="3">#REF!</definedName>
    <definedName name="Z_F1F489B9_0F61_4F1F_A151_75EF77465344_.wvu.FilterData" localSheetId="4">#REF!</definedName>
    <definedName name="Z_F1F489B9_0F61_4F1F_A151_75EF77465344_.wvu.FilterData">#REF!</definedName>
    <definedName name="Z_F1F489B9_0F61_4F1F_A151_75EF77465344_.wvu.PrintArea" localSheetId="3">#REF!</definedName>
    <definedName name="Z_F1F489B9_0F61_4F1F_A151_75EF77465344_.wvu.PrintArea" localSheetId="4">#REF!</definedName>
    <definedName name="Z_F1F489B9_0F61_4F1F_A151_75EF77465344_.wvu.PrintArea">#REF!</definedName>
    <definedName name="Z_F1F489B9_0F61_4F1F_A151_75EF77465344_.wvu.PrintTitles" localSheetId="3">#REF!</definedName>
    <definedName name="Z_F1F489B9_0F61_4F1F_A151_75EF77465344_.wvu.PrintTitles" localSheetId="4">#REF!</definedName>
    <definedName name="Z_F1F489B9_0F61_4F1F_A151_75EF77465344_.wvu.PrintTitles">#REF!</definedName>
  </definedNames>
  <calcPr calcId="191029" iterateDelta="1E-4"/>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184" i="152" l="1"/>
  <c r="S184" i="152"/>
  <c r="R185" i="152" s="1"/>
  <c r="R183" i="152"/>
  <c r="R182" i="152"/>
  <c r="R181" i="152"/>
  <c r="R174" i="152"/>
  <c r="R173" i="152"/>
  <c r="U172" i="152"/>
  <c r="R172" i="152"/>
  <c r="U171" i="152"/>
  <c r="R171" i="152"/>
  <c r="R176" i="152" s="1"/>
  <c r="AS162" i="152"/>
  <c r="AR162" i="152"/>
  <c r="AS153" i="152"/>
  <c r="AP152" i="152"/>
  <c r="AS147" i="152"/>
  <c r="AJ147" i="152"/>
  <c r="AH147" i="152"/>
  <c r="AG147" i="152"/>
  <c r="N147" i="152"/>
  <c r="AL147" i="152" s="1"/>
  <c r="AB146" i="152"/>
  <c r="AA146" i="152"/>
  <c r="Z146" i="152"/>
  <c r="Y146" i="152"/>
  <c r="X146" i="152"/>
  <c r="W146" i="152"/>
  <c r="V146" i="152"/>
  <c r="U146" i="152"/>
  <c r="T146" i="152"/>
  <c r="S146" i="152"/>
  <c r="AS145" i="152"/>
  <c r="AS148" i="152" s="1"/>
  <c r="AR145" i="152"/>
  <c r="AI145" i="152"/>
  <c r="AG145" i="152"/>
  <c r="AG148" i="152" s="1"/>
  <c r="AF145" i="152"/>
  <c r="W145" i="152"/>
  <c r="U145" i="152"/>
  <c r="T145" i="152"/>
  <c r="N145" i="152"/>
  <c r="AK145" i="152" s="1"/>
  <c r="AV144" i="152"/>
  <c r="AW144" i="152" s="1"/>
  <c r="AT144" i="152"/>
  <c r="AY144" i="152" s="1"/>
  <c r="X143" i="152"/>
  <c r="AV143" i="152" s="1"/>
  <c r="V143" i="152"/>
  <c r="U143" i="152"/>
  <c r="T143" i="152"/>
  <c r="S143" i="152"/>
  <c r="R143" i="152"/>
  <c r="N143" i="152"/>
  <c r="W143" i="152" s="1"/>
  <c r="AW142" i="152"/>
  <c r="AV142" i="152"/>
  <c r="AT142" i="152"/>
  <c r="AR136" i="152"/>
  <c r="AS135" i="152"/>
  <c r="AR135" i="152"/>
  <c r="AR153" i="152" s="1"/>
  <c r="AS134" i="152"/>
  <c r="AS136" i="152" s="1"/>
  <c r="AR134" i="152"/>
  <c r="AR152" i="152" s="1"/>
  <c r="AQ134" i="152"/>
  <c r="AQ152" i="152" s="1"/>
  <c r="AP134" i="152"/>
  <c r="AO134" i="152"/>
  <c r="AO152" i="152" s="1"/>
  <c r="AN134" i="152"/>
  <c r="AN152" i="152" s="1"/>
  <c r="AM134" i="152"/>
  <c r="AL134" i="152"/>
  <c r="AB134" i="152"/>
  <c r="AA134" i="152"/>
  <c r="Y134" i="152"/>
  <c r="K134" i="152"/>
  <c r="AV133" i="152"/>
  <c r="AW133" i="152" s="1"/>
  <c r="AU133" i="152"/>
  <c r="J133" i="152"/>
  <c r="AV132" i="152"/>
  <c r="AW132" i="152" s="1"/>
  <c r="AY132" i="152" s="1"/>
  <c r="AU132" i="152"/>
  <c r="Z129" i="152"/>
  <c r="P129" i="152"/>
  <c r="N129" i="152" s="1"/>
  <c r="AB128" i="152"/>
  <c r="AA128" i="152"/>
  <c r="Z128" i="152"/>
  <c r="Y128" i="152"/>
  <c r="AV128" i="152" s="1"/>
  <c r="X128" i="152"/>
  <c r="W128" i="152"/>
  <c r="V128" i="152"/>
  <c r="U128" i="152"/>
  <c r="AT128" i="152" s="1"/>
  <c r="AX128" i="152" s="1"/>
  <c r="T128" i="152"/>
  <c r="S128" i="152"/>
  <c r="AA127" i="152"/>
  <c r="Z127" i="152"/>
  <c r="Y127" i="152"/>
  <c r="X127" i="152"/>
  <c r="W127" i="152"/>
  <c r="P127" i="152"/>
  <c r="N127" i="152"/>
  <c r="V127" i="152" s="1"/>
  <c r="AX126" i="152"/>
  <c r="AV126" i="152"/>
  <c r="AW126" i="152" s="1"/>
  <c r="AZ126" i="152" s="1"/>
  <c r="AA126" i="152"/>
  <c r="Z126" i="152"/>
  <c r="Y126" i="152"/>
  <c r="X126" i="152"/>
  <c r="W126" i="152"/>
  <c r="V126" i="152"/>
  <c r="U126" i="152"/>
  <c r="T126" i="152"/>
  <c r="S126" i="152"/>
  <c r="AT126" i="152" s="1"/>
  <c r="AU126" i="152" s="1"/>
  <c r="AH125" i="152"/>
  <c r="AG125" i="152"/>
  <c r="AE125" i="152"/>
  <c r="AD125" i="152"/>
  <c r="V125" i="152"/>
  <c r="S125" i="152"/>
  <c r="P125" i="152"/>
  <c r="N125" i="152"/>
  <c r="AK124" i="152"/>
  <c r="AK125" i="152" s="1"/>
  <c r="AJ124" i="152"/>
  <c r="AI124" i="152"/>
  <c r="AH124" i="152"/>
  <c r="AH134" i="152" s="1"/>
  <c r="AH152" i="152" s="1"/>
  <c r="AG124" i="152"/>
  <c r="AG134" i="152" s="1"/>
  <c r="AF124" i="152"/>
  <c r="AE124" i="152"/>
  <c r="AD124" i="152"/>
  <c r="AC124" i="152"/>
  <c r="AB124" i="152"/>
  <c r="AA124" i="152"/>
  <c r="Z124" i="152"/>
  <c r="Y124" i="152"/>
  <c r="X124" i="152"/>
  <c r="X125" i="152" s="1"/>
  <c r="W124" i="152"/>
  <c r="V124" i="152"/>
  <c r="U124" i="152"/>
  <c r="T124" i="152"/>
  <c r="S124" i="152"/>
  <c r="AJ123" i="152"/>
  <c r="AI123" i="152"/>
  <c r="AH123" i="152"/>
  <c r="AA123" i="152"/>
  <c r="Z123" i="152"/>
  <c r="Y123" i="152"/>
  <c r="X123" i="152"/>
  <c r="W123" i="152"/>
  <c r="P123" i="152"/>
  <c r="N123" i="152"/>
  <c r="AG123" i="152" s="1"/>
  <c r="AV122" i="152"/>
  <c r="AC122" i="152"/>
  <c r="AB122" i="152"/>
  <c r="AA122" i="152"/>
  <c r="Z122" i="152"/>
  <c r="Y122" i="152"/>
  <c r="X122" i="152"/>
  <c r="W122" i="152"/>
  <c r="V122" i="152"/>
  <c r="V123" i="152" s="1"/>
  <c r="U122" i="152"/>
  <c r="T122" i="152"/>
  <c r="S122" i="152"/>
  <c r="AW122" i="152" s="1"/>
  <c r="AZ122" i="152" s="1"/>
  <c r="R122" i="152"/>
  <c r="U121" i="152"/>
  <c r="P121" i="152"/>
  <c r="N121" i="152" s="1"/>
  <c r="AA120" i="152"/>
  <c r="Z120" i="152"/>
  <c r="Y120" i="152"/>
  <c r="X120" i="152"/>
  <c r="W120" i="152"/>
  <c r="V120" i="152"/>
  <c r="U120" i="152"/>
  <c r="T120" i="152"/>
  <c r="S120" i="152"/>
  <c r="R120" i="152"/>
  <c r="AC119" i="152"/>
  <c r="AB119" i="152"/>
  <c r="P119" i="152"/>
  <c r="N119" i="152"/>
  <c r="AF118" i="152"/>
  <c r="AF134" i="152" s="1"/>
  <c r="AF152" i="152" s="1"/>
  <c r="AE118" i="152"/>
  <c r="AE134" i="152" s="1"/>
  <c r="AD118" i="152"/>
  <c r="AD134" i="152" s="1"/>
  <c r="AC118" i="152"/>
  <c r="AC134" i="152" s="1"/>
  <c r="AB118" i="152"/>
  <c r="AA118" i="152"/>
  <c r="Z118" i="152"/>
  <c r="Y118" i="152"/>
  <c r="X118" i="152"/>
  <c r="W118" i="152"/>
  <c r="V118" i="152"/>
  <c r="U118" i="152"/>
  <c r="T118" i="152"/>
  <c r="AT118" i="152" s="1"/>
  <c r="AV117" i="152"/>
  <c r="P117" i="152"/>
  <c r="N117" i="152"/>
  <c r="AV116" i="152"/>
  <c r="AT116" i="152"/>
  <c r="V116" i="152"/>
  <c r="AW116" i="152" s="1"/>
  <c r="AZ116" i="152" s="1"/>
  <c r="U116" i="152"/>
  <c r="U117" i="152" s="1"/>
  <c r="T116" i="152"/>
  <c r="S116" i="152"/>
  <c r="R116" i="152"/>
  <c r="AV115" i="152"/>
  <c r="P115" i="152"/>
  <c r="N115" i="152"/>
  <c r="AV114" i="152"/>
  <c r="U114" i="152"/>
  <c r="U115" i="152" s="1"/>
  <c r="T114" i="152"/>
  <c r="T115" i="152" s="1"/>
  <c r="S114" i="152"/>
  <c r="R114" i="152"/>
  <c r="Z113" i="152"/>
  <c r="Y113" i="152"/>
  <c r="AV113" i="152" s="1"/>
  <c r="W113" i="152"/>
  <c r="U113" i="152"/>
  <c r="T113" i="152"/>
  <c r="P113" i="152"/>
  <c r="N113" i="152"/>
  <c r="S113" i="152" s="1"/>
  <c r="AW112" i="152"/>
  <c r="AZ112" i="152" s="1"/>
  <c r="AV112" i="152"/>
  <c r="Y112" i="152"/>
  <c r="X112" i="152"/>
  <c r="V113" i="152" s="1"/>
  <c r="W112" i="152"/>
  <c r="V112" i="152"/>
  <c r="U112" i="152"/>
  <c r="T112" i="152"/>
  <c r="S112" i="152"/>
  <c r="R112" i="152"/>
  <c r="N111" i="152"/>
  <c r="AA110" i="152"/>
  <c r="Z110" i="152"/>
  <c r="Y110" i="152"/>
  <c r="AV110" i="152" s="1"/>
  <c r="X110" i="152"/>
  <c r="X134" i="152" s="1"/>
  <c r="W110" i="152"/>
  <c r="W134" i="152" s="1"/>
  <c r="V110" i="152"/>
  <c r="U110" i="152"/>
  <c r="T110" i="152"/>
  <c r="S110" i="152"/>
  <c r="R110" i="152"/>
  <c r="AW110" i="152" s="1"/>
  <c r="AZ110" i="152" s="1"/>
  <c r="AV109" i="152"/>
  <c r="U109" i="152"/>
  <c r="T109" i="152"/>
  <c r="P109" i="152"/>
  <c r="N109" i="152" s="1"/>
  <c r="S109" i="152" s="1"/>
  <c r="AV108" i="152"/>
  <c r="AT108" i="152"/>
  <c r="U108" i="152"/>
  <c r="AA107" i="152"/>
  <c r="Z107" i="152"/>
  <c r="Y107" i="152"/>
  <c r="X107" i="152"/>
  <c r="W107" i="152"/>
  <c r="V107" i="152"/>
  <c r="U107" i="152"/>
  <c r="T107" i="152"/>
  <c r="P107" i="152"/>
  <c r="N107" i="152"/>
  <c r="S107" i="152" s="1"/>
  <c r="AV106" i="152"/>
  <c r="AW106" i="152" s="1"/>
  <c r="AZ106" i="152" s="1"/>
  <c r="AT106" i="152"/>
  <c r="AA105" i="152"/>
  <c r="P105" i="152"/>
  <c r="N105" i="152"/>
  <c r="AT104" i="152"/>
  <c r="Z104" i="152"/>
  <c r="Z105" i="152" s="1"/>
  <c r="AV103" i="152"/>
  <c r="X103" i="152"/>
  <c r="W103" i="152"/>
  <c r="V103" i="152"/>
  <c r="U103" i="152"/>
  <c r="T103" i="152"/>
  <c r="S103" i="152"/>
  <c r="R103" i="152"/>
  <c r="P103" i="152"/>
  <c r="N103" i="152"/>
  <c r="AV102" i="152"/>
  <c r="AW102" i="152" s="1"/>
  <c r="AZ102" i="152" s="1"/>
  <c r="AU102" i="152"/>
  <c r="AT102" i="152"/>
  <c r="T101" i="152"/>
  <c r="P101" i="152"/>
  <c r="N101" i="152" s="1"/>
  <c r="AV100" i="152"/>
  <c r="AW100" i="152" s="1"/>
  <c r="AZ100" i="152" s="1"/>
  <c r="AT100" i="152"/>
  <c r="AY100" i="152" s="1"/>
  <c r="AV99" i="152"/>
  <c r="P99" i="152"/>
  <c r="N99" i="152"/>
  <c r="AV98" i="152"/>
  <c r="AW98" i="152" s="1"/>
  <c r="AT98" i="152"/>
  <c r="AU98" i="152" s="1"/>
  <c r="R98" i="152"/>
  <c r="AV97" i="152"/>
  <c r="X97" i="152"/>
  <c r="W97" i="152"/>
  <c r="V97" i="152"/>
  <c r="U97" i="152"/>
  <c r="P97" i="152"/>
  <c r="N97" i="152"/>
  <c r="T97" i="152" s="1"/>
  <c r="AV96" i="152"/>
  <c r="AW96" i="152" s="1"/>
  <c r="AZ96" i="152" s="1"/>
  <c r="AU96" i="152"/>
  <c r="AT96" i="152"/>
  <c r="AV95" i="152"/>
  <c r="P95" i="152"/>
  <c r="N95" i="152" s="1"/>
  <c r="AW94" i="152"/>
  <c r="AV94" i="152"/>
  <c r="AT94" i="152"/>
  <c r="AU94" i="152" s="1"/>
  <c r="AV93" i="152"/>
  <c r="P93" i="152"/>
  <c r="N93" i="152" s="1"/>
  <c r="AZ92" i="152"/>
  <c r="AW92" i="152"/>
  <c r="AV92" i="152"/>
  <c r="AT92" i="152"/>
  <c r="AY92" i="152" s="1"/>
  <c r="AC91" i="152"/>
  <c r="AB91" i="152"/>
  <c r="P91" i="152"/>
  <c r="N91" i="152" s="1"/>
  <c r="Z90" i="152"/>
  <c r="Z134" i="152" s="1"/>
  <c r="R90" i="152"/>
  <c r="AV89" i="152"/>
  <c r="S89" i="152"/>
  <c r="P89" i="152"/>
  <c r="N89" i="152" s="1"/>
  <c r="AW88" i="152"/>
  <c r="AZ88" i="152" s="1"/>
  <c r="AV88" i="152"/>
  <c r="AU88" i="152"/>
  <c r="AT88" i="152"/>
  <c r="AV87" i="152"/>
  <c r="AT87" i="152"/>
  <c r="S87" i="152"/>
  <c r="R87" i="152"/>
  <c r="AW87" i="152" s="1"/>
  <c r="P87" i="152"/>
  <c r="N87" i="152" s="1"/>
  <c r="AV86" i="152"/>
  <c r="AW86" i="152" s="1"/>
  <c r="AZ86" i="152" s="1"/>
  <c r="AT86" i="152"/>
  <c r="AV85" i="152"/>
  <c r="P85" i="152"/>
  <c r="N85" i="152"/>
  <c r="AY84" i="152"/>
  <c r="AW84" i="152"/>
  <c r="AZ84" i="152" s="1"/>
  <c r="AV84" i="152"/>
  <c r="AU84" i="152"/>
  <c r="AT84" i="152"/>
  <c r="AV83" i="152"/>
  <c r="W83" i="152"/>
  <c r="V83" i="152"/>
  <c r="U83" i="152"/>
  <c r="T83" i="152"/>
  <c r="S83" i="152"/>
  <c r="AT83" i="152" s="1"/>
  <c r="R83" i="152"/>
  <c r="P83" i="152"/>
  <c r="N83" i="152"/>
  <c r="AV82" i="152"/>
  <c r="AW82" i="152" s="1"/>
  <c r="AZ82" i="152" s="1"/>
  <c r="AU82" i="152"/>
  <c r="AT82" i="152"/>
  <c r="AY82" i="152" s="1"/>
  <c r="AB81" i="152"/>
  <c r="P81" i="152"/>
  <c r="N81" i="152" s="1"/>
  <c r="AW80" i="152"/>
  <c r="AZ80" i="152" s="1"/>
  <c r="AV80" i="152"/>
  <c r="AU80" i="152"/>
  <c r="AT80" i="152"/>
  <c r="T80" i="152"/>
  <c r="AV79" i="152"/>
  <c r="P79" i="152"/>
  <c r="N79" i="152" s="1"/>
  <c r="R79" i="152" s="1"/>
  <c r="AW79" i="152" s="1"/>
  <c r="AZ78" i="152"/>
  <c r="AY78" i="152"/>
  <c r="AW78" i="152"/>
  <c r="AV78" i="152"/>
  <c r="AU78" i="152"/>
  <c r="AT78" i="152"/>
  <c r="AG77" i="152"/>
  <c r="AF77" i="152"/>
  <c r="AE77" i="152"/>
  <c r="AB77" i="152"/>
  <c r="Z77" i="152"/>
  <c r="Y77" i="152"/>
  <c r="X77" i="152"/>
  <c r="W77" i="152"/>
  <c r="V77" i="152"/>
  <c r="U77" i="152"/>
  <c r="T77" i="152"/>
  <c r="S77" i="152"/>
  <c r="R77" i="152"/>
  <c r="P77" i="152"/>
  <c r="N77" i="152"/>
  <c r="AY76" i="152"/>
  <c r="AW76" i="152"/>
  <c r="AZ76" i="152" s="1"/>
  <c r="AV76" i="152"/>
  <c r="AU76" i="152"/>
  <c r="AT76" i="152"/>
  <c r="AG75" i="152"/>
  <c r="AE75" i="152"/>
  <c r="AC75" i="152"/>
  <c r="AB75" i="152"/>
  <c r="AA75" i="152"/>
  <c r="Z75" i="152"/>
  <c r="Y75" i="152"/>
  <c r="S75" i="152"/>
  <c r="P75" i="152"/>
  <c r="N75" i="152"/>
  <c r="AV74" i="152"/>
  <c r="AW74" i="152" s="1"/>
  <c r="AU74" i="152"/>
  <c r="AT74" i="152"/>
  <c r="AQ73" i="152"/>
  <c r="AP73" i="152"/>
  <c r="AO73" i="152"/>
  <c r="AN73" i="152"/>
  <c r="AM73" i="152"/>
  <c r="AL73" i="152"/>
  <c r="AK73" i="152"/>
  <c r="AI73" i="152"/>
  <c r="AC73" i="152"/>
  <c r="AB73" i="152"/>
  <c r="AA73" i="152"/>
  <c r="Z73" i="152"/>
  <c r="Y73" i="152"/>
  <c r="W73" i="152"/>
  <c r="V73" i="152"/>
  <c r="T73" i="152"/>
  <c r="P73" i="152"/>
  <c r="N73" i="152"/>
  <c r="AZ72" i="152"/>
  <c r="AW72" i="152"/>
  <c r="AV72" i="152"/>
  <c r="AT72" i="152"/>
  <c r="AY72" i="152" s="1"/>
  <c r="AC71" i="152"/>
  <c r="AB71" i="152"/>
  <c r="AA71" i="152"/>
  <c r="Y71" i="152"/>
  <c r="X71" i="152"/>
  <c r="V71" i="152"/>
  <c r="U71" i="152"/>
  <c r="T71" i="152"/>
  <c r="S71" i="152"/>
  <c r="P71" i="152"/>
  <c r="N71" i="152"/>
  <c r="AV70" i="152"/>
  <c r="AW70" i="152" s="1"/>
  <c r="AZ70" i="152" s="1"/>
  <c r="AT70" i="152"/>
  <c r="P69" i="152"/>
  <c r="N69" i="152"/>
  <c r="AV68" i="152"/>
  <c r="AW68" i="152" s="1"/>
  <c r="AZ68" i="152" s="1"/>
  <c r="AT68" i="152"/>
  <c r="AN67" i="152"/>
  <c r="AH67" i="152"/>
  <c r="AG67" i="152"/>
  <c r="AE67" i="152"/>
  <c r="AD67" i="152"/>
  <c r="AB67" i="152"/>
  <c r="P67" i="152"/>
  <c r="N67" i="152"/>
  <c r="AZ66" i="152"/>
  <c r="AY66" i="152"/>
  <c r="AW66" i="152"/>
  <c r="AV66" i="152"/>
  <c r="AT66" i="152"/>
  <c r="AU66" i="152" s="1"/>
  <c r="AV65" i="152"/>
  <c r="P65" i="152"/>
  <c r="N65" i="152" s="1"/>
  <c r="AW64" i="152"/>
  <c r="AZ64" i="152" s="1"/>
  <c r="AV64" i="152"/>
  <c r="AU64" i="152"/>
  <c r="AT64" i="152"/>
  <c r="AY64" i="152" s="1"/>
  <c r="P63" i="152"/>
  <c r="N63" i="152"/>
  <c r="AY62" i="152"/>
  <c r="AW62" i="152"/>
  <c r="AZ62" i="152" s="1"/>
  <c r="AV62" i="152"/>
  <c r="AT62" i="152"/>
  <c r="AU62" i="152" s="1"/>
  <c r="AF61" i="152"/>
  <c r="AD61" i="152"/>
  <c r="AC61" i="152"/>
  <c r="AB61" i="152"/>
  <c r="W61" i="152"/>
  <c r="U61" i="152"/>
  <c r="T61" i="152"/>
  <c r="P61" i="152"/>
  <c r="N61" i="152"/>
  <c r="AZ60" i="152"/>
  <c r="AY60" i="152"/>
  <c r="AW60" i="152"/>
  <c r="AV60" i="152"/>
  <c r="AU60" i="152"/>
  <c r="AT60" i="152"/>
  <c r="P59" i="152"/>
  <c r="N59" i="152" s="1"/>
  <c r="AY58" i="152"/>
  <c r="AW58" i="152"/>
  <c r="AZ58" i="152" s="1"/>
  <c r="AV58" i="152"/>
  <c r="AU58" i="152"/>
  <c r="AT58" i="152"/>
  <c r="AA57" i="152"/>
  <c r="Z57" i="152"/>
  <c r="Y57" i="152"/>
  <c r="X57" i="152"/>
  <c r="V57" i="152"/>
  <c r="U57" i="152"/>
  <c r="S57" i="152"/>
  <c r="P57" i="152"/>
  <c r="N57" i="152"/>
  <c r="AV56" i="152"/>
  <c r="AW56" i="152" s="1"/>
  <c r="AZ56" i="152" s="1"/>
  <c r="AU56" i="152"/>
  <c r="AT56" i="152"/>
  <c r="P55" i="152"/>
  <c r="N55" i="152"/>
  <c r="AV54" i="152"/>
  <c r="AW54" i="152" s="1"/>
  <c r="AZ54" i="152" s="1"/>
  <c r="AT54" i="152"/>
  <c r="AE53" i="152"/>
  <c r="AD53" i="152"/>
  <c r="Y53" i="152"/>
  <c r="X53" i="152"/>
  <c r="V53" i="152"/>
  <c r="U53" i="152"/>
  <c r="T53" i="152"/>
  <c r="S53" i="152"/>
  <c r="R53" i="152"/>
  <c r="P53" i="152"/>
  <c r="N53" i="152" s="1"/>
  <c r="AV52" i="152"/>
  <c r="AW52" i="152" s="1"/>
  <c r="AZ52" i="152" s="1"/>
  <c r="AT52" i="152"/>
  <c r="Z51" i="152"/>
  <c r="T51" i="152"/>
  <c r="S51" i="152"/>
  <c r="R51" i="152"/>
  <c r="P51" i="152"/>
  <c r="N51" i="152"/>
  <c r="AW50" i="152"/>
  <c r="AZ50" i="152" s="1"/>
  <c r="AV50" i="152"/>
  <c r="AT50" i="152"/>
  <c r="AU50" i="152" s="1"/>
  <c r="AO49" i="152"/>
  <c r="AN49" i="152"/>
  <c r="AK49" i="152"/>
  <c r="AE49" i="152"/>
  <c r="AD49" i="152"/>
  <c r="AC49" i="152"/>
  <c r="AB49" i="152"/>
  <c r="AA49" i="152"/>
  <c r="Z49" i="152"/>
  <c r="Y49" i="152"/>
  <c r="X49" i="152"/>
  <c r="R49" i="152"/>
  <c r="P49" i="152"/>
  <c r="N49" i="152"/>
  <c r="AV48" i="152"/>
  <c r="AW48" i="152" s="1"/>
  <c r="AU48" i="152"/>
  <c r="AT48" i="152"/>
  <c r="AV47" i="152"/>
  <c r="U47" i="152"/>
  <c r="P47" i="152"/>
  <c r="N47" i="152"/>
  <c r="T47" i="152" s="1"/>
  <c r="AV46" i="152"/>
  <c r="AW46" i="152" s="1"/>
  <c r="AZ46" i="152" s="1"/>
  <c r="AT46" i="152"/>
  <c r="P45" i="152"/>
  <c r="N45" i="152" s="1"/>
  <c r="AZ44" i="152"/>
  <c r="AW44" i="152"/>
  <c r="AV44" i="152"/>
  <c r="AU44" i="152"/>
  <c r="AT44" i="152"/>
  <c r="P43" i="152"/>
  <c r="N43" i="152" s="1"/>
  <c r="T43" i="152" s="1"/>
  <c r="AW42" i="152"/>
  <c r="AZ42" i="152" s="1"/>
  <c r="AV42" i="152"/>
  <c r="AU42" i="152"/>
  <c r="AT42" i="152"/>
  <c r="AC41" i="152"/>
  <c r="AB41" i="152"/>
  <c r="AA41" i="152"/>
  <c r="P41" i="152"/>
  <c r="N41" i="152"/>
  <c r="AW40" i="152"/>
  <c r="AZ40" i="152" s="1"/>
  <c r="AV40" i="152"/>
  <c r="AU40" i="152"/>
  <c r="AT40" i="152"/>
  <c r="AV39" i="152"/>
  <c r="P39" i="152"/>
  <c r="N39" i="152" s="1"/>
  <c r="AV38" i="152"/>
  <c r="AW38" i="152" s="1"/>
  <c r="AY38" i="152" s="1"/>
  <c r="AU38" i="152"/>
  <c r="AT38" i="152"/>
  <c r="P37" i="152"/>
  <c r="N37" i="152"/>
  <c r="AY36" i="152"/>
  <c r="AW36" i="152"/>
  <c r="AZ36" i="152" s="1"/>
  <c r="AV36" i="152"/>
  <c r="AU36" i="152"/>
  <c r="AT36" i="152"/>
  <c r="AD35" i="152"/>
  <c r="AC35" i="152"/>
  <c r="AB35" i="152"/>
  <c r="AA35" i="152"/>
  <c r="Z35" i="152"/>
  <c r="Y35" i="152"/>
  <c r="X35" i="152"/>
  <c r="R35" i="152"/>
  <c r="P35" i="152"/>
  <c r="N35" i="152"/>
  <c r="AV34" i="152"/>
  <c r="AW34" i="152" s="1"/>
  <c r="AU34" i="152"/>
  <c r="AT34" i="152"/>
  <c r="P33" i="152"/>
  <c r="N33" i="152"/>
  <c r="AD33" i="152" s="1"/>
  <c r="AW32" i="152"/>
  <c r="AZ32" i="152" s="1"/>
  <c r="AV32" i="152"/>
  <c r="AT32" i="152"/>
  <c r="AU32" i="152" s="1"/>
  <c r="AK31" i="152"/>
  <c r="AJ31" i="152"/>
  <c r="AG31" i="152"/>
  <c r="AC31" i="152"/>
  <c r="T31" i="152"/>
  <c r="P31" i="152"/>
  <c r="N31" i="152"/>
  <c r="AB31" i="152" s="1"/>
  <c r="AV30" i="152"/>
  <c r="AW30" i="152" s="1"/>
  <c r="AY30" i="152" s="1"/>
  <c r="AT30" i="152"/>
  <c r="AU30" i="152" s="1"/>
  <c r="AL29" i="152"/>
  <c r="P29" i="152"/>
  <c r="N29" i="152" s="1"/>
  <c r="AV28" i="152"/>
  <c r="AW28" i="152" s="1"/>
  <c r="AZ28" i="152" s="1"/>
  <c r="AT28" i="152"/>
  <c r="AV27" i="152"/>
  <c r="T27" i="152"/>
  <c r="P27" i="152"/>
  <c r="N27" i="152"/>
  <c r="AV26" i="152"/>
  <c r="AW26" i="152" s="1"/>
  <c r="AZ26" i="152" s="1"/>
  <c r="AT26" i="152"/>
  <c r="AU26" i="152" s="1"/>
  <c r="AB25" i="152"/>
  <c r="AA25" i="152"/>
  <c r="Z25" i="152"/>
  <c r="Y25" i="152"/>
  <c r="X25" i="152"/>
  <c r="P25" i="152"/>
  <c r="N25" i="152"/>
  <c r="AW24" i="152"/>
  <c r="AZ24" i="152" s="1"/>
  <c r="AV24" i="152"/>
  <c r="AT24" i="152"/>
  <c r="AY24" i="152" s="1"/>
  <c r="P23" i="152"/>
  <c r="N23" i="152"/>
  <c r="R23" i="152" s="1"/>
  <c r="AV22" i="152"/>
  <c r="AW22" i="152" s="1"/>
  <c r="AZ22" i="152" s="1"/>
  <c r="AT22" i="152"/>
  <c r="AD21" i="152"/>
  <c r="AC21" i="152"/>
  <c r="X21" i="152"/>
  <c r="W21" i="152"/>
  <c r="V21" i="152"/>
  <c r="P21" i="152"/>
  <c r="N21" i="152" s="1"/>
  <c r="AZ20" i="152"/>
  <c r="AV20" i="152"/>
  <c r="AW20" i="152" s="1"/>
  <c r="AT20" i="152"/>
  <c r="AY20" i="152" s="1"/>
  <c r="P19" i="152"/>
  <c r="N19" i="152" s="1"/>
  <c r="AV18" i="152"/>
  <c r="AW18" i="152" s="1"/>
  <c r="AZ18" i="152" s="1"/>
  <c r="AT18" i="152"/>
  <c r="AY18" i="152" s="1"/>
  <c r="AN17" i="152"/>
  <c r="AJ17" i="152"/>
  <c r="AI17" i="152"/>
  <c r="AD17" i="152"/>
  <c r="AC17" i="152"/>
  <c r="AB17" i="152"/>
  <c r="X17" i="152"/>
  <c r="W17" i="152"/>
  <c r="V17" i="152"/>
  <c r="U17" i="152"/>
  <c r="T17" i="152"/>
  <c r="P17" i="152"/>
  <c r="N17" i="152"/>
  <c r="AV16" i="152"/>
  <c r="AW16" i="152" s="1"/>
  <c r="AZ16" i="152" s="1"/>
  <c r="AU16" i="152"/>
  <c r="AT16" i="152"/>
  <c r="AY16" i="152" s="1"/>
  <c r="AV15" i="152"/>
  <c r="P15" i="152"/>
  <c r="N15" i="152"/>
  <c r="AW14" i="152"/>
  <c r="AZ14" i="152" s="1"/>
  <c r="AV14" i="152"/>
  <c r="AU14" i="152"/>
  <c r="AT14" i="152"/>
  <c r="AV13" i="152"/>
  <c r="P13" i="152"/>
  <c r="N13" i="152"/>
  <c r="AV12" i="152"/>
  <c r="AW12" i="152" s="1"/>
  <c r="AZ12" i="152" s="1"/>
  <c r="AT12" i="152"/>
  <c r="AY12" i="152" s="1"/>
  <c r="AW11" i="152"/>
  <c r="AY11" i="152" s="1"/>
  <c r="AV11" i="152"/>
  <c r="AT11" i="152"/>
  <c r="AU11" i="152" s="1"/>
  <c r="P11" i="152"/>
  <c r="N11" i="152"/>
  <c r="AV10" i="152"/>
  <c r="AW10" i="152" s="1"/>
  <c r="AZ10" i="152" s="1"/>
  <c r="AT10" i="152"/>
  <c r="AY10" i="152" s="1"/>
  <c r="AV9" i="152"/>
  <c r="X9" i="152"/>
  <c r="W9" i="152"/>
  <c r="V9" i="152"/>
  <c r="U9" i="152"/>
  <c r="P9" i="152"/>
  <c r="N9" i="152" s="1"/>
  <c r="T9" i="152" s="1"/>
  <c r="AV8" i="152"/>
  <c r="AW8" i="152" s="1"/>
  <c r="AZ8" i="152" s="1"/>
  <c r="AT8" i="152"/>
  <c r="AY8" i="152" s="1"/>
  <c r="U7" i="152"/>
  <c r="T7" i="152"/>
  <c r="S7" i="152"/>
  <c r="R7" i="152"/>
  <c r="P7" i="152"/>
  <c r="N7" i="152" s="1"/>
  <c r="AV6" i="152"/>
  <c r="AW6" i="152" s="1"/>
  <c r="AZ6" i="152" s="1"/>
  <c r="AT6" i="152"/>
  <c r="AY40" i="152" l="1"/>
  <c r="AI29" i="152"/>
  <c r="W29" i="152"/>
  <c r="AC29" i="152"/>
  <c r="AB29" i="152"/>
  <c r="AN29" i="152"/>
  <c r="AN135" i="152" s="1"/>
  <c r="AA29" i="152"/>
  <c r="AJ29" i="152"/>
  <c r="S29" i="152"/>
  <c r="AF29" i="152"/>
  <c r="AE29" i="152"/>
  <c r="AD29" i="152"/>
  <c r="X29" i="152"/>
  <c r="Z29" i="152"/>
  <c r="Y29" i="152"/>
  <c r="AM29" i="152"/>
  <c r="V29" i="152"/>
  <c r="S13" i="152"/>
  <c r="R13" i="152"/>
  <c r="W13" i="152"/>
  <c r="X13" i="152"/>
  <c r="V13" i="152"/>
  <c r="S23" i="152"/>
  <c r="AT23" i="152" s="1"/>
  <c r="R29" i="152"/>
  <c r="AC33" i="152"/>
  <c r="AY54" i="152"/>
  <c r="AU54" i="152"/>
  <c r="AP63" i="152"/>
  <c r="AD63" i="152"/>
  <c r="R63" i="152"/>
  <c r="AM63" i="152"/>
  <c r="AA63" i="152"/>
  <c r="AQ63" i="152"/>
  <c r="AB63" i="152"/>
  <c r="AO63" i="152"/>
  <c r="Z63" i="152"/>
  <c r="AN63" i="152"/>
  <c r="Y63" i="152"/>
  <c r="AL63" i="152"/>
  <c r="X63" i="152"/>
  <c r="AH63" i="152"/>
  <c r="AF63" i="152"/>
  <c r="AE63" i="152"/>
  <c r="AJ63" i="152"/>
  <c r="AC63" i="152"/>
  <c r="W63" i="152"/>
  <c r="V63" i="152"/>
  <c r="U63" i="152"/>
  <c r="T63" i="152"/>
  <c r="AK63" i="152"/>
  <c r="S63" i="152"/>
  <c r="V85" i="152"/>
  <c r="U85" i="152"/>
  <c r="T85" i="152"/>
  <c r="S85" i="152"/>
  <c r="W85" i="152"/>
  <c r="R85" i="152"/>
  <c r="AD19" i="152"/>
  <c r="AA19" i="152"/>
  <c r="Z19" i="152"/>
  <c r="Y19" i="152"/>
  <c r="AC19" i="152"/>
  <c r="AC162" i="152" s="1"/>
  <c r="AB19" i="152"/>
  <c r="X19" i="152"/>
  <c r="W19" i="152"/>
  <c r="V19" i="152"/>
  <c r="AJ59" i="152"/>
  <c r="X59" i="152"/>
  <c r="AG59" i="152"/>
  <c r="U59" i="152"/>
  <c r="AL59" i="152"/>
  <c r="W59" i="152"/>
  <c r="AK59" i="152"/>
  <c r="V59" i="152"/>
  <c r="AI59" i="152"/>
  <c r="AI162" i="152" s="1"/>
  <c r="T59" i="152"/>
  <c r="AH59" i="152"/>
  <c r="S59" i="152"/>
  <c r="AB59" i="152"/>
  <c r="Z59" i="152"/>
  <c r="Y59" i="152"/>
  <c r="AO59" i="152"/>
  <c r="AP59" i="152"/>
  <c r="R59" i="152"/>
  <c r="AD59" i="152"/>
  <c r="AN59" i="152"/>
  <c r="AM59" i="152"/>
  <c r="AF59" i="152"/>
  <c r="AE59" i="152"/>
  <c r="AY83" i="152"/>
  <c r="AU83" i="152"/>
  <c r="AY106" i="152"/>
  <c r="AU106" i="152"/>
  <c r="S115" i="152"/>
  <c r="R115" i="152"/>
  <c r="W65" i="152"/>
  <c r="R65" i="152"/>
  <c r="V65" i="152"/>
  <c r="U65" i="152"/>
  <c r="T65" i="152"/>
  <c r="S65" i="152"/>
  <c r="AZ98" i="152"/>
  <c r="AY98" i="152"/>
  <c r="AO69" i="152"/>
  <c r="AC69" i="152"/>
  <c r="AL69" i="152"/>
  <c r="Z69" i="152"/>
  <c r="AQ69" i="152"/>
  <c r="AB69" i="152"/>
  <c r="AP69" i="152"/>
  <c r="AA69" i="152"/>
  <c r="AN69" i="152"/>
  <c r="Y69" i="152"/>
  <c r="AM69" i="152"/>
  <c r="X69" i="152"/>
  <c r="AG69" i="152"/>
  <c r="AE69" i="152"/>
  <c r="AD69" i="152"/>
  <c r="W69" i="152"/>
  <c r="V69" i="152"/>
  <c r="AI69" i="152"/>
  <c r="U69" i="152"/>
  <c r="T69" i="152"/>
  <c r="AK69" i="152"/>
  <c r="S69" i="152"/>
  <c r="AJ69" i="152"/>
  <c r="R69" i="152"/>
  <c r="T13" i="152"/>
  <c r="R19" i="152"/>
  <c r="U29" i="152"/>
  <c r="AF55" i="152"/>
  <c r="T55" i="152"/>
  <c r="AB55" i="152"/>
  <c r="AN55" i="152"/>
  <c r="AA55" i="152"/>
  <c r="AM55" i="152"/>
  <c r="Z55" i="152"/>
  <c r="AL55" i="152"/>
  <c r="Y55" i="152"/>
  <c r="AE55" i="152"/>
  <c r="AC55" i="152"/>
  <c r="X55" i="152"/>
  <c r="W55" i="152"/>
  <c r="V55" i="152"/>
  <c r="AH55" i="152"/>
  <c r="U55" i="152"/>
  <c r="AK55" i="152"/>
  <c r="S55" i="152"/>
  <c r="AJ55" i="152"/>
  <c r="R55" i="152"/>
  <c r="AI55" i="152"/>
  <c r="AA59" i="152"/>
  <c r="AG63" i="152"/>
  <c r="AY87" i="152"/>
  <c r="AU87" i="152"/>
  <c r="AY14" i="152"/>
  <c r="AU20" i="152"/>
  <c r="AB43" i="152"/>
  <c r="X43" i="152"/>
  <c r="W43" i="152"/>
  <c r="V43" i="152"/>
  <c r="U43" i="152"/>
  <c r="S43" i="152"/>
  <c r="AD43" i="152"/>
  <c r="AC43" i="152"/>
  <c r="AA43" i="152"/>
  <c r="Z43" i="152"/>
  <c r="AO135" i="152"/>
  <c r="AO153" i="152" s="1"/>
  <c r="AV75" i="152"/>
  <c r="U13" i="152"/>
  <c r="U135" i="152" s="1"/>
  <c r="U153" i="152" s="1"/>
  <c r="S19" i="152"/>
  <c r="AY26" i="152"/>
  <c r="AG29" i="152"/>
  <c r="AZ38" i="152"/>
  <c r="AC59" i="152"/>
  <c r="AI63" i="152"/>
  <c r="AF69" i="152"/>
  <c r="AT35" i="152"/>
  <c r="AY32" i="152"/>
  <c r="AZ30" i="152"/>
  <c r="R43" i="152"/>
  <c r="AY68" i="152"/>
  <c r="AU68" i="152"/>
  <c r="T29" i="152"/>
  <c r="Y43" i="152"/>
  <c r="AU8" i="152"/>
  <c r="T19" i="152"/>
  <c r="S27" i="152"/>
  <c r="R27" i="152"/>
  <c r="AH29" i="152"/>
  <c r="T39" i="152"/>
  <c r="S39" i="152"/>
  <c r="R39" i="152"/>
  <c r="AD55" i="152"/>
  <c r="AH69" i="152"/>
  <c r="U81" i="152"/>
  <c r="AF81" i="152"/>
  <c r="T81" i="152"/>
  <c r="AE81" i="152"/>
  <c r="S81" i="152"/>
  <c r="AD81" i="152"/>
  <c r="AA81" i="152"/>
  <c r="Z81" i="152"/>
  <c r="Y81" i="152"/>
  <c r="X81" i="152"/>
  <c r="W81" i="152"/>
  <c r="V81" i="152"/>
  <c r="AC81" i="152"/>
  <c r="S93" i="152"/>
  <c r="R93" i="152"/>
  <c r="AV25" i="152"/>
  <c r="W33" i="152"/>
  <c r="V33" i="152"/>
  <c r="U33" i="152"/>
  <c r="T33" i="152"/>
  <c r="AB33" i="152"/>
  <c r="AA33" i="152"/>
  <c r="Z33" i="152"/>
  <c r="Y33" i="152"/>
  <c r="AV33" i="152" s="1"/>
  <c r="X33" i="152"/>
  <c r="S33" i="152"/>
  <c r="R33" i="152"/>
  <c r="AU24" i="152"/>
  <c r="AY6" i="152"/>
  <c r="U19" i="152"/>
  <c r="U162" i="152" s="1"/>
  <c r="AK29" i="152"/>
  <c r="AZ34" i="152"/>
  <c r="AY34" i="152"/>
  <c r="AG55" i="152"/>
  <c r="R81" i="152"/>
  <c r="AT7" i="152"/>
  <c r="AZ94" i="152"/>
  <c r="AY94" i="152"/>
  <c r="Z111" i="152"/>
  <c r="Y111" i="152"/>
  <c r="X111" i="152"/>
  <c r="W111" i="152"/>
  <c r="V111" i="152"/>
  <c r="U111" i="152"/>
  <c r="S111" i="152"/>
  <c r="AA111" i="152"/>
  <c r="T111" i="152"/>
  <c r="R111" i="152"/>
  <c r="N134" i="152"/>
  <c r="AB7" i="152"/>
  <c r="AA7" i="152"/>
  <c r="V7" i="152"/>
  <c r="Z7" i="152"/>
  <c r="Y7" i="152"/>
  <c r="X7" i="152"/>
  <c r="W7" i="152"/>
  <c r="Z45" i="152"/>
  <c r="X45" i="152"/>
  <c r="W45" i="152"/>
  <c r="V45" i="152"/>
  <c r="U45" i="152"/>
  <c r="AA45" i="152"/>
  <c r="Y45" i="152"/>
  <c r="T45" i="152"/>
  <c r="S45" i="152"/>
  <c r="R45" i="152"/>
  <c r="AZ74" i="152"/>
  <c r="AY74" i="152"/>
  <c r="Z152" i="152"/>
  <c r="Y23" i="152"/>
  <c r="AV23" i="152" s="1"/>
  <c r="X23" i="152"/>
  <c r="W23" i="152"/>
  <c r="V23" i="152"/>
  <c r="U23" i="152"/>
  <c r="T23" i="152"/>
  <c r="S173" i="152" s="1"/>
  <c r="S37" i="152"/>
  <c r="W37" i="152"/>
  <c r="V37" i="152"/>
  <c r="U37" i="152"/>
  <c r="T37" i="152"/>
  <c r="Y37" i="152"/>
  <c r="AV37" i="152" s="1"/>
  <c r="X37" i="152"/>
  <c r="R37" i="152"/>
  <c r="AZ48" i="152"/>
  <c r="AY48" i="152"/>
  <c r="AY56" i="152"/>
  <c r="AT79" i="152"/>
  <c r="AU104" i="152"/>
  <c r="AV134" i="152"/>
  <c r="Y152" i="152"/>
  <c r="U31" i="152"/>
  <c r="AL31" i="152"/>
  <c r="AY46" i="152"/>
  <c r="AU46" i="152"/>
  <c r="AF67" i="152"/>
  <c r="T67" i="152"/>
  <c r="AO67" i="152"/>
  <c r="AO162" i="152" s="1"/>
  <c r="AC67" i="152"/>
  <c r="AM67" i="152"/>
  <c r="Y67" i="152"/>
  <c r="AL67" i="152"/>
  <c r="X67" i="152"/>
  <c r="AK67" i="152"/>
  <c r="W67" i="152"/>
  <c r="AJ67" i="152"/>
  <c r="V67" i="152"/>
  <c r="AI67" i="152"/>
  <c r="AU72" i="152"/>
  <c r="AU100" i="152"/>
  <c r="AV104" i="152"/>
  <c r="AW104" i="152" s="1"/>
  <c r="AZ104" i="152" s="1"/>
  <c r="S129" i="152"/>
  <c r="R129" i="152"/>
  <c r="Y129" i="152"/>
  <c r="X129" i="152"/>
  <c r="W129" i="152"/>
  <c r="V129" i="152"/>
  <c r="U129" i="152"/>
  <c r="T129" i="152"/>
  <c r="S95" i="152"/>
  <c r="R95" i="152"/>
  <c r="AM31" i="152"/>
  <c r="AD41" i="152"/>
  <c r="R41" i="152"/>
  <c r="X41" i="152"/>
  <c r="W41" i="152"/>
  <c r="V41" i="152"/>
  <c r="U41" i="152"/>
  <c r="AV90" i="152"/>
  <c r="AT90" i="152"/>
  <c r="AW103" i="152"/>
  <c r="AT103" i="152"/>
  <c r="AY116" i="152"/>
  <c r="AU116" i="152"/>
  <c r="AA152" i="152"/>
  <c r="AC25" i="152"/>
  <c r="S25" i="152"/>
  <c r="R25" i="152"/>
  <c r="AD25" i="152"/>
  <c r="AB21" i="152"/>
  <c r="AA21" i="152"/>
  <c r="Z21" i="152"/>
  <c r="Y21" i="152"/>
  <c r="X31" i="152"/>
  <c r="AN31" i="152"/>
  <c r="R67" i="152"/>
  <c r="AP67" i="152"/>
  <c r="R101" i="152"/>
  <c r="AC101" i="152"/>
  <c r="AB101" i="152"/>
  <c r="AA101" i="152"/>
  <c r="Z101" i="152"/>
  <c r="Y101" i="152"/>
  <c r="AV101" i="152" s="1"/>
  <c r="X101" i="152"/>
  <c r="W101" i="152"/>
  <c r="AA129" i="152"/>
  <c r="AB152" i="152"/>
  <c r="W15" i="152"/>
  <c r="V15" i="152"/>
  <c r="U15" i="152"/>
  <c r="AU10" i="152"/>
  <c r="AM17" i="152"/>
  <c r="AA17" i="152"/>
  <c r="AL17" i="152"/>
  <c r="Z17" i="152"/>
  <c r="AK17" i="152"/>
  <c r="Y17" i="152"/>
  <c r="R21" i="152"/>
  <c r="T25" i="152"/>
  <c r="Y31" i="152"/>
  <c r="S41" i="152"/>
  <c r="AY50" i="152"/>
  <c r="S67" i="152"/>
  <c r="AQ67" i="152"/>
  <c r="T91" i="152"/>
  <c r="S101" i="152"/>
  <c r="W121" i="152"/>
  <c r="V121" i="152"/>
  <c r="Z121" i="152"/>
  <c r="Y121" i="152"/>
  <c r="X121" i="152"/>
  <c r="AB129" i="152"/>
  <c r="AL152" i="152"/>
  <c r="R15" i="152"/>
  <c r="R9" i="152"/>
  <c r="R162" i="152" s="1"/>
  <c r="AU28" i="152"/>
  <c r="AY28" i="152"/>
  <c r="R47" i="152"/>
  <c r="U67" i="152"/>
  <c r="U91" i="152"/>
  <c r="W152" i="152"/>
  <c r="AV120" i="152"/>
  <c r="AW120" i="152" s="1"/>
  <c r="AZ120" i="152" s="1"/>
  <c r="AU6" i="152"/>
  <c r="AU12" i="152"/>
  <c r="AE17" i="152"/>
  <c r="AF17" i="152"/>
  <c r="T41" i="152"/>
  <c r="AU52" i="152"/>
  <c r="AY52" i="152"/>
  <c r="V61" i="152"/>
  <c r="AE61" i="152"/>
  <c r="S61" i="152"/>
  <c r="AA61" i="152"/>
  <c r="Z61" i="152"/>
  <c r="Y61" i="152"/>
  <c r="AV61" i="152" s="1"/>
  <c r="X61" i="152"/>
  <c r="S9" i="152"/>
  <c r="S162" i="152" s="1"/>
  <c r="T15" i="152"/>
  <c r="T135" i="152" s="1"/>
  <c r="T153" i="152" s="1"/>
  <c r="R17" i="152"/>
  <c r="AG17" i="152"/>
  <c r="T21" i="152"/>
  <c r="U35" i="152"/>
  <c r="W35" i="152"/>
  <c r="V35" i="152"/>
  <c r="T35" i="152"/>
  <c r="S35" i="152"/>
  <c r="Y41" i="152"/>
  <c r="AY42" i="152"/>
  <c r="S47" i="152"/>
  <c r="AH49" i="152"/>
  <c r="V49" i="152"/>
  <c r="AJ49" i="152"/>
  <c r="AJ135" i="152" s="1"/>
  <c r="AJ153" i="152" s="1"/>
  <c r="W49" i="152"/>
  <c r="AI49" i="152"/>
  <c r="U49" i="152"/>
  <c r="AG49" i="152"/>
  <c r="T49" i="152"/>
  <c r="AF49" i="152"/>
  <c r="S49" i="152"/>
  <c r="AL49" i="152"/>
  <c r="U51" i="152"/>
  <c r="AT51" i="152" s="1"/>
  <c r="Y51" i="152"/>
  <c r="AV51" i="152" s="1"/>
  <c r="X51" i="152"/>
  <c r="W51" i="152"/>
  <c r="V51" i="152"/>
  <c r="AV57" i="152"/>
  <c r="Z67" i="152"/>
  <c r="AF75" i="152"/>
  <c r="U75" i="152"/>
  <c r="AD75" i="152"/>
  <c r="R75" i="152"/>
  <c r="X75" i="152"/>
  <c r="W75" i="152"/>
  <c r="V75" i="152"/>
  <c r="T75" i="152"/>
  <c r="AY80" i="152"/>
  <c r="W89" i="152"/>
  <c r="V89" i="152"/>
  <c r="U89" i="152"/>
  <c r="T89" i="152"/>
  <c r="V91" i="152"/>
  <c r="AY96" i="152"/>
  <c r="U101" i="152"/>
  <c r="Y105" i="152"/>
  <c r="AV105" i="152" s="1"/>
  <c r="R109" i="152"/>
  <c r="X152" i="152"/>
  <c r="T117" i="152"/>
  <c r="W125" i="152"/>
  <c r="U125" i="152"/>
  <c r="T125" i="152"/>
  <c r="R125" i="152"/>
  <c r="AT124" i="152"/>
  <c r="AI125" i="152"/>
  <c r="AI134" i="152"/>
  <c r="AF125" i="152"/>
  <c r="V31" i="152"/>
  <c r="S15" i="152"/>
  <c r="AU18" i="152"/>
  <c r="S21" i="152"/>
  <c r="U25" i="152"/>
  <c r="Z31" i="152"/>
  <c r="AY22" i="152"/>
  <c r="V25" i="152"/>
  <c r="AA31" i="152"/>
  <c r="X15" i="152"/>
  <c r="S17" i="152"/>
  <c r="AH17" i="152"/>
  <c r="U21" i="152"/>
  <c r="AU22" i="152"/>
  <c r="W25" i="152"/>
  <c r="Z41" i="152"/>
  <c r="AM49" i="152"/>
  <c r="W53" i="152"/>
  <c r="AT53" i="152" s="1"/>
  <c r="AC53" i="152"/>
  <c r="AB53" i="152"/>
  <c r="AA53" i="152"/>
  <c r="Z53" i="152"/>
  <c r="AV53" i="152" s="1"/>
  <c r="AW53" i="152" s="1"/>
  <c r="R61" i="152"/>
  <c r="AA67" i="152"/>
  <c r="AV77" i="152"/>
  <c r="AW77" i="152" s="1"/>
  <c r="R89" i="152"/>
  <c r="V101" i="152"/>
  <c r="V117" i="152"/>
  <c r="AT120" i="152"/>
  <c r="AJ134" i="152"/>
  <c r="AJ125" i="152"/>
  <c r="U148" i="152"/>
  <c r="AR148" i="152"/>
  <c r="AY70" i="152"/>
  <c r="AU70" i="152"/>
  <c r="AE152" i="152"/>
  <c r="AI31" i="152"/>
  <c r="AI135" i="152" s="1"/>
  <c r="AI153" i="152" s="1"/>
  <c r="W31" i="152"/>
  <c r="AF31" i="152"/>
  <c r="S31" i="152"/>
  <c r="AE31" i="152"/>
  <c r="R31" i="152"/>
  <c r="AD31" i="152"/>
  <c r="AD135" i="152" s="1"/>
  <c r="AH31" i="152"/>
  <c r="AV35" i="152"/>
  <c r="AW35" i="152" s="1"/>
  <c r="X105" i="152"/>
  <c r="U105" i="152"/>
  <c r="W105" i="152"/>
  <c r="V105" i="152"/>
  <c r="AU118" i="152"/>
  <c r="AX118" i="152"/>
  <c r="AV127" i="152"/>
  <c r="AJ73" i="152"/>
  <c r="X73" i="152"/>
  <c r="AG73" i="152"/>
  <c r="U73" i="152"/>
  <c r="AD73" i="152"/>
  <c r="AV73" i="152" s="1"/>
  <c r="U99" i="152"/>
  <c r="T99" i="152"/>
  <c r="S99" i="152"/>
  <c r="R99" i="152"/>
  <c r="T105" i="152"/>
  <c r="S134" i="152"/>
  <c r="X113" i="152"/>
  <c r="AY126" i="152"/>
  <c r="AW143" i="152"/>
  <c r="AT143" i="152"/>
  <c r="AY143" i="152" s="1"/>
  <c r="U147" i="152"/>
  <c r="W57" i="152"/>
  <c r="T57" i="152"/>
  <c r="Z71" i="152"/>
  <c r="W71" i="152"/>
  <c r="AD71" i="152"/>
  <c r="AE73" i="152"/>
  <c r="AY86" i="152"/>
  <c r="AU86" i="152"/>
  <c r="AY88" i="152"/>
  <c r="AA91" i="152"/>
  <c r="Z91" i="152"/>
  <c r="Y91" i="152"/>
  <c r="X91" i="152"/>
  <c r="W91" i="152"/>
  <c r="W119" i="152"/>
  <c r="V119" i="152"/>
  <c r="AG119" i="152"/>
  <c r="U119" i="152"/>
  <c r="AF119" i="152"/>
  <c r="T119" i="152"/>
  <c r="AE119" i="152"/>
  <c r="S119" i="152"/>
  <c r="AD119" i="152"/>
  <c r="R119" i="152"/>
  <c r="AA119" i="152"/>
  <c r="Z119" i="152"/>
  <c r="X119" i="152"/>
  <c r="Z125" i="152"/>
  <c r="R148" i="152"/>
  <c r="AF148" i="152"/>
  <c r="X147" i="152"/>
  <c r="V147" i="152"/>
  <c r="AY44" i="152"/>
  <c r="R73" i="152"/>
  <c r="AF73" i="152"/>
  <c r="T134" i="152"/>
  <c r="R91" i="152"/>
  <c r="AU108" i="152"/>
  <c r="AV118" i="152"/>
  <c r="AW118" i="152" s="1"/>
  <c r="AG163" i="152"/>
  <c r="AG154" i="152"/>
  <c r="R57" i="152"/>
  <c r="R71" i="152"/>
  <c r="S73" i="152"/>
  <c r="AH73" i="152"/>
  <c r="AW83" i="152"/>
  <c r="S91" i="152"/>
  <c r="V134" i="152"/>
  <c r="AT112" i="152"/>
  <c r="AW114" i="152"/>
  <c r="AZ114" i="152" s="1"/>
  <c r="AT114" i="152"/>
  <c r="S117" i="152"/>
  <c r="Y119" i="152"/>
  <c r="AV119" i="152" s="1"/>
  <c r="AC125" i="152"/>
  <c r="T148" i="152"/>
  <c r="AC77" i="152"/>
  <c r="AA77" i="152"/>
  <c r="AT77" i="152" s="1"/>
  <c r="AD77" i="152"/>
  <c r="R134" i="152"/>
  <c r="AW90" i="152"/>
  <c r="AZ90" i="152" s="1"/>
  <c r="T121" i="152"/>
  <c r="S121" i="152"/>
  <c r="R121" i="152"/>
  <c r="AA121" i="152"/>
  <c r="AK134" i="152"/>
  <c r="AS163" i="152"/>
  <c r="AS164" i="152" s="1"/>
  <c r="AS166" i="152" s="1"/>
  <c r="AS154" i="152"/>
  <c r="AC152" i="152"/>
  <c r="AM152" i="152"/>
  <c r="AY142" i="152"/>
  <c r="AT146" i="152"/>
  <c r="AY146" i="152" s="1"/>
  <c r="AY102" i="152"/>
  <c r="U134" i="152"/>
  <c r="AW108" i="152"/>
  <c r="AZ108" i="152" s="1"/>
  <c r="AT110" i="152"/>
  <c r="AD152" i="152"/>
  <c r="AG152" i="152"/>
  <c r="W147" i="152"/>
  <c r="W148" i="152" s="1"/>
  <c r="AT122" i="152"/>
  <c r="AV124" i="152"/>
  <c r="AW124" i="152" s="1"/>
  <c r="AZ124" i="152" s="1"/>
  <c r="Y125" i="152"/>
  <c r="AW128" i="152"/>
  <c r="AV146" i="152"/>
  <c r="AB123" i="152"/>
  <c r="AV123" i="152" s="1"/>
  <c r="Z145" i="152"/>
  <c r="Z148" i="152" s="1"/>
  <c r="AL145" i="152"/>
  <c r="AL148" i="152" s="1"/>
  <c r="AW146" i="152"/>
  <c r="AA147" i="152"/>
  <c r="AM147" i="152"/>
  <c r="AS152" i="152"/>
  <c r="AS155" i="152" s="1"/>
  <c r="AS157" i="152" s="1"/>
  <c r="AB105" i="152"/>
  <c r="AC123" i="152"/>
  <c r="R127" i="152"/>
  <c r="AA145" i="152"/>
  <c r="AM145" i="152"/>
  <c r="AB147" i="152"/>
  <c r="AN147" i="152"/>
  <c r="AU92" i="152"/>
  <c r="AC105" i="152"/>
  <c r="AB107" i="152"/>
  <c r="AV107" i="152" s="1"/>
  <c r="R123" i="152"/>
  <c r="AD123" i="152"/>
  <c r="S127" i="152"/>
  <c r="AB145" i="152"/>
  <c r="AB148" i="152" s="1"/>
  <c r="AN145" i="152"/>
  <c r="AC147" i="152"/>
  <c r="AO147" i="152"/>
  <c r="R97" i="152"/>
  <c r="R105" i="152"/>
  <c r="AC107" i="152"/>
  <c r="S123" i="152"/>
  <c r="AE123" i="152"/>
  <c r="AA125" i="152"/>
  <c r="T127" i="152"/>
  <c r="AC145" i="152"/>
  <c r="AC148" i="152" s="1"/>
  <c r="AO145" i="152"/>
  <c r="AO148" i="152" s="1"/>
  <c r="R147" i="152"/>
  <c r="AD147" i="152"/>
  <c r="AP147" i="152"/>
  <c r="S97" i="152"/>
  <c r="S105" i="152"/>
  <c r="R107" i="152"/>
  <c r="AD107" i="152"/>
  <c r="R113" i="152"/>
  <c r="R117" i="152"/>
  <c r="T123" i="152"/>
  <c r="AF123" i="152"/>
  <c r="AB125" i="152"/>
  <c r="U127" i="152"/>
  <c r="R145" i="152"/>
  <c r="AD145" i="152"/>
  <c r="AD148" i="152" s="1"/>
  <c r="AP145" i="152"/>
  <c r="AP148" i="152" s="1"/>
  <c r="S147" i="152"/>
  <c r="AE147" i="152"/>
  <c r="AQ147" i="152"/>
  <c r="U123" i="152"/>
  <c r="S145" i="152"/>
  <c r="S148" i="152" s="1"/>
  <c r="AE145" i="152"/>
  <c r="AQ145" i="152"/>
  <c r="AQ148" i="152" s="1"/>
  <c r="T147" i="152"/>
  <c r="AF147" i="152"/>
  <c r="AR147" i="152"/>
  <c r="V145" i="152"/>
  <c r="V148" i="152" s="1"/>
  <c r="AH145" i="152"/>
  <c r="AH148" i="152" s="1"/>
  <c r="AI147" i="152"/>
  <c r="AI148" i="152" s="1"/>
  <c r="X145" i="152"/>
  <c r="AV145" i="152" s="1"/>
  <c r="AJ145" i="152"/>
  <c r="AJ148" i="152" s="1"/>
  <c r="Y147" i="152"/>
  <c r="AK147" i="152"/>
  <c r="AK148" i="152" s="1"/>
  <c r="Y145" i="152"/>
  <c r="Z147" i="152"/>
  <c r="AW49" i="152" l="1"/>
  <c r="AD153" i="152"/>
  <c r="AD155" i="152" s="1"/>
  <c r="AD157" i="152" s="1"/>
  <c r="AD136" i="152"/>
  <c r="AY53" i="152"/>
  <c r="AU53" i="152"/>
  <c r="AK154" i="152"/>
  <c r="AK163" i="152"/>
  <c r="AI164" i="152"/>
  <c r="AI166" i="152" s="1"/>
  <c r="AU23" i="152"/>
  <c r="AY23" i="152"/>
  <c r="V163" i="152"/>
  <c r="V154" i="152"/>
  <c r="S163" i="152"/>
  <c r="S154" i="152"/>
  <c r="AN153" i="152"/>
  <c r="AN136" i="152"/>
  <c r="AI163" i="152"/>
  <c r="AI154" i="152"/>
  <c r="AY77" i="152"/>
  <c r="AU77" i="152"/>
  <c r="W163" i="152"/>
  <c r="W154" i="152"/>
  <c r="AU51" i="152"/>
  <c r="S164" i="152"/>
  <c r="S166" i="152" s="1"/>
  <c r="S152" i="152"/>
  <c r="BA136" i="152"/>
  <c r="AV63" i="152"/>
  <c r="AW63" i="152" s="1"/>
  <c r="AL163" i="152"/>
  <c r="AL154" i="152"/>
  <c r="AZ118" i="152"/>
  <c r="AY118" i="152"/>
  <c r="U163" i="152"/>
  <c r="U164" i="152" s="1"/>
  <c r="U166" i="152" s="1"/>
  <c r="U154" i="152"/>
  <c r="AV49" i="152"/>
  <c r="AD162" i="152"/>
  <c r="X162" i="152"/>
  <c r="X135" i="152"/>
  <c r="AV19" i="152"/>
  <c r="AW19" i="152" s="1"/>
  <c r="AT49" i="152"/>
  <c r="AV29" i="152"/>
  <c r="AW117" i="152"/>
  <c r="AT117" i="152"/>
  <c r="AY35" i="152"/>
  <c r="AU35" i="152"/>
  <c r="R154" i="152"/>
  <c r="R163" i="152"/>
  <c r="R152" i="152"/>
  <c r="R136" i="152"/>
  <c r="T138" i="152"/>
  <c r="U138" i="152" s="1"/>
  <c r="AT134" i="152"/>
  <c r="AW134" i="152"/>
  <c r="AY112" i="152"/>
  <c r="AU112" i="152"/>
  <c r="AT99" i="152"/>
  <c r="S174" i="152"/>
  <c r="AW99" i="152"/>
  <c r="AY124" i="152"/>
  <c r="AX124" i="152"/>
  <c r="AU124" i="152"/>
  <c r="AT25" i="152"/>
  <c r="AW25" i="152"/>
  <c r="AY90" i="152"/>
  <c r="AU90" i="152"/>
  <c r="Y135" i="152"/>
  <c r="Y162" i="152"/>
  <c r="AV7" i="152"/>
  <c r="AT81" i="152"/>
  <c r="AV43" i="152"/>
  <c r="AW115" i="152"/>
  <c r="AT115" i="152"/>
  <c r="AT59" i="152"/>
  <c r="AW59" i="152"/>
  <c r="AV147" i="152"/>
  <c r="AW147" i="152" s="1"/>
  <c r="AW95" i="152"/>
  <c r="AT95" i="152"/>
  <c r="AJ162" i="152"/>
  <c r="AW65" i="152"/>
  <c r="AT65" i="152"/>
  <c r="AH163" i="152"/>
  <c r="AH154" i="152"/>
  <c r="AR163" i="152"/>
  <c r="AR164" i="152" s="1"/>
  <c r="AR166" i="152" s="1"/>
  <c r="AR154" i="152"/>
  <c r="AR155" i="152" s="1"/>
  <c r="AR157" i="152" s="1"/>
  <c r="AT75" i="152"/>
  <c r="AW75" i="152"/>
  <c r="AM135" i="152"/>
  <c r="AM162" i="152"/>
  <c r="Z163" i="152"/>
  <c r="Z154" i="152"/>
  <c r="AY108" i="152"/>
  <c r="AV71" i="152"/>
  <c r="AJ136" i="152"/>
  <c r="AJ152" i="152"/>
  <c r="AT125" i="152"/>
  <c r="AW37" i="152"/>
  <c r="AT37" i="152"/>
  <c r="AV45" i="152"/>
  <c r="Z135" i="152"/>
  <c r="Z162" i="152"/>
  <c r="Z164" i="152" s="1"/>
  <c r="Z166" i="152" s="1"/>
  <c r="AT19" i="152"/>
  <c r="AP135" i="152"/>
  <c r="AP162" i="152"/>
  <c r="AW123" i="152"/>
  <c r="AT123" i="152"/>
  <c r="AW121" i="152"/>
  <c r="AT121" i="152"/>
  <c r="AY121" i="152" s="1"/>
  <c r="AW31" i="152"/>
  <c r="AT31" i="152"/>
  <c r="AF163" i="152"/>
  <c r="AF154" i="152"/>
  <c r="AW61" i="152"/>
  <c r="AT61" i="152"/>
  <c r="AW51" i="152"/>
  <c r="AY51" i="152" s="1"/>
  <c r="V152" i="152"/>
  <c r="AW145" i="152"/>
  <c r="AT145" i="152"/>
  <c r="AY145" i="152" s="1"/>
  <c r="BA148" i="152"/>
  <c r="AM148" i="152"/>
  <c r="AT91" i="152"/>
  <c r="AV31" i="152"/>
  <c r="AT101" i="152"/>
  <c r="AW101" i="152"/>
  <c r="V162" i="152"/>
  <c r="V135" i="152"/>
  <c r="V153" i="152" s="1"/>
  <c r="AV111" i="152"/>
  <c r="AW111" i="152" s="1"/>
  <c r="AT29" i="152"/>
  <c r="AW29" i="152"/>
  <c r="AN162" i="152"/>
  <c r="AU122" i="152"/>
  <c r="AY122" i="152"/>
  <c r="AX122" i="152"/>
  <c r="AW113" i="152"/>
  <c r="AT113" i="152"/>
  <c r="AW15" i="152"/>
  <c r="AT15" i="152"/>
  <c r="AU7" i="152"/>
  <c r="AY7" i="152"/>
  <c r="AI136" i="152"/>
  <c r="AI152" i="152"/>
  <c r="AI155" i="152" s="1"/>
  <c r="AI157" i="152" s="1"/>
  <c r="AW45" i="152"/>
  <c r="AT45" i="152"/>
  <c r="W162" i="152"/>
  <c r="W164" i="152" s="1"/>
  <c r="W166" i="152" s="1"/>
  <c r="W135" i="152"/>
  <c r="AW93" i="152"/>
  <c r="AT93" i="152"/>
  <c r="AT105" i="152"/>
  <c r="AW105" i="152"/>
  <c r="X148" i="152"/>
  <c r="AT148" i="152" s="1"/>
  <c r="AW97" i="152"/>
  <c r="AT97" i="152"/>
  <c r="AO136" i="152"/>
  <c r="AA148" i="152"/>
  <c r="T152" i="152"/>
  <c r="T155" i="152" s="1"/>
  <c r="T157" i="152" s="1"/>
  <c r="T136" i="152"/>
  <c r="AY120" i="152"/>
  <c r="AX120" i="152"/>
  <c r="AC135" i="152"/>
  <c r="S135" i="152"/>
  <c r="S153" i="152" s="1"/>
  <c r="AA135" i="152"/>
  <c r="AA162" i="152"/>
  <c r="AV55" i="152"/>
  <c r="AW69" i="152"/>
  <c r="AT69" i="152"/>
  <c r="AV59" i="152"/>
  <c r="AW85" i="152"/>
  <c r="AT85" i="152"/>
  <c r="AQ162" i="152"/>
  <c r="AQ164" i="152" s="1"/>
  <c r="AQ166" i="152" s="1"/>
  <c r="AQ135" i="152"/>
  <c r="AY114" i="152"/>
  <c r="AU114" i="152"/>
  <c r="AV41" i="152"/>
  <c r="AW41" i="152" s="1"/>
  <c r="AY103" i="152"/>
  <c r="AU103" i="152"/>
  <c r="AT107" i="152"/>
  <c r="AW107" i="152"/>
  <c r="AP154" i="152"/>
  <c r="AP163" i="152"/>
  <c r="AD154" i="152"/>
  <c r="AD163" i="152"/>
  <c r="Y148" i="152"/>
  <c r="AT147" i="152"/>
  <c r="AN148" i="152"/>
  <c r="AT127" i="152"/>
  <c r="AW127" i="152"/>
  <c r="AU110" i="152"/>
  <c r="AY110" i="152"/>
  <c r="AT119" i="152"/>
  <c r="AW119" i="152"/>
  <c r="AV91" i="152"/>
  <c r="AW91" i="152" s="1"/>
  <c r="AV121" i="152"/>
  <c r="AT21" i="152"/>
  <c r="AT67" i="152"/>
  <c r="AW67" i="152"/>
  <c r="AV129" i="152"/>
  <c r="AB135" i="152"/>
  <c r="AB162" i="152"/>
  <c r="AV81" i="152"/>
  <c r="AW81" i="152" s="1"/>
  <c r="AW39" i="152"/>
  <c r="AT39" i="152"/>
  <c r="AW43" i="152"/>
  <c r="AT43" i="152"/>
  <c r="S171" i="152"/>
  <c r="S175" i="152" s="1"/>
  <c r="AW55" i="152"/>
  <c r="AT55" i="152"/>
  <c r="AQ163" i="152"/>
  <c r="AQ154" i="152"/>
  <c r="AB163" i="152"/>
  <c r="AB154" i="152"/>
  <c r="T163" i="152"/>
  <c r="T154" i="152"/>
  <c r="AW73" i="152"/>
  <c r="AT73" i="152"/>
  <c r="AG135" i="152"/>
  <c r="AG162" i="152"/>
  <c r="AG164" i="152" s="1"/>
  <c r="AG166" i="152" s="1"/>
  <c r="AW47" i="152"/>
  <c r="AT47" i="152"/>
  <c r="AV17" i="152"/>
  <c r="AW129" i="152"/>
  <c r="AT129" i="152"/>
  <c r="AY129" i="152" s="1"/>
  <c r="AV67" i="152"/>
  <c r="AV69" i="152"/>
  <c r="AW23" i="152"/>
  <c r="AE148" i="152"/>
  <c r="AC163" i="152"/>
  <c r="AC164" i="152" s="1"/>
  <c r="AC166" i="152" s="1"/>
  <c r="AC154" i="152"/>
  <c r="AV125" i="152"/>
  <c r="AW125" i="152" s="1"/>
  <c r="U136" i="152"/>
  <c r="U152" i="152"/>
  <c r="U155" i="152" s="1"/>
  <c r="U157" i="152" s="1"/>
  <c r="AK152" i="152"/>
  <c r="AT71" i="152"/>
  <c r="AW71" i="152"/>
  <c r="AT89" i="152"/>
  <c r="AW89" i="152"/>
  <c r="AW17" i="152"/>
  <c r="AT17" i="152"/>
  <c r="AK135" i="152"/>
  <c r="AK153" i="152" s="1"/>
  <c r="AK162" i="152"/>
  <c r="AK164" i="152" s="1"/>
  <c r="AK166" i="152" s="1"/>
  <c r="AT41" i="152"/>
  <c r="AT111" i="152"/>
  <c r="S172" i="152"/>
  <c r="AT63" i="152"/>
  <c r="AO163" i="152"/>
  <c r="AO164" i="152" s="1"/>
  <c r="AO166" i="152" s="1"/>
  <c r="AO154" i="152"/>
  <c r="AO155" i="152" s="1"/>
  <c r="AO157" i="152" s="1"/>
  <c r="AZ128" i="152"/>
  <c r="AY128" i="152"/>
  <c r="AJ163" i="152"/>
  <c r="AJ154" i="152"/>
  <c r="AW57" i="152"/>
  <c r="AT57" i="152"/>
  <c r="AF135" i="152"/>
  <c r="AF162" i="152"/>
  <c r="AF164" i="152" s="1"/>
  <c r="AF166" i="152" s="1"/>
  <c r="AV21" i="152"/>
  <c r="AW21" i="152" s="1"/>
  <c r="AY104" i="152"/>
  <c r="T162" i="152"/>
  <c r="T164" i="152" s="1"/>
  <c r="T166" i="152" s="1"/>
  <c r="AW13" i="152"/>
  <c r="AT13" i="152"/>
  <c r="AH162" i="152"/>
  <c r="AH164" i="152" s="1"/>
  <c r="AH166" i="152" s="1"/>
  <c r="AH135" i="152"/>
  <c r="AW109" i="152"/>
  <c r="AT109" i="152"/>
  <c r="AE162" i="152"/>
  <c r="AE135" i="152"/>
  <c r="AW9" i="152"/>
  <c r="AT9" i="152"/>
  <c r="AL135" i="152"/>
  <c r="AL162" i="152"/>
  <c r="AL164" i="152" s="1"/>
  <c r="AL166" i="152" s="1"/>
  <c r="AY79" i="152"/>
  <c r="AU79" i="152"/>
  <c r="R135" i="152"/>
  <c r="AW33" i="152"/>
  <c r="AT33" i="152"/>
  <c r="AW27" i="152"/>
  <c r="AT27" i="152"/>
  <c r="AW7" i="152"/>
  <c r="AY148" i="152" l="1"/>
  <c r="AY97" i="152"/>
  <c r="AU97" i="152"/>
  <c r="AY67" i="152"/>
  <c r="AU67" i="152"/>
  <c r="AN163" i="152"/>
  <c r="AN154" i="152"/>
  <c r="AY49" i="152"/>
  <c r="AU49" i="152"/>
  <c r="X153" i="152"/>
  <c r="X136" i="152"/>
  <c r="AC153" i="152"/>
  <c r="AC155" i="152" s="1"/>
  <c r="AC157" i="152" s="1"/>
  <c r="AC136" i="152"/>
  <c r="AY15" i="152"/>
  <c r="AU15" i="152"/>
  <c r="V164" i="152"/>
  <c r="V166" i="152" s="1"/>
  <c r="V155" i="152"/>
  <c r="V157" i="152" s="1"/>
  <c r="AP164" i="152"/>
  <c r="AP166" i="152" s="1"/>
  <c r="AV162" i="152"/>
  <c r="X164" i="152"/>
  <c r="S155" i="152"/>
  <c r="S157" i="152" s="1"/>
  <c r="AN155" i="152"/>
  <c r="AN157" i="152" s="1"/>
  <c r="AY107" i="152"/>
  <c r="AU107" i="152"/>
  <c r="AY127" i="152"/>
  <c r="AU127" i="152"/>
  <c r="AU134" i="152"/>
  <c r="AY134" i="152"/>
  <c r="AL153" i="152"/>
  <c r="AL155" i="152" s="1"/>
  <c r="AL157" i="152" s="1"/>
  <c r="AL136" i="152"/>
  <c r="AY63" i="152"/>
  <c r="AU63" i="152"/>
  <c r="AY43" i="152"/>
  <c r="AU43" i="152"/>
  <c r="AY21" i="152"/>
  <c r="AU21" i="152"/>
  <c r="AU25" i="152"/>
  <c r="AY25" i="152"/>
  <c r="AU9" i="152"/>
  <c r="AY9" i="152"/>
  <c r="AY73" i="152"/>
  <c r="AU73" i="152"/>
  <c r="AE153" i="152"/>
  <c r="AE136" i="152"/>
  <c r="AP153" i="152"/>
  <c r="AP155" i="152" s="1"/>
  <c r="AP157" i="152" s="1"/>
  <c r="AP136" i="152"/>
  <c r="AJ155" i="152"/>
  <c r="AJ157" i="152" s="1"/>
  <c r="AD164" i="152"/>
  <c r="AD166" i="152" s="1"/>
  <c r="AF153" i="152"/>
  <c r="AF155" i="152" s="1"/>
  <c r="AF157" i="152" s="1"/>
  <c r="AF136" i="152"/>
  <c r="AY27" i="152"/>
  <c r="AU27" i="152"/>
  <c r="AY57" i="152"/>
  <c r="AU57" i="152"/>
  <c r="AU89" i="152"/>
  <c r="AY89" i="152"/>
  <c r="AY93" i="152"/>
  <c r="AU93" i="152"/>
  <c r="AY113" i="152"/>
  <c r="AU113" i="152"/>
  <c r="AU101" i="152"/>
  <c r="AY101" i="152"/>
  <c r="AU61" i="152"/>
  <c r="AY61" i="152"/>
  <c r="AM153" i="152"/>
  <c r="AM136" i="152"/>
  <c r="AA164" i="152"/>
  <c r="AA166" i="152" s="1"/>
  <c r="AU29" i="152"/>
  <c r="AY29" i="152"/>
  <c r="AU125" i="152"/>
  <c r="AY125" i="152"/>
  <c r="AY115" i="152"/>
  <c r="AU115" i="152"/>
  <c r="AT152" i="152"/>
  <c r="S136" i="152"/>
  <c r="AV152" i="152"/>
  <c r="AW152" i="152" s="1"/>
  <c r="AE163" i="152"/>
  <c r="AE164" i="152" s="1"/>
  <c r="AE166" i="152" s="1"/>
  <c r="AE154" i="152"/>
  <c r="AU39" i="152"/>
  <c r="AY39" i="152"/>
  <c r="Y154" i="152"/>
  <c r="Y163" i="152"/>
  <c r="AQ153" i="152"/>
  <c r="AQ155" i="152" s="1"/>
  <c r="AQ157" i="152" s="1"/>
  <c r="AQ136" i="152"/>
  <c r="AU105" i="152"/>
  <c r="AY105" i="152"/>
  <c r="AU111" i="152"/>
  <c r="AY111" i="152"/>
  <c r="AY109" i="152"/>
  <c r="AU109" i="152"/>
  <c r="AB164" i="152"/>
  <c r="AB166" i="152" s="1"/>
  <c r="AY85" i="152"/>
  <c r="AU85" i="152"/>
  <c r="AU19" i="152"/>
  <c r="AY19" i="152"/>
  <c r="AY65" i="152"/>
  <c r="AU65" i="152"/>
  <c r="AU81" i="152"/>
  <c r="AY81" i="152"/>
  <c r="R164" i="152"/>
  <c r="AY47" i="152"/>
  <c r="AU47" i="152"/>
  <c r="AG153" i="152"/>
  <c r="AG155" i="152" s="1"/>
  <c r="AG157" i="152" s="1"/>
  <c r="AG136" i="152"/>
  <c r="AY147" i="152"/>
  <c r="X163" i="152"/>
  <c r="AT163" i="152" s="1"/>
  <c r="X154" i="152"/>
  <c r="AV148" i="152"/>
  <c r="AW148" i="152" s="1"/>
  <c r="BA149" i="152" s="1"/>
  <c r="AU75" i="152"/>
  <c r="AY75" i="152"/>
  <c r="V136" i="152"/>
  <c r="AY71" i="152"/>
  <c r="AU71" i="152"/>
  <c r="W153" i="152"/>
  <c r="W155" i="152" s="1"/>
  <c r="W157" i="152" s="1"/>
  <c r="W136" i="152"/>
  <c r="AU91" i="152"/>
  <c r="AY91" i="152"/>
  <c r="AH153" i="152"/>
  <c r="AH155" i="152" s="1"/>
  <c r="AH157" i="152" s="1"/>
  <c r="AH136" i="152"/>
  <c r="AK136" i="152"/>
  <c r="Z153" i="152"/>
  <c r="Z155" i="152" s="1"/>
  <c r="Z157" i="152" s="1"/>
  <c r="Z136" i="152"/>
  <c r="AJ164" i="152"/>
  <c r="AJ166" i="152" s="1"/>
  <c r="Y164" i="152"/>
  <c r="Y166" i="152" s="1"/>
  <c r="AW162" i="152"/>
  <c r="AY55" i="152"/>
  <c r="AU55" i="152"/>
  <c r="AY17" i="152"/>
  <c r="AU17" i="152"/>
  <c r="AA153" i="152"/>
  <c r="AA136" i="152"/>
  <c r="AY123" i="152"/>
  <c r="AU123" i="152"/>
  <c r="AY59" i="152"/>
  <c r="AU59" i="152"/>
  <c r="AY33" i="152"/>
  <c r="AU33" i="152"/>
  <c r="AY41" i="152"/>
  <c r="AU41" i="152"/>
  <c r="AB153" i="152"/>
  <c r="AB155" i="152" s="1"/>
  <c r="AB157" i="152" s="1"/>
  <c r="AB136" i="152"/>
  <c r="AU119" i="152"/>
  <c r="AY119" i="152"/>
  <c r="AU99" i="152"/>
  <c r="AY99" i="152"/>
  <c r="AT162" i="152"/>
  <c r="U139" i="152"/>
  <c r="R153" i="152"/>
  <c r="R155" i="152" s="1"/>
  <c r="AT135" i="152"/>
  <c r="AK155" i="152"/>
  <c r="AK157" i="152" s="1"/>
  <c r="AY69" i="152"/>
  <c r="AU69" i="152"/>
  <c r="AA163" i="152"/>
  <c r="AA154" i="152"/>
  <c r="AU45" i="152"/>
  <c r="AY45" i="152"/>
  <c r="AY31" i="152"/>
  <c r="AU31" i="152"/>
  <c r="AU95" i="152"/>
  <c r="AY95" i="152"/>
  <c r="Y153" i="152"/>
  <c r="AV135" i="152"/>
  <c r="AW135" i="152" s="1"/>
  <c r="Y136" i="152"/>
  <c r="AY117" i="152"/>
  <c r="AU117" i="152"/>
  <c r="AN164" i="152"/>
  <c r="AN166" i="152" s="1"/>
  <c r="AM163" i="152"/>
  <c r="AM164" i="152" s="1"/>
  <c r="AM166" i="152" s="1"/>
  <c r="AM154" i="152"/>
  <c r="AT154" i="152" s="1"/>
  <c r="AU37" i="152"/>
  <c r="AY37" i="152"/>
  <c r="AY13" i="152"/>
  <c r="AU13" i="152"/>
  <c r="R157" i="152" l="1"/>
  <c r="AV153" i="152"/>
  <c r="AW153" i="152" s="1"/>
  <c r="X155" i="152"/>
  <c r="AE155" i="152"/>
  <c r="AE157" i="152" s="1"/>
  <c r="AV154" i="152"/>
  <c r="AW154" i="152" s="1"/>
  <c r="AM155" i="152"/>
  <c r="AM157" i="152" s="1"/>
  <c r="AV136" i="152"/>
  <c r="AW136" i="152" s="1"/>
  <c r="BA137" i="152" s="1"/>
  <c r="AA155" i="152"/>
  <c r="AA157" i="152" s="1"/>
  <c r="AV163" i="152"/>
  <c r="AW163" i="152" s="1"/>
  <c r="X166" i="152"/>
  <c r="AV164" i="152"/>
  <c r="Y155" i="152"/>
  <c r="Y157" i="152" s="1"/>
  <c r="AY135" i="152"/>
  <c r="AU135" i="152"/>
  <c r="AT153" i="152"/>
  <c r="AT164" i="152"/>
  <c r="R166" i="152"/>
  <c r="AW164" i="152"/>
  <c r="AT136" i="152"/>
  <c r="AV155" i="152" l="1"/>
  <c r="AW155" i="152" s="1"/>
  <c r="X157" i="152"/>
  <c r="AU136" i="152"/>
  <c r="AY136" i="152"/>
  <c r="AT155" i="152"/>
  <c r="K253" i="143" l="1"/>
  <c r="I217" i="143"/>
  <c r="I218" i="143"/>
  <c r="I219" i="143"/>
  <c r="K216" i="143"/>
  <c r="K41" i="143"/>
  <c r="L10" i="143"/>
  <c r="G356" i="105"/>
  <c r="I417" i="143"/>
  <c r="L417" i="143" s="1"/>
  <c r="I317" i="143" l="1"/>
  <c r="K227" i="143"/>
  <c r="I228" i="143"/>
  <c r="K146" i="143"/>
  <c r="K172" i="143"/>
  <c r="L7" i="143" l="1"/>
  <c r="L114" i="143" l="1"/>
  <c r="Q114" i="143"/>
  <c r="R115" i="143" s="1"/>
  <c r="K336" i="143" l="1"/>
  <c r="K251" i="143"/>
  <c r="K215" i="143"/>
  <c r="K354" i="143" l="1"/>
  <c r="M92" i="143"/>
  <c r="O131" i="143" l="1"/>
  <c r="O132" i="143"/>
  <c r="O130" i="143"/>
  <c r="I378" i="143" l="1"/>
  <c r="K337" i="143"/>
  <c r="I337" i="143" s="1"/>
  <c r="I426" i="143"/>
  <c r="L426" i="143" s="1"/>
  <c r="K277" i="151"/>
  <c r="K262" i="151"/>
  <c r="L245" i="151"/>
  <c r="K243" i="151" s="1"/>
  <c r="L230" i="151"/>
  <c r="K228" i="151" s="1"/>
  <c r="K133" i="143"/>
  <c r="O133" i="143" s="1"/>
  <c r="K356" i="143"/>
  <c r="I356" i="143" s="1"/>
  <c r="K379" i="143"/>
  <c r="I379" i="143" s="1"/>
  <c r="I354" i="143"/>
  <c r="I353" i="143"/>
  <c r="I227" i="143"/>
  <c r="I422" i="143"/>
  <c r="L422" i="143" s="1"/>
  <c r="I415" i="143"/>
  <c r="L415" i="143" s="1"/>
  <c r="I414" i="143"/>
  <c r="L414" i="143" s="1"/>
  <c r="L416" i="143"/>
  <c r="L418" i="143"/>
  <c r="L419" i="143"/>
  <c r="L420" i="143"/>
  <c r="L421" i="143"/>
  <c r="L423" i="143"/>
  <c r="L424" i="143"/>
  <c r="L425" i="143"/>
  <c r="L406" i="143"/>
  <c r="L407" i="143"/>
  <c r="L408" i="143"/>
  <c r="L409" i="143"/>
  <c r="L410" i="143"/>
  <c r="L411" i="143"/>
  <c r="L412" i="143"/>
  <c r="L413" i="143"/>
  <c r="L405" i="143"/>
  <c r="L403" i="143"/>
  <c r="L404" i="143"/>
  <c r="L402" i="143"/>
  <c r="K73" i="143"/>
  <c r="L401" i="143"/>
  <c r="I102" i="143"/>
  <c r="K101" i="143"/>
  <c r="I210" i="143"/>
  <c r="I335" i="143"/>
  <c r="I358" i="143"/>
  <c r="I377" i="143"/>
  <c r="I357" i="143"/>
  <c r="I355" i="143"/>
  <c r="I229" i="143"/>
  <c r="K240" i="143"/>
  <c r="I220" i="143"/>
  <c r="K144" i="143"/>
  <c r="I144" i="143" s="1"/>
  <c r="K370" i="143"/>
  <c r="L427" i="143" l="1"/>
  <c r="I216" i="143"/>
  <c r="I262" i="143" l="1"/>
  <c r="K49" i="151" l="1"/>
  <c r="L14" i="151"/>
  <c r="L10" i="151"/>
  <c r="L6" i="151"/>
  <c r="L312" i="151" l="1"/>
  <c r="L373" i="151"/>
  <c r="L337" i="151" l="1"/>
  <c r="L385" i="151"/>
  <c r="L113" i="143" l="1"/>
  <c r="K112" i="143" l="1"/>
  <c r="I112" i="143" s="1"/>
  <c r="L116" i="143" l="1"/>
  <c r="L118" i="143"/>
  <c r="I104" i="143" l="1"/>
  <c r="I103" i="143"/>
  <c r="I101" i="143"/>
  <c r="I297" i="143"/>
  <c r="I290" i="143"/>
  <c r="L97" i="143" l="1"/>
  <c r="K54" i="143" l="1"/>
  <c r="L423" i="151" l="1"/>
  <c r="K258" i="151"/>
  <c r="L225" i="151"/>
  <c r="K84" i="151"/>
  <c r="L115" i="151" l="1"/>
  <c r="L103" i="151" l="1"/>
  <c r="L98" i="151" l="1"/>
  <c r="K97" i="151" s="1"/>
  <c r="L96" i="151"/>
  <c r="L94" i="151"/>
  <c r="L188" i="151" l="1"/>
  <c r="L403" i="151"/>
  <c r="L402" i="151"/>
  <c r="L405" i="151"/>
  <c r="L58" i="143" l="1"/>
  <c r="K58" i="143" s="1"/>
  <c r="G220" i="105" l="1"/>
  <c r="K384" i="143"/>
  <c r="K49" i="143"/>
  <c r="K64" i="143"/>
  <c r="I98" i="143" l="1"/>
  <c r="H356" i="105" l="1"/>
  <c r="I356" i="105" s="1"/>
  <c r="G345" i="105"/>
  <c r="I264" i="143"/>
  <c r="F345" i="105"/>
  <c r="H345" i="105" l="1"/>
  <c r="I345" i="105" s="1"/>
  <c r="K324" i="143" l="1"/>
  <c r="K66" i="143"/>
  <c r="K371" i="143" l="1"/>
  <c r="L99" i="143"/>
  <c r="M100" i="143" l="1"/>
  <c r="K100" i="143" s="1"/>
  <c r="K92" i="143"/>
  <c r="I360" i="143"/>
  <c r="I343" i="143"/>
  <c r="I342" i="143"/>
  <c r="I332" i="143"/>
  <c r="I333" i="143"/>
  <c r="L61" i="143"/>
  <c r="I251" i="143" l="1"/>
  <c r="I91" i="143"/>
  <c r="I88" i="143" l="1"/>
  <c r="K235" i="143"/>
  <c r="I73" i="143" l="1"/>
  <c r="O96" i="143" l="1"/>
  <c r="K99" i="143" l="1"/>
  <c r="I132" i="143" l="1"/>
  <c r="L120" i="143"/>
  <c r="L119" i="143" l="1"/>
  <c r="I75" i="143" l="1"/>
  <c r="F5" i="105"/>
  <c r="G5" i="105"/>
  <c r="I270" i="143" l="1"/>
  <c r="I271" i="143"/>
  <c r="I272" i="143"/>
  <c r="I273" i="143"/>
  <c r="I274" i="143"/>
  <c r="I275" i="143"/>
  <c r="I276" i="143"/>
  <c r="K300" i="143" l="1"/>
  <c r="I302" i="143" l="1"/>
  <c r="I301" i="143"/>
  <c r="K280" i="143"/>
  <c r="I278" i="143"/>
  <c r="I277" i="143"/>
  <c r="I100" i="143" l="1"/>
  <c r="G76" i="105" l="1"/>
  <c r="I156" i="143" l="1"/>
  <c r="I155" i="143"/>
  <c r="I166" i="143"/>
  <c r="I339" i="143"/>
  <c r="I334" i="143"/>
  <c r="K268" i="143"/>
  <c r="I236" i="143" l="1"/>
  <c r="K214" i="143"/>
  <c r="I211" i="143"/>
  <c r="I239" i="143" l="1"/>
  <c r="I72" i="143" l="1"/>
  <c r="I43" i="143"/>
  <c r="I71" i="143"/>
  <c r="I70" i="143"/>
  <c r="I69" i="143"/>
  <c r="I68" i="143"/>
  <c r="I67" i="143"/>
  <c r="I66" i="143"/>
  <c r="I65" i="143"/>
  <c r="I79" i="143"/>
  <c r="I59" i="143"/>
  <c r="I50" i="143"/>
  <c r="I49" i="143"/>
  <c r="I48" i="143"/>
  <c r="I53" i="143"/>
  <c r="I52" i="143"/>
  <c r="I76" i="143"/>
  <c r="I238" i="143"/>
  <c r="K140" i="143"/>
  <c r="I74" i="143" l="1"/>
  <c r="I223" i="143" l="1"/>
  <c r="I95" i="143" l="1"/>
  <c r="I87" i="143"/>
  <c r="I289" i="143" l="1"/>
  <c r="I85" i="143"/>
  <c r="I63" i="143"/>
  <c r="I242" i="143" l="1"/>
  <c r="I266" i="143" l="1"/>
  <c r="H373" i="105" l="1"/>
  <c r="I267" i="143"/>
  <c r="I268" i="143"/>
  <c r="I159" i="143" l="1"/>
  <c r="I255" i="143" l="1"/>
  <c r="I256" i="143"/>
  <c r="K114" i="143" l="1"/>
  <c r="I114" i="143" l="1"/>
  <c r="I263" i="143"/>
  <c r="I41" i="143" l="1"/>
  <c r="I96" i="143"/>
  <c r="I86" i="143"/>
  <c r="I84" i="143"/>
  <c r="I83" i="143"/>
  <c r="I82" i="143"/>
  <c r="I81" i="143"/>
  <c r="I113" i="143" l="1"/>
  <c r="I94" i="143" l="1"/>
  <c r="I93" i="143"/>
  <c r="I92" i="143"/>
  <c r="I387" i="143" l="1"/>
  <c r="I386" i="143"/>
  <c r="I385" i="143"/>
  <c r="I384" i="143"/>
  <c r="I383" i="143"/>
  <c r="I382" i="143"/>
  <c r="I381" i="143"/>
  <c r="I380" i="143"/>
  <c r="I376" i="143"/>
  <c r="I375" i="143"/>
  <c r="I374" i="143"/>
  <c r="I373" i="143"/>
  <c r="I372" i="143"/>
  <c r="I371" i="143"/>
  <c r="I370" i="143"/>
  <c r="I369" i="143"/>
  <c r="I368" i="143"/>
  <c r="I367" i="143"/>
  <c r="I366" i="143"/>
  <c r="I365" i="143"/>
  <c r="I364" i="143"/>
  <c r="I362" i="143"/>
  <c r="I361" i="143"/>
  <c r="I464" i="143"/>
  <c r="I359" i="143"/>
  <c r="I352" i="143"/>
  <c r="I351" i="143"/>
  <c r="I350" i="143"/>
  <c r="I349" i="143"/>
  <c r="I348" i="143"/>
  <c r="I347" i="143"/>
  <c r="I346" i="143"/>
  <c r="I345" i="143"/>
  <c r="I344" i="143"/>
  <c r="I341" i="143"/>
  <c r="I340" i="143"/>
  <c r="I336" i="143"/>
  <c r="I338" i="143"/>
  <c r="I331" i="143"/>
  <c r="I330" i="143"/>
  <c r="I329" i="143"/>
  <c r="I328" i="143"/>
  <c r="I327" i="143"/>
  <c r="I326" i="143"/>
  <c r="I325" i="143"/>
  <c r="I324" i="143"/>
  <c r="I323" i="143"/>
  <c r="I322" i="143"/>
  <c r="I321" i="143"/>
  <c r="I320" i="143"/>
  <c r="I318" i="143"/>
  <c r="I316" i="143"/>
  <c r="I315" i="143"/>
  <c r="I314" i="143"/>
  <c r="I313" i="143"/>
  <c r="I312" i="143"/>
  <c r="I311" i="143"/>
  <c r="I310" i="143"/>
  <c r="I309" i="143"/>
  <c r="I308" i="143"/>
  <c r="I307" i="143"/>
  <c r="I306" i="143"/>
  <c r="I305" i="143"/>
  <c r="I304" i="143"/>
  <c r="I303" i="143"/>
  <c r="I300" i="143"/>
  <c r="I299" i="143"/>
  <c r="I298" i="143"/>
  <c r="I296" i="143"/>
  <c r="I295" i="143"/>
  <c r="I294" i="143"/>
  <c r="I293" i="143"/>
  <c r="I292" i="143"/>
  <c r="I291" i="143"/>
  <c r="I288" i="143"/>
  <c r="I287" i="143"/>
  <c r="I286" i="143"/>
  <c r="I285" i="143"/>
  <c r="I284" i="143"/>
  <c r="I283" i="143"/>
  <c r="I282" i="143"/>
  <c r="I281" i="143"/>
  <c r="I280" i="143"/>
  <c r="I279" i="143"/>
  <c r="I269" i="143"/>
  <c r="I265" i="143"/>
  <c r="I261" i="143"/>
  <c r="I260" i="143"/>
  <c r="I259" i="143"/>
  <c r="I258" i="143"/>
  <c r="I257" i="143"/>
  <c r="I254" i="143"/>
  <c r="I253" i="143"/>
  <c r="I252" i="143"/>
  <c r="I250" i="143"/>
  <c r="I249" i="143"/>
  <c r="I248" i="143"/>
  <c r="I247" i="143"/>
  <c r="I246" i="143"/>
  <c r="I245" i="143"/>
  <c r="I244" i="143"/>
  <c r="I243" i="143"/>
  <c r="I241" i="143"/>
  <c r="I240" i="143"/>
  <c r="I237" i="143"/>
  <c r="I235" i="143"/>
  <c r="I234" i="143"/>
  <c r="I233" i="143"/>
  <c r="I232" i="143"/>
  <c r="I231" i="143"/>
  <c r="I230" i="143"/>
  <c r="I226" i="143"/>
  <c r="I225" i="143"/>
  <c r="I224" i="143"/>
  <c r="I222" i="143"/>
  <c r="I221" i="143"/>
  <c r="I215" i="143"/>
  <c r="I214" i="143"/>
  <c r="I213" i="143"/>
  <c r="I212" i="143"/>
  <c r="I209" i="143"/>
  <c r="L121" i="143"/>
  <c r="I199" i="143"/>
  <c r="I198" i="143"/>
  <c r="I197" i="143"/>
  <c r="I196" i="143"/>
  <c r="I195" i="143"/>
  <c r="I194" i="143"/>
  <c r="I193" i="143"/>
  <c r="I192" i="143"/>
  <c r="I191" i="143"/>
  <c r="I190" i="143"/>
  <c r="I189" i="143"/>
  <c r="I188" i="143"/>
  <c r="I187" i="143"/>
  <c r="I186" i="143"/>
  <c r="I185" i="143"/>
  <c r="I184" i="143"/>
  <c r="I183" i="143"/>
  <c r="I182" i="143"/>
  <c r="I181" i="143"/>
  <c r="I180" i="143"/>
  <c r="I179" i="143"/>
  <c r="I178" i="143"/>
  <c r="I177" i="143"/>
  <c r="I176" i="143"/>
  <c r="I175" i="143"/>
  <c r="I173" i="143"/>
  <c r="I172" i="143"/>
  <c r="I171" i="143"/>
  <c r="I170" i="143"/>
  <c r="K169" i="143"/>
  <c r="I169" i="143" s="1"/>
  <c r="I168" i="143"/>
  <c r="I167" i="143"/>
  <c r="I165" i="143"/>
  <c r="I164" i="143"/>
  <c r="I163" i="143"/>
  <c r="I162" i="143"/>
  <c r="I161" i="143"/>
  <c r="I160" i="143"/>
  <c r="I158" i="143"/>
  <c r="I157" i="143"/>
  <c r="I154" i="143"/>
  <c r="I153" i="143"/>
  <c r="I152" i="143"/>
  <c r="I151" i="143"/>
  <c r="I150" i="143"/>
  <c r="I149" i="143"/>
  <c r="I148" i="143"/>
  <c r="I146" i="143"/>
  <c r="I145" i="143"/>
  <c r="I143" i="143"/>
  <c r="I142" i="143"/>
  <c r="I141" i="143"/>
  <c r="I140" i="143"/>
  <c r="I139" i="143"/>
  <c r="I138" i="143"/>
  <c r="I137" i="143"/>
  <c r="K136" i="143"/>
  <c r="I136" i="143" s="1"/>
  <c r="I135" i="143"/>
  <c r="I134" i="143"/>
  <c r="I133" i="143"/>
  <c r="I131" i="143"/>
  <c r="I130" i="143"/>
  <c r="I120" i="143"/>
  <c r="I119" i="143"/>
  <c r="I118" i="143"/>
  <c r="I117" i="143"/>
  <c r="I116" i="143"/>
  <c r="I115" i="143"/>
  <c r="I111" i="143"/>
  <c r="I110" i="143"/>
  <c r="I109" i="143"/>
  <c r="I108" i="143"/>
  <c r="I107" i="143"/>
  <c r="I106" i="143"/>
  <c r="I105" i="143"/>
  <c r="I99" i="143"/>
  <c r="I97" i="143"/>
  <c r="I90" i="143"/>
  <c r="I89" i="143"/>
  <c r="I80" i="143"/>
  <c r="I78" i="143"/>
  <c r="I77" i="143"/>
  <c r="I64" i="143"/>
  <c r="I62" i="143"/>
  <c r="I61" i="143"/>
  <c r="I57" i="143"/>
  <c r="I56" i="143"/>
  <c r="I55" i="143"/>
  <c r="I54" i="143"/>
  <c r="I51" i="143"/>
  <c r="I47" i="143"/>
  <c r="K46" i="143"/>
  <c r="I46" i="143" s="1"/>
  <c r="K45" i="143"/>
  <c r="I45" i="143" s="1"/>
  <c r="I44" i="143"/>
  <c r="I60" i="143"/>
  <c r="I42" i="143"/>
  <c r="I40" i="143"/>
  <c r="O105" i="143" l="1"/>
  <c r="I200" i="143"/>
  <c r="M121" i="143"/>
  <c r="G15" i="105" l="1"/>
  <c r="G37" i="105"/>
  <c r="G9" i="105"/>
  <c r="F32" i="105"/>
  <c r="F37" i="105"/>
  <c r="F8" i="105"/>
  <c r="F33" i="105"/>
  <c r="G12" i="105"/>
  <c r="G20" i="105"/>
  <c r="G8" i="105"/>
  <c r="F14" i="105"/>
  <c r="F9" i="105"/>
  <c r="F20" i="105"/>
  <c r="G11" i="105"/>
  <c r="G33" i="105"/>
  <c r="F41" i="105"/>
  <c r="F12" i="105"/>
  <c r="F15" i="105"/>
  <c r="F39" i="105"/>
  <c r="F21" i="105"/>
  <c r="G32" i="105"/>
  <c r="G28" i="105"/>
  <c r="G40" i="105"/>
  <c r="G21" i="105"/>
  <c r="F28" i="105"/>
  <c r="F36" i="105"/>
  <c r="F22" i="105"/>
  <c r="G22" i="105"/>
  <c r="G14" i="105"/>
  <c r="G19" i="105"/>
  <c r="G41" i="105"/>
  <c r="F40" i="105"/>
  <c r="G39" i="105"/>
  <c r="G36" i="105"/>
  <c r="F11" i="105"/>
  <c r="F17" i="105"/>
  <c r="G17" i="105"/>
  <c r="F19" i="105"/>
  <c r="F35" i="105" l="1"/>
  <c r="G35" i="105"/>
  <c r="G4" i="105"/>
  <c r="G7" i="105"/>
  <c r="F7" i="105"/>
  <c r="F4" i="105"/>
  <c r="H17" i="105"/>
  <c r="I17" i="105" s="1"/>
  <c r="F38" i="105"/>
  <c r="G38" i="105"/>
  <c r="G27" i="105"/>
  <c r="F27" i="105"/>
  <c r="L431" i="151" l="1"/>
  <c r="M377" i="151" l="1"/>
  <c r="M375" i="151" l="1"/>
  <c r="G401" i="151" l="1"/>
  <c r="K414" i="151"/>
  <c r="I401" i="151"/>
  <c r="K412" i="151"/>
  <c r="M281" i="151" l="1"/>
  <c r="M232" i="151" l="1"/>
  <c r="N206" i="151" l="1"/>
  <c r="M172" i="151" l="1"/>
  <c r="L143" i="151" l="1"/>
  <c r="L141" i="151"/>
  <c r="I128" i="151"/>
  <c r="I142" i="151"/>
  <c r="L140" i="151"/>
  <c r="L134" i="151"/>
  <c r="L130" i="151"/>
  <c r="L129" i="151"/>
  <c r="L121" i="151"/>
  <c r="L47" i="151" l="1"/>
  <c r="K45" i="151" s="1"/>
  <c r="N45" i="151" s="1"/>
  <c r="K394" i="151" l="1"/>
  <c r="K391" i="151"/>
  <c r="K254" i="151" l="1"/>
  <c r="K273" i="151"/>
  <c r="K239" i="151"/>
  <c r="K397" i="151"/>
  <c r="K327" i="151"/>
  <c r="K329" i="151"/>
  <c r="G227" i="105" l="1"/>
  <c r="F228" i="105"/>
  <c r="G228" i="105"/>
  <c r="F227" i="105"/>
  <c r="F302" i="105"/>
  <c r="G302" i="105"/>
  <c r="H302" i="105" l="1"/>
  <c r="I302" i="105" s="1"/>
  <c r="H227" i="105"/>
  <c r="I227" i="105" s="1"/>
  <c r="H228" i="105"/>
  <c r="I228" i="105" s="1"/>
  <c r="F323" i="105" l="1"/>
  <c r="G323" i="105"/>
  <c r="F266" i="105"/>
  <c r="G266" i="105"/>
  <c r="F258" i="105"/>
  <c r="G258" i="105"/>
  <c r="F274" i="105"/>
  <c r="G274" i="105"/>
  <c r="G219" i="105"/>
  <c r="F226" i="105"/>
  <c r="G226" i="105"/>
  <c r="F318" i="105"/>
  <c r="F317" i="105"/>
  <c r="F298" i="105"/>
  <c r="F297" i="105"/>
  <c r="F278" i="105"/>
  <c r="F277" i="105"/>
  <c r="F270" i="105"/>
  <c r="F269" i="105"/>
  <c r="F262" i="105"/>
  <c r="F261" i="105"/>
  <c r="F254" i="105"/>
  <c r="F253" i="105"/>
  <c r="F232" i="105"/>
  <c r="F231" i="105"/>
  <c r="F186" i="105"/>
  <c r="F184" i="105"/>
  <c r="F167" i="105"/>
  <c r="F136" i="105"/>
  <c r="F141" i="105"/>
  <c r="F306" i="105"/>
  <c r="F305" i="105"/>
  <c r="K424" i="151"/>
  <c r="K386" i="151"/>
  <c r="K369" i="151"/>
  <c r="K338" i="151"/>
  <c r="H323" i="105" l="1"/>
  <c r="I323" i="105" s="1"/>
  <c r="H274" i="105"/>
  <c r="I274" i="105" s="1"/>
  <c r="H258" i="105"/>
  <c r="I258" i="105" s="1"/>
  <c r="H266" i="105"/>
  <c r="I266" i="105" s="1"/>
  <c r="H226" i="105"/>
  <c r="I226" i="105" s="1"/>
  <c r="K185" i="151"/>
  <c r="K183" i="151"/>
  <c r="K150" i="151"/>
  <c r="I150" i="151"/>
  <c r="I148" i="151"/>
  <c r="K79" i="151"/>
  <c r="K77" i="151"/>
  <c r="G71" i="151"/>
  <c r="K2" i="151"/>
  <c r="O2" i="151" s="1"/>
  <c r="K65" i="151"/>
  <c r="K55" i="151"/>
  <c r="K39" i="151"/>
  <c r="K364" i="151" l="1"/>
  <c r="K313" i="151" l="1"/>
  <c r="K106" i="151" l="1"/>
  <c r="K104" i="151"/>
  <c r="K102" i="151"/>
  <c r="K224" i="151"/>
  <c r="K292" i="151" l="1"/>
  <c r="K306" i="151" l="1"/>
  <c r="K296" i="151" l="1"/>
  <c r="K311" i="151"/>
  <c r="K309" i="151"/>
  <c r="L193" i="151" l="1"/>
  <c r="K399" i="151" l="1"/>
  <c r="K23" i="151" l="1"/>
  <c r="K438" i="151" l="1"/>
  <c r="K436" i="151"/>
  <c r="K434" i="151"/>
  <c r="K432" i="151"/>
  <c r="K430" i="151"/>
  <c r="K428" i="151"/>
  <c r="K426" i="151"/>
  <c r="K422" i="151"/>
  <c r="K420" i="151"/>
  <c r="K418" i="151"/>
  <c r="K416" i="151"/>
  <c r="K410" i="151"/>
  <c r="K408" i="151"/>
  <c r="K401" i="151"/>
  <c r="K389" i="151"/>
  <c r="K384" i="151"/>
  <c r="K382" i="151"/>
  <c r="K380" i="151"/>
  <c r="K378" i="151"/>
  <c r="K376" i="151"/>
  <c r="K374" i="151"/>
  <c r="K372" i="151"/>
  <c r="K366" i="151"/>
  <c r="K362" i="151"/>
  <c r="K360" i="151"/>
  <c r="K358" i="151"/>
  <c r="K355" i="151"/>
  <c r="K353" i="151"/>
  <c r="L352" i="151"/>
  <c r="K351" i="151" s="1"/>
  <c r="M351" i="151" s="1"/>
  <c r="K349" i="151"/>
  <c r="K347" i="151"/>
  <c r="K345" i="151"/>
  <c r="K343" i="151"/>
  <c r="K336" i="151"/>
  <c r="K334" i="151"/>
  <c r="K331" i="151"/>
  <c r="K325" i="151"/>
  <c r="K323" i="151"/>
  <c r="K321" i="151"/>
  <c r="K319" i="151"/>
  <c r="K317" i="151"/>
  <c r="M317" i="151" s="1"/>
  <c r="K304" i="151"/>
  <c r="K302" i="151"/>
  <c r="K300" i="151"/>
  <c r="K298" i="151"/>
  <c r="K288" i="151"/>
  <c r="K286" i="151"/>
  <c r="K284" i="151"/>
  <c r="K282" i="151"/>
  <c r="K280" i="151"/>
  <c r="K275" i="151"/>
  <c r="K271" i="151"/>
  <c r="K269" i="151"/>
  <c r="K267" i="151"/>
  <c r="K265" i="151"/>
  <c r="N265" i="151" s="1"/>
  <c r="K260" i="151"/>
  <c r="K256" i="151"/>
  <c r="K252" i="151"/>
  <c r="K250" i="151"/>
  <c r="K248" i="151"/>
  <c r="K246" i="151"/>
  <c r="M246" i="151" s="1"/>
  <c r="K241" i="151"/>
  <c r="K237" i="151"/>
  <c r="K235" i="151"/>
  <c r="K233" i="151"/>
  <c r="K231" i="151"/>
  <c r="K226" i="151"/>
  <c r="K222" i="151"/>
  <c r="K220" i="151"/>
  <c r="K218" i="151"/>
  <c r="K216" i="151"/>
  <c r="K214" i="151"/>
  <c r="K212" i="151"/>
  <c r="K210" i="151"/>
  <c r="K208" i="151"/>
  <c r="K206" i="151"/>
  <c r="K204" i="151"/>
  <c r="K202" i="151"/>
  <c r="K200" i="151"/>
  <c r="K198" i="151"/>
  <c r="K196" i="151"/>
  <c r="K194" i="151"/>
  <c r="K192" i="151"/>
  <c r="L190" i="151"/>
  <c r="L191" i="151" s="1"/>
  <c r="K189" i="151" s="1"/>
  <c r="K187" i="151"/>
  <c r="K181" i="151"/>
  <c r="K179" i="151"/>
  <c r="K177" i="151"/>
  <c r="K175" i="151"/>
  <c r="K173" i="151"/>
  <c r="K171" i="151"/>
  <c r="K169" i="151"/>
  <c r="K167" i="151"/>
  <c r="K165" i="151"/>
  <c r="K163" i="151"/>
  <c r="L161" i="151"/>
  <c r="K156" i="151"/>
  <c r="K154" i="151"/>
  <c r="K152" i="151"/>
  <c r="K146" i="151"/>
  <c r="K144" i="151"/>
  <c r="L139" i="151"/>
  <c r="L138" i="151"/>
  <c r="L137" i="151"/>
  <c r="L136" i="151"/>
  <c r="L135" i="151"/>
  <c r="L133" i="151"/>
  <c r="L128" i="151"/>
  <c r="L126" i="151"/>
  <c r="L125" i="151"/>
  <c r="L124" i="151"/>
  <c r="L122" i="151"/>
  <c r="K118" i="151"/>
  <c r="K116" i="151"/>
  <c r="K114" i="151"/>
  <c r="K112" i="151"/>
  <c r="K110" i="151"/>
  <c r="K108" i="151"/>
  <c r="K100" i="151"/>
  <c r="K95" i="151"/>
  <c r="K93" i="151"/>
  <c r="K82" i="151"/>
  <c r="K75" i="151"/>
  <c r="K73" i="151"/>
  <c r="K71" i="151"/>
  <c r="K69" i="151"/>
  <c r="K67" i="151"/>
  <c r="K63" i="151"/>
  <c r="K61" i="151"/>
  <c r="K59" i="151"/>
  <c r="K57" i="151"/>
  <c r="K53" i="151"/>
  <c r="K51" i="151"/>
  <c r="K43" i="151"/>
  <c r="K37" i="151"/>
  <c r="K35" i="151"/>
  <c r="K33" i="151"/>
  <c r="K31" i="151"/>
  <c r="K29" i="151"/>
  <c r="K27" i="151"/>
  <c r="K25" i="151"/>
  <c r="K315" i="151"/>
  <c r="K41" i="151"/>
  <c r="K21" i="151"/>
  <c r="K148" i="151"/>
  <c r="K19" i="151"/>
  <c r="K17" i="151"/>
  <c r="K15" i="151"/>
  <c r="K13" i="151"/>
  <c r="K11" i="151"/>
  <c r="K9" i="151"/>
  <c r="K7" i="151"/>
  <c r="K5" i="151"/>
  <c r="K466" i="143"/>
  <c r="K35" i="143" s="1"/>
  <c r="I465" i="143"/>
  <c r="M397" i="143"/>
  <c r="M33" i="143" s="1"/>
  <c r="L397" i="143"/>
  <c r="L33" i="143" s="1"/>
  <c r="J393" i="143"/>
  <c r="I392" i="143"/>
  <c r="I391" i="143"/>
  <c r="I390" i="143"/>
  <c r="I389" i="143"/>
  <c r="I388" i="143"/>
  <c r="M204" i="143"/>
  <c r="L204" i="143"/>
  <c r="K204" i="143"/>
  <c r="M203" i="143"/>
  <c r="L203" i="143"/>
  <c r="M202" i="143"/>
  <c r="L202" i="143"/>
  <c r="M200" i="143"/>
  <c r="M30" i="143" s="1"/>
  <c r="L200" i="143"/>
  <c r="L30" i="143" s="1"/>
  <c r="K203" i="143"/>
  <c r="M125" i="143"/>
  <c r="L125" i="143"/>
  <c r="K125" i="143"/>
  <c r="M124" i="143"/>
  <c r="L124" i="143"/>
  <c r="K124" i="143"/>
  <c r="M123" i="143"/>
  <c r="L123" i="143"/>
  <c r="I125" i="143"/>
  <c r="I124" i="143"/>
  <c r="M35" i="143"/>
  <c r="L35" i="143"/>
  <c r="H353" i="105"/>
  <c r="I353" i="105" s="1"/>
  <c r="G352" i="105"/>
  <c r="F352" i="105"/>
  <c r="G351" i="105"/>
  <c r="F351" i="105"/>
  <c r="G350" i="105"/>
  <c r="F350" i="105"/>
  <c r="G349" i="105"/>
  <c r="F349" i="105"/>
  <c r="G347" i="105"/>
  <c r="F347" i="105"/>
  <c r="G346" i="105"/>
  <c r="F346" i="105"/>
  <c r="G344" i="105"/>
  <c r="F344" i="105"/>
  <c r="G343" i="105"/>
  <c r="F343" i="105"/>
  <c r="F342" i="105"/>
  <c r="G340" i="105"/>
  <c r="F340" i="105"/>
  <c r="F339" i="105"/>
  <c r="G338" i="105"/>
  <c r="F338" i="105"/>
  <c r="G337" i="105"/>
  <c r="F337" i="105"/>
  <c r="F336" i="105"/>
  <c r="G334" i="105"/>
  <c r="F334" i="105"/>
  <c r="I334" i="105" s="1"/>
  <c r="G333" i="105"/>
  <c r="F333" i="105"/>
  <c r="F332" i="105"/>
  <c r="G331" i="105"/>
  <c r="F331" i="105"/>
  <c r="G330" i="105"/>
  <c r="F330" i="105"/>
  <c r="G329" i="105"/>
  <c r="F329" i="105"/>
  <c r="F328" i="105"/>
  <c r="G326" i="105"/>
  <c r="F326" i="105"/>
  <c r="G325" i="105"/>
  <c r="F325" i="105"/>
  <c r="G324" i="105"/>
  <c r="F324" i="105"/>
  <c r="G322" i="105"/>
  <c r="F322" i="105"/>
  <c r="G321" i="105"/>
  <c r="F321" i="105"/>
  <c r="G320" i="105"/>
  <c r="F320" i="105"/>
  <c r="G319" i="105"/>
  <c r="F319" i="105"/>
  <c r="G318" i="105"/>
  <c r="G317" i="105"/>
  <c r="F316" i="105"/>
  <c r="G314" i="105"/>
  <c r="F314" i="105"/>
  <c r="G313" i="105"/>
  <c r="F313" i="105"/>
  <c r="G312" i="105"/>
  <c r="F312" i="105"/>
  <c r="G311" i="105"/>
  <c r="F311" i="105"/>
  <c r="G310" i="105"/>
  <c r="F310" i="105"/>
  <c r="G309" i="105"/>
  <c r="F309" i="105"/>
  <c r="G308" i="105"/>
  <c r="F308" i="105"/>
  <c r="G307" i="105"/>
  <c r="F307" i="105"/>
  <c r="G306" i="105"/>
  <c r="G305" i="105"/>
  <c r="F304" i="105"/>
  <c r="G301" i="105"/>
  <c r="F301" i="105"/>
  <c r="G300" i="105"/>
  <c r="F300" i="105"/>
  <c r="G299" i="105"/>
  <c r="F299" i="105"/>
  <c r="G298" i="105"/>
  <c r="G297" i="105"/>
  <c r="N296" i="105"/>
  <c r="H296" i="105"/>
  <c r="I296" i="105" s="1"/>
  <c r="G294" i="105"/>
  <c r="F294" i="105"/>
  <c r="G293" i="105"/>
  <c r="F293" i="105"/>
  <c r="G292" i="105"/>
  <c r="F292" i="105"/>
  <c r="I292" i="105" s="1"/>
  <c r="G291" i="105"/>
  <c r="F291" i="105"/>
  <c r="G290" i="105"/>
  <c r="F290" i="105"/>
  <c r="G288" i="105"/>
  <c r="F288" i="105"/>
  <c r="F287" i="105"/>
  <c r="G286" i="105"/>
  <c r="F286" i="105"/>
  <c r="G285" i="105"/>
  <c r="F285" i="105"/>
  <c r="G284" i="105"/>
  <c r="F284" i="105"/>
  <c r="F283" i="105"/>
  <c r="G281" i="105"/>
  <c r="F281" i="105"/>
  <c r="F280" i="105"/>
  <c r="G279" i="105"/>
  <c r="F279" i="105"/>
  <c r="G278" i="105"/>
  <c r="G277" i="105"/>
  <c r="F276" i="105"/>
  <c r="G273" i="105"/>
  <c r="F273" i="105"/>
  <c r="F272" i="105"/>
  <c r="G271" i="105"/>
  <c r="F271" i="105"/>
  <c r="G270" i="105"/>
  <c r="G269" i="105"/>
  <c r="F268" i="105"/>
  <c r="G265" i="105"/>
  <c r="F265" i="105"/>
  <c r="F264" i="105"/>
  <c r="G263" i="105"/>
  <c r="F263" i="105"/>
  <c r="G262" i="105"/>
  <c r="G261" i="105"/>
  <c r="F260" i="105"/>
  <c r="G257" i="105"/>
  <c r="F257" i="105"/>
  <c r="F256" i="105"/>
  <c r="G255" i="105"/>
  <c r="F255" i="105"/>
  <c r="G254" i="105"/>
  <c r="G253" i="105"/>
  <c r="F252" i="105"/>
  <c r="G250" i="105"/>
  <c r="F250" i="105"/>
  <c r="G242" i="105"/>
  <c r="F242" i="105"/>
  <c r="G241" i="105"/>
  <c r="F241" i="105"/>
  <c r="I241" i="105" s="1"/>
  <c r="G240" i="105"/>
  <c r="F240" i="105"/>
  <c r="F239" i="105"/>
  <c r="G237" i="105"/>
  <c r="F237" i="105"/>
  <c r="I237" i="105" s="1"/>
  <c r="G236" i="105"/>
  <c r="F236" i="105"/>
  <c r="F235" i="105" s="1"/>
  <c r="G234" i="105"/>
  <c r="F234" i="105"/>
  <c r="G233" i="105"/>
  <c r="F233" i="105"/>
  <c r="G232" i="105"/>
  <c r="G231" i="105"/>
  <c r="F230" i="105"/>
  <c r="G225" i="105"/>
  <c r="F225" i="105"/>
  <c r="G224" i="105"/>
  <c r="F224" i="105"/>
  <c r="G223" i="105"/>
  <c r="F223" i="105"/>
  <c r="G222" i="105"/>
  <c r="F222" i="105"/>
  <c r="F213" i="105" s="1"/>
  <c r="G221" i="105"/>
  <c r="F221" i="105"/>
  <c r="F220" i="105"/>
  <c r="H220" i="105" s="1"/>
  <c r="F219" i="105"/>
  <c r="F218" i="105"/>
  <c r="G207" i="105"/>
  <c r="F207" i="105"/>
  <c r="G206" i="105"/>
  <c r="F206" i="105"/>
  <c r="G205" i="105"/>
  <c r="F205" i="105"/>
  <c r="G203" i="105"/>
  <c r="F203" i="105"/>
  <c r="G202" i="105"/>
  <c r="F202" i="105"/>
  <c r="J202" i="105" s="1"/>
  <c r="G201" i="105"/>
  <c r="F201" i="105"/>
  <c r="G200" i="105"/>
  <c r="F200" i="105"/>
  <c r="G199" i="105"/>
  <c r="F199" i="105"/>
  <c r="G197" i="105"/>
  <c r="F197" i="105"/>
  <c r="G196" i="105"/>
  <c r="F196" i="105"/>
  <c r="J196" i="105" s="1"/>
  <c r="G195" i="105"/>
  <c r="F195" i="105"/>
  <c r="G194" i="105"/>
  <c r="F194" i="105"/>
  <c r="F193" i="105"/>
  <c r="H190" i="105"/>
  <c r="I190" i="105" s="1"/>
  <c r="G189" i="105"/>
  <c r="F189" i="105"/>
  <c r="I189" i="105" s="1"/>
  <c r="G188" i="105"/>
  <c r="F188" i="105"/>
  <c r="G187" i="105"/>
  <c r="F187" i="105"/>
  <c r="G186" i="105"/>
  <c r="F152" i="105"/>
  <c r="G185" i="105"/>
  <c r="F185" i="105"/>
  <c r="G184" i="105"/>
  <c r="F183" i="105"/>
  <c r="G181" i="105"/>
  <c r="F181" i="105"/>
  <c r="G180" i="105"/>
  <c r="F180" i="105"/>
  <c r="G179" i="105"/>
  <c r="F179" i="105"/>
  <c r="F178" i="105"/>
  <c r="G176" i="105"/>
  <c r="F176" i="105"/>
  <c r="G175" i="105"/>
  <c r="F175" i="105"/>
  <c r="G174" i="105"/>
  <c r="F174" i="105"/>
  <c r="F173" i="105"/>
  <c r="G171" i="105"/>
  <c r="F171" i="105"/>
  <c r="G170" i="105"/>
  <c r="F170" i="105"/>
  <c r="G169" i="105"/>
  <c r="F169" i="105"/>
  <c r="G168" i="105"/>
  <c r="F168" i="105"/>
  <c r="G167" i="105"/>
  <c r="F166" i="105"/>
  <c r="G164" i="105"/>
  <c r="F164" i="105"/>
  <c r="G163" i="105"/>
  <c r="F163" i="105"/>
  <c r="G162" i="105"/>
  <c r="F162" i="105"/>
  <c r="G161" i="105"/>
  <c r="F161" i="105"/>
  <c r="G160" i="105"/>
  <c r="F160" i="105"/>
  <c r="F159" i="105"/>
  <c r="H148" i="105"/>
  <c r="I148" i="105" s="1"/>
  <c r="G147" i="105"/>
  <c r="G146" i="105" s="1"/>
  <c r="F147" i="105"/>
  <c r="F146" i="105" s="1"/>
  <c r="H145" i="105"/>
  <c r="I145" i="105" s="1"/>
  <c r="H144" i="105"/>
  <c r="I144" i="105" s="1"/>
  <c r="G143" i="105"/>
  <c r="F143" i="105"/>
  <c r="G142" i="105"/>
  <c r="F142" i="105"/>
  <c r="G141" i="105"/>
  <c r="G140" i="105"/>
  <c r="F140" i="105"/>
  <c r="G138" i="105"/>
  <c r="F138" i="105"/>
  <c r="G137" i="105"/>
  <c r="F137" i="105"/>
  <c r="G136" i="105"/>
  <c r="G134" i="105"/>
  <c r="F134" i="105"/>
  <c r="G133" i="105"/>
  <c r="F133" i="105"/>
  <c r="G132" i="105"/>
  <c r="F132" i="105"/>
  <c r="F131" i="105"/>
  <c r="G129" i="105"/>
  <c r="F129" i="105"/>
  <c r="G128" i="105"/>
  <c r="F128" i="105"/>
  <c r="G127" i="105"/>
  <c r="F127" i="105"/>
  <c r="F126" i="105"/>
  <c r="G124" i="105"/>
  <c r="F124" i="105"/>
  <c r="G123" i="105"/>
  <c r="F123" i="105"/>
  <c r="G122" i="105"/>
  <c r="F122" i="105"/>
  <c r="G120" i="105"/>
  <c r="F120" i="105"/>
  <c r="G119" i="105"/>
  <c r="F119" i="105"/>
  <c r="G118" i="105"/>
  <c r="F118" i="105"/>
  <c r="F103" i="105" s="1"/>
  <c r="G117" i="105"/>
  <c r="F117" i="105"/>
  <c r="G116" i="105"/>
  <c r="F116" i="105"/>
  <c r="F115" i="105"/>
  <c r="G113" i="105"/>
  <c r="F113" i="105"/>
  <c r="G112" i="105"/>
  <c r="F112" i="105"/>
  <c r="G111" i="105"/>
  <c r="F111" i="105"/>
  <c r="F110" i="105"/>
  <c r="F108" i="105"/>
  <c r="G107" i="105"/>
  <c r="F107" i="105"/>
  <c r="G98" i="105"/>
  <c r="F98" i="105"/>
  <c r="G97" i="105"/>
  <c r="F97" i="105"/>
  <c r="G96" i="105"/>
  <c r="F96" i="105"/>
  <c r="G95" i="105"/>
  <c r="F95" i="105"/>
  <c r="F94" i="105"/>
  <c r="G92" i="105"/>
  <c r="F92" i="105"/>
  <c r="G91" i="105"/>
  <c r="F91" i="105"/>
  <c r="G90" i="105"/>
  <c r="F90" i="105"/>
  <c r="G89" i="105"/>
  <c r="F89" i="105"/>
  <c r="F88" i="105"/>
  <c r="G86" i="105"/>
  <c r="F86" i="105"/>
  <c r="G85" i="105"/>
  <c r="F85" i="105"/>
  <c r="G84" i="105"/>
  <c r="F84" i="105"/>
  <c r="F83" i="105"/>
  <c r="G81" i="105"/>
  <c r="F81" i="105"/>
  <c r="F62" i="105" s="1"/>
  <c r="F51" i="105" s="1"/>
  <c r="G80" i="105"/>
  <c r="F80" i="105"/>
  <c r="F61" i="105" s="1"/>
  <c r="F50" i="105" s="1"/>
  <c r="G79" i="105"/>
  <c r="F79" i="105"/>
  <c r="F78" i="105"/>
  <c r="F76" i="105"/>
  <c r="F75" i="105"/>
  <c r="G74" i="105"/>
  <c r="F74" i="105"/>
  <c r="G73" i="105"/>
  <c r="F73" i="105"/>
  <c r="G72" i="105"/>
  <c r="F72" i="105"/>
  <c r="F71" i="105"/>
  <c r="G69" i="105"/>
  <c r="F69" i="105"/>
  <c r="G68" i="105"/>
  <c r="F68" i="105"/>
  <c r="G67" i="105"/>
  <c r="F67" i="105"/>
  <c r="G66" i="105"/>
  <c r="F66" i="105"/>
  <c r="F65" i="105"/>
  <c r="H34" i="105"/>
  <c r="I34" i="105" s="1"/>
  <c r="H29" i="105"/>
  <c r="H23" i="105"/>
  <c r="H6" i="105"/>
  <c r="G108" i="105"/>
  <c r="G43" i="147"/>
  <c r="F43" i="147"/>
  <c r="G30" i="147"/>
  <c r="F30" i="147"/>
  <c r="G210" i="105" l="1"/>
  <c r="F210" i="105"/>
  <c r="F212" i="105"/>
  <c r="G212" i="105"/>
  <c r="F209" i="105"/>
  <c r="F244" i="105"/>
  <c r="F251" i="105"/>
  <c r="I393" i="143"/>
  <c r="F217" i="105"/>
  <c r="G102" i="105"/>
  <c r="F289" i="105"/>
  <c r="F102" i="105"/>
  <c r="F100" i="105"/>
  <c r="K202" i="143"/>
  <c r="K127" i="151"/>
  <c r="N189" i="151"/>
  <c r="H132" i="105"/>
  <c r="I132" i="105" s="1"/>
  <c r="F229" i="105"/>
  <c r="G213" i="105"/>
  <c r="H213" i="105" s="1"/>
  <c r="I213" i="105" s="1"/>
  <c r="G152" i="105"/>
  <c r="H152" i="105" s="1"/>
  <c r="I152" i="105" s="1"/>
  <c r="H86" i="105"/>
  <c r="I86" i="105" s="1"/>
  <c r="H300" i="105"/>
  <c r="I300" i="105" s="1"/>
  <c r="H234" i="105"/>
  <c r="I234" i="105" s="1"/>
  <c r="H224" i="105"/>
  <c r="I224" i="105" s="1"/>
  <c r="H191" i="105"/>
  <c r="I191" i="105" s="1"/>
  <c r="H128" i="105"/>
  <c r="I128" i="105" s="1"/>
  <c r="H171" i="105"/>
  <c r="I171" i="105" s="1"/>
  <c r="H187" i="105"/>
  <c r="I187" i="105" s="1"/>
  <c r="H74" i="105"/>
  <c r="I74" i="105" s="1"/>
  <c r="H113" i="105"/>
  <c r="I113" i="105" s="1"/>
  <c r="F106" i="105"/>
  <c r="I204" i="143"/>
  <c r="H188" i="105"/>
  <c r="I188" i="105" s="1"/>
  <c r="H329" i="105"/>
  <c r="I329" i="105" s="1"/>
  <c r="F211" i="105"/>
  <c r="F52" i="105" s="1"/>
  <c r="H202" i="105"/>
  <c r="I202" i="105" s="1"/>
  <c r="F70" i="105"/>
  <c r="H175" i="105"/>
  <c r="I175" i="105" s="1"/>
  <c r="H111" i="105"/>
  <c r="I111" i="105" s="1"/>
  <c r="F295" i="105"/>
  <c r="M29" i="143"/>
  <c r="F63" i="105"/>
  <c r="F104" i="105"/>
  <c r="H98" i="105"/>
  <c r="I98" i="105" s="1"/>
  <c r="F58" i="105"/>
  <c r="H97" i="105"/>
  <c r="I97" i="105" s="1"/>
  <c r="H325" i="105"/>
  <c r="I325" i="105" s="1"/>
  <c r="H242" i="105"/>
  <c r="I242" i="105" s="1"/>
  <c r="K120" i="151"/>
  <c r="H307" i="105"/>
  <c r="I307" i="105" s="1"/>
  <c r="K397" i="143"/>
  <c r="K33" i="143" s="1"/>
  <c r="H314" i="105"/>
  <c r="I314" i="105" s="1"/>
  <c r="G121" i="105"/>
  <c r="G105" i="105" s="1"/>
  <c r="H163" i="105"/>
  <c r="I163" i="105" s="1"/>
  <c r="H271" i="105"/>
  <c r="I271" i="105" s="1"/>
  <c r="H279" i="105"/>
  <c r="I279" i="105" s="1"/>
  <c r="I203" i="143"/>
  <c r="H169" i="105"/>
  <c r="I169" i="105" s="1"/>
  <c r="G135" i="105"/>
  <c r="H351" i="105"/>
  <c r="I351" i="105" s="1"/>
  <c r="F249" i="105"/>
  <c r="F303" i="105"/>
  <c r="F177" i="105"/>
  <c r="H322" i="105"/>
  <c r="I322" i="105" s="1"/>
  <c r="H330" i="105"/>
  <c r="I330" i="105" s="1"/>
  <c r="H352" i="105"/>
  <c r="I352" i="105" s="1"/>
  <c r="G62" i="105"/>
  <c r="G51" i="105" s="1"/>
  <c r="F77" i="105"/>
  <c r="H72" i="105"/>
  <c r="I72" i="105" s="1"/>
  <c r="G155" i="105"/>
  <c r="F204" i="105"/>
  <c r="H255" i="105"/>
  <c r="I255" i="105" s="1"/>
  <c r="H284" i="105"/>
  <c r="I284" i="105" s="1"/>
  <c r="H196" i="105"/>
  <c r="I196" i="105" s="1"/>
  <c r="H117" i="105"/>
  <c r="I117" i="105" s="1"/>
  <c r="H85" i="105"/>
  <c r="I85" i="105" s="1"/>
  <c r="H140" i="105"/>
  <c r="I140" i="105" s="1"/>
  <c r="F192" i="105"/>
  <c r="H199" i="105"/>
  <c r="I199" i="105" s="1"/>
  <c r="H263" i="105"/>
  <c r="I263" i="105" s="1"/>
  <c r="H338" i="105"/>
  <c r="I338" i="105" s="1"/>
  <c r="K158" i="151"/>
  <c r="M158" i="151" s="1"/>
  <c r="H79" i="105"/>
  <c r="I79" i="105" s="1"/>
  <c r="H73" i="105"/>
  <c r="I73" i="105" s="1"/>
  <c r="H162" i="105"/>
  <c r="I162" i="105" s="1"/>
  <c r="H206" i="105"/>
  <c r="I206" i="105" s="1"/>
  <c r="H222" i="105"/>
  <c r="I222" i="105" s="1"/>
  <c r="F238" i="105"/>
  <c r="H312" i="105"/>
  <c r="I312" i="105" s="1"/>
  <c r="I35" i="143"/>
  <c r="H129" i="105"/>
  <c r="I129" i="105" s="1"/>
  <c r="H313" i="105"/>
  <c r="I313" i="105" s="1"/>
  <c r="F114" i="105"/>
  <c r="F155" i="105"/>
  <c r="H319" i="105"/>
  <c r="I319" i="105" s="1"/>
  <c r="H326" i="105"/>
  <c r="I326" i="105" s="1"/>
  <c r="H333" i="105"/>
  <c r="I333" i="105" s="1"/>
  <c r="F125" i="105"/>
  <c r="F135" i="105"/>
  <c r="H168" i="105"/>
  <c r="I168" i="105" s="1"/>
  <c r="H253" i="105"/>
  <c r="I253" i="105" s="1"/>
  <c r="H265" i="105"/>
  <c r="I265" i="105" s="1"/>
  <c r="H308" i="105"/>
  <c r="I308" i="105" s="1"/>
  <c r="I202" i="143"/>
  <c r="H309" i="105"/>
  <c r="I309" i="105" s="1"/>
  <c r="H225" i="105"/>
  <c r="I225" i="105" s="1"/>
  <c r="I466" i="143"/>
  <c r="F158" i="105"/>
  <c r="F259" i="105"/>
  <c r="H305" i="105"/>
  <c r="I305" i="105" s="1"/>
  <c r="H310" i="105"/>
  <c r="I310" i="105" s="1"/>
  <c r="K200" i="143"/>
  <c r="K30" i="143" s="1"/>
  <c r="I30" i="143" s="1"/>
  <c r="I123" i="151"/>
  <c r="F121" i="105"/>
  <c r="F105" i="105" s="1"/>
  <c r="H290" i="105"/>
  <c r="I290" i="105" s="1"/>
  <c r="F341" i="105"/>
  <c r="H344" i="105"/>
  <c r="I344" i="105" s="1"/>
  <c r="H69" i="105"/>
  <c r="I69" i="105" s="1"/>
  <c r="F151" i="105"/>
  <c r="H167" i="105"/>
  <c r="I167" i="105" s="1"/>
  <c r="F172" i="105"/>
  <c r="H337" i="105"/>
  <c r="I337" i="105" s="1"/>
  <c r="F64" i="105"/>
  <c r="H311" i="105"/>
  <c r="I311" i="105" s="1"/>
  <c r="F327" i="105"/>
  <c r="F247" i="105"/>
  <c r="H207" i="105"/>
  <c r="I207" i="105" s="1"/>
  <c r="H324" i="105"/>
  <c r="I324" i="105" s="1"/>
  <c r="H81" i="105"/>
  <c r="H364" i="105" s="1"/>
  <c r="H84" i="105"/>
  <c r="I84" i="105" s="1"/>
  <c r="F150" i="105"/>
  <c r="H223" i="105"/>
  <c r="I223" i="105" s="1"/>
  <c r="S2" i="143"/>
  <c r="F59" i="105"/>
  <c r="H67" i="105"/>
  <c r="I67" i="105" s="1"/>
  <c r="G154" i="105"/>
  <c r="G54" i="105" s="1"/>
  <c r="H68" i="105"/>
  <c r="I68" i="105" s="1"/>
  <c r="G63" i="105"/>
  <c r="F156" i="105"/>
  <c r="H203" i="105"/>
  <c r="I203" i="105" s="1"/>
  <c r="F139" i="105"/>
  <c r="F371" i="105" s="1"/>
  <c r="H176" i="105"/>
  <c r="I176" i="105" s="1"/>
  <c r="F215" i="105"/>
  <c r="H233" i="105"/>
  <c r="I233" i="105" s="1"/>
  <c r="F248" i="105"/>
  <c r="G295" i="105"/>
  <c r="H331" i="105"/>
  <c r="I331" i="105" s="1"/>
  <c r="H291" i="105"/>
  <c r="I291" i="105" s="1"/>
  <c r="L29" i="143"/>
  <c r="K123" i="151"/>
  <c r="F60" i="105"/>
  <c r="H127" i="105"/>
  <c r="I127" i="105" s="1"/>
  <c r="H133" i="105"/>
  <c r="I133" i="105" s="1"/>
  <c r="F214" i="105"/>
  <c r="F182" i="105"/>
  <c r="H195" i="105"/>
  <c r="I195" i="105" s="1"/>
  <c r="F198" i="105"/>
  <c r="F246" i="105"/>
  <c r="F48" i="105" s="1"/>
  <c r="H299" i="105"/>
  <c r="I299" i="105" s="1"/>
  <c r="H346" i="105"/>
  <c r="I346" i="105" s="1"/>
  <c r="G139" i="105"/>
  <c r="M393" i="143"/>
  <c r="M31" i="143" s="1"/>
  <c r="F93" i="105"/>
  <c r="H142" i="105"/>
  <c r="I142" i="105" s="1"/>
  <c r="H185" i="105"/>
  <c r="I185" i="105" s="1"/>
  <c r="H240" i="105"/>
  <c r="I240" i="105" s="1"/>
  <c r="F267" i="105"/>
  <c r="H286" i="105"/>
  <c r="I286" i="105" s="1"/>
  <c r="H306" i="105"/>
  <c r="I306" i="105" s="1"/>
  <c r="H320" i="105"/>
  <c r="I320" i="105" s="1"/>
  <c r="H347" i="105"/>
  <c r="I347" i="105" s="1"/>
  <c r="H340" i="105"/>
  <c r="I340" i="105" s="1"/>
  <c r="F348" i="105"/>
  <c r="H273" i="105"/>
  <c r="I273" i="105" s="1"/>
  <c r="F315" i="105"/>
  <c r="H321" i="105"/>
  <c r="I321" i="105" s="1"/>
  <c r="G348" i="105"/>
  <c r="H95" i="105"/>
  <c r="I95" i="105" s="1"/>
  <c r="H143" i="105"/>
  <c r="I143" i="105" s="1"/>
  <c r="H179" i="105"/>
  <c r="I179" i="105" s="1"/>
  <c r="F157" i="105"/>
  <c r="I157" i="105" s="1"/>
  <c r="H231" i="105"/>
  <c r="I231" i="105" s="1"/>
  <c r="F275" i="105"/>
  <c r="H281" i="105"/>
  <c r="I281" i="105" s="1"/>
  <c r="H301" i="105"/>
  <c r="I301" i="105" s="1"/>
  <c r="F335" i="105"/>
  <c r="H96" i="105"/>
  <c r="I96" i="105" s="1"/>
  <c r="H137" i="105"/>
  <c r="I137" i="105" s="1"/>
  <c r="F153" i="105"/>
  <c r="F165" i="105"/>
  <c r="G215" i="105"/>
  <c r="H269" i="105"/>
  <c r="I269" i="105" s="1"/>
  <c r="F282" i="105"/>
  <c r="H288" i="105"/>
  <c r="I288" i="105" s="1"/>
  <c r="H146" i="105"/>
  <c r="I146" i="105" s="1"/>
  <c r="H164" i="105"/>
  <c r="I164" i="105" s="1"/>
  <c r="F130" i="105"/>
  <c r="G249" i="105"/>
  <c r="H257" i="105"/>
  <c r="I257" i="105" s="1"/>
  <c r="F154" i="105"/>
  <c r="H134" i="105"/>
  <c r="I134" i="105" s="1"/>
  <c r="H147" i="105"/>
  <c r="I147" i="105" s="1"/>
  <c r="H184" i="105"/>
  <c r="I184" i="105" s="1"/>
  <c r="G103" i="105"/>
  <c r="H118" i="105"/>
  <c r="I118" i="105" s="1"/>
  <c r="F109" i="105"/>
  <c r="H119" i="105"/>
  <c r="I119" i="105" s="1"/>
  <c r="G104" i="105"/>
  <c r="F87" i="105"/>
  <c r="H108" i="105"/>
  <c r="H92" i="105"/>
  <c r="I92" i="105" s="1"/>
  <c r="G59" i="105"/>
  <c r="H66" i="105"/>
  <c r="I66" i="105" s="1"/>
  <c r="H112" i="105"/>
  <c r="I112" i="105" s="1"/>
  <c r="G153" i="105"/>
  <c r="H180" i="105"/>
  <c r="I180" i="105" s="1"/>
  <c r="H200" i="105"/>
  <c r="I200" i="105" s="1"/>
  <c r="H170" i="105"/>
  <c r="I170" i="105" s="1"/>
  <c r="G60" i="105"/>
  <c r="H76" i="105"/>
  <c r="I76" i="105" s="1"/>
  <c r="F82" i="105"/>
  <c r="H90" i="105"/>
  <c r="I90" i="105" s="1"/>
  <c r="H136" i="105"/>
  <c r="I136" i="105" s="1"/>
  <c r="H197" i="105"/>
  <c r="I197" i="105" s="1"/>
  <c r="H201" i="105"/>
  <c r="I201" i="105" s="1"/>
  <c r="G204" i="105"/>
  <c r="H236" i="105"/>
  <c r="I236" i="105" s="1"/>
  <c r="G235" i="105"/>
  <c r="G156" i="105"/>
  <c r="H174" i="105"/>
  <c r="I174" i="105" s="1"/>
  <c r="G157" i="105"/>
  <c r="H205" i="105"/>
  <c r="I205" i="105" s="1"/>
  <c r="H120" i="105"/>
  <c r="I120" i="105" s="1"/>
  <c r="H181" i="105"/>
  <c r="I181" i="105" s="1"/>
  <c r="H219" i="105"/>
  <c r="I219" i="105" s="1"/>
  <c r="G246" i="105"/>
  <c r="H254" i="105"/>
  <c r="I254" i="105" s="1"/>
  <c r="G61" i="105"/>
  <c r="H80" i="105"/>
  <c r="H91" i="105"/>
  <c r="I91" i="105" s="1"/>
  <c r="H141" i="105"/>
  <c r="I141" i="105" s="1"/>
  <c r="H194" i="105"/>
  <c r="I194" i="105" s="1"/>
  <c r="G198" i="105"/>
  <c r="H89" i="105"/>
  <c r="I89" i="105" s="1"/>
  <c r="H116" i="105"/>
  <c r="I116" i="105" s="1"/>
  <c r="H160" i="105"/>
  <c r="I160" i="105" s="1"/>
  <c r="G151" i="105"/>
  <c r="G211" i="105"/>
  <c r="H221" i="105"/>
  <c r="I221" i="105" s="1"/>
  <c r="G247" i="105"/>
  <c r="H107" i="105"/>
  <c r="I107" i="105" s="1"/>
  <c r="H161" i="105"/>
  <c r="I161" i="105" s="1"/>
  <c r="H186" i="105"/>
  <c r="I186" i="105" s="1"/>
  <c r="G214" i="105"/>
  <c r="H250" i="105"/>
  <c r="I250" i="105" s="1"/>
  <c r="H262" i="105"/>
  <c r="I262" i="105" s="1"/>
  <c r="H317" i="105"/>
  <c r="I317" i="105" s="1"/>
  <c r="H297" i="105"/>
  <c r="I297" i="105" s="1"/>
  <c r="I220" i="105"/>
  <c r="F245" i="105"/>
  <c r="H294" i="105"/>
  <c r="I294" i="105" s="1"/>
  <c r="H232" i="105"/>
  <c r="I232" i="105" s="1"/>
  <c r="G245" i="105"/>
  <c r="H285" i="105"/>
  <c r="I285" i="105" s="1"/>
  <c r="H349" i="105"/>
  <c r="I349" i="105" s="1"/>
  <c r="H270" i="105"/>
  <c r="I270" i="105" s="1"/>
  <c r="H277" i="105"/>
  <c r="I277" i="105" s="1"/>
  <c r="H318" i="105"/>
  <c r="I318" i="105" s="1"/>
  <c r="G289" i="105"/>
  <c r="H298" i="105"/>
  <c r="I298" i="105" s="1"/>
  <c r="H343" i="105"/>
  <c r="I343" i="105" s="1"/>
  <c r="G106" i="105"/>
  <c r="H261" i="105"/>
  <c r="I261" i="105" s="1"/>
  <c r="H350" i="105"/>
  <c r="I350" i="105" s="1"/>
  <c r="H278" i="105"/>
  <c r="I278" i="105" s="1"/>
  <c r="H293" i="105"/>
  <c r="I293" i="105" s="1"/>
  <c r="M396" i="143"/>
  <c r="M32" i="143" s="1"/>
  <c r="I397" i="143"/>
  <c r="I33" i="143" s="1"/>
  <c r="F31" i="105"/>
  <c r="H19" i="105"/>
  <c r="I19" i="105" s="1"/>
  <c r="H22" i="105"/>
  <c r="I22" i="105" s="1"/>
  <c r="H5" i="105"/>
  <c r="I5" i="105" s="1"/>
  <c r="H40" i="105"/>
  <c r="I40" i="105" s="1"/>
  <c r="H33" i="105"/>
  <c r="I33" i="105" s="1"/>
  <c r="F16" i="105"/>
  <c r="H28" i="105"/>
  <c r="I28" i="105" s="1"/>
  <c r="H27" i="105"/>
  <c r="I27" i="105" s="1"/>
  <c r="H8" i="105"/>
  <c r="I8" i="105" s="1"/>
  <c r="G10" i="105"/>
  <c r="H11" i="105"/>
  <c r="I11" i="105" s="1"/>
  <c r="G13" i="105"/>
  <c r="H14" i="105"/>
  <c r="I14" i="105" s="1"/>
  <c r="H9" i="105"/>
  <c r="I9" i="105" s="1"/>
  <c r="H12" i="105"/>
  <c r="I12" i="105" s="1"/>
  <c r="H15" i="105"/>
  <c r="I15" i="105" s="1"/>
  <c r="H20" i="105"/>
  <c r="I20" i="105" s="1"/>
  <c r="H36" i="105"/>
  <c r="I36" i="105" s="1"/>
  <c r="H41" i="105"/>
  <c r="I41" i="105" s="1"/>
  <c r="H21" i="105"/>
  <c r="I21" i="105" s="1"/>
  <c r="H37" i="105"/>
  <c r="I37" i="105" s="1"/>
  <c r="H39" i="105"/>
  <c r="I39" i="105" s="1"/>
  <c r="F10" i="105"/>
  <c r="F13" i="105"/>
  <c r="G16" i="105"/>
  <c r="G31" i="105"/>
  <c r="H32" i="105"/>
  <c r="I32" i="105" s="1"/>
  <c r="G272" i="105" l="1"/>
  <c r="H272" i="105" s="1"/>
  <c r="I272" i="105" s="1"/>
  <c r="G332" i="105"/>
  <c r="H332" i="105" s="1"/>
  <c r="I332" i="105" s="1"/>
  <c r="G287" i="105"/>
  <c r="H287" i="105" s="1"/>
  <c r="I287" i="105" s="1"/>
  <c r="G280" i="105"/>
  <c r="H280" i="105" s="1"/>
  <c r="I280" i="105" s="1"/>
  <c r="G256" i="105"/>
  <c r="F208" i="105"/>
  <c r="S6" i="143"/>
  <c r="F99" i="105"/>
  <c r="G101" i="105"/>
  <c r="F30" i="105"/>
  <c r="F42" i="105" s="1"/>
  <c r="G30" i="105"/>
  <c r="G42" i="105" s="1"/>
  <c r="L3" i="143" s="1"/>
  <c r="H215" i="105"/>
  <c r="I215" i="105" s="1"/>
  <c r="M398" i="143"/>
  <c r="K396" i="143"/>
  <c r="K32" i="143" s="1"/>
  <c r="M34" i="143"/>
  <c r="H106" i="105"/>
  <c r="I106" i="105" s="1"/>
  <c r="H210" i="105"/>
  <c r="I210" i="105" s="1"/>
  <c r="H295" i="105"/>
  <c r="I295" i="105" s="1"/>
  <c r="H155" i="105"/>
  <c r="I155" i="105" s="1"/>
  <c r="H121" i="105"/>
  <c r="I121" i="105" s="1"/>
  <c r="H62" i="105"/>
  <c r="I62" i="105" s="1"/>
  <c r="H51" i="105"/>
  <c r="I51" i="105" s="1"/>
  <c r="H156" i="105"/>
  <c r="I156" i="105" s="1"/>
  <c r="H102" i="105"/>
  <c r="I102" i="105" s="1"/>
  <c r="H216" i="105"/>
  <c r="I216" i="105" s="1"/>
  <c r="H153" i="105"/>
  <c r="I153" i="105" s="1"/>
  <c r="H104" i="105"/>
  <c r="I104" i="105" s="1"/>
  <c r="H249" i="105"/>
  <c r="I249" i="105" s="1"/>
  <c r="F49" i="105"/>
  <c r="H151" i="105"/>
  <c r="I151" i="105" s="1"/>
  <c r="I81" i="105"/>
  <c r="H245" i="105"/>
  <c r="I245" i="105" s="1"/>
  <c r="F101" i="105"/>
  <c r="F47" i="105" s="1"/>
  <c r="F55" i="105"/>
  <c r="H135" i="105"/>
  <c r="I135" i="105" s="1"/>
  <c r="L440" i="151"/>
  <c r="H289" i="105"/>
  <c r="H365" i="105" s="1"/>
  <c r="G371" i="105"/>
  <c r="F53" i="105"/>
  <c r="H63" i="105"/>
  <c r="I63" i="105" s="1"/>
  <c r="F57" i="105"/>
  <c r="L355" i="105"/>
  <c r="H247" i="105"/>
  <c r="I247" i="105" s="1"/>
  <c r="F46" i="105"/>
  <c r="F56" i="105"/>
  <c r="F243" i="105"/>
  <c r="L14" i="143"/>
  <c r="G358" i="105"/>
  <c r="H139" i="105"/>
  <c r="I139" i="105" s="1"/>
  <c r="F149" i="105"/>
  <c r="H214" i="105"/>
  <c r="I214" i="105" s="1"/>
  <c r="K440" i="151"/>
  <c r="H348" i="105"/>
  <c r="I348" i="105" s="1"/>
  <c r="H212" i="105"/>
  <c r="I212" i="105" s="1"/>
  <c r="H61" i="105"/>
  <c r="I61" i="105" s="1"/>
  <c r="G50" i="105"/>
  <c r="H10" i="105"/>
  <c r="I10" i="105" s="1"/>
  <c r="K393" i="143"/>
  <c r="H60" i="105"/>
  <c r="I60" i="105" s="1"/>
  <c r="G49" i="105"/>
  <c r="H246" i="105"/>
  <c r="I246" i="105" s="1"/>
  <c r="G48" i="105"/>
  <c r="H48" i="105" s="1"/>
  <c r="I48" i="105" s="1"/>
  <c r="H105" i="105"/>
  <c r="I105" i="105" s="1"/>
  <c r="G56" i="105"/>
  <c r="H235" i="105"/>
  <c r="I235" i="105" s="1"/>
  <c r="H363" i="105"/>
  <c r="I108" i="105"/>
  <c r="F54" i="105"/>
  <c r="H54" i="105" s="1"/>
  <c r="I54" i="105" s="1"/>
  <c r="H154" i="105"/>
  <c r="I154" i="105" s="1"/>
  <c r="H362" i="105"/>
  <c r="I80" i="105"/>
  <c r="H103" i="105"/>
  <c r="I103" i="105" s="1"/>
  <c r="H204" i="105"/>
  <c r="I204" i="105" s="1"/>
  <c r="H16" i="105"/>
  <c r="I16" i="105" s="1"/>
  <c r="H198" i="105"/>
  <c r="I198" i="105" s="1"/>
  <c r="H59" i="105"/>
  <c r="I59" i="105" s="1"/>
  <c r="G55" i="105"/>
  <c r="G52" i="105"/>
  <c r="H211" i="105"/>
  <c r="I211" i="105" s="1"/>
  <c r="H13" i="105"/>
  <c r="I13" i="105" s="1"/>
  <c r="H38" i="105"/>
  <c r="I38" i="105" s="1"/>
  <c r="H31" i="105"/>
  <c r="I31" i="105" s="1"/>
  <c r="H7" i="105"/>
  <c r="I7" i="105" s="1"/>
  <c r="H4" i="105"/>
  <c r="I4" i="105" s="1"/>
  <c r="G3" i="105"/>
  <c r="F3" i="105"/>
  <c r="H35" i="105"/>
  <c r="I35" i="105" s="1"/>
  <c r="G339" i="105" l="1"/>
  <c r="H339" i="105" s="1"/>
  <c r="I339" i="105" s="1"/>
  <c r="G264" i="105"/>
  <c r="H264" i="105" s="1"/>
  <c r="I264" i="105" s="1"/>
  <c r="H256" i="105"/>
  <c r="I256" i="105" s="1"/>
  <c r="G75" i="105"/>
  <c r="G71" i="105"/>
  <c r="G1" i="105"/>
  <c r="K31" i="143"/>
  <c r="L23" i="143" s="1"/>
  <c r="K398" i="143"/>
  <c r="L18" i="143"/>
  <c r="H49" i="105"/>
  <c r="I49" i="105" s="1"/>
  <c r="H56" i="105"/>
  <c r="I56" i="105" s="1"/>
  <c r="H101" i="105"/>
  <c r="I101" i="105" s="1"/>
  <c r="I289" i="105"/>
  <c r="H55" i="105"/>
  <c r="I55" i="105" s="1"/>
  <c r="H50" i="105"/>
  <c r="I50" i="105" s="1"/>
  <c r="H52" i="105"/>
  <c r="I52" i="105" s="1"/>
  <c r="G47" i="105"/>
  <c r="F354" i="105"/>
  <c r="K4" i="143" s="1"/>
  <c r="H30" i="105"/>
  <c r="I30" i="105" s="1"/>
  <c r="K3" i="143"/>
  <c r="H3" i="105"/>
  <c r="I3" i="105" s="1"/>
  <c r="G78" i="105" l="1"/>
  <c r="H75" i="105"/>
  <c r="I75" i="105" s="1"/>
  <c r="G239" i="105"/>
  <c r="H71" i="105"/>
  <c r="I71" i="105" s="1"/>
  <c r="G70" i="105"/>
  <c r="G248" i="105"/>
  <c r="F355" i="105"/>
  <c r="F357" i="105" s="1"/>
  <c r="K5" i="143"/>
  <c r="H47" i="105"/>
  <c r="I47" i="105" s="1"/>
  <c r="H42" i="105"/>
  <c r="I42" i="105" s="1"/>
  <c r="H78" i="105" l="1"/>
  <c r="I78" i="105" s="1"/>
  <c r="G77" i="105"/>
  <c r="G183" i="105"/>
  <c r="H248" i="105"/>
  <c r="I248" i="105" s="1"/>
  <c r="G53" i="105"/>
  <c r="H53" i="105" s="1"/>
  <c r="I53" i="105" s="1"/>
  <c r="H70" i="105"/>
  <c r="I70" i="105" s="1"/>
  <c r="G193" i="105"/>
  <c r="G131" i="105"/>
  <c r="H239" i="105"/>
  <c r="I239" i="105" s="1"/>
  <c r="G238" i="105"/>
  <c r="G218" i="105"/>
  <c r="G83" i="105"/>
  <c r="G178" i="105"/>
  <c r="O3" i="143"/>
  <c r="M3" i="143"/>
  <c r="G342" i="105" l="1"/>
  <c r="H342" i="105" s="1"/>
  <c r="I342" i="105" s="1"/>
  <c r="G276" i="105"/>
  <c r="H276" i="105" s="1"/>
  <c r="I276" i="105" s="1"/>
  <c r="G260" i="105"/>
  <c r="G259" i="105" s="1"/>
  <c r="G182" i="105"/>
  <c r="H183" i="105"/>
  <c r="I183" i="105" s="1"/>
  <c r="G328" i="105"/>
  <c r="G110" i="105"/>
  <c r="G159" i="105"/>
  <c r="G192" i="105"/>
  <c r="H193" i="105"/>
  <c r="I193" i="105" s="1"/>
  <c r="G173" i="105"/>
  <c r="G115" i="105"/>
  <c r="G230" i="105"/>
  <c r="G209" i="105" s="1"/>
  <c r="H209" i="105" s="1"/>
  <c r="I209" i="105" s="1"/>
  <c r="H77" i="105"/>
  <c r="I77" i="105" s="1"/>
  <c r="H218" i="105"/>
  <c r="I218" i="105" s="1"/>
  <c r="G217" i="105"/>
  <c r="G283" i="105"/>
  <c r="G304" i="105"/>
  <c r="G268" i="105"/>
  <c r="G126" i="105"/>
  <c r="G252" i="105"/>
  <c r="H238" i="105"/>
  <c r="I238" i="105" s="1"/>
  <c r="G177" i="105"/>
  <c r="H178" i="105"/>
  <c r="I178" i="105" s="1"/>
  <c r="G88" i="105"/>
  <c r="G82" i="105"/>
  <c r="H83" i="105"/>
  <c r="I83" i="105" s="1"/>
  <c r="H131" i="105"/>
  <c r="I131" i="105" s="1"/>
  <c r="G130" i="105"/>
  <c r="G341" i="105" l="1"/>
  <c r="H341" i="105" s="1"/>
  <c r="I341" i="105" s="1"/>
  <c r="H260" i="105"/>
  <c r="I260" i="105" s="1"/>
  <c r="G275" i="105"/>
  <c r="H275" i="105" s="1"/>
  <c r="I275" i="105" s="1"/>
  <c r="H126" i="105"/>
  <c r="I126" i="105" s="1"/>
  <c r="G125" i="105"/>
  <c r="H115" i="105"/>
  <c r="I115" i="105" s="1"/>
  <c r="G114" i="105"/>
  <c r="G100" i="105"/>
  <c r="H100" i="105" s="1"/>
  <c r="I100" i="105" s="1"/>
  <c r="H110" i="105"/>
  <c r="I110" i="105" s="1"/>
  <c r="G109" i="105"/>
  <c r="G267" i="105"/>
  <c r="H268" i="105"/>
  <c r="I268" i="105" s="1"/>
  <c r="G327" i="105"/>
  <c r="H328" i="105"/>
  <c r="I328" i="105" s="1"/>
  <c r="G158" i="105"/>
  <c r="H159" i="105"/>
  <c r="I159" i="105" s="1"/>
  <c r="H217" i="105"/>
  <c r="I217" i="105" s="1"/>
  <c r="H130" i="105"/>
  <c r="I130" i="105" s="1"/>
  <c r="G65" i="105"/>
  <c r="H177" i="105"/>
  <c r="I177" i="105" s="1"/>
  <c r="H82" i="105"/>
  <c r="I82" i="105" s="1"/>
  <c r="G87" i="105"/>
  <c r="H88" i="105"/>
  <c r="I88" i="105" s="1"/>
  <c r="H259" i="105"/>
  <c r="I259" i="105" s="1"/>
  <c r="G172" i="105"/>
  <c r="H173" i="105"/>
  <c r="I173" i="105" s="1"/>
  <c r="G229" i="105"/>
  <c r="H230" i="105"/>
  <c r="I230" i="105" s="1"/>
  <c r="G303" i="105"/>
  <c r="H304" i="105"/>
  <c r="I304" i="105" s="1"/>
  <c r="H192" i="105"/>
  <c r="I192" i="105" s="1"/>
  <c r="H283" i="105"/>
  <c r="I283" i="105" s="1"/>
  <c r="G282" i="105"/>
  <c r="H252" i="105"/>
  <c r="I252" i="105" s="1"/>
  <c r="G251" i="105"/>
  <c r="H182" i="105"/>
  <c r="I182" i="105" s="1"/>
  <c r="K441" i="151"/>
  <c r="K442" i="151" s="1"/>
  <c r="K444" i="151" s="1"/>
  <c r="H303" i="105" l="1"/>
  <c r="I303" i="105" s="1"/>
  <c r="H327" i="105"/>
  <c r="I327" i="105" s="1"/>
  <c r="G64" i="105"/>
  <c r="G58" i="105"/>
  <c r="H65" i="105"/>
  <c r="I65" i="105" s="1"/>
  <c r="H267" i="105"/>
  <c r="I267" i="105" s="1"/>
  <c r="H229" i="105"/>
  <c r="I229" i="105" s="1"/>
  <c r="H282" i="105"/>
  <c r="I282" i="105" s="1"/>
  <c r="H109" i="105"/>
  <c r="I109" i="105" s="1"/>
  <c r="G99" i="105"/>
  <c r="H172" i="105"/>
  <c r="I172" i="105" s="1"/>
  <c r="H114" i="105"/>
  <c r="I114" i="105" s="1"/>
  <c r="G208" i="105"/>
  <c r="H87" i="105"/>
  <c r="I87" i="105" s="1"/>
  <c r="H125" i="105"/>
  <c r="I125" i="105" s="1"/>
  <c r="H251" i="105"/>
  <c r="I251" i="105" s="1"/>
  <c r="H158" i="105"/>
  <c r="I158" i="105" s="1"/>
  <c r="G336" i="105" l="1"/>
  <c r="H58" i="105"/>
  <c r="I58" i="105" s="1"/>
  <c r="H208" i="105"/>
  <c r="I208" i="105" s="1"/>
  <c r="G57" i="105"/>
  <c r="H64" i="105"/>
  <c r="I64" i="105" s="1"/>
  <c r="H99" i="105"/>
  <c r="I99" i="105" s="1"/>
  <c r="M336" i="105" l="1"/>
  <c r="H336" i="105"/>
  <c r="I336" i="105" s="1"/>
  <c r="G335" i="105"/>
  <c r="H57" i="105"/>
  <c r="I57" i="105" s="1"/>
  <c r="L393" i="143"/>
  <c r="L396" i="143"/>
  <c r="L32" i="143" s="1"/>
  <c r="I396" i="143"/>
  <c r="H335" i="105" l="1"/>
  <c r="I335" i="105" s="1"/>
  <c r="I32" i="143"/>
  <c r="I398" i="143"/>
  <c r="L398" i="143"/>
  <c r="L31" i="143"/>
  <c r="L34" i="143" l="1"/>
  <c r="I31" i="143"/>
  <c r="G166" i="105" l="1"/>
  <c r="G94" i="105"/>
  <c r="G316" i="105"/>
  <c r="K121" i="143"/>
  <c r="K29" i="143" s="1"/>
  <c r="K123" i="143"/>
  <c r="I58" i="143"/>
  <c r="I123" i="143" s="1"/>
  <c r="H316" i="105" l="1"/>
  <c r="I316" i="105" s="1"/>
  <c r="G315" i="105"/>
  <c r="G244" i="105"/>
  <c r="H244" i="105" s="1"/>
  <c r="I244" i="105" s="1"/>
  <c r="G93" i="105"/>
  <c r="H94" i="105"/>
  <c r="I94" i="105" s="1"/>
  <c r="G165" i="105"/>
  <c r="H166" i="105"/>
  <c r="I166" i="105" s="1"/>
  <c r="G150" i="105"/>
  <c r="H150" i="105" s="1"/>
  <c r="I150" i="105" s="1"/>
  <c r="K34" i="143"/>
  <c r="I29" i="143"/>
  <c r="I34" i="143" s="1"/>
  <c r="L13" i="143"/>
  <c r="I121" i="143"/>
  <c r="G46" i="105" l="1"/>
  <c r="H93" i="105"/>
  <c r="I93" i="105" s="1"/>
  <c r="H165" i="105"/>
  <c r="I165" i="105" s="1"/>
  <c r="G149" i="105"/>
  <c r="H315" i="105"/>
  <c r="I315" i="105" s="1"/>
  <c r="G243" i="105"/>
  <c r="H46" i="105" l="1"/>
  <c r="H366" i="105" s="1"/>
  <c r="H149" i="105"/>
  <c r="I149" i="105" s="1"/>
  <c r="G354" i="105"/>
  <c r="H243" i="105"/>
  <c r="I243" i="105" s="1"/>
  <c r="I46" i="105" l="1"/>
  <c r="H372" i="105"/>
  <c r="H374" i="105" s="1"/>
  <c r="H367" i="105"/>
  <c r="G355" i="105"/>
  <c r="L4" i="143"/>
  <c r="H354" i="105"/>
  <c r="I354" i="105" l="1"/>
  <c r="H368" i="105"/>
  <c r="M15" i="143"/>
  <c r="L5" i="143"/>
  <c r="O4" i="143"/>
  <c r="M4" i="143"/>
  <c r="M5" i="143" s="1"/>
  <c r="H355" i="105"/>
  <c r="I355" i="105" s="1"/>
  <c r="G357" i="105"/>
  <c r="L8" i="143" l="1"/>
  <c r="L11" i="143" s="1"/>
  <c r="L15" i="143" s="1"/>
  <c r="O5" i="143"/>
  <c r="G359" i="105"/>
  <c r="H357" i="105"/>
  <c r="I357" i="105" s="1"/>
  <c r="L25" i="143" l="1"/>
  <c r="L19"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G220" authorId="0" shapeId="0" xr:uid="{FB9CFD6C-013A-4210-B1B5-83521BD76248}">
      <text>
        <r>
          <rPr>
            <b/>
            <sz val="9"/>
            <color indexed="81"/>
            <rFont val="Tahoma"/>
            <family val="2"/>
            <charset val="186"/>
          </rPr>
          <t>Sarmīte Mūze:</t>
        </r>
        <r>
          <rPr>
            <sz val="9"/>
            <color indexed="81"/>
            <rFont val="Tahoma"/>
            <family val="2"/>
            <charset val="186"/>
          </rPr>
          <t xml:space="preserve">
Atņemtas summas, kas ienāks kā dotācijas
Pēc soc dienesta info MD 68'170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tc={4EE0DB69-E204-46A7-BF1C-7561E5F3EAEF}</author>
  </authors>
  <commentList>
    <comment ref="M3740" authorId="0" shapeId="0" xr:uid="{4EE0DB69-E204-46A7-BF1C-7561E5F3EAEF}">
      <text>
        <t>[Komentārs ar pavedienu]
Jūsu Excel versija ļauj lasīt šo komentāru ar pavedienu, tomēr visi tā labojumi tiks noņemti, ja fails tiks atvērts jaunākā Excel versijā. Papildinformācija: https://go.microsoft.com/fwlink/?linkid=870924
Komentārs:
    Vai pareizs EKK?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L94" authorId="0" shapeId="0" xr:uid="{7E18FDC1-1D23-4CD8-9DA8-8183582A00BA}">
      <text>
        <r>
          <rPr>
            <b/>
            <sz val="9"/>
            <color indexed="81"/>
            <rFont val="Tahoma"/>
            <family val="2"/>
            <charset val="186"/>
          </rPr>
          <t>Sarmīte Mūze:</t>
        </r>
        <r>
          <rPr>
            <sz val="9"/>
            <color indexed="81"/>
            <rFont val="Tahoma"/>
            <family val="2"/>
            <charset val="186"/>
          </rPr>
          <t xml:space="preserve">
Atņemts KA</t>
        </r>
      </text>
    </comment>
    <comment ref="L96" authorId="0" shapeId="0" xr:uid="{72182ABA-FE03-4F56-8DF8-74C7D5C6CB96}">
      <text>
        <r>
          <rPr>
            <b/>
            <sz val="9"/>
            <color indexed="81"/>
            <rFont val="Tahoma"/>
            <family val="2"/>
            <charset val="186"/>
          </rPr>
          <t>Sarmīte Mūze:</t>
        </r>
        <r>
          <rPr>
            <sz val="9"/>
            <color indexed="81"/>
            <rFont val="Tahoma"/>
            <family val="2"/>
            <charset val="186"/>
          </rPr>
          <t xml:space="preserve">
Atņemts KA</t>
        </r>
      </text>
    </comment>
    <comment ref="L98" authorId="0" shapeId="0" xr:uid="{C4DD8496-2D36-4F9F-9C21-76337B93EE82}">
      <text>
        <r>
          <rPr>
            <b/>
            <sz val="9"/>
            <color indexed="81"/>
            <rFont val="Tahoma"/>
            <family val="2"/>
            <charset val="186"/>
          </rPr>
          <t>Sarmīte Mūze:</t>
        </r>
        <r>
          <rPr>
            <sz val="9"/>
            <color indexed="81"/>
            <rFont val="Tahoma"/>
            <family val="2"/>
            <charset val="186"/>
          </rPr>
          <t xml:space="preserve">
Atņemts KA</t>
        </r>
      </text>
    </comment>
    <comment ref="L103" authorId="0" shapeId="0" xr:uid="{603F5C6C-D81B-40E6-8F33-3AE7289972E5}">
      <text>
        <r>
          <rPr>
            <b/>
            <sz val="9"/>
            <color indexed="81"/>
            <rFont val="Tahoma"/>
            <family val="2"/>
            <charset val="186"/>
          </rPr>
          <t>Sarmīte Mūze:</t>
        </r>
        <r>
          <rPr>
            <sz val="9"/>
            <color indexed="81"/>
            <rFont val="Tahoma"/>
            <family val="2"/>
            <charset val="186"/>
          </rPr>
          <t xml:space="preserve">
Atņemts KA</t>
        </r>
      </text>
    </comment>
    <comment ref="L115" authorId="0" shapeId="0" xr:uid="{60F56EEF-5267-41B7-BA30-D9D60F210009}">
      <text>
        <r>
          <rPr>
            <b/>
            <sz val="9"/>
            <color indexed="81"/>
            <rFont val="Tahoma"/>
            <family val="2"/>
            <charset val="186"/>
          </rPr>
          <t>Sarmīte Mūze:</t>
        </r>
        <r>
          <rPr>
            <sz val="9"/>
            <color indexed="81"/>
            <rFont val="Tahoma"/>
            <family val="2"/>
            <charset val="186"/>
          </rPr>
          <t xml:space="preserve">
Atņemts KA</t>
        </r>
      </text>
    </comment>
    <comment ref="L225" authorId="0" shapeId="0" xr:uid="{CF17BC09-9BA6-4F12-9A12-17E8AE307CF6}">
      <text>
        <r>
          <rPr>
            <b/>
            <sz val="9"/>
            <color indexed="81"/>
            <rFont val="Tahoma"/>
            <family val="2"/>
            <charset val="186"/>
          </rPr>
          <t>Sarmīte Mūze:</t>
        </r>
        <r>
          <rPr>
            <sz val="9"/>
            <color indexed="81"/>
            <rFont val="Tahoma"/>
            <family val="2"/>
            <charset val="186"/>
          </rPr>
          <t xml:space="preserve">
Atņemts KA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L54" authorId="0" shapeId="0" xr:uid="{68781D76-5038-4F55-8592-E2FDBB983FD0}">
      <text>
        <r>
          <rPr>
            <b/>
            <sz val="9"/>
            <color indexed="81"/>
            <rFont val="Tahoma"/>
            <family val="2"/>
            <charset val="186"/>
          </rPr>
          <t>Sarmīte Mūze:</t>
        </r>
        <r>
          <rPr>
            <sz val="9"/>
            <color indexed="81"/>
            <rFont val="Tahoma"/>
            <family val="2"/>
            <charset val="186"/>
          </rPr>
          <t xml:space="preserve">
KA 76'125</t>
        </r>
      </text>
    </comment>
    <comment ref="L58" authorId="0" shapeId="0" xr:uid="{6DCDB5AE-A059-4D98-9A51-226AC5BD94D0}">
      <text>
        <r>
          <rPr>
            <b/>
            <sz val="9"/>
            <color indexed="81"/>
            <rFont val="Tahoma"/>
            <family val="2"/>
            <charset val="186"/>
          </rPr>
          <t>Sarmīte Mūze:</t>
        </r>
        <r>
          <rPr>
            <sz val="9"/>
            <color indexed="81"/>
            <rFont val="Tahoma"/>
            <family val="2"/>
            <charset val="186"/>
          </rPr>
          <t xml:space="preserve">
KA 172'193</t>
        </r>
      </text>
    </comment>
    <comment ref="K64" authorId="0" shapeId="0" xr:uid="{8D6F975D-3E08-458E-B893-8D5CE4ACE8EA}">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2" authorId="0" shapeId="0" xr:uid="{11A6A9B5-B14C-4E8A-AF0A-21F667EAA914}">
      <text>
        <r>
          <rPr>
            <b/>
            <sz val="9"/>
            <color indexed="81"/>
            <rFont val="Tahoma"/>
            <family val="2"/>
            <charset val="186"/>
          </rPr>
          <t>Sarmīte Mūze:</t>
        </r>
        <r>
          <rPr>
            <sz val="9"/>
            <color indexed="81"/>
            <rFont val="Tahoma"/>
            <family val="2"/>
            <charset val="186"/>
          </rPr>
          <t xml:space="preserve">
Jāpārceļ 2025.gadā neizņemtais aizņēmums</t>
        </r>
      </text>
    </comment>
    <comment ref="L97" authorId="0" shapeId="0" xr:uid="{85D2A10E-F7BB-45CE-94CB-BCA9C9A910DD}">
      <text>
        <r>
          <rPr>
            <b/>
            <sz val="9"/>
            <color indexed="81"/>
            <rFont val="Tahoma"/>
            <family val="2"/>
            <charset val="186"/>
          </rPr>
          <t>Sarmīte Mūze:</t>
        </r>
        <r>
          <rPr>
            <sz val="9"/>
            <color indexed="81"/>
            <rFont val="Tahoma"/>
            <family val="2"/>
            <charset val="186"/>
          </rPr>
          <t xml:space="preserve">
KF+DRN</t>
        </r>
      </text>
    </comment>
    <comment ref="L98" authorId="0" shapeId="0" xr:uid="{52169BEB-B082-4F0E-8A74-D24DA760A0F6}">
      <text>
        <r>
          <rPr>
            <b/>
            <sz val="9"/>
            <color indexed="81"/>
            <rFont val="Tahoma"/>
            <family val="2"/>
            <charset val="186"/>
          </rPr>
          <t>Sarmīte Mūze:</t>
        </r>
        <r>
          <rPr>
            <sz val="9"/>
            <color indexed="81"/>
            <rFont val="Tahoma"/>
            <family val="2"/>
            <charset val="186"/>
          </rPr>
          <t xml:space="preserve">
CFLA finansējums
</t>
        </r>
      </text>
    </comment>
    <comment ref="L99" authorId="1" shapeId="0" xr:uid="{14ED043B-97A9-4A7A-8884-C321D7D1B229}">
      <text>
        <r>
          <rPr>
            <b/>
            <sz val="9"/>
            <color indexed="81"/>
            <rFont val="Tahoma"/>
            <family val="2"/>
            <charset val="186"/>
          </rPr>
          <t>Baiba Kanča:</t>
        </r>
        <r>
          <rPr>
            <sz val="9"/>
            <color indexed="81"/>
            <rFont val="Tahoma"/>
            <family val="2"/>
            <charset val="186"/>
          </rPr>
          <t xml:space="preserve">
ELFLA +DRN</t>
        </r>
      </text>
    </comment>
    <comment ref="M100" authorId="0" shapeId="0" xr:uid="{E07AC665-F2CB-4C9D-A085-5BFF25DFFC27}">
      <text>
        <r>
          <rPr>
            <b/>
            <sz val="9"/>
            <color indexed="81"/>
            <rFont val="Tahoma"/>
            <family val="2"/>
            <charset val="186"/>
          </rPr>
          <t>Sarmīte Mūze:</t>
        </r>
        <r>
          <rPr>
            <sz val="9"/>
            <color indexed="81"/>
            <rFont val="Tahoma"/>
            <family val="2"/>
            <charset val="186"/>
          </rPr>
          <t xml:space="preserve">
Jāpārceļ 2025. neizņemtais aizņēmums</t>
        </r>
      </text>
    </comment>
    <comment ref="L113" authorId="0" shapeId="0" xr:uid="{4B040906-D8C7-4ED6-A361-CD1F5A1D82DC}">
      <text>
        <r>
          <rPr>
            <b/>
            <sz val="9"/>
            <color indexed="81"/>
            <rFont val="Tahoma"/>
            <family val="2"/>
            <charset val="186"/>
          </rPr>
          <t>Sarmīte Mūze:</t>
        </r>
        <r>
          <rPr>
            <sz val="9"/>
            <color indexed="81"/>
            <rFont val="Tahoma"/>
            <family val="2"/>
            <charset val="186"/>
          </rPr>
          <t xml:space="preserve">
KA 15'132</t>
        </r>
      </text>
    </comment>
    <comment ref="L114" authorId="0" shapeId="0" xr:uid="{09AE3071-5421-47AC-AA87-F71D9EF7B352}">
      <text>
        <r>
          <rPr>
            <b/>
            <sz val="9"/>
            <color indexed="81"/>
            <rFont val="Tahoma"/>
            <family val="2"/>
            <charset val="186"/>
          </rPr>
          <t>Sarmīte Mūze:</t>
        </r>
        <r>
          <rPr>
            <sz val="9"/>
            <color indexed="81"/>
            <rFont val="Tahoma"/>
            <family val="2"/>
            <charset val="186"/>
          </rPr>
          <t xml:space="preserve">
KA 8'432</t>
        </r>
      </text>
    </comment>
    <comment ref="L190" authorId="0" shapeId="0" xr:uid="{C59A40F8-0BD3-4071-8E3A-D2DD71C2C783}">
      <text>
        <r>
          <rPr>
            <b/>
            <sz val="9"/>
            <color indexed="81"/>
            <rFont val="Tahoma"/>
            <family val="2"/>
            <charset val="186"/>
          </rPr>
          <t>Sarmīte Mūze:</t>
        </r>
        <r>
          <rPr>
            <sz val="9"/>
            <color indexed="81"/>
            <rFont val="Tahoma"/>
            <family val="2"/>
            <charset val="186"/>
          </rPr>
          <t xml:space="preserve">
Ielikts ieņ un izdev</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Baiba Kanča</author>
    <author>tc={21E93F86-2720-4E97-8A8F-AA40C022AC8C}</author>
    <author>Sarmīte Mūze</author>
  </authors>
  <commentList>
    <comment ref="J110" authorId="0" shapeId="0" xr:uid="{BFDDB5AC-CA64-47DC-A2D0-373DD595CF03}">
      <text>
        <r>
          <rPr>
            <b/>
            <sz val="9"/>
            <color indexed="81"/>
            <rFont val="Tahoma"/>
            <family val="2"/>
            <charset val="186"/>
          </rPr>
          <t>Baiba Kanča:</t>
        </r>
        <r>
          <rPr>
            <sz val="9"/>
            <color indexed="81"/>
            <rFont val="Tahoma"/>
            <family val="2"/>
            <charset val="186"/>
          </rPr>
          <t xml:space="preserve">
345038</t>
        </r>
      </text>
    </comment>
    <comment ref="J112" authorId="1" shapeId="0" xr:uid="{21E93F86-2720-4E97-8A8F-AA40C022AC8C}">
      <text>
        <t>[Komentārs ar pavedienu]
Jūsu Excel versija ļauj lasīt šo komentāru ar pavedienu, tomēr visi tā labojumi tiks noņemti, ja fails tiks atvērts jaunākā Excel versijā. Papildinformācija: https://go.microsoft.com/fwlink/?linkid=870924
Komentārs:
    729424</t>
      </text>
    </comment>
    <comment ref="D124" authorId="2" shapeId="0" xr:uid="{4C20A4EC-961B-40E7-AB3A-0DF0D4670079}">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<sst xmlns="http://schemas.openxmlformats.org/spreadsheetml/2006/main" count="37798" uniqueCount="5759">
  <si>
    <t xml:space="preserve">N.p.k. </t>
  </si>
  <si>
    <t>Sadaļa</t>
  </si>
  <si>
    <t>%</t>
  </si>
  <si>
    <t>Komentāri</t>
  </si>
  <si>
    <t>1., 2., 3., 4., 5.</t>
  </si>
  <si>
    <t>Nodokļu ieņēmumi</t>
  </si>
  <si>
    <t>1.</t>
  </si>
  <si>
    <t>Iedzīvotāju ienākuma nodoklis</t>
  </si>
  <si>
    <t>1.1.</t>
  </si>
  <si>
    <t>1.2.</t>
  </si>
  <si>
    <t>pārskata gada</t>
  </si>
  <si>
    <t>2.</t>
  </si>
  <si>
    <t>Nekustamā īpašuma nodoklis par zemi</t>
  </si>
  <si>
    <t>2.1.</t>
  </si>
  <si>
    <t>2.2.</t>
  </si>
  <si>
    <t>iepriekšējo gadu parādi</t>
  </si>
  <si>
    <t>3.</t>
  </si>
  <si>
    <t>3.1.</t>
  </si>
  <si>
    <t xml:space="preserve">pārskata gada </t>
  </si>
  <si>
    <t>3.2.</t>
  </si>
  <si>
    <t>4.</t>
  </si>
  <si>
    <t>4.1.</t>
  </si>
  <si>
    <t>4.2.</t>
  </si>
  <si>
    <t>5.</t>
  </si>
  <si>
    <t>Azartspēļu nodoklis</t>
  </si>
  <si>
    <t>6.</t>
  </si>
  <si>
    <t>Valsts (pašvaldību) un kancelejas nodevas</t>
  </si>
  <si>
    <t>6.1.</t>
  </si>
  <si>
    <t>6.2.</t>
  </si>
  <si>
    <t>7.</t>
  </si>
  <si>
    <t>Naudas sodi un sankcijas</t>
  </si>
  <si>
    <t>10.1.4.0.</t>
  </si>
  <si>
    <t>7.1.</t>
  </si>
  <si>
    <t>7.2.</t>
  </si>
  <si>
    <t>8.</t>
  </si>
  <si>
    <t>Pārējie nenodokļu ieņēmumi</t>
  </si>
  <si>
    <t>9.</t>
  </si>
  <si>
    <t>Ieņēmumi no pašvaldības īpašuma pārdošana</t>
  </si>
  <si>
    <t>10.</t>
  </si>
  <si>
    <t>Valsts budžeta transferti</t>
  </si>
  <si>
    <t>18.6.2.3.</t>
  </si>
  <si>
    <t>18.6.2.4.</t>
  </si>
  <si>
    <t>18.6.2.5.</t>
  </si>
  <si>
    <t>18.6.2.2.</t>
  </si>
  <si>
    <t>18.6.2.1.</t>
  </si>
  <si>
    <t>18.6.2.9.</t>
  </si>
  <si>
    <t>18.6.2.7.</t>
  </si>
  <si>
    <t>10.10.</t>
  </si>
  <si>
    <t>ES struktūrfondu līdzekļi</t>
  </si>
  <si>
    <t>Projekts</t>
  </si>
  <si>
    <t>11.</t>
  </si>
  <si>
    <t>Pašvaldību budžeta transferti</t>
  </si>
  <si>
    <t>19.2.1.0.</t>
  </si>
  <si>
    <t>11.1.</t>
  </si>
  <si>
    <t>no citām pašvaldībām izglītības funkciju nodrošināšanai</t>
  </si>
  <si>
    <t>12.</t>
  </si>
  <si>
    <t>Budžeta iestāžu ieņēmumi</t>
  </si>
  <si>
    <t>12.1.</t>
  </si>
  <si>
    <t>12.1.1.</t>
  </si>
  <si>
    <t>21.3.5.2.</t>
  </si>
  <si>
    <t>12.1.2.</t>
  </si>
  <si>
    <t>21.3.5.9.</t>
  </si>
  <si>
    <t>12.2.</t>
  </si>
  <si>
    <t>ieņēmumi par nomu un īri</t>
  </si>
  <si>
    <t>21.3.8.1.</t>
  </si>
  <si>
    <t>21.3.8.4.</t>
  </si>
  <si>
    <t>12.3.</t>
  </si>
  <si>
    <t>budžeta iestāžu maksas pakalpojumi</t>
  </si>
  <si>
    <t>12.4.</t>
  </si>
  <si>
    <t>KOPĀ IEŅĒMUMI:</t>
  </si>
  <si>
    <t xml:space="preserve">Izdevumu daļa </t>
  </si>
  <si>
    <t>Vispārējie valdības dienesti</t>
  </si>
  <si>
    <t>deputāti</t>
  </si>
  <si>
    <t>1.3.</t>
  </si>
  <si>
    <t>administratīvā komisija</t>
  </si>
  <si>
    <t>1.4.</t>
  </si>
  <si>
    <t>iepirkumu komisija</t>
  </si>
  <si>
    <t>1.5.</t>
  </si>
  <si>
    <t>vēlēšanu komisija</t>
  </si>
  <si>
    <t>1.6.</t>
  </si>
  <si>
    <t>1.7.</t>
  </si>
  <si>
    <t>dažādas komisijas</t>
  </si>
  <si>
    <t>1.8.</t>
  </si>
  <si>
    <t>Iemaksas PFIF</t>
  </si>
  <si>
    <t>Pārējie vispārēja rakstura transferti</t>
  </si>
  <si>
    <t>Sabiedriskās attiecības, laikraksts</t>
  </si>
  <si>
    <t>Pašvaldības teritoriju un mājokļu apsaimniekošana</t>
  </si>
  <si>
    <t>5.1.</t>
  </si>
  <si>
    <t>5.2.</t>
  </si>
  <si>
    <t>5.3.</t>
  </si>
  <si>
    <t>5.4.</t>
  </si>
  <si>
    <t>Atpūta, kultūra un reliģija</t>
  </si>
  <si>
    <t>Kultūras centrs</t>
  </si>
  <si>
    <t>6.3.</t>
  </si>
  <si>
    <t>6.4.</t>
  </si>
  <si>
    <t>Evaņģēliski luteriskās draudzes</t>
  </si>
  <si>
    <t>Sociālā aizsardzība</t>
  </si>
  <si>
    <t>Sociālais dienests</t>
  </si>
  <si>
    <t>7.3.</t>
  </si>
  <si>
    <t>Bāriņtiesa</t>
  </si>
  <si>
    <t>Izglītība</t>
  </si>
  <si>
    <t>Norēķini ar pašvaldību budžetiem par izglītības iestāžu pakalpojumiem</t>
  </si>
  <si>
    <t>Privātās izglītības iestādes</t>
  </si>
  <si>
    <t>ĀBVS</t>
  </si>
  <si>
    <t>Ādažu vidusskola</t>
  </si>
  <si>
    <t>-</t>
  </si>
  <si>
    <t>Nosaukums</t>
  </si>
  <si>
    <t>Funkcija</t>
  </si>
  <si>
    <t>Nodaļas nosaukums</t>
  </si>
  <si>
    <t>Domes darbinieku darba samaksa</t>
  </si>
  <si>
    <t>Samaksa par virsstundu darbu un darbu svētku dienās</t>
  </si>
  <si>
    <t>Piemaksa par papildu darbu (bilances piemaksas)</t>
  </si>
  <si>
    <t>Naudas balvas</t>
  </si>
  <si>
    <t>Darba devēja soc.nod.-darbinieki</t>
  </si>
  <si>
    <t>Darba dev.soc.rakstura pabalsti</t>
  </si>
  <si>
    <t xml:space="preserve">Darba devēja soc.pab.bez nodokļa </t>
  </si>
  <si>
    <t>Pārējie komandējuma izdevumi</t>
  </si>
  <si>
    <t>Dienas nauda (ārzemes)</t>
  </si>
  <si>
    <t>Pārējie komandējuma izdevumi Ārzemes)</t>
  </si>
  <si>
    <t>Valsts iestāžu pak. (VZD,ZG,tiesa)-revidents,mērni</t>
  </si>
  <si>
    <t>Darba dev.labumi,ves.uzlab.,naudas balvas</t>
  </si>
  <si>
    <t>Bankas komisija, pakalpojumi</t>
  </si>
  <si>
    <t>Pārējie iestādes administratīvie izdevumi un ar iestādes darbības nodrošināšanu saistītie pakalpojumi</t>
  </si>
  <si>
    <t xml:space="preserve">Iekārtas, inventāra un aparatūras remonts, tehniskā apkalpošana. </t>
  </si>
  <si>
    <t>Informācijas sistēmas uzturēšana</t>
  </si>
  <si>
    <t>Iekārtu un inventāra īre un noma</t>
  </si>
  <si>
    <t>Pārējie neuzskaitītie pakalpojumu veidi, regul.</t>
  </si>
  <si>
    <t>Maksājumi par pašvaldību parāda apkalpošanu</t>
  </si>
  <si>
    <t xml:space="preserve">Parāda apkalpošanas maksa 0.25% </t>
  </si>
  <si>
    <t>Biroja preces, metodiskie materiāli</t>
  </si>
  <si>
    <t>KAC</t>
  </si>
  <si>
    <t xml:space="preserve">Inventārs </t>
  </si>
  <si>
    <t xml:space="preserve">Degviela  a/m </t>
  </si>
  <si>
    <t>Kārtējā remonta un iestāžu uzturēšanas materiāli</t>
  </si>
  <si>
    <t>Mācību līdzekļi un materiāli</t>
  </si>
  <si>
    <t>Pārējās preces</t>
  </si>
  <si>
    <t>Valsts budžeta iestāžu Procentu maksājumi Valsts kasei</t>
  </si>
  <si>
    <t>Datorprogrammas</t>
  </si>
  <si>
    <t>Saimniecības pamatlīdzekļi</t>
  </si>
  <si>
    <t>Datortehnika, sakaru un cita biroja tehnika</t>
  </si>
  <si>
    <t>Pašvaldības iemaksa pašvaldību finanšu izlīdzināšanas fondā</t>
  </si>
  <si>
    <t xml:space="preserve">Deputātu darba samaksa </t>
  </si>
  <si>
    <t>Pārējo darbinieku mēnešalga (darba alga)</t>
  </si>
  <si>
    <t>Darba devēja soc.nod.-deputāti</t>
  </si>
  <si>
    <t>Biroja tehn.uztur.,apk.(datori,kopētājs,m.lapa,pr)</t>
  </si>
  <si>
    <t>Izdevumi par transporta pakalpojumiem</t>
  </si>
  <si>
    <t>u</t>
  </si>
  <si>
    <t>Pārējie iepriekš neklasificētie pakalpojumu veidi</t>
  </si>
  <si>
    <t>Pašvaldības policija</t>
  </si>
  <si>
    <t>Piemaksa par nakts darbu</t>
  </si>
  <si>
    <t>Darba devēja pabalsti un kompensācijas, no kuriem aprēķina ienākuma nodokli, valsts sociālās apdrošināšanas obligātās iemaksas</t>
  </si>
  <si>
    <t>Darba devēja pabalsti un kompensācijas, no kā neaprēķina ienākuma nodokli, valsts sociālās apdrošināšanas obligātās iemaksas</t>
  </si>
  <si>
    <t>Rezerve</t>
  </si>
  <si>
    <t>Izdevumi par ūdeni un kanalizāciju</t>
  </si>
  <si>
    <t>Izdevumi par elektroenerģiju</t>
  </si>
  <si>
    <t>Pārējie ar darb.nodrošin.saist.pak</t>
  </si>
  <si>
    <t>Ēku, būvju un telpu remonts</t>
  </si>
  <si>
    <t>Automašīnu trafarēšanas atjaunošana.</t>
  </si>
  <si>
    <t>Autotransporta  ikgadējā valsts tehniskā apskate</t>
  </si>
  <si>
    <t>Iekārtas, inven., aparat remonts, tehn.apk,ugunsdr</t>
  </si>
  <si>
    <t>Ēku, būvju un telpu uzturēšana, EPS</t>
  </si>
  <si>
    <t>Apdrošināšanas izdevumi</t>
  </si>
  <si>
    <t>Auto apdrošināšana. Octa+Kasko</t>
  </si>
  <si>
    <t>Inženiertīklu remonts, uzturēšana, attīr.analīzes</t>
  </si>
  <si>
    <t xml:space="preserve">Venden statīva noma, vidēji EUR 15/mēnesī. </t>
  </si>
  <si>
    <t>Papīrs, biroja preces - e-iepirkums.</t>
  </si>
  <si>
    <t>Alkometra printera papīrs 1gab0.9+PVN.</t>
  </si>
  <si>
    <t>Kārtridži</t>
  </si>
  <si>
    <t>Kurināmais</t>
  </si>
  <si>
    <t>Degviela  a/m</t>
  </si>
  <si>
    <t>Kārtējā remonta un iestāžu un uzturēšanas materiāl</t>
  </si>
  <si>
    <t>e-iepirkums saimniecības preces</t>
  </si>
  <si>
    <t>Formas tērpi un speciālais apģērbs</t>
  </si>
  <si>
    <t>Pamatlīdzekļu izveidošana un nepabeigtā celtniec.</t>
  </si>
  <si>
    <t>Reprezentācijas preces</t>
  </si>
  <si>
    <t>Darba dev.labumi,ves.uzlab.,naudas balvas (slimāibas naudas</t>
  </si>
  <si>
    <t>Papīri teritorijas plānošanai. Izprintēšanai būs lielie papīri. Krāsainā printera papīrs - visu pērk Būvvalde, bet tērē visi.</t>
  </si>
  <si>
    <t>Pārējie ar darb.nodrošin.saist.pak(veļas mazg.,der</t>
  </si>
  <si>
    <t>Attīstības pasākumi un programmas</t>
  </si>
  <si>
    <t>AS "Latvenergo"</t>
  </si>
  <si>
    <t>Izdev.par transporta pakalpojumiem / bērnu vasaras nometnes</t>
  </si>
  <si>
    <t xml:space="preserve">Ēku, būvju un telpu remonts. </t>
  </si>
  <si>
    <t xml:space="preserve">Iekārtu, inventāra, aparatūras remonts; tehn.apk,ugunsdrošības aparātu apkope </t>
  </si>
  <si>
    <t>Par kases aparāta apkalpošanu.</t>
  </si>
  <si>
    <t>Printeru remonts.</t>
  </si>
  <si>
    <t>Ēku, būvju u.c. mantas apdrošināšana</t>
  </si>
  <si>
    <t>Par fonogrammas atskaņošanu un autortiesībām (AKA/LAA un Laipa) EUR 25/ceturksnī =100. Autortiesības lattelekom TV - / 19.24 kvartālā – gadā x4 = 76.96 EUR</t>
  </si>
  <si>
    <t>Valsts un pašvaldību budžeta dotācija biedrībām un nodibinājumiem</t>
  </si>
  <si>
    <t>EIS - kancelejas preces</t>
  </si>
  <si>
    <t>Fēni matu žāvēšanai</t>
  </si>
  <si>
    <t xml:space="preserve">Izdevumi par apkuri </t>
  </si>
  <si>
    <t>Degviela</t>
  </si>
  <si>
    <t>Zāles, ķimikālijas, laboratorijas preces</t>
  </si>
  <si>
    <t xml:space="preserve">Aptieka </t>
  </si>
  <si>
    <t>Saimniecibas preces</t>
  </si>
  <si>
    <t>Depo</t>
  </si>
  <si>
    <t>Ziedi</t>
  </si>
  <si>
    <t>Pamatlīdzekļu izveidošana un nepabeigtā būvniecība</t>
  </si>
  <si>
    <t>Iekārtas, inventāra un aparatūras remonts, tehniskā apkalpošana</t>
  </si>
  <si>
    <t>Ēku, telpu īre un noma</t>
  </si>
  <si>
    <t>Inventārs - uzskaitāms</t>
  </si>
  <si>
    <t>Izdevumi periodikas iegādei.</t>
  </si>
  <si>
    <t>Bibliotēku fondi - dārgākas grāmatas.</t>
  </si>
  <si>
    <t xml:space="preserve">Pašv. budž. kārt. izd. transferti citām pašv. </t>
  </si>
  <si>
    <t>Darba devēja soc.nod.-mērķdotācijas</t>
  </si>
  <si>
    <t>Kārtridži,  papīra iegāde</t>
  </si>
  <si>
    <t>Kancelejas preces</t>
  </si>
  <si>
    <t>Inventārs</t>
  </si>
  <si>
    <t>Zāles, ķimikālijas, laboratorijas preces, ūdens</t>
  </si>
  <si>
    <t>Mācību līdzekļi un materiāli (skolas,PII),akti</t>
  </si>
  <si>
    <t>Darba samaksa -piecgadgo bērnu apmāciba</t>
  </si>
  <si>
    <t>Darba devēja soc.nod.-piecgadogo bērnu apm.</t>
  </si>
  <si>
    <t>Darba devēja soc.pab.bez nodokļa - bēru pabalsti</t>
  </si>
  <si>
    <t xml:space="preserve">Dienas nauda </t>
  </si>
  <si>
    <t>Brauciens uz semināru</t>
  </si>
  <si>
    <t xml:space="preserve">Pārējie komandējumu izdevumi </t>
  </si>
  <si>
    <t>Izdev.par transporta pak.,stāvvietas, pier.apm.br.</t>
  </si>
  <si>
    <t>Darba braucieniem. Ekskursija</t>
  </si>
  <si>
    <t>Normatīvajos aktos noteiktie darba devēja veselības izdevumi darba ņēmējiem</t>
  </si>
  <si>
    <t xml:space="preserve">Inventārs - uzturēšanas līdzekļi, slotas utt. </t>
  </si>
  <si>
    <t>AS   „Latvijas Gāze”</t>
  </si>
  <si>
    <t>Degviela - pļaujmašīnai</t>
  </si>
  <si>
    <t>"Ādažu aptieka" - medicīniskajam kabinetam</t>
  </si>
  <si>
    <t>Mācību līdzekļi un materiāli mērķdotācija</t>
  </si>
  <si>
    <t xml:space="preserve">Tiek organizētas sporta spēles ar vecākiem maija beigās - šokolādes medaļas </t>
  </si>
  <si>
    <t>Domes darbinieku darba samaksa.</t>
  </si>
  <si>
    <t>Darba samaksa - mērķdotācijas</t>
  </si>
  <si>
    <t>Darba devēja sociāla rakstura pabalsti, kompensācijas un citi maksājumi</t>
  </si>
  <si>
    <t xml:space="preserve">Kancelejas preces, </t>
  </si>
  <si>
    <t>Pārējie enerģētiskie materiāli-mehānismiem</t>
  </si>
  <si>
    <t>Zāles, ķimikālijas labor. preces un to uztur. izd.</t>
  </si>
  <si>
    <t>pārsienamie materiāli, aptieciņa</t>
  </si>
  <si>
    <t>Cits</t>
  </si>
  <si>
    <t>Pārējie neuzskaitītie pakalpojumu veidi, regul. - Domes finansējums par Ādažu bērnien skolā</t>
  </si>
  <si>
    <t>Brīvpusdienas skolas 1., 2.,3. klasēm no VK</t>
  </si>
  <si>
    <t xml:space="preserve">Domes darbinieku darba samaksa </t>
  </si>
  <si>
    <t>Transporta pakalpojumi</t>
  </si>
  <si>
    <t>Normatīvajos aktos noteiktos darba devēja izdevumus veselības nodrošināšanai</t>
  </si>
  <si>
    <t>A/S "Latintertehserviss" kases aparāta apkope, paredzēti 2 izsaukumi.</t>
  </si>
  <si>
    <t>Zemes noma</t>
  </si>
  <si>
    <t>Administr.biroja preces</t>
  </si>
  <si>
    <t xml:space="preserve">Līdzfinansējums privātiem PII </t>
  </si>
  <si>
    <t>Izglītības funkciju nodrošināšanai-skolas savst.n.</t>
  </si>
  <si>
    <t>Papīrs</t>
  </si>
  <si>
    <t>Kultūras ministrijas mērķdotācijaskolektīvu vadītāju atalgojumam</t>
  </si>
  <si>
    <t>Atalg.fiz.personām uz tiesisk.att.reg.dok.pam.</t>
  </si>
  <si>
    <t>Darba devēja soc. rakstura pab.,  kompen. u.c.</t>
  </si>
  <si>
    <t>Pabalsts ārkārtas gadījumi.</t>
  </si>
  <si>
    <t>Dienas nauda</t>
  </si>
  <si>
    <t xml:space="preserve">Transports kultūras centra darba vajadzībām </t>
  </si>
  <si>
    <t>6 esošo klavieru  skaņošana, apkope, remonts, SIA  „Klavieres.lv”</t>
  </si>
  <si>
    <t>Kultūras centra citas tehnikas (video) uzturēšana</t>
  </si>
  <si>
    <t>Iestādes iekšējo kolektīvo pasākumu organizēšanas izdevumi</t>
  </si>
  <si>
    <t>Kursi un semināri (pamatdarbinieki)</t>
  </si>
  <si>
    <t xml:space="preserve">Pasākumu dalībnieku, mākslinieku, viesu ēdināšanas izdevumi (svētkos, ikdienas sarīkojumos) </t>
  </si>
  <si>
    <t>Biroja preces ikdienas darbam 25 EUR /mēn. Kancelejas preces, Izstādēm, specifiskiem pasākumiem.</t>
  </si>
  <si>
    <t>Tinte printeriem, kopētājam (afišu, ielūgumu u.c. Informācijas gartavošanai, nošu kopēšanai)</t>
  </si>
  <si>
    <t>Kultūras centra vadītājai 40l*12</t>
  </si>
  <si>
    <t xml:space="preserve">Reprezentācijas materiāli, bukleti, suvenīri </t>
  </si>
  <si>
    <t>Cienasts pasākumu, semināru dalībniekiem</t>
  </si>
  <si>
    <t>Biroja preces</t>
  </si>
  <si>
    <t>Kancelejas un biroja preces (krāsu kārtridži, papīrs u.c.). Kartoni utt.</t>
  </si>
  <si>
    <t>Ziedi, telpaugi</t>
  </si>
  <si>
    <t xml:space="preserve">Ādažu vidusskola </t>
  </si>
  <si>
    <t>Domes darbinieku darba samaksa, no septembra papildus 2as pagar. Grupas skolot.</t>
  </si>
  <si>
    <t>Mērķdotācijas</t>
  </si>
  <si>
    <t xml:space="preserve">Darba devēja soc.nod.-darbinieki. </t>
  </si>
  <si>
    <t>Darba devēja soc.nod.-interešu izglitiba</t>
  </si>
  <si>
    <t>Darba devēja sociāla rakstura pabalsti un kompensācijas, no kuriem aprēķina ienākuma nodokli un valsts sociālās apdrošināšanas obligātās iemaksas</t>
  </si>
  <si>
    <t xml:space="preserve">Kārtridžu uzpilde </t>
  </si>
  <si>
    <t xml:space="preserve">Iekārtas, inven., aparat remonts, tehn.apk,ugunsdr </t>
  </si>
  <si>
    <t>Zāģripas asināšana utml.</t>
  </si>
  <si>
    <t>Venden, SIA - līgums nr. 56469 - (statīva noma)</t>
  </si>
  <si>
    <t xml:space="preserve">Rakstāmpapīrs un biroja preces  - e-pasūtījums. </t>
  </si>
  <si>
    <t>Toneri, kārtridži.</t>
  </si>
  <si>
    <t>Krīts, u.c. EUR 200</t>
  </si>
  <si>
    <t>Zāles</t>
  </si>
  <si>
    <t>Darba burtnīcas</t>
  </si>
  <si>
    <t xml:space="preserve">Sporta T-krekli dāvana 1.klasniekiem </t>
  </si>
  <si>
    <t xml:space="preserve">Saimniecības pamatlīdzekļi; </t>
  </si>
  <si>
    <t>Bibliotēku fondi</t>
  </si>
  <si>
    <t>Skandas datoram 10 komplekti</t>
  </si>
  <si>
    <t>Pārējie remontdarbu un iestāžu uzturēšanas pakalpojumi</t>
  </si>
  <si>
    <t>Ziedi utml.</t>
  </si>
  <si>
    <t>Sociālās garantijas bāreņiem naudā (pilngadības sasniegšana, bāreņi)</t>
  </si>
  <si>
    <t>Dzīvokļa pabalsti naudā</t>
  </si>
  <si>
    <t>Pārējie klasifikācijā neminētie no valsts un pašvaldību budžeta veiktie maksājumi iedzīvotājiem naudā</t>
  </si>
  <si>
    <t>Pabalsti ēdināšanai natūrā (brīvpusdienas uz rēķina)</t>
  </si>
  <si>
    <t>Pārējā sociālā palīdzība natūrā (bērnu uzturēšanās rehabilitācijas centros, psihologa pakalpojumi)</t>
  </si>
  <si>
    <t>Atbalsta pasākumi un kompensācijas natūrā (invalīdu mājokļu pielāgošana, soc.dzīvokļi)</t>
  </si>
  <si>
    <t>Vienam sociālajam dzīvoklim, kas uzdāvināts pagastam, maksājam rēķinus. (īpašnieks ir uzdāvinājis dzīvokli pagastam).</t>
  </si>
  <si>
    <t xml:space="preserve">Dzīvokļa pabalsti natūrā (uz kom.dienestu). </t>
  </si>
  <si>
    <t>Maksājumi iedzīvotājiem natūrā</t>
  </si>
  <si>
    <t>Izdevumi brīvprātīgo iniciatīvu izpildei</t>
  </si>
  <si>
    <t>Nekustamā īpašuma uzturēšana</t>
  </si>
  <si>
    <t>Kapitālais remonts un rekonstrukcija</t>
  </si>
  <si>
    <t>Pasts</t>
  </si>
  <si>
    <t>Printeru remonts</t>
  </si>
  <si>
    <t>Kancelejas preces.</t>
  </si>
  <si>
    <t xml:space="preserve">Pievienotās vērtības nodoklis </t>
  </si>
  <si>
    <t xml:space="preserve">Dabas resursu nodoklis </t>
  </si>
  <si>
    <t xml:space="preserve">Valsts un pašvaldību budžeta dotācija valsts un pašvaldību komersantiem  </t>
  </si>
  <si>
    <t>Transporta būves</t>
  </si>
  <si>
    <t>Celtnes un būves</t>
  </si>
  <si>
    <t>Bezdarbnieku stipendijas no NVA</t>
  </si>
  <si>
    <t>0110</t>
  </si>
  <si>
    <t>0120</t>
  </si>
  <si>
    <t>0130</t>
  </si>
  <si>
    <t>0490</t>
  </si>
  <si>
    <t>0340</t>
  </si>
  <si>
    <t>0630</t>
  </si>
  <si>
    <t>0812</t>
  </si>
  <si>
    <t>0830</t>
  </si>
  <si>
    <t>0880</t>
  </si>
  <si>
    <t>0910</t>
  </si>
  <si>
    <t>0950</t>
  </si>
  <si>
    <t>0960</t>
  </si>
  <si>
    <t>0965</t>
  </si>
  <si>
    <t>0970</t>
  </si>
  <si>
    <t>Ieņēmumi</t>
  </si>
  <si>
    <t>BN</t>
  </si>
  <si>
    <t>M</t>
  </si>
  <si>
    <t>BT</t>
  </si>
  <si>
    <t>P</t>
  </si>
  <si>
    <t>BNk</t>
  </si>
  <si>
    <t>I</t>
  </si>
  <si>
    <t>Mērķdotācija</t>
  </si>
  <si>
    <t>BN_SID</t>
  </si>
  <si>
    <t>Ivo Bērziņš</t>
  </si>
  <si>
    <t>Pašvaldības finansējums</t>
  </si>
  <si>
    <t>Ēku, būvju un telpu uzturēšana</t>
  </si>
  <si>
    <t>A</t>
  </si>
  <si>
    <t>Dalības maksa JAL programmā</t>
  </si>
  <si>
    <t>BNK_I</t>
  </si>
  <si>
    <t>Pamatkapitāls</t>
  </si>
  <si>
    <t>Saimniecības preces</t>
  </si>
  <si>
    <t>BT_pabalsti</t>
  </si>
  <si>
    <t>Kancelejas preces. EIS</t>
  </si>
  <si>
    <t>Pabalsti</t>
  </si>
  <si>
    <t xml:space="preserve">Darba dev.labumi,ves.uzlab.,naudas balvas. </t>
  </si>
  <si>
    <t>BNk_I</t>
  </si>
  <si>
    <t>Videonovērošanas sistēmas nodrošinājums (4gab.)-stundā 106.5 w.</t>
  </si>
  <si>
    <t>Sporta laukumu apgaismojums</t>
  </si>
  <si>
    <t xml:space="preserve">Depo. </t>
  </si>
  <si>
    <t>Reprezentācijas materiāli</t>
  </si>
  <si>
    <t>Asistentu pakalpojumi</t>
  </si>
  <si>
    <t>Domes finansējums</t>
  </si>
  <si>
    <t>Dienas nauda komandējumiem - iekšzemes</t>
  </si>
  <si>
    <t>Dienas nauda komandējumiem - ārvalstu</t>
  </si>
  <si>
    <t>Laivu piekabju tehniskā apskate</t>
  </si>
  <si>
    <t>Laivu piekabju OCTA</t>
  </si>
  <si>
    <t xml:space="preserve">Automašīnu riepas </t>
  </si>
  <si>
    <t>SIA Depo</t>
  </si>
  <si>
    <t>Naudas balvas.</t>
  </si>
  <si>
    <t xml:space="preserve">Biroja preces, metodiskie materiāli </t>
  </si>
  <si>
    <t xml:space="preserve">Kalendāri. Visam novadam. </t>
  </si>
  <si>
    <t>Citi reprezentācijas izdevumi un korporatīvās dāvanas</t>
  </si>
  <si>
    <t>Pūšaminstrumentu remonts</t>
  </si>
  <si>
    <t xml:space="preserve">Dzeramā ūdens (medicīnas kabin.un psihologa kabin.). </t>
  </si>
  <si>
    <t>Spiedogi lietvedībai</t>
  </si>
  <si>
    <t xml:space="preserve">Konditoreja </t>
  </si>
  <si>
    <t>Specifisks papīrs un dažādi papīra izstādājumi ielūgumi, flaieri u.c.</t>
  </si>
  <si>
    <t>0930</t>
  </si>
  <si>
    <t>Izglītības un jauniešu lietu pārvalde</t>
  </si>
  <si>
    <t>VPVKAC</t>
  </si>
  <si>
    <t>Projekti</t>
  </si>
  <si>
    <t>BT_pasākumi</t>
  </si>
  <si>
    <t xml:space="preserve">Piemaksa par papildu darbu (bilances piemaksas) </t>
  </si>
  <si>
    <t xml:space="preserve">Naudas balvas </t>
  </si>
  <si>
    <t>Ic</t>
  </si>
  <si>
    <t>direktore 20l*12</t>
  </si>
  <si>
    <t>Piemaksa par papildu darbu (bilances piemaksas),</t>
  </si>
  <si>
    <t>Tehnika</t>
  </si>
  <si>
    <t>Pieaugums/ (samazinājums) %</t>
  </si>
  <si>
    <t>Pieaugums/ (samazinājums) EUR</t>
  </si>
  <si>
    <t>Bāzes kapitālās</t>
  </si>
  <si>
    <t>Bāzes</t>
  </si>
  <si>
    <t>pārvalde (bāzes)</t>
  </si>
  <si>
    <t>Ādažu Pirmsskolas izglītības iestāde (bāzes)</t>
  </si>
  <si>
    <t>Ādažu vidusskola (bāze)</t>
  </si>
  <si>
    <t>Kadagas PII (bāze)</t>
  </si>
  <si>
    <t>Sporta skola (bāze)</t>
  </si>
  <si>
    <t>Sabiedriskā kārtība un drošība (bāze)</t>
  </si>
  <si>
    <t>Būvvalde (bāze)</t>
  </si>
  <si>
    <t>5.6.</t>
  </si>
  <si>
    <t>5.7.</t>
  </si>
  <si>
    <t>Sporta daļa (bāze)</t>
  </si>
  <si>
    <t>Kultūras centrs (bāze)</t>
  </si>
  <si>
    <t>Sociālais dienests (bāze+pabalsti)</t>
  </si>
  <si>
    <t>Izmaksas, kuras sedz NVA koordinatoram</t>
  </si>
  <si>
    <t xml:space="preserve">Kārtridži </t>
  </si>
  <si>
    <t>Pasta izdevumi, personu lietas, eiropas konkurss.</t>
  </si>
  <si>
    <t xml:space="preserve">Juris Edvīns Eglītis klavieru skaņošana. </t>
  </si>
  <si>
    <t xml:space="preserve">Par fonogrammas atskaņošanu un autortiesībām (AKA/LAA un Laipa) </t>
  </si>
  <si>
    <t>Apliecības un atestāti.</t>
  </si>
  <si>
    <t xml:space="preserve">Naudas balvas. </t>
  </si>
  <si>
    <t>Vizītkartes ~50 EUR</t>
  </si>
  <si>
    <t>Mērķdotācijas - Darba devēja sociāla rakstura pabalsti un kompensācijas, no kuriem aprēķina ienākuma nodokli un valsts sociālās apdrošināšanas obligātās iemaksas</t>
  </si>
  <si>
    <t>Būvniecība</t>
  </si>
  <si>
    <t>Pārējie komandējuma izdevumi - ārvalstu</t>
  </si>
  <si>
    <t>Transportlīdzekļu noma</t>
  </si>
  <si>
    <t xml:space="preserve">Atalgojums fiziskajām personām uz tiesiskās attiecības regulējošu dokumentu pamata </t>
  </si>
  <si>
    <t>Darba devēja valsts sociālās apdrošināšanas obligātās iemaksas</t>
  </si>
  <si>
    <t>Atalgojums fiziskajām personām uz tiesiskās attiecības regulējošu dokumentu pamata</t>
  </si>
  <si>
    <t>EKK</t>
  </si>
  <si>
    <t>SAM 9.2.4.2. projekts "Pasākumi vietējās sabiedrības veselības veicināšanai Ādažu novadā"</t>
  </si>
  <si>
    <t xml:space="preserve">Domes darbinieku darba samaksa. </t>
  </si>
  <si>
    <t>0340 Pašvaldības policija</t>
  </si>
  <si>
    <t>Līgumam ar SIA „Ādažu veterinārā klīnika”</t>
  </si>
  <si>
    <t>Speclīdzekļa (elektrošoka) uzpildes lādiņš (patrona) (taiser kārtridži), 1gab-60,00EUR</t>
  </si>
  <si>
    <t>Baneru un plakātu DRUKA.</t>
  </si>
  <si>
    <r>
      <t xml:space="preserve">SIA "Ādažu ūdens"- </t>
    </r>
    <r>
      <rPr>
        <i/>
        <sz val="8"/>
        <color indexed="10"/>
        <rFont val="Arial"/>
        <family val="2"/>
        <charset val="186"/>
      </rPr>
      <t>halle</t>
    </r>
  </si>
  <si>
    <t xml:space="preserve">Juris Edvīns Eglītis (2 klavieru skaņošana) . </t>
  </si>
  <si>
    <t>e-iepirkums saimniecības preces.300x1=300</t>
  </si>
  <si>
    <t>Multihalle</t>
  </si>
  <si>
    <t xml:space="preserve">Dokumentācija, māli, glazūras, līmes, otas, papīrs, stikli, ādas, audumi, utt. </t>
  </si>
  <si>
    <t>Cietie diski HDD no EKK 5238</t>
  </si>
  <si>
    <t>Skolas telpu labiekārtošana - tematiskas planšetes (1. sept., izlaigdums, valsts svētki utml), informācijas stendi u.c.</t>
  </si>
  <si>
    <t>Mācību metodiskā literatūra</t>
  </si>
  <si>
    <t>BnK_I</t>
  </si>
  <si>
    <t>0950 Ādažu vidusskola</t>
  </si>
  <si>
    <t>0620 Būvvalde</t>
  </si>
  <si>
    <t xml:space="preserve">Auto nolietojums. </t>
  </si>
  <si>
    <t>Auto nolietojums</t>
  </si>
  <si>
    <t>Kompensācija par auto izmantošanu 0,04 EUR/km ~35 EUR*12</t>
  </si>
  <si>
    <t xml:space="preserve">Maksa par serveri </t>
  </si>
  <si>
    <t>Gaujas svētku publicitātes nodrošināšana</t>
  </si>
  <si>
    <t>BT_algas</t>
  </si>
  <si>
    <t>Piemaksa par papildu darbu</t>
  </si>
  <si>
    <t>BnK</t>
  </si>
  <si>
    <t>1010 Sociālais dienests</t>
  </si>
  <si>
    <t>0110 Pārvalde</t>
  </si>
  <si>
    <t>BN_algas</t>
  </si>
  <si>
    <t>Galdautu tīrīšanas - Dzimtsaraksti</t>
  </si>
  <si>
    <t>BNk_SID_I</t>
  </si>
  <si>
    <t>Kopētāju apkope un rezerves daļu nomaiņa.  Jaunajam kopētājam 2 apkopes. Pa vienai apkopei diviem vecajiem kopētājiem.</t>
  </si>
  <si>
    <t>Atalgojums</t>
  </si>
  <si>
    <t xml:space="preserve">Projekti </t>
  </si>
  <si>
    <t>BNK</t>
  </si>
  <si>
    <t xml:space="preserve">Skatuves, skaņu, gaismas un citas  aparatūras īre mazformāta brīvdabas pasākumiem. </t>
  </si>
  <si>
    <t>Rezerve konsultācijas dažādu projektu, specifikāciju sagatavošanā, realizācijā u.c.</t>
  </si>
  <si>
    <t>Materiāli izstāžu iekārtošanai, pasākumu telpu un skatuves noformēšanai u.c. ;</t>
  </si>
  <si>
    <t>Atmiņu kartes un cietie diski, cd</t>
  </si>
  <si>
    <t>Tehniskā aprīkojuma un inventāra  remontdarbu materiāli, kabeļi skatuves tehnikai, teritorijas iekārtošanas materiāli āra pasākumiem.</t>
  </si>
  <si>
    <t>Foto konkurss (balvas laureātiem, atzinības rakstu rāmīši)</t>
  </si>
  <si>
    <t>0981</t>
  </si>
  <si>
    <t>Valsts un pašvaldību budžeta dotācija komersantiem</t>
  </si>
  <si>
    <t>12.3.9.5.</t>
  </si>
  <si>
    <t>Deputātu darba samaksa</t>
  </si>
  <si>
    <t xml:space="preserve">Biedru nauda direktoru padomei. </t>
  </si>
  <si>
    <t>Pasta izdevumi. Audzēkņu darbu sūtīšana uz konkursiem.</t>
  </si>
  <si>
    <t>SAM 9.2.4.2. projekts "Pasākumi vietējās sabiedrības veselības veicināšanai Ādažu novadā" EUR 2268</t>
  </si>
  <si>
    <t xml:space="preserve">Slimības lapas </t>
  </si>
  <si>
    <t>Slimības lapas</t>
  </si>
  <si>
    <t xml:space="preserve">Apdrošināšanas izdevumi </t>
  </si>
  <si>
    <t>SAM 9.2.4.2. projekts "Pasākumi vietējās sabiedrības veselības veicināšanai Ādažu novadā" EUR 1040</t>
  </si>
  <si>
    <t>citi ieņēmumi no citām pašvaldībam</t>
  </si>
  <si>
    <t xml:space="preserve">Kārtējā remonta un iestāžu uzturēšanas materiāli </t>
  </si>
  <si>
    <t>SIA Tehnoloģiju Studija - mājas lapas izmitināšana (līgumcena norādīta 1 gadam) EUR 242 (ar PVN)</t>
  </si>
  <si>
    <t>Pārējie komandējumu un dienesta, darba braucienu izdevumi. Ārzemju</t>
  </si>
  <si>
    <t>Dienas nauda komandējumiem</t>
  </si>
  <si>
    <t>Līdzfinansējums privātajām vidējās izglītības iestādēm</t>
  </si>
  <si>
    <t>Pasta izdevumi. Eur 25</t>
  </si>
  <si>
    <t>U.5.1.4.</t>
  </si>
  <si>
    <t>U.9.1.7.</t>
  </si>
  <si>
    <t>U.9.2.1.</t>
  </si>
  <si>
    <t>Atalgojums Erasmus+ projekta ietvaros</t>
  </si>
  <si>
    <t>Klaviatūras ~7 EUR</t>
  </si>
  <si>
    <t>Peles</t>
  </si>
  <si>
    <t xml:space="preserve">UPS bateriju nomaiņa – 12V 7 A/h. </t>
  </si>
  <si>
    <t>skolutiesibas.lv portāla abonements</t>
  </si>
  <si>
    <t>Rezerve, inventārs pēc vajadzības</t>
  </si>
  <si>
    <t>BN_I</t>
  </si>
  <si>
    <t>Inform.plāksnes un stendi. Šai mājai, KACam utml.</t>
  </si>
  <si>
    <t>Koplīguma dāvana darbiniekiem (likuma ietvaros)</t>
  </si>
  <si>
    <t>Darba devēja piešķirtie labumi un maksājumi</t>
  </si>
  <si>
    <t>Autoratlīdzības līgumi</t>
  </si>
  <si>
    <t>Autostāvvietu izmantošana, transporta kompensācija</t>
  </si>
  <si>
    <t xml:space="preserve">SIA " Ortega"  - kopētāja uzturēšana- 2as kopēšanas iekārtas. + rezerve remontiem un kārtridžiem </t>
  </si>
  <si>
    <t>Dzimtsarakstu nodaļa 100l/gadā</t>
  </si>
  <si>
    <t>Remontdarbi un apkopes drukas iekārtām</t>
  </si>
  <si>
    <t>NĪ speciālists V.Kukk - max EUR 36</t>
  </si>
  <si>
    <t xml:space="preserve">Darba likumā obligātās veselības pārbaudes </t>
  </si>
  <si>
    <t xml:space="preserve">RĪC.PL.11.1.1.2. RĪC.PL.11.1.1.4. RĪC.PL.6.2.5.3. </t>
  </si>
  <si>
    <t>RĪC.PL.11.1.2.1.</t>
  </si>
  <si>
    <t>Izglītojošu, informatīvu lekciju organizēšana</t>
  </si>
  <si>
    <t>Sadzīves priekšmeti kultūras centra darbības nodrošināšanai</t>
  </si>
  <si>
    <t>RĪC.PL.6.2.4.2. 
RĪC.PL.11.1.3.2.</t>
  </si>
  <si>
    <t xml:space="preserve">Licenzēta  programma datu apstrādei </t>
  </si>
  <si>
    <t>Datorprogrammas ADOBE licence</t>
  </si>
  <si>
    <t>RĪC.PL.11.1.3.2.</t>
  </si>
  <si>
    <t>treneris 250l/gadā</t>
  </si>
  <si>
    <t>treneris - grieķu-romiešu cīņa 500l/gadā</t>
  </si>
  <si>
    <t>Papīrs, kancelejas preces</t>
  </si>
  <si>
    <t>Dienas nauda komandējumiem ārvalstu</t>
  </si>
  <si>
    <t xml:space="preserve"> U5.4.1.;  Rīcības programma 5.4.4.1.</t>
  </si>
  <si>
    <t xml:space="preserve">Zivju fonds  „Zivju resursu aizsardzības pasākumi Ādažu novada ūdenstipnēs”  </t>
  </si>
  <si>
    <t>Pašvaldību uzturēšanas izdevumu transferti (izņemot atmaksas) uz valsts budžetu</t>
  </si>
  <si>
    <t>Pašvaldības vienreizējie pabalsti naudā krīzes un ārkārtas situācijā</t>
  </si>
  <si>
    <t>Pārējā sociālā palīdzība un citi maksājumi iedzīvotājiem naudā (skolas piederumi)</t>
  </si>
  <si>
    <t>Pašvaldību vienreizējie pabalsti natūrā krīzes situācijā</t>
  </si>
  <si>
    <t>Sociālās garantijas bāreņiem natūrā</t>
  </si>
  <si>
    <t>Aprūpe mājās pakalpojums</t>
  </si>
  <si>
    <t>Samaksa par ilgstošas sociālās aprūpes un sociālās rehabilitācijas institūciju sniegtajiem pakalpojumiem. Ja pašvaldības uzņēmums, tad izpildē kā EKK 7210.  (skatīt pielikumu Nr.1)</t>
  </si>
  <si>
    <t xml:space="preserve">Samaksa par pārējiem sociālajiem pakalpojumiem saskaņā ar pašvaldību saistošajiem noteikumiem. </t>
  </si>
  <si>
    <t>Pabalsts ēdināšanai tuberkulozes slimniekiem</t>
  </si>
  <si>
    <t xml:space="preserve">Komisijas locekļu darba samaksa </t>
  </si>
  <si>
    <t>Piemaksas</t>
  </si>
  <si>
    <t>7.4.</t>
  </si>
  <si>
    <t>Erasmus+ projekta ietvaros - Pārējie iepriekš neklasificētie pakalpojumu veidi</t>
  </si>
  <si>
    <t xml:space="preserve">Dienas nauda Erasmus+ </t>
  </si>
  <si>
    <t xml:space="preserve">Pārējie komandējumu izdevumi Erasmus+ </t>
  </si>
  <si>
    <t>darba devēja soc. nod. Mērķdotācija</t>
  </si>
  <si>
    <t>Darba devēja soc.nod.-Mērķdotācija</t>
  </si>
  <si>
    <t>Mērķdotācija piemaksai soc. Darbiniekiem, kuri strādā ar ģimenēm un bērniem.</t>
  </si>
  <si>
    <t>Darba devēja soc.nod.- Mērķdotācija piemaksai soc. Darbiniekiem, kuri strādā ar ģimenēm un bērniem.</t>
  </si>
  <si>
    <t>Atsauce uz plānošanas dokumentiem</t>
  </si>
  <si>
    <t>Id.Nr. Investīciju plānā</t>
  </si>
  <si>
    <t>AP 5.2.1.10.</t>
  </si>
  <si>
    <t>AP 5.2.2.2.</t>
  </si>
  <si>
    <t>Pašvaldību līdzekļi neparedzētiem gadījumiem</t>
  </si>
  <si>
    <t>Pašvaldību atmaksa valsts budžetam par iepriekšējos gados saņemto, bet neizlietoto valsts budžeta transfertu uzturēšanas izdevumiem</t>
  </si>
  <si>
    <t>Transferta atmaksa</t>
  </si>
  <si>
    <t>Kārtridžu uzpilde.</t>
  </si>
  <si>
    <t xml:space="preserve">Mācību līdzekļi un materiāli  </t>
  </si>
  <si>
    <t>Erasmus+ projekta ietvaros - Pārējās preces</t>
  </si>
  <si>
    <t xml:space="preserve">Pārējie komandējumu un dienesta, darba braucienu izdevumi </t>
  </si>
  <si>
    <t xml:space="preserve">Darba devēja piešķirtie labumi un maksājumi </t>
  </si>
  <si>
    <t xml:space="preserve">Ēku, būvju un telpu uzturēšana </t>
  </si>
  <si>
    <t>Mežu dienu projekts</t>
  </si>
  <si>
    <t>1.3. Neparedzētie izdevumi (līdz 2% no  projekta kopējā finansējuma)</t>
  </si>
  <si>
    <t>RP U9.2.2.</t>
  </si>
  <si>
    <t>rezerve</t>
  </si>
  <si>
    <t>AKKA/LAA</t>
  </si>
  <si>
    <t>Skolu tiesības.lv abonoments 50.00</t>
  </si>
  <si>
    <t xml:space="preserve"> Virtuves iekārtas, rezerve virtuves pamatlīdzekļu remontiem</t>
  </si>
  <si>
    <t>Vingrošanas soli - 2 gab.</t>
  </si>
  <si>
    <r>
      <t xml:space="preserve">AS "Latvenergo" - </t>
    </r>
    <r>
      <rPr>
        <i/>
        <sz val="8"/>
        <color indexed="10"/>
        <rFont val="Arial"/>
        <family val="2"/>
        <charset val="186"/>
      </rPr>
      <t xml:space="preserve">halle </t>
    </r>
  </si>
  <si>
    <t>Solfegio lietošanas licence gadam</t>
  </si>
  <si>
    <t xml:space="preserve">Teritorijas plānotājs informē - ierakstītas vēstules, pērk ~ 2 reizes gadā. </t>
  </si>
  <si>
    <t>RP 9.1.1.17 Pedagogu profesionālās pilnveides un pieredzes apmaiņas nodrošināšana, iesaistīšanās projektos</t>
  </si>
  <si>
    <t>Ieejas biļešu, reklāmas materiālu, vides objektu, baneru, Līgo laukuma stenda baneru u.c. reklāmas materiālu  izgatavošana; Līdzekļi Kultūras centra atpazīstamības veidošanai- vizuāla, audio, tv reklāma, videosižetu montāžas</t>
  </si>
  <si>
    <t>RĪC.PL.6.2.5.2. 
RĪC.PL.6.2.5.3.</t>
  </si>
  <si>
    <t>Biroja tehnikas uzturēšana/ toneru uzpilde</t>
  </si>
  <si>
    <t>INV.PL.11.1.4.1.</t>
  </si>
  <si>
    <t xml:space="preserve">RĪC.PL.11.1.1.2. 
RĪC.PL.11.1.1.4. RĪC.PL.6.2.5.3. </t>
  </si>
  <si>
    <t xml:space="preserve">RĪC.PL.11.1.1.1. 
RĪC.PL.6.2.5.3. </t>
  </si>
  <si>
    <t xml:space="preserve">RĪC.PL.11.1.1.3. 
RĪC.PL.6.2.5.3. </t>
  </si>
  <si>
    <t xml:space="preserve">Autortiesību maksa (AKKA/LA, LaiPA) </t>
  </si>
  <si>
    <t xml:space="preserve">RĪC.PL.11.1.1.1. </t>
  </si>
  <si>
    <t xml:space="preserve">RĪC.PL.11.1.1.3. </t>
  </si>
  <si>
    <t>Amatiermākslas kolektīvu organizētie pasākumi</t>
  </si>
  <si>
    <t>Ziemassvētku noformējums /egle, rotas) Kultūras centrā</t>
  </si>
  <si>
    <t xml:space="preserve">RĪC.PL.11.1.3.2.
</t>
  </si>
  <si>
    <t>NĪ speciālista N.Rubina - max EUR 36</t>
  </si>
  <si>
    <t>Biroja krēsls</t>
  </si>
  <si>
    <t>Kancelejas preces administrācija, dzimtsaraksti</t>
  </si>
  <si>
    <t>6.2.1.1.pašvaldības finansējums</t>
  </si>
  <si>
    <t xml:space="preserve">6.2.1.5., 6.2.1.3. pašvaldības finansējums </t>
  </si>
  <si>
    <t>6.2.1.5.,6.2.1.3.pašvaldības finansējums</t>
  </si>
  <si>
    <t>6.2.1.2.pašvaldības finansējums</t>
  </si>
  <si>
    <t xml:space="preserve">6.2.5.5.,6.2.6.6.pašvaldības finansējums </t>
  </si>
  <si>
    <t xml:space="preserve">6.2.1.9. pašvaldības finansējums </t>
  </si>
  <si>
    <t>6.2.1.2. pašvaldības finansējums</t>
  </si>
  <si>
    <t xml:space="preserve">Programmu un datorsistēmu uzturēšana. </t>
  </si>
  <si>
    <t>Auditora izziņas sagatavošana no bankas</t>
  </si>
  <si>
    <t>9.1.1.13.</t>
  </si>
  <si>
    <t>Ādažu sākumskola (bāze)</t>
  </si>
  <si>
    <t>Šeit grāmatojas PVN, ko saņemam par visiem domes sniegtajiem pakalpojumiem, kas apliekas ar PVN - ko samaksā par komunālajiem pakalp.</t>
  </si>
  <si>
    <t>Reprezentācijas izdevumi</t>
  </si>
  <si>
    <t>9.1.2.2.</t>
  </si>
  <si>
    <t>Darba apmaksakomisiju un darba grupu locekļiem, kuri nav deputāti un pašvaldības darbinieki</t>
  </si>
  <si>
    <t>Izdevumi par sakaru pakalpojumiem</t>
  </si>
  <si>
    <t>Transportlīdzekļu uzturēšana, remonts un apdrošināšana</t>
  </si>
  <si>
    <t>dotācija māksliniecisko kolektīvu vadītāju atalgojumam</t>
  </si>
  <si>
    <t>Skolēnu nogādāšana baseinā</t>
  </si>
  <si>
    <t>Medikamenti</t>
  </si>
  <si>
    <t xml:space="preserve">Printeru remonts </t>
  </si>
  <si>
    <t>treneris OS 970l/gadā</t>
  </si>
  <si>
    <t xml:space="preserve">Piemaksa par personisko darba ieguldījumu un darba kvalitāti </t>
  </si>
  <si>
    <t xml:space="preserve">Pārējie ārvalstu komandējumu un dienesta, darba braucienu izdevumi. </t>
  </si>
  <si>
    <t>Piemaksa par kvalitāti</t>
  </si>
  <si>
    <t>MD: Kvalitātes piemaksa</t>
  </si>
  <si>
    <t>MD: Piemaksa par papildu darbu (bilances piemaksas)</t>
  </si>
  <si>
    <t>Ārvalstu komandējumi - Dienas nauda</t>
  </si>
  <si>
    <t xml:space="preserve">Samaksa par virsstundu darbu un darbu svētku dienās </t>
  </si>
  <si>
    <t xml:space="preserve">Piemaksa par nakts darbu  </t>
  </si>
  <si>
    <t xml:space="preserve">Piemaksa par nakts darbu </t>
  </si>
  <si>
    <t>Licences, koncesijas un patenti, preču zīmes un līdzīgas tiesības</t>
  </si>
  <si>
    <t>18.6.2.6.1.</t>
  </si>
  <si>
    <t xml:space="preserve">Ēdināšanas izdevumi </t>
  </si>
  <si>
    <t>Dienas nauda, piem., tiesa, ispilddirektoru asociāciju</t>
  </si>
  <si>
    <t>Sludinājumi "Latvijas Vēstnesī", vispārējie a/a. Tiesu administrācija utml.</t>
  </si>
  <si>
    <t>Naudas līdzekļi kontrolpirkumu veikšanai. 20.08.2013.MK noteikumi Nr.619</t>
  </si>
  <si>
    <t>Prēmijas, naudas balvas un materiālā stimulēšana</t>
  </si>
  <si>
    <t>Pārējie iekšzemes komandējumu un dienesta, darba braucienu izdevumi</t>
  </si>
  <si>
    <t>Dienas nauda ārvalstu komandējumiem</t>
  </si>
  <si>
    <t>Kafija -Līgumā Par kafijas iegādi JUR 2016-02/107 norādītā summa - 700 eiro SIA "EmeraldBaltic" ~ (EUR 700)</t>
  </si>
  <si>
    <t>Asni, derīgo izrakteņu pases atjaunošana</t>
  </si>
  <si>
    <t xml:space="preserve"> Pogrammas uzturēšanu no SIA Mikrokods.  </t>
  </si>
  <si>
    <t>Piemaksa par personisko darba ieguldījumu un darba kvalitāti</t>
  </si>
  <si>
    <t>Elektrība par dekoriem Ziemassvētku laikā</t>
  </si>
  <si>
    <t>Dienas nauda iekšzemeskomandējumiem</t>
  </si>
  <si>
    <t>Pārējie iekšzemes komandējumu un dienesta braucienu izdevumi</t>
  </si>
  <si>
    <t>Pārējie ārvalstu komandējumu un dienesta braucienu izdevumi</t>
  </si>
  <si>
    <t>8 pamatdarbinieki</t>
  </si>
  <si>
    <t>Pasta izdevumi</t>
  </si>
  <si>
    <t>Transporta pakalpojumi kolektīvu dalībai skatēs, koncertos, labdarības pasākumos 14kol. (Katrs kolektīvs var apmeklēt ar Dziesmu svētkiem saistīto obligāto skati un piedalīties vienā koncertā ārpus novada. Pārējos koncertu izdevumus kolektīvu dalībnieki sedz paši.)</t>
  </si>
  <si>
    <t>GS</t>
  </si>
  <si>
    <t xml:space="preserve">Specifiskas papildus skatuves aparatūras īre iekštelpu pasākumiem/pēc mākslinieku tehniskajiem raideri </t>
  </si>
  <si>
    <t>Rīcības plānā 11.1.1.2.</t>
  </si>
  <si>
    <t>Koplīguma dāvana darbiniekiem (likuma ietvaros) EUR 15*4</t>
  </si>
  <si>
    <t>NAIS portāla abonēšana. EUR 10</t>
  </si>
  <si>
    <t>Pārējie komandējumu un dienesta, darba braucienu izdevumi</t>
  </si>
  <si>
    <t>Darba devēja soc.pab.bez nodokļa</t>
  </si>
  <si>
    <t>2020.g.4. darbiniekam apaļas gadu jub.</t>
  </si>
  <si>
    <t xml:space="preserve"> </t>
  </si>
  <si>
    <t>Pārējās privātās vidējās izglītības iestādes</t>
  </si>
  <si>
    <t xml:space="preserve">Smart lerning suite programmatūras licences. </t>
  </si>
  <si>
    <t>letonika.lv</t>
  </si>
  <si>
    <t>uzdevumi.lv</t>
  </si>
  <si>
    <t>Soma.lv</t>
  </si>
  <si>
    <t>Koplīguma dāvana darbiniekiem (likuma ietvaros) EUR 15</t>
  </si>
  <si>
    <t>Izdevumi par apkuri</t>
  </si>
  <si>
    <t>Dzeramā ūdens (medicīnas kabin). Venden (EUR 3,45 mēnesī 2 gab.)</t>
  </si>
  <si>
    <t>Medicīnisko atkritumu utilizācija</t>
  </si>
  <si>
    <t>Mērinstrumentu verifikācija  medic.kab. (1 rezi gadā pēc MK not.)</t>
  </si>
  <si>
    <t xml:space="preserve">Mācību līdzekļi un materiāli </t>
  </si>
  <si>
    <t>RP VTP11: U11.1.2.: 11.1.2.2.</t>
  </si>
  <si>
    <t xml:space="preserve">RP 9.1.1.17 </t>
  </si>
  <si>
    <t>VTP11: 11.1.2.1.1.</t>
  </si>
  <si>
    <t xml:space="preserve">papīrs </t>
  </si>
  <si>
    <t>Mūzikas instrumentu piederumi (stīgu komplekti, lociņi, statīvi, utt.)</t>
  </si>
  <si>
    <t>Iekšzemes komandējumi - Dienas nauda</t>
  </si>
  <si>
    <t>Iekšzemes komandējumi - Pārējie komandējumu un dienesta, darba braucienu izdevumi</t>
  </si>
  <si>
    <t>Darba devēja pabalsti un kompensācijas, no kā neaprēķina ienākuma nodokli,</t>
  </si>
  <si>
    <t>Dienas nauda - ārvalstu komandējumu un dienesta, darba braucienos</t>
  </si>
  <si>
    <t>2.kārtas aktivitātes</t>
  </si>
  <si>
    <t xml:space="preserve">Kārtridžu skanerim/kopētājam/printerim (melnā krāsā) </t>
  </si>
  <si>
    <t>0911</t>
  </si>
  <si>
    <t>0921</t>
  </si>
  <si>
    <r>
      <t xml:space="preserve">IA "PROFILAKSE" - deratizācija. " </t>
    </r>
    <r>
      <rPr>
        <i/>
        <sz val="8"/>
        <color indexed="10"/>
        <rFont val="Arial"/>
        <family val="2"/>
        <charset val="186"/>
      </rPr>
      <t>+halle , =985m</t>
    </r>
    <r>
      <rPr>
        <sz val="8"/>
        <color indexed="10"/>
        <rFont val="Calibri"/>
        <family val="2"/>
        <charset val="186"/>
      </rPr>
      <t>²</t>
    </r>
  </si>
  <si>
    <t>Saimnieciskie pamatlīdzekļi</t>
  </si>
  <si>
    <t>AP 10.1.2.2.</t>
  </si>
  <si>
    <t>P_Pabalsti</t>
  </si>
  <si>
    <t xml:space="preserve">MD KA </t>
  </si>
  <si>
    <t>Komunālā saimniecība - DRN</t>
  </si>
  <si>
    <t>EUR 100 kancelejas precēm</t>
  </si>
  <si>
    <t>Izmaiņa</t>
  </si>
  <si>
    <t>Saskaņā ar 09.01.2020. vienošanos Nr. 35.9.3-1/4-1 kopsumma koordinatora dotācijai 13.01.-30.12.2020. kopsumma EUR 1'752 (papildus EUR 164)</t>
  </si>
  <si>
    <t>EUR 50 no EKK 2239 uz EKK 2311</t>
  </si>
  <si>
    <t>EUR 50 no EKK 2239 uz EKK 2312</t>
  </si>
  <si>
    <t>Tiesu izpildītājiem</t>
  </si>
  <si>
    <t>Nodaļas kods</t>
  </si>
  <si>
    <t>Ārvalstu komandējumi - dienas nauda</t>
  </si>
  <si>
    <t>Ortega - kārtridžu papildināšana</t>
  </si>
  <si>
    <t>Kancelejas preces. Zīmogi</t>
  </si>
  <si>
    <t>Darba devēja pabalsti un kompensācijas, no kā neaprēķina ienākuma nodokli, valsts sociālās apdroši</t>
  </si>
  <si>
    <t>Kārtridžu uzpildīšana.</t>
  </si>
  <si>
    <t>Biedru nauda Dzimtsarakstu nodaļu asociācijā</t>
  </si>
  <si>
    <t>0951</t>
  </si>
  <si>
    <t>Izdevumi par profesionālās darbības pakalpojumiem</t>
  </si>
  <si>
    <t>Žurnāla "Jurista vārds" abonēšana</t>
  </si>
  <si>
    <t>Līgums "Par pasta pakalpojumiem" JUR 2020-05/418 - jāmaksā par faktiski nosūtīto korespondenci, markas vairs nav jāpērk.</t>
  </si>
  <si>
    <t>MK 04.02.2020. not. Nr.71 (atalgojumam - 8211 euro; VPVKAC uzturēšanai - 700*12*0,15=1'260 euro)</t>
  </si>
  <si>
    <t>Ķīmiskās tīrīšanas pakalpojumi (tērpi, galdauti)</t>
  </si>
  <si>
    <t xml:space="preserve">Izstāžu iekārtošana, organizēšana </t>
  </si>
  <si>
    <t>DJI akumulatori, kabeļi un datu nesēji ĀKC zālēs</t>
  </si>
  <si>
    <t>ziedi māksliniekiem , telpu noformējumam , zaļie augi</t>
  </si>
  <si>
    <t>BT_IIF</t>
  </si>
  <si>
    <t>Par dalību domei nozīmīgu projektu īstenošanā</t>
  </si>
  <si>
    <t>AutoCAD abonēšana - licence</t>
  </si>
  <si>
    <t>Microsoft licences</t>
  </si>
  <si>
    <t xml:space="preserve">Eat right move right feel right (L.Kalniņa) </t>
  </si>
  <si>
    <t>Mērinstrumentu (medicīnas) verifikācija</t>
  </si>
  <si>
    <t>Šujmašīnu tekošais remonts un profilaktiskā apkope</t>
  </si>
  <si>
    <t>Projektoru lampas</t>
  </si>
  <si>
    <t>Mācību līdzekļi sociālās un pilsoniskās jomas kabinetiem - materiāli praktiskajiem darbiem</t>
  </si>
  <si>
    <t>Mācību materiāli vizuālajai mākslai, mūzikai</t>
  </si>
  <si>
    <t>Kalendārs</t>
  </si>
  <si>
    <t>Skolas reprezentācijas izdevumi</t>
  </si>
  <si>
    <t>Dezinfekcijas līdzekļi mediķiem</t>
  </si>
  <si>
    <t>Komandējumam mācībām</t>
  </si>
  <si>
    <t xml:space="preserve">AS "Latvenergo" </t>
  </si>
  <si>
    <t xml:space="preserve">Egles </t>
  </si>
  <si>
    <t>BJSS pieredzes apmaiņas brauciens</t>
  </si>
  <si>
    <t>direktores vietniece 15l*12</t>
  </si>
  <si>
    <t>Abonomenti, plakāti, bukleti. Laminējamie materiāli</t>
  </si>
  <si>
    <t xml:space="preserve">Printera apkope un remonts </t>
  </si>
  <si>
    <t>Pabalsti veselības aprūpei naudā (medicīna )</t>
  </si>
  <si>
    <t>3. Personāla atlīdzība (piemaksas u.c.) (10% no 1.+2.)</t>
  </si>
  <si>
    <t xml:space="preserve">Sociālā aizsardzība - projekti </t>
  </si>
  <si>
    <t>Pasākumi</t>
  </si>
  <si>
    <t>Ic ar SN</t>
  </si>
  <si>
    <t>Datortehnika</t>
  </si>
  <si>
    <t>MD mācību satura digitalizācijai</t>
  </si>
  <si>
    <t>Darba samaksa-interešu izglitiba (40% skolotājiem (EUR 72'580; 60% ārējiem EUR 108'871 EKK 2239)</t>
  </si>
  <si>
    <t>Dotācijas</t>
  </si>
  <si>
    <t>Dotācija</t>
  </si>
  <si>
    <t>Dokumentu iesniegšana Siguldas zonālajā valsts arhīvā</t>
  </si>
  <si>
    <t xml:space="preserve">Printeru, kompjūtertehnikas remonts </t>
  </si>
  <si>
    <t>Līgums par "Industriālā interneta" apkalpošanu (mēnesī EUR 121*12 mēn)</t>
  </si>
  <si>
    <t>Veļas mazgāšana: EUR 500 x 12.</t>
  </si>
  <si>
    <t>Valsts piemaksa PII pedagogiem, pedag. Palīgiem, auklēm. (EUR 17'150 ĀPII; EUR 9'388 KPII  (EKK 1147 EUR 7'596 EKK 1210 EUR 1'792)). Pēc rīkojuma KPII EUR 7'488,55 + soc. 1'766,54</t>
  </si>
  <si>
    <t>Bibliotēku krājumi</t>
  </si>
  <si>
    <t>12.4.1.</t>
  </si>
  <si>
    <t>12.4.2.</t>
  </si>
  <si>
    <t>12.5.</t>
  </si>
  <si>
    <t>1.9.</t>
  </si>
  <si>
    <t>CKS</t>
  </si>
  <si>
    <t>Carnikavas novadpētniecības centrs</t>
  </si>
  <si>
    <t>Nr.p.k.</t>
  </si>
  <si>
    <t>Aizņēmums</t>
  </si>
  <si>
    <t>PII Riekstiņš</t>
  </si>
  <si>
    <t>Projekts "Skolas soma" Ādaži</t>
  </si>
  <si>
    <t>pārrobežu projektu ieņēmumi ©</t>
  </si>
  <si>
    <t>12.3.1.</t>
  </si>
  <si>
    <t>12.3.2.</t>
  </si>
  <si>
    <t>ieņēmumi par telpu nomu</t>
  </si>
  <si>
    <t>ieņēmumi par zemes nomu</t>
  </si>
  <si>
    <t>V</t>
  </si>
  <si>
    <t>Korekcijas</t>
  </si>
  <si>
    <t>Korekcija</t>
  </si>
  <si>
    <t xml:space="preserve">    Atalgojums fiziskajām personām uz tiesiskās attiecības regulējošu dokumentu pamata (atalgojums par  autoratlīdzību un uzņēmuma līgumu iestādes darbiniekiem vai citām fiziskajām personām)</t>
  </si>
  <si>
    <t>Koplīguma dāvana darbiniekiem (likuma ietvaros) EUR 15*9</t>
  </si>
  <si>
    <t>Kompensācija pie attālinātā darba</t>
  </si>
  <si>
    <t>Grāmatvedība</t>
  </si>
  <si>
    <t>Laila</t>
  </si>
  <si>
    <t>Juristi</t>
  </si>
  <si>
    <t>Dzimtsaraksti</t>
  </si>
  <si>
    <t>Visi</t>
  </si>
  <si>
    <t>Pasta, telefona un citi sakaru pakalpojumi</t>
  </si>
  <si>
    <t>Transportlīdzekļu uzturēšana un remonts</t>
  </si>
  <si>
    <t>CND</t>
  </si>
  <si>
    <t>Atalgojums fiziskajām personām uz tiesiskās attiec.pam.( ārštats)</t>
  </si>
  <si>
    <t>Informācijas tehnoloģijas pakalpojumi</t>
  </si>
  <si>
    <t xml:space="preserve">ĀND </t>
  </si>
  <si>
    <t>Piemaksa par virsstundu darbu</t>
  </si>
  <si>
    <t>Izdevumi par saņemtajiem apmācību pakalpojumiem</t>
  </si>
  <si>
    <t>Pārējie komandējumu un dienesta braucienu izdevumi</t>
  </si>
  <si>
    <t>Pasta, telefona un citu sakaru pakalpojumi</t>
  </si>
  <si>
    <t>Izdevumi par precēm iestādes administratīvās darbības nodrošināšanai</t>
  </si>
  <si>
    <t>Datoru palīgierīces</t>
  </si>
  <si>
    <t>Venden</t>
  </si>
  <si>
    <t>Administratīvie izdevumi un sabiedriskās attiecības, kursu un semināru organizēšana</t>
  </si>
  <si>
    <t>Uz uzņēmuma līguma pamata pieaicināto ekspertu izdevumi</t>
  </si>
  <si>
    <t>Iepriekš neklasificētie pārējie pamatlīdzekļi</t>
  </si>
  <si>
    <t>Pārējie remonta darbu un iestāžu uzturēšanas pakalpojumi</t>
  </si>
  <si>
    <t>MD</t>
  </si>
  <si>
    <t>0954</t>
  </si>
  <si>
    <t>0957</t>
  </si>
  <si>
    <t>Transporta izdevumu kompensācijas</t>
  </si>
  <si>
    <t>10.900.01 Sociālā dienesta darba nodrošināšana un atalgojums</t>
  </si>
  <si>
    <t>10.700.03 Asistentu pakalpojumi pašvaldība</t>
  </si>
  <si>
    <t>Samaksa par aprūpi mājās</t>
  </si>
  <si>
    <t>Sociālais dienests - SAM 9311 Deinstitucionalizācija - Dienas centrs Ādaži</t>
  </si>
  <si>
    <t xml:space="preserve">Domes darbinieku darba samaksa.  </t>
  </si>
  <si>
    <t>Darba samaksa - mērķdotācijas.</t>
  </si>
  <si>
    <t xml:space="preserve">Naudas balvas, </t>
  </si>
  <si>
    <t>Darba devēja soc.nod.-mērķdotācijas.</t>
  </si>
  <si>
    <r>
      <t>Darba dev.labumi,ves.uzlab.,naudas balvas.</t>
    </r>
    <r>
      <rPr>
        <sz val="8"/>
        <color indexed="56"/>
        <rFont val="Arial"/>
        <family val="2"/>
      </rPr>
      <t xml:space="preserve"> </t>
    </r>
  </si>
  <si>
    <t>Dienas nauda. (Iekšzemes)</t>
  </si>
  <si>
    <t>Dienas nauda. (Ārvalstu)</t>
  </si>
  <si>
    <t>Paredzēti klāt 4 ārvalstu komandējumi lielo grupu treneriem (basketbols, florbols, peldēšana)</t>
  </si>
  <si>
    <t xml:space="preserve">Pārējie komandējumu izdevumi. </t>
  </si>
  <si>
    <t>Komandējuma izdevumi</t>
  </si>
  <si>
    <t xml:space="preserve">Pasta izdevumi. </t>
  </si>
  <si>
    <t>Personīgā auto nolietojums</t>
  </si>
  <si>
    <t>Pārējie komandējuma izdevumi (Iekšzemes)</t>
  </si>
  <si>
    <t>Izmaksas</t>
  </si>
  <si>
    <t>10.500.03 ESF projekts "Algotie pagaidu sabiedriski darbi pašvaldības" Nr.7APSD-42-2016</t>
  </si>
  <si>
    <t>Funkcija_DL</t>
  </si>
  <si>
    <t>Bāze</t>
  </si>
  <si>
    <t>Investīcijas</t>
  </si>
  <si>
    <t>Bāze_kapitālās</t>
  </si>
  <si>
    <t>C</t>
  </si>
  <si>
    <t>Projekts noslēdzies</t>
  </si>
  <si>
    <t>Pārējo darbinieku mēneša amatalga</t>
  </si>
  <si>
    <t>Informācijas tehnoloģiju pakalpojumi</t>
  </si>
  <si>
    <t>Budžeta iestāžu pievienotās vērtības nodokļa maksājumi</t>
  </si>
  <si>
    <t>Pārējie budžeta iestāžu pārskaitītie nodokļi un nodevas</t>
  </si>
  <si>
    <t>Darba devēja izdevumi veselības, dzīvības un nelaimes gadījumu apdrošināšanai</t>
  </si>
  <si>
    <t>Pamatlīdzekļu izveidošana un nepabeigtā celtniecība</t>
  </si>
  <si>
    <t>Valsts un pašvaldību budžeta dotācija komersantiem, biedrībām un nodibinājumiem</t>
  </si>
  <si>
    <t>09011</t>
  </si>
  <si>
    <t>Algas</t>
  </si>
  <si>
    <t>Rīkojums ĀNP/1-6-1/21/29</t>
  </si>
  <si>
    <t>Naudas balvas, prēmijas</t>
  </si>
  <si>
    <t>Citas normatīvajos aktos noteiktās piemaksas, kas nav iepriekš klasificētas</t>
  </si>
  <si>
    <t xml:space="preserve"> Atalgojums fiziskajām personām uz tiesiskās attiecības regulējošu dokumentu pamata (atalgojums par  autoratlīdzību un uzņēmuma līgumu iestādes darbiniekiem vai citām fiziskajām personām)</t>
  </si>
  <si>
    <t>Semināru vadīšana spec pedag.</t>
  </si>
  <si>
    <t>Darba devēja mācību maksas kompensācijas</t>
  </si>
  <si>
    <t>Kārtējā remonta un iestāžu un uzturēšanas materiāli</t>
  </si>
  <si>
    <t>Virtuves inventārs, trauki un galda piederumi</t>
  </si>
  <si>
    <t xml:space="preserve">Avārijas remontu rezerve </t>
  </si>
  <si>
    <t>Ziedi un to izstrādājumi nozīmīgiem pasākumiem (t.sk. Izlaidums, 1. septembris, Skolotāju diena)</t>
  </si>
  <si>
    <t>09021</t>
  </si>
  <si>
    <t>0982</t>
  </si>
  <si>
    <t>09821</t>
  </si>
  <si>
    <t>09822</t>
  </si>
  <si>
    <t>0901</t>
  </si>
  <si>
    <t>0932</t>
  </si>
  <si>
    <t>09.530.08 ESF projekts Atbalsts priekšlaicīgas mācību pārtraukšanas</t>
  </si>
  <si>
    <t>DD Valsts sociālā apdrošināšanas obligātā iemaksa</t>
  </si>
  <si>
    <t>DD sociāla rakstura pabalsti un kompensācijas, no kuriem aprēķina ienā</t>
  </si>
  <si>
    <t>Izdevumi periodikas iegādei</t>
  </si>
  <si>
    <t>Informācijas tehnoloģiju nodaļa</t>
  </si>
  <si>
    <t>P1</t>
  </si>
  <si>
    <t>08.290.19 ESF projekts SAM 9.2.4.2. Sabiedrības veselība un sports</t>
  </si>
  <si>
    <t>Procenti/ parāda apkalpošana</t>
  </si>
  <si>
    <t>Lursoft.</t>
  </si>
  <si>
    <t>Kursu apmeklējumi. Ja vidēji EUR 85 uz darbinieku*60</t>
  </si>
  <si>
    <t>Dalība pašvaldību savienības kongresā EUR 35*3*3</t>
  </si>
  <si>
    <t>PFI</t>
  </si>
  <si>
    <t xml:space="preserve">Autoservisa pakalpojumi  </t>
  </si>
  <si>
    <t>LG</t>
  </si>
  <si>
    <t>ES standartu gadskārtējā pārbaude tīmekļvietnēm saskaņā ar MK not.</t>
  </si>
  <si>
    <t>Kompensācija attālināta darba veikšana</t>
  </si>
  <si>
    <t>Transports Gaujas svētki dažādām aktivitātēm</t>
  </si>
  <si>
    <t>Transports Valsts svētku pasākumiem ārpus ĀKC telpām</t>
  </si>
  <si>
    <t>Kvadracikla OCTA</t>
  </si>
  <si>
    <t>tatjanai (40 gadi), Agnetai (40 gadi), Marinai (60 gadi), Aldonai 15 gadu darba jubileja</t>
  </si>
  <si>
    <t>Transports Florbola komandas nodrošināšanai uz sacensībām</t>
  </si>
  <si>
    <t>Bāze_Pasākumi</t>
  </si>
  <si>
    <t>SIA TET ~EUR 40*12</t>
  </si>
  <si>
    <t>Iekārtas, inventāra remonts un tehniskā apkalpošana -multifunkcionālās iekārtas Kyocera (ļoti novecojusi tehnika) Būtu nepieciešams iegādāties jaunu multifunkcionālo iekārtau. Bibliotēka ir vienīgā vieta,  kur iedzīvotāji saņem kopēšanas, printēšanas un skenēšanas pakalpojumus.</t>
  </si>
  <si>
    <t xml:space="preserve">Muzejs - Maketēšanas un dizainera pakalpojumi. Konsultācijas ekspozīcijas iekārtošanas jautājumos, papildus līdzekļi tiks gūti, piesaistot ES līdzfinansējumu. </t>
  </si>
  <si>
    <t>Muzejs - Profesionāli tulkošanas, tekstu rediģēšanas, korektora pakalpojumi (no vācu valodas)</t>
  </si>
  <si>
    <t>Muzejs - Digitālās drukas un dokumentu apstrādes pakalpojumi. Reklāmas materiāli.</t>
  </si>
  <si>
    <t>Muzejs - Muzeju un krātuvju eksponātu deponēšanas izdevumi.  Izziņu, kopiju un citu  dokumentu pasūtīšanas un izgatavošanas izdevumi no valsts vai privātajām dokumentu glabātuvēm. Nozīmīgu novada kultūrvēsturisko liecību iegādes izdevumi</t>
  </si>
  <si>
    <t xml:space="preserve">Muzejs - Tehniskā aprīkojuma remonts </t>
  </si>
  <si>
    <t>CND infocentrs</t>
  </si>
  <si>
    <t>CND Carnikavas novadpētniecības centrs - Zvejnieku mājas fasādes krāsošana un atjaunošana</t>
  </si>
  <si>
    <t>Koplīguma dāvana darbiniekiem (likuma ietvaros) EUR 15*5</t>
  </si>
  <si>
    <t>Pasta pakalpojumi ierakstītajām vēstulēm (bērnu uzņemšana)</t>
  </si>
  <si>
    <t>Dalība kursos, konferencēs, kongresos, semināros, t.sk.telpu īre, lektora izmaksas, t.sk. izmitināšanas, ēdināšanas; izglītojamo papildus izglītības programmas</t>
  </si>
  <si>
    <t>Klavieru skaņošana….Inventāra, aparatūras remonts, tehniskā apkalpošana, kalibrēšana, verificēšana</t>
  </si>
  <si>
    <t>Rezerve, pārējo nodrošina PA "Komunālserviss"</t>
  </si>
  <si>
    <t>Biroja preces, kanceleja darbiniekiem (A4 lapas, pildspalvas, u.c.)</t>
  </si>
  <si>
    <t>Bērnu gultiņu matracīši</t>
  </si>
  <si>
    <t>Rotaļlietu plaukti</t>
  </si>
  <si>
    <t>Plāksnes ar apdruku pie durvīm</t>
  </si>
  <si>
    <t>Degviela vadītājam un vad.vietniekam.</t>
  </si>
  <si>
    <t>Dezinfekcijas līdzekļi</t>
  </si>
  <si>
    <t>Iestādes krāsas, šabloni, uzraksti</t>
  </si>
  <si>
    <t>C16.1.2.1 Digitalizācijas rīku ieviešana darba organizācijai un pakalpojumu nodrošināšanai</t>
  </si>
  <si>
    <t>C16.1.1.6. Pašvaldības iestāžu, struktūrvienību un uzņēmumu darbinieku kvalifikācijas paaugstināšana</t>
  </si>
  <si>
    <t>C16.1.1.3. Nepieciešamā personāla nodrošināšana pašvaldības iestādēs</t>
  </si>
  <si>
    <t>C8.1.1.1. Projekta “Ekoskola” ieviešana</t>
  </si>
  <si>
    <t>C8.1.3.1. Vienotas izglītības sistēmas pārvaldības sistēmas izveide</t>
  </si>
  <si>
    <t>C12.1.1.5. Ekskursiju un saturīga brīvā laika (ārpus nodarbībām) pavadīšanas iespēju nodrošināšana</t>
  </si>
  <si>
    <t xml:space="preserve">C16.1.1.5. Konkurētspējīgas motivēšanas sistēmas pilnveidošana </t>
  </si>
  <si>
    <t>28.10.2021. SIA "Edurio" Līgums Nr.L202110-06,  Klienta līgums Nr.JUR 2021-10/846 pirmsskolas darbības izvērtēšanai (vecāki, darbinieki) abonēšana kalendārā gada ietvaros EUR 312,18 (242 izglītojamie)</t>
  </si>
  <si>
    <t>C16.1.1.2. Pašvaldības iestāžu, struktūrvienību un uzņēmumu materiāltehniskās bāzes paplašināšana</t>
  </si>
  <si>
    <t>C8.1.2.3. Iekļaujošas pirmsskolas izglītības pieejamības nodrošināšana</t>
  </si>
  <si>
    <t>C8.3.2.1. “Zaļās” domāšanas veicināšana</t>
  </si>
  <si>
    <t>C5.1.4.3. Smilšu, mākslas un relaksācijas telpas izveide; C8.1.2.3. Iekļaujošas pirmsskolas izglītības pieejamības nodrošināšana</t>
  </si>
  <si>
    <t>Ziedi un to izstrādājumi nozīmīgiem pasākumiem (t.sk. Izlaidums, 1. septembris, Skolotāju diena, u.c.)</t>
  </si>
  <si>
    <t>Pārtika (kafija, tēja, min.ūdens, konfektes, cukurs, cepumi ) viesu uzņemšanai, pieredzes apmaiņas semināriem. EUR 250.00</t>
  </si>
  <si>
    <t xml:space="preserve">C12.1.2.1. Veselīga dzīvesveida veicināšana; C12.1.2.3. Veselības stundu ieviešana pirmsskolās </t>
  </si>
  <si>
    <t>C8.1.1.4. Brīvdabas bērnudārzu un skolu izveide; C16.1.1.2. Pašvaldības iestāžu, struktūrvienību un uzņēmumu materiāltehniskās bāzes paplašināšana</t>
  </si>
  <si>
    <t>C16.1.2.1 Digitalizācijas rīku ieviešana darba organizācijai un pakalpojumu nodrošināšanai; C16.1.1.2. Pašvaldības iestāžu, struktūrvienību un uzņēmumu materiāltehniskās bāzes paplašināšana</t>
  </si>
  <si>
    <t>Esošo veco MS Office licenžu atjaunināšana</t>
  </si>
  <si>
    <t xml:space="preserve">IT 5 darbiniekiem mobilie telefoni ar bezlimita internetu -50eur/mēn. </t>
  </si>
  <si>
    <t>EUR 15*5</t>
  </si>
  <si>
    <t> Plāno ekskursiju (vasaras perioda-pieredzes apmaiņa)- ārpus Latvijas uz 2.dienām ( no Kadagas PII brauks 2.cilvēki, komandējuma nauda + viesnīca);</t>
  </si>
  <si>
    <t>Plāno ekskursiju (vasaras perioda-pieredzes apmaiņa)- ārpus Latvijas uz 2.dienām ( no Kadagas PII brauks 2.cilvēki, komandējuma nauda + viesnīca);</t>
  </si>
  <si>
    <t xml:space="preserve">SIA „Tet” EUR 120*12=1440; </t>
  </si>
  <si>
    <t>eis-kancelejas preces EUR 700,00</t>
  </si>
  <si>
    <t>Rezerve jauno amat vietu nodrošināšanai</t>
  </si>
  <si>
    <t>Dezinfekcijas materiāli, uzturēšanas lietas</t>
  </si>
  <si>
    <t xml:space="preserve">Ziedi un to izstrādājumi, </t>
  </si>
  <si>
    <t>0830 Ādažu bibliotēka</t>
  </si>
  <si>
    <t>0831 Carnikavas bibliotēka</t>
  </si>
  <si>
    <t>Līdzfinansējums Salaspils domei  par programmas Alise-i servera uztur., metodiskā palīdzība semināri u.t.t.</t>
  </si>
  <si>
    <t>Preču pievešana</t>
  </si>
  <si>
    <t>Edurio programma datu apstrādei</t>
  </si>
  <si>
    <t>Datorprogrammu un licenču iegāde (Tajā skaitā MS Teams)</t>
  </si>
  <si>
    <t xml:space="preserve">Mācību līdzekļi atbalsta komandas katedrai </t>
  </si>
  <si>
    <t>maconis.zvaigzne.lv</t>
  </si>
  <si>
    <t>Daiļliteratūra</t>
  </si>
  <si>
    <t>Mācību līdzekļi un materiāli BURTIŅI</t>
  </si>
  <si>
    <t>Mācību līdzekļi un materiāli CIPARIŅI</t>
  </si>
  <si>
    <t>Mācību līdzekļi un materiāli KĀPĒCĪŠI</t>
  </si>
  <si>
    <t>Mācību līdzekļi un materiāli mūzikas stundās</t>
  </si>
  <si>
    <t>Mācību līdzekļi un materiāli sporta stundās</t>
  </si>
  <si>
    <t>Metodiskā literatūra</t>
  </si>
  <si>
    <t>Edurio abonēšanas maksa</t>
  </si>
  <si>
    <t>VTP8 RV8.2. U8.2.3. Ā8.2.3.1. atbalsts dalībai konkursos, koncertos u.c.</t>
  </si>
  <si>
    <t>VTP8 RV8.2. U8.2.3 Ā8.2.3.3. Atbalsts dalībai nometnēs un radošajās darbnīcās</t>
  </si>
  <si>
    <t>VTP8. RV8.2. U8.2.3 Ā8.2.3.3. Atbalsts dalībai nometnēs un radošajās darbnīcās</t>
  </si>
  <si>
    <t>PDF Architect 8 PRO + OCR Advanced</t>
  </si>
  <si>
    <t xml:space="preserve">Mākslas konkurss Gaujas mozaīka Ādažos </t>
  </si>
  <si>
    <t xml:space="preserve">Atbalsts bērnu dalībai konkursos, festivālos, koncertos, izstādēs, meistarklasēs, projektos u.c. </t>
  </si>
  <si>
    <t xml:space="preserve">VTP8. RV8.2. U8.2.3. Ā8.2.3.1  </t>
  </si>
  <si>
    <t xml:space="preserve"> ĀMMS - Starptautiskais jaunrades dziesmu konkurss "Skaņuraksti Ādažos"</t>
  </si>
  <si>
    <t>VTP8. RV8.2. U8.2.4.Ā8.2.4.1. atbalsts iestādes rīkoto konkursu, festivālu organizēšanai</t>
  </si>
  <si>
    <t xml:space="preserve">VTP16. RV16.1. U16.1.1. Ā16.1.1.4. Darbinieku kvalifikācijas paaugstināšana                                                                                       </t>
  </si>
  <si>
    <t xml:space="preserve">VTP8. RV8.2. U8.2.4.Ā8.2.4.1. atbalsts iestādes rīkoto konkursu, festivālu organizēšanai </t>
  </si>
  <si>
    <t>VTP16. RV16.1.U16.1.1.Ā16.1.1.3. Pašvaldības iestāžu materiāltehniskās bāzes paplašināšana</t>
  </si>
  <si>
    <t>U.8.1.4.</t>
  </si>
  <si>
    <t>U.8.4.1.
U.8.4.2.</t>
  </si>
  <si>
    <t>U15.1.4.</t>
  </si>
  <si>
    <t>LM dotācija, nāks atpakaļ. Plānoti 12 darbinieki ~EUR 122 +soc.nod.</t>
  </si>
  <si>
    <t>Sociālā dienesta vadītāja I.Roze, un divi vietnieki  personīgais transportlīdzeklis max nolietojums mēnesī EUR 19/14/14</t>
  </si>
  <si>
    <t>Bāze_pabalsti</t>
  </si>
  <si>
    <t>Ārkārtas situācija 700 EUR ar  Domes lēmumu piešķir pabalstu pēc ugunsgrēka.</t>
  </si>
  <si>
    <t xml:space="preserve">Mājokļa pabalsts </t>
  </si>
  <si>
    <t>Pielikums Nr 1</t>
  </si>
  <si>
    <t>Pasākuma organizēšana  Ziemassvētku labdarības pasākumam bērniem EUR 1000</t>
  </si>
  <si>
    <t>Līgums par uzkopšanu</t>
  </si>
  <si>
    <t>Atalgojums par  autoratlīdzību un uzņēmuma līgumu iestādes darbiniekiem vai citām fiziskajām personām, kuras nodrošina iestādes darbinieku profesionālo pilnveidi konkurētspējīga mācību procesa nodrošinājumam (semināri, apmācības) EUR 1000</t>
  </si>
  <si>
    <t>Divas darba vietas - Darba galdi, krēsli, skapji, dokumentu skapji, 1 dators</t>
  </si>
  <si>
    <t>Kārtridžu uzpilde 100 EUR Ādaži, 100 EUR Carnikava.</t>
  </si>
  <si>
    <t>Ēdināšana DAC</t>
  </si>
  <si>
    <t>Alise, - 400</t>
  </si>
  <si>
    <t>Telefonu apmaksa saskaņā ar rīkojumu (vadītāja EUR 15; bibliotekāre EUR 10)</t>
  </si>
  <si>
    <t>lekcijas, tikšanās</t>
  </si>
  <si>
    <t>biroja preces, papīrs</t>
  </si>
  <si>
    <t>tīrīšanas līdzekļi</t>
  </si>
  <si>
    <t>AP 2021-2027.gadam uzdevums U4.1.1: Attīstīt rekreācijas infrastruktūru, pasākums Ā4.1.1.4. Publisko pludmaļu un peldvietu labiekārtošana un pasākums Ā4.1.1.5. Dabas taku izveide.  Uzdevums U5.1.1: Sekmēt novada publiskās ārtelpas attīstību, pasākums Ā5.1.1.2. Pasākumi sabiedrisko aktivitāšu teritoriju uzlabošanai</t>
  </si>
  <si>
    <t>AP 2021-2027.gadam uzdevums U15.1.1: Veicināt iedzīvotāju iniciatīvu un dalību novada, sava ciema dzīves un teritorijas attīstības plānošanā, vides uzlabošanā, un novada publiskās ārtelpas izdaiļošanā, pasākums: Ā15.1.1.3. Konkursa “Sakopta vide Ādažu novadā” īstenošana</t>
  </si>
  <si>
    <t>AP 2021-2027.gadam uzdevums U15.1.1: Veicināt iedzīvotāju iniciatīvu un dalību novada, sava ciema dzīves un teritorijas attīstības plānošanā, vides uzlabošanā, un novada publiskās ārtelpas izdaiļošanā, pasākums: Ā15.1.1.4. Konkursa “Ziemassvētku dekorācijas īpašumos” īstenošana</t>
  </si>
  <si>
    <t xml:space="preserve">AP 2021-2027.gadam uzdevums  U15.1.2: Veicināt kopienu attīstību un iesaistīt teritorijas attīstības pasākumu radīšanā, tajā skaitā īstenojot konkursu “Sabiedrība ar dvēseli””, pasākuma “Ā15.1.2.3. Pašvaldības līdzdalība iedzīvotāju iniciētu projektu īstenošanā” </t>
  </si>
  <si>
    <t>Kursu, semināru apmeklējumi. (9 locekļi * EUR 85)</t>
  </si>
  <si>
    <t>~12 deputātiem 50l*1,4 mēnesī</t>
  </si>
  <si>
    <t>Paklāju maiņa</t>
  </si>
  <si>
    <t>Mērķdotācija interešu izglītība</t>
  </si>
  <si>
    <t>Mērķdotācij</t>
  </si>
  <si>
    <t>Citi izdevumi par pakalpojumiem sabiedrisko attiecību jomā, kā arī izdevumi citu sabiedrisko aktivitāšu īstenošanai</t>
  </si>
  <si>
    <t>Normatīvajos aktos noteiktie veselības un fiziskās sagatavotības pārbaudes izdevumi</t>
  </si>
  <si>
    <t>Izdevumi par saņemtajiem mācību pakalpojumiem</t>
  </si>
  <si>
    <t>Zāles un pārsienamie materiāli, medicīniskie instrumenti</t>
  </si>
  <si>
    <t>Zinātniski pētniecisko darbu un laboratorijas darbiem nepieciešamais inventārs, instrumenti un materiāli</t>
  </si>
  <si>
    <t>Ēdināšanas izdevumi</t>
  </si>
  <si>
    <t>Mācību maksas kompensācija</t>
  </si>
  <si>
    <t>Garciemā apgaismes armatūra videonovērošanas uzstādīšanai Optika 100/100 ar vienu statisko IP</t>
  </si>
  <si>
    <t>Sarunu ieraksts</t>
  </si>
  <si>
    <t>CKS - Domes teritorijas kopšana,uzturēšana (bāze)</t>
  </si>
  <si>
    <t>ĀND</t>
  </si>
  <si>
    <t>NĪD</t>
  </si>
  <si>
    <t>5.5.</t>
  </si>
  <si>
    <t>Bibliotēka Ādaži (bāze)</t>
  </si>
  <si>
    <t>Bibliotēka Carnikava (bāze)</t>
  </si>
  <si>
    <t>Muzejs_Carnikavas novadpētniecības centrs (bāze)</t>
  </si>
  <si>
    <t>Tautas nams "Ozolaine" (bāze)</t>
  </si>
  <si>
    <t>7.5.</t>
  </si>
  <si>
    <t>Stipendiāti / bezdarbnieki (bāze)</t>
  </si>
  <si>
    <t>Pirmsskolas izglītības iestāde "Riekstiņš" (bāze)</t>
  </si>
  <si>
    <t>Pirmsskolas izglītības iestādes "Piejūra" (bāze)</t>
  </si>
  <si>
    <t>Džimbas 11 soļi drošības programmas īstenošana</t>
  </si>
  <si>
    <t>Ziedi un to izstrādājumi, personāla daļa.</t>
  </si>
  <si>
    <t>Būvvaldes vadītājs/būvinspektors ~ max EUR 57</t>
  </si>
  <si>
    <t>Inženierkomunikāciju tīklu galvenais speciālists ~ EUR 32</t>
  </si>
  <si>
    <t>Būvinženieris ~ EUR 21</t>
  </si>
  <si>
    <t>Galvenais arhitekts ~ EUR 55</t>
  </si>
  <si>
    <t>Būvvaldes vadītāja vietnieks/būvinspektors ~ EUR 57</t>
  </si>
  <si>
    <t>Arhitekts ~ max EUR 55</t>
  </si>
  <si>
    <t>Būvinspektors ~ max EUR 32</t>
  </si>
  <si>
    <t>"Depo" saimniecības preces, galds (ne biroja)</t>
  </si>
  <si>
    <t>E-klases apkalpošana</t>
  </si>
  <si>
    <t>Teritorijas plānošanas nodaļa (bāze)</t>
  </si>
  <si>
    <t>Cits finansējums</t>
  </si>
  <si>
    <t>Kopsumma</t>
  </si>
  <si>
    <t>KOPĀ BĀZES IZDEVUMI</t>
  </si>
  <si>
    <t>0831</t>
  </si>
  <si>
    <t>0670</t>
  </si>
  <si>
    <t>08.290 8 SAM 5.5.1. Kultūras objektu būvniecība (Saviļņojošā vidzeme)</t>
  </si>
  <si>
    <t>0170 Informācijas tehnoloģiju nodaļa</t>
  </si>
  <si>
    <t>Atalgojums Civilās aizsardzības komisijas sekretāra amatam 10% no amatalgas (1'917) 6 mēneši</t>
  </si>
  <si>
    <t>BĀZES IEŅĒMUMI - BĀZES IZDEVUMI</t>
  </si>
  <si>
    <t>Kredītu pamatsummu atmaksas:</t>
  </si>
  <si>
    <t>Atlikums:</t>
  </si>
  <si>
    <t xml:space="preserve">Gaujas 33A; Kurināmais </t>
  </si>
  <si>
    <t>Būvuzraudzība</t>
  </si>
  <si>
    <t>Parāda procentu maksājumi</t>
  </si>
  <si>
    <t>0902</t>
  </si>
  <si>
    <t>Projekts "Skolas soma" Carnikava</t>
  </si>
  <si>
    <t>Projekts Skolas soma</t>
  </si>
  <si>
    <t>Attīstības un projektu nodaļa (bāze)</t>
  </si>
  <si>
    <t>Maģistrālā  veloceļa izbūve Rīga-Carnikava</t>
  </si>
  <si>
    <t>Latvijas dzelzceļš - objektu noma (01.110.01 Administrācija)</t>
  </si>
  <si>
    <t>Bāzes ieņēmumi</t>
  </si>
  <si>
    <t>Bāzes izdevumi</t>
  </si>
  <si>
    <t>Portatīvā datora licence 4 gab.</t>
  </si>
  <si>
    <t xml:space="preserve">Ā15.1.2.1. un C15.1.2.1. </t>
  </si>
  <si>
    <t xml:space="preserve">Ā15.1.2.4. </t>
  </si>
  <si>
    <t>Carnikavas Nēģu svētki</t>
  </si>
  <si>
    <t>Konta atlikums</t>
  </si>
  <si>
    <t>Nodokļi un maksājumi par tiesībām lietot atsevišķas preces</t>
  </si>
  <si>
    <t>Atlīdzība</t>
  </si>
  <si>
    <t>pārējie ieņēmumi/ stāvvietu ieņēmumi</t>
  </si>
  <si>
    <t>7.6.</t>
  </si>
  <si>
    <t>7.7.</t>
  </si>
  <si>
    <t>7.8.</t>
  </si>
  <si>
    <t>7.9.</t>
  </si>
  <si>
    <t>Administrācija</t>
  </si>
  <si>
    <t>Sabiedrisko attiecību nodaļa</t>
  </si>
  <si>
    <t>0841.3</t>
  </si>
  <si>
    <t>0841.2</t>
  </si>
  <si>
    <t>1014.1</t>
  </si>
  <si>
    <t>0510</t>
  </si>
  <si>
    <t xml:space="preserve">Darbinieku apmācība </t>
  </si>
  <si>
    <t>0420</t>
  </si>
  <si>
    <t>0633.1</t>
  </si>
  <si>
    <t>0633.2</t>
  </si>
  <si>
    <t>ZZ Dats</t>
  </si>
  <si>
    <t>0841.1</t>
  </si>
  <si>
    <t xml:space="preserve"> Muzejs -  Audiovizuālā arhīva aprīkojuma  un multivides materiālu nesēji, spuldzes, vadi, materiāli (stikls, polikarbonāts, koks, kartons u.c.) muzeja krājuma eksponēšanas nodrošināšanai – 500.00 EUR</t>
  </si>
  <si>
    <t>1013.1</t>
  </si>
  <si>
    <t>Grāmatas, mācību metodiskā literatūra</t>
  </si>
  <si>
    <t>Nemateriālo ieguldījumu izveidošana</t>
  </si>
  <si>
    <t>Dabas resursu nodoklis</t>
  </si>
  <si>
    <t>5.5.3.1.</t>
  </si>
  <si>
    <t>5.4.1.0.</t>
  </si>
  <si>
    <t>Izdevumi par tiesvedības darbiem</t>
  </si>
  <si>
    <t>Piemaksa par darbu īpašos apstākļos, speciālās piemaksas</t>
  </si>
  <si>
    <t>Pārējie neklasificētie izdevumi</t>
  </si>
  <si>
    <t>Pašvaldību pabalsti naudā krīzes situācijā</t>
  </si>
  <si>
    <t>EUR 2'000 no EKK 1147 uz EKK 1148 (EKK korekcija)</t>
  </si>
  <si>
    <t xml:space="preserve">Pārējie budžeta iestāžu pārskaitītie nodokļi un nodevas </t>
  </si>
  <si>
    <t>18.6.4.0.</t>
  </si>
  <si>
    <t>IIN budžeta dotācija</t>
  </si>
  <si>
    <t>0620</t>
  </si>
  <si>
    <t>0634</t>
  </si>
  <si>
    <t>0844.1</t>
  </si>
  <si>
    <t>EUR 1000 no EKK 1228 uz EKK 1227 (EKK korekcija - apdrošināšanas kompensācijas EKK 1227)</t>
  </si>
  <si>
    <t>Pašvaldības un tās iestāžu savstarpējie transferti</t>
  </si>
  <si>
    <t>16.09.2015. Fin. kom. atbalstīta dalība biedrībā "Pierīgas pašvaldību apvienība" biedru nauda"Rīgas metropole"</t>
  </si>
  <si>
    <t>09651</t>
  </si>
  <si>
    <t>0920</t>
  </si>
  <si>
    <t>09825</t>
  </si>
  <si>
    <t>Ādažu vēstis</t>
  </si>
  <si>
    <t>4.1.1.</t>
  </si>
  <si>
    <t>4.1.2.</t>
  </si>
  <si>
    <t>0630.1</t>
  </si>
  <si>
    <t xml:space="preserve"> Piemaksa par papildu darbu</t>
  </si>
  <si>
    <t>Dienas nauda - ārpus LV</t>
  </si>
  <si>
    <t>Pārējie komandējumu un dienesta, darba braucienu izdevumi - ārpus LV</t>
  </si>
  <si>
    <t xml:space="preserve"> Izdevumi par transporta pakalpojumiem</t>
  </si>
  <si>
    <t>Uz informācijas tehnoloģijas nodaļu no 0648</t>
  </si>
  <si>
    <t>Atalgojums fiziskajām personām uz tiesiskās attiecības regulējošu dokumentu pamata (atalgojums par autoratlīdzību un uzņēmuma līgumu iestādes darbiniekiem vai citām fiziskajām personām)</t>
  </si>
  <si>
    <t>PFIF</t>
  </si>
  <si>
    <t>Pārējie komandējumu un dienesta, darba braucienu izdevumi- LV</t>
  </si>
  <si>
    <t>Iestāžu uzturēšanas materiāli un preces</t>
  </si>
  <si>
    <t>Izdevumu kompensācija</t>
  </si>
  <si>
    <t>Atvaļinājuma pabalsts</t>
  </si>
  <si>
    <t>Atvaļinājuma pabalsti</t>
  </si>
  <si>
    <t>Piemaksu rezerve</t>
  </si>
  <si>
    <t xml:space="preserve">Dienas nauda - ārpus LV </t>
  </si>
  <si>
    <t>Briļļu kompensācija</t>
  </si>
  <si>
    <t>Apdrošināšanas kompensācija</t>
  </si>
  <si>
    <t>Toneru uzpildīšana</t>
  </si>
  <si>
    <t>Pašvaldības un tās iestāžu savstarpējie transfert</t>
  </si>
  <si>
    <t xml:space="preserve">Izdevumu kompensācija, strādājos attālināti </t>
  </si>
  <si>
    <t xml:space="preserve">Darba devēja izdevumi veselības, dzīvības un nelaimes gadījumu apdrošināšanai </t>
  </si>
  <si>
    <t xml:space="preserve">Piemaksa par papildu darbu </t>
  </si>
  <si>
    <t xml:space="preserve">Pārējie komandējumu un dienesta, darba braucienu izdevumi - ārpus LV </t>
  </si>
  <si>
    <t>Kopētāja apkope, kārtridžu uzpildīšana, putekļu sūcēja apkope</t>
  </si>
  <si>
    <t>Piemaksa par papildu darba</t>
  </si>
  <si>
    <t>Izdevumi par piešķirumiem iedzīvotājiem natūrā brīvprātīgo iniciatīvu izpildei</t>
  </si>
  <si>
    <t>Izdevumi par atkritumu izvešanu</t>
  </si>
  <si>
    <t>Inženierbūves</t>
  </si>
  <si>
    <t>Samaksa par pārējiem sociālajiem pakalpojumiem saskaņā ar pašvaldību saistošajiem noteikumiem</t>
  </si>
  <si>
    <t>Par Ukraiņas pilsoņiem</t>
  </si>
  <si>
    <t>1030 Bāriņtiesa</t>
  </si>
  <si>
    <t>IIN</t>
  </si>
  <si>
    <t>21.3.8.9.</t>
  </si>
  <si>
    <t>21.3.9.9.</t>
  </si>
  <si>
    <t>Algas rezerves 50% apmērā no mēnešalgas atgriešana budžetā.</t>
  </si>
  <si>
    <t>Pabalsti ēdināšanai natūrā</t>
  </si>
  <si>
    <t>IIN pieaugums, līdz ar to iemaksu PFIF pieaugums</t>
  </si>
  <si>
    <t>Drona vispārējā civiltiesiskā apdrošinšana</t>
  </si>
  <si>
    <t>Pēc ITN norādījumiem</t>
  </si>
  <si>
    <t>Prēmijas un naudas balvas</t>
  </si>
  <si>
    <t>Normatīvajos aktos noteiktās veselības un fiziskās sagatavotības pārbaudes</t>
  </si>
  <si>
    <t>Kursi un semināri darbiniekiem un kolektīvu vadītājiem</t>
  </si>
  <si>
    <t>Tradicionālo gadskārtu un valsts svētku pasākumu organizēšanas izdevumi (Lieldienas, Saulgrieži, 4.maijs, 18.novembris, Ziemassvētki)</t>
  </si>
  <si>
    <t>O.Vācieša literārā prēmija dzejā:</t>
  </si>
  <si>
    <t>Dalības maksa konkursos un skatēs</t>
  </si>
  <si>
    <t>Klavieru remonts un skaņošana</t>
  </si>
  <si>
    <t>Skatuves aprīkojuma un gaismu sistēmas uzturēšana un remonts</t>
  </si>
  <si>
    <t>Venden aparāta noma</t>
  </si>
  <si>
    <t>Saimniecības preces telpu uzkopšanai</t>
  </si>
  <si>
    <t>Kultūras nama saimnieciskie izdevumi un noformējuma materiāli (stādi puķu kastēm, zeme, vāzes, savilces izstādēm)</t>
  </si>
  <si>
    <t xml:space="preserve">Dalība tūrisma aktivitātēs, preču un pakalpojumu piegāde </t>
  </si>
  <si>
    <t>Autoratlīdzība par Piejūras dabas parka dabas vērtību aprakstiem informatīvajiem izdevumiem.</t>
  </si>
  <si>
    <t>Vadītājs D.Čūriška</t>
  </si>
  <si>
    <t>NĪ speciālists G.Cielava</t>
  </si>
  <si>
    <t>NĪ e-izsoļu nodrošinājums (NĪ tirgus vertējums EUR 400/NĪ, sludinājumi SS.lv EUR 20/NĪ, Tiesu administrācijas pakalpojumi e-izsoļu vietnē EUR 20/NĪ), 10 NĪ x EUR 440 = EUR 4400).</t>
  </si>
  <si>
    <t>Reprezentācijas izdevumi sadarbības veicināšanai (mērnieki, vērtētāji u.c.).</t>
  </si>
  <si>
    <t>Āra trenažieru uzstādīšana pie Ādažu stadiona</t>
  </si>
  <si>
    <t>Bāriņtiesas priekšsēdētāja un priekšsēdētāja vietnieka personīgā transportlīdzekļa vid. nolietojums mēnesī EUR 30*2*12</t>
  </si>
  <si>
    <t>Sakaru pakalpojumi un pasta sūtījumi</t>
  </si>
  <si>
    <t>Bāriņtiesu asociācijas biedru nauda (2023.g. -300 EUR)</t>
  </si>
  <si>
    <t>Komandējumi un darba braucieni</t>
  </si>
  <si>
    <t>Rezerve (pieredzes apmaiņas braucieniem)</t>
  </si>
  <si>
    <t>Par lektoriem, kuri lasa lekcijas mūsu darbiniekiem</t>
  </si>
  <si>
    <t>Mācību materiāli, kuri tiek klasificēti kā mazvērtīgais inventārs (kur daļa varētu būt līgums ar DEPO)</t>
  </si>
  <si>
    <t>Rezerve (ūdens, konditoreja, u.c)</t>
  </si>
  <si>
    <t>Nojumes pie Pūcēniem labiekārtošana (grīdas seguma nomaiņa, krāsošana)</t>
  </si>
  <si>
    <t>Kancelejas preces administrācijai: EUR 350 (kanceleja)+EUR 100 (vadītāja) +EUR 150 (vadītājas vietn)=EUR 600.00</t>
  </si>
  <si>
    <t>EUR 100 rezerve.</t>
  </si>
  <si>
    <t>Kursi, semināru organizēšana(vienam pedagogam 50 , skolotāju palīgam 30)2400+600</t>
  </si>
  <si>
    <t>Kursi 13 skolotājas palīgiem 50.00 EUR *13=650 EUR.</t>
  </si>
  <si>
    <t>Kursi 27 pirmsskolas skolotājam 50.00 EUR *27=1350,00 EUR.</t>
  </si>
  <si>
    <t xml:space="preserve">Papīrs - e-iepirkums  </t>
  </si>
  <si>
    <t xml:space="preserve">Dalībnieku ēdināšanas izdevumi </t>
  </si>
  <si>
    <t xml:space="preserve"> ĀNMS - konkurss "Solis Laikā Ādažos"</t>
  </si>
  <si>
    <t xml:space="preserve">Degviela administrācijas darbiniekiem </t>
  </si>
  <si>
    <t>Ierakstītas vēstules</t>
  </si>
  <si>
    <t>Venden statīva noma 29,83*12</t>
  </si>
  <si>
    <t xml:space="preserve">Kursi un semināri 85*7 cilvēki </t>
  </si>
  <si>
    <t>Papīri teritorijas plānošanai. Izprintēšanai būs lielie papīri. Plotera papīrs</t>
  </si>
  <si>
    <t>Laikraksti un žurnāli (Izglītība un Kultūra, Rīgas Apriņķa Avīze, Psiholoģija Ģimenei un Skolai, Avene, Ilustrētā Zinātne, Burda, Prakstiskie Rokdarbi</t>
  </si>
  <si>
    <t>Zāles (ikdienas aprūpe)</t>
  </si>
  <si>
    <t>Mācību līdzekļi bibliotēkai</t>
  </si>
  <si>
    <t xml:space="preserve">Mācību līdzekļi administrācijai(kopīgām) </t>
  </si>
  <si>
    <t>Edurio (abonēšanas maksa 2700,02)</t>
  </si>
  <si>
    <t>Jauniešu parlamenta aktivitāšu nodrošināšanai (balviņas, dekorēšanas lietas, utt.)</t>
  </si>
  <si>
    <t>Apskaņošanas pakalpojums 1. septembra pasākumam</t>
  </si>
  <si>
    <t xml:space="preserve">Pašvaldības iesaiste publiski svarīgos pasākumos, projektos Ādažu novadā </t>
  </si>
  <si>
    <t>Līdzfinansējums</t>
  </si>
  <si>
    <t>100% atmaksa</t>
  </si>
  <si>
    <t>Briļlu apmaksa saskaņā ar koplīgumu</t>
  </si>
  <si>
    <t>Mājas lapas uzlabošana SIA "MEGASOFT"</t>
  </si>
  <si>
    <t>Skolas izlaidums</t>
  </si>
  <si>
    <t>EDURIO</t>
  </si>
  <si>
    <t>Sporta sekcijas - Transporta izmaksas</t>
  </si>
  <si>
    <t>Sporta sekcijas - Telpu īre ziemas nodarbībām</t>
  </si>
  <si>
    <t>Sporta sekcijas - Aparatūras noma</t>
  </si>
  <si>
    <t>Sporta sekcijas - Inventāra iegāde</t>
  </si>
  <si>
    <t>Sporta sekcijas - Dalības maksas, biedru naudas, sporta nometnes, tiesnešu pakalpojumi</t>
  </si>
  <si>
    <t>Papildus programmatūras licences (PDF Architect Pro, sēžu video apstrādei atsevišķi Adobe Premere, e-pasta serverim iRedAdmin, u.c.)</t>
  </si>
  <si>
    <t/>
  </si>
  <si>
    <t>1</t>
  </si>
  <si>
    <t>2</t>
  </si>
  <si>
    <t xml:space="preserve">    Mācību maksas kompensācija</t>
  </si>
  <si>
    <t xml:space="preserve">    Darba devēja pabalsti un kompensācijas, no kā neaprēķina ienākuma nodokli, valsts sociālās apdrošināšanas obligātās iemaksas</t>
  </si>
  <si>
    <t xml:space="preserve">    Izdevumi par saņemtajiem mācību pakalpojumiem</t>
  </si>
  <si>
    <t xml:space="preserve">    Pārējie neklasificētie izdevumi</t>
  </si>
  <si>
    <t xml:space="preserve">    Ēku, būvju un telpu būvdarbi</t>
  </si>
  <si>
    <t xml:space="preserve">    Informācijas tehnoloģiju pakalpojumi</t>
  </si>
  <si>
    <t xml:space="preserve">    Izdevumi par precēm iestādes sabiedrisko aktivitāšu īstenošanai</t>
  </si>
  <si>
    <t xml:space="preserve">    Degviela</t>
  </si>
  <si>
    <t xml:space="preserve">    Pārējie iepriekš neklasificētie pamatlīdzekļi un ieguldījuma īpašumi</t>
  </si>
  <si>
    <t>Projekts ERASMUS+</t>
  </si>
  <si>
    <t>Projekts ERASMUS</t>
  </si>
  <si>
    <t>0630.1 AID</t>
  </si>
  <si>
    <t>0630.2 AID Militārais mantojums ©</t>
  </si>
  <si>
    <t>Ziedi dzimtsaraksti</t>
  </si>
  <si>
    <t>Kleita laulību reģistrācijai 2xEUR150</t>
  </si>
  <si>
    <t>4 POS terminālu bankas  komisijas maksas (Master card). (10,5+50)*4gab*12mēn. POS termināla nomas maksa 10,50</t>
  </si>
  <si>
    <t>KAC - tikai Ādaži</t>
  </si>
  <si>
    <t>U.5.1.2. Ā.5.1.2.4.</t>
  </si>
  <si>
    <t>U16.1.4, C16.1.4.4.</t>
  </si>
  <si>
    <t>U16.1.4., C16.1.4.3.</t>
  </si>
  <si>
    <t>Prezentācijas izdevumi, pieredzes apmaiņai, sanāksmēm ar sadarbības partneriem</t>
  </si>
  <si>
    <t>par bezmantinieka mantu (~ 6 gab.)</t>
  </si>
  <si>
    <t>Izpilddirektors plāno LPIA pasākumus 3=&gt; 3*50=150</t>
  </si>
  <si>
    <t>Rezerve priekšsēdētāja komandējumiem</t>
  </si>
  <si>
    <t>Ārpakalpojuma līgumam (darba aizsardzība un ugunsdrošība) visam apvienotajam novadam (apmēram 1000 cilvēki)
SIA “FN-SERVISS” līgums uz 3 gadiem no 02.2022. EUR 336+PVN/mēn=4'878,72 (gadā)</t>
  </si>
  <si>
    <t>Darbinieku apdrošināšana</t>
  </si>
  <si>
    <t>4.3.</t>
  </si>
  <si>
    <t>4.4.</t>
  </si>
  <si>
    <t>4.5.</t>
  </si>
  <si>
    <t>4.6.</t>
  </si>
  <si>
    <t>4.7.</t>
  </si>
  <si>
    <t>4.8.</t>
  </si>
  <si>
    <t>7.10.</t>
  </si>
  <si>
    <t>7.11.</t>
  </si>
  <si>
    <t>7.12.</t>
  </si>
  <si>
    <t>7.13.</t>
  </si>
  <si>
    <t>Gada atalgojums</t>
  </si>
  <si>
    <t xml:space="preserve">Atalgojums, atvaļinājuma pabalsti </t>
  </si>
  <si>
    <t xml:space="preserve">VolvoV60  OCTA                                                                                                                                                                                           </t>
  </si>
  <si>
    <t xml:space="preserve">VolvoV60   KASKO                                                                                                                                                                               </t>
  </si>
  <si>
    <t>Izdevumi par tiesvedību darbiem. Izdevumi tiesu izpildītājam par bezmantinieku mantu</t>
  </si>
  <si>
    <t>Pārējie iepriekš neklasificētie pamatlīdzekļi un ieguldījuma īpašumi</t>
  </si>
  <si>
    <t xml:space="preserve">VAS Ceļu satiksmes drošības direkcijai saņemto sodu daļa, saskaņā ar līgumu 08-PV/520 JUR 2012. </t>
  </si>
  <si>
    <t>Biedru nauda Pašvaldību savienībā izpilddirektoru asociācija ~EUR 1500/gadā.</t>
  </si>
  <si>
    <t>Apdrošināšanas pakalpojumi</t>
  </si>
  <si>
    <t>Degvielas kompensācija</t>
  </si>
  <si>
    <t>Atalgojums NĪN</t>
  </si>
  <si>
    <t xml:space="preserve">Papīrs </t>
  </si>
  <si>
    <t xml:space="preserve">Zīmogi </t>
  </si>
  <si>
    <t xml:space="preserve">Darījumu ar NĪ (atsavināšana/ iegāde /iznomāšana u.c.) sagatavošana, izpilde un reģistrācija VZD un ZGR (valsts un kancelejas nodevas, sertificētu vērtētāju un notāru pakalpojumi) - vismaz 10 darījumi gadā (EUR 350x10=EUR 3500). </t>
  </si>
  <si>
    <t>Pamatlīdzekļu un ieguldījumu īpašumu izveidošana un nepabeigtā būvniecība</t>
  </si>
  <si>
    <t xml:space="preserve">Atvaļinājuma pabalsts, </t>
  </si>
  <si>
    <t>Erasmus+ , Nordplus projekti</t>
  </si>
  <si>
    <t>Dienas nauda komandējumiem - LV</t>
  </si>
  <si>
    <t xml:space="preserve"> Erasmus+ , Nordplus projekti</t>
  </si>
  <si>
    <t>Fonogrammu atskaņošana un autortiesības video un audio materiāliem</t>
  </si>
  <si>
    <t>Darbinieku dalība kursos, konferencēs, mācību semināros ārpusskolas</t>
  </si>
  <si>
    <t>Skolas pasākumu apskaņošana un gaismošana</t>
  </si>
  <si>
    <t>Skolas noformēšana izlaidumā, 1. septembrī</t>
  </si>
  <si>
    <t xml:space="preserve">Klavieru skaņošana. </t>
  </si>
  <si>
    <t>Koplietošanas telpu sienu apstrāde pret mehāniskiem bojājumiem</t>
  </si>
  <si>
    <t>Mācību līdzekļi un materiāli valodu mācību joma</t>
  </si>
  <si>
    <t>Mācību līdzekļi un materiāli sociālā un pilsoniskā mācību joma</t>
  </si>
  <si>
    <t>Mācību līdzekļi un materiāli kultūras izpratnes un pašizpausmes mākslās mācību jomā - vizuālā māksla, mūzika</t>
  </si>
  <si>
    <t>Mācību līdzekļi un materiāli matemātikas mācību jomai</t>
  </si>
  <si>
    <t>Mācību līdzekļi un materiāli tehnoloģiju mācību jomai - dizains un tehnoloģijas, inženierzinības, datorikas</t>
  </si>
  <si>
    <t>Mācību līdzekļi un materiāli veselības un fiziskās aktivitātes mācību jomai</t>
  </si>
  <si>
    <t>Mācību līdzekļi un materiāli dabaszinātņu mācību jomai - dabaszinības, bioloģija, ģeogrāfija, ķīmija, fizika</t>
  </si>
  <si>
    <t xml:space="preserve">Mācību līdzekļi un materiāli atbalsta komandai </t>
  </si>
  <si>
    <t>Mācību līdzekļi un materiāli interešu izglītības nodarbību nodrošināšanai</t>
  </si>
  <si>
    <t>Skolas dekorēšanai uz svētkiem</t>
  </si>
  <si>
    <t>Printeri digitāli pieejamo mācību līdzekļu izdrukāšanai</t>
  </si>
  <si>
    <t>Kompensācija par ceļa izdevumiem audzinātājām</t>
  </si>
  <si>
    <t>Bāzes (CKS)</t>
  </si>
  <si>
    <t>Bāze (CKS)</t>
  </si>
  <si>
    <t xml:space="preserve">Kompensācija par ceļa izdevumiem audzinātājām </t>
  </si>
  <si>
    <t>Korekcija; atvaļinājuma pabalsti</t>
  </si>
  <si>
    <t>Rezerve neparedzētiem gadījumiem</t>
  </si>
  <si>
    <t>Meža inventarizācijas plāni un to aktualizācija (rezerve)</t>
  </si>
  <si>
    <t xml:space="preserve">Mājas lapas uzturēšana SIA "MEGASOFT" </t>
  </si>
  <si>
    <t>MK noteikumi jāsedz izdevumi atbilstoši izmaksām</t>
  </si>
  <si>
    <t>DI pakalpojumu dotācijas</t>
  </si>
  <si>
    <t>Maksājumu pakalpojumi un komisijas (bankas komisija, pakalpojumi)</t>
  </si>
  <si>
    <t>SIA TET internets, telefons, dekoders. Abonēšanas maksa (82.03 EUR +61.65EUR)</t>
  </si>
  <si>
    <t xml:space="preserve">Ādažu novada sporta pasākumi </t>
  </si>
  <si>
    <t>Rezerve skolēnu līdzfinansējumam dalībai konkursos, balstoties uz kritērijiem</t>
  </si>
  <si>
    <t>Līdzfinansējums dalībai konkursos</t>
  </si>
  <si>
    <t>Orgtehnikas (printeri un multifukcionālās iekārtas) un citas tehnikas remonta darbi</t>
  </si>
  <si>
    <t xml:space="preserve">Izdevumi par elektroenerģiju </t>
  </si>
  <si>
    <t>Komunālā saimniecība (bāze) Dome</t>
  </si>
  <si>
    <t>Darba dev.labumi,ves.uzlab.,naudas balvas (slimības naudas)</t>
  </si>
  <si>
    <t>Toneri</t>
  </si>
  <si>
    <t>Venden ūdens</t>
  </si>
  <si>
    <t>Komunālā saimniecība - Ielu uzturēšana</t>
  </si>
  <si>
    <t>NC</t>
  </si>
  <si>
    <t>T</t>
  </si>
  <si>
    <t xml:space="preserve">NC - Dienas nauda - ārpus LV </t>
  </si>
  <si>
    <t xml:space="preserve">Tūrisms - Dienas nauda - ārpus LV </t>
  </si>
  <si>
    <t xml:space="preserve"> Reklāmas materiāli pasākumiem</t>
  </si>
  <si>
    <t>Militārā mantojuma saglabāšanas pasākumi</t>
  </si>
  <si>
    <t xml:space="preserve">Atceres pasākumi (23. marts, 24. februāris, 14.jūnijs, 4. decembris, 11. novembris, 18. novewmbris, pasākumi adarbībā ar represēto biedrību), pavisam min. 5 pasākumi gadā </t>
  </si>
  <si>
    <t>Citi remontdarbi</t>
  </si>
  <si>
    <t>Konta atlikums uz 31.12.2022.</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</si>
  <si>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</si>
  <si>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</si>
  <si>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</si>
  <si>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</si>
  <si>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</si>
  <si>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</si>
  <si>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</si>
  <si>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Neparedzētie izdevumi</t>
  </si>
  <si>
    <t xml:space="preserve"> Maģistrālā  veloceļa izbūve Rīga-Carnikava</t>
  </si>
  <si>
    <t>Autoruzraudzība</t>
  </si>
  <si>
    <t>Finansējuma avots</t>
  </si>
  <si>
    <t>ieņēmumi no CFLA (ERAF+dotācija)</t>
  </si>
  <si>
    <t>AND trūkstošais finansējums uz 12.2022. (ko jāatmaksā citām pašv.)</t>
  </si>
  <si>
    <t xml:space="preserve">Latvijas vides aizsardzības fonda finansējums "Piekrastes apsaimniekošanas praktisko aktivitāšu realizēšanai" </t>
  </si>
  <si>
    <t xml:space="preserve"> Sporta daļa</t>
  </si>
  <si>
    <t>Autoratlīdzības līgumu apmaksa māksliniekiem</t>
  </si>
  <si>
    <t>Tradicionālo un novada svētku rīkošana</t>
  </si>
  <si>
    <t>Muzejs - Carnikavas novadpētniecības centrs</t>
  </si>
  <si>
    <t>Atbalsts Garkalnes un Baltezera baznīcām</t>
  </si>
  <si>
    <t>Ādažu vidusskola ERASMUS</t>
  </si>
  <si>
    <t>Pavisam kopā:</t>
  </si>
  <si>
    <t>Struktv. kods</t>
  </si>
  <si>
    <t>PII Strautiņš</t>
  </si>
  <si>
    <t>Ādažu novada mākslu skola</t>
  </si>
  <si>
    <t xml:space="preserve">Sadarbības līgumu ar Rīgas Tehnisko Universitāti ( JUR 2022-04/395) par padziļināto apguves kursu ķīmijā, fizikā un "Projektu darbs" īstenošanā vidusskolas 12. klases skolēniem </t>
  </si>
  <si>
    <t>Pieejamie līdzekļi</t>
  </si>
  <si>
    <t>Drona apdrpšināšana</t>
  </si>
  <si>
    <t xml:space="preserve">Saimniecības preces (komunālserviss vairs neko nenodrošina). </t>
  </si>
  <si>
    <t xml:space="preserve">Novada sporta pasākumi </t>
  </si>
  <si>
    <t>CKS Pārvalde</t>
  </si>
  <si>
    <t>Ceļu ielu infrastruktūras attīstības programma</t>
  </si>
  <si>
    <t xml:space="preserve">Nekustamā īpašuma nodoklis par mājokļiem </t>
  </si>
  <si>
    <t>Nekustamā īpašuma nodoklis par ēkām un inženierbūvēm</t>
  </si>
  <si>
    <t>Nekustamā īpašumu nodaļa (bāze)</t>
  </si>
  <si>
    <t>0912</t>
  </si>
  <si>
    <t>Pārējās investīcijas:</t>
  </si>
  <si>
    <t>SIA "Ādažu Namsaimnieks" gāzes rēķinu pārvaldība</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</si>
  <si>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</si>
  <si>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</si>
  <si>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</si>
  <si>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</si>
  <si>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</si>
  <si>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</si>
  <si>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 xml:space="preserve">budžeta iestāžu maksas pakalpojumi </t>
  </si>
  <si>
    <t>21.3.9.3.</t>
  </si>
  <si>
    <t>ieņēmumi no biļešu realizācijas</t>
  </si>
  <si>
    <t>0632.4 AID Apgaismojuma izbūve uz Salas aizsargdambja</t>
  </si>
  <si>
    <t xml:space="preserve">BIS ALISE-i uzturēšanai no 2023.gada 25. janvāra 390.00 EUR (bez PVN) 471,90 (ar PVN) </t>
  </si>
  <si>
    <t>Iekārtu, aparatūras un inventāra īre un noma</t>
  </si>
  <si>
    <t>maksa par izglītības pakalpojumiem</t>
  </si>
  <si>
    <t>LG. ~ Decembra izmaksas</t>
  </si>
  <si>
    <t xml:space="preserve">Darba samaksa-interešu izglitiba </t>
  </si>
  <si>
    <t>Valsts un pašvaldību budžeta dotācija valsts un pašvaldību komersantiem</t>
  </si>
  <si>
    <t xml:space="preserve">KA 31.12. </t>
  </si>
  <si>
    <t>KA</t>
  </si>
  <si>
    <t>KA 31.12.</t>
  </si>
  <si>
    <t>Konta atlikums uz 31.12.</t>
  </si>
  <si>
    <t>Konta atlikums 31.12.</t>
  </si>
  <si>
    <t>PII Piejūra</t>
  </si>
  <si>
    <t>0843</t>
  </si>
  <si>
    <t>4.9.</t>
  </si>
  <si>
    <t>Būvdarbiem Stapriņu ciema pieslēgšanai Ādažu centralizētajai ūdensapgādes un kanalizācijas sistēmai</t>
  </si>
  <si>
    <t xml:space="preserve">Pabalsts EUR 50,00 mēnesī ēdināšanai par trešo* bērnu (1,5-7 gadiem). </t>
  </si>
  <si>
    <t>Ēku, būvju un telpu būvdarbi</t>
  </si>
  <si>
    <t>GAUJAS SVĒTKI (Atsevišķa tāme). Prioritāte. Rīcības plānā 11.1.1.2.</t>
  </si>
  <si>
    <t>08412 - Dziesmu svētki 2023</t>
  </si>
  <si>
    <t>kārtridži</t>
  </si>
  <si>
    <t>EUR 1089 no EKK 1119 ekonomijas uz vakanci uz EKK 2239 Sabiedrības viedokļa aptauja par novada simboliku.</t>
  </si>
  <si>
    <t>Precizēta summa pēc līguma noslēgšanas</t>
  </si>
  <si>
    <t>EUR 300 no EKK 1111 uz EKK 1119 (EKK korekcija)</t>
  </si>
  <si>
    <t>EUR 240 no EKK 2261 uz EKK 2224 (atkritumu izvešana)</t>
  </si>
  <si>
    <t>EUR 30'000 no EKK 2122 uz EKK 2239 (EKK korekcija)</t>
  </si>
  <si>
    <t>Precizēta summa balstoties uz faktisko izpildi</t>
  </si>
  <si>
    <t>EKK korekcija (algu ekonomija novirzīta uz KA, atbalstīto zemsvītras investīciju finansēšanai.)</t>
  </si>
  <si>
    <t>Civilās aizsardzības plāna izstrādei EUR 15'000 (Līgums EUR 11'253 ar PVN)</t>
  </si>
  <si>
    <t>08412</t>
  </si>
  <si>
    <t>Izdevumi par profesionālās darbības paklpojumiem (auditoru, tulku pakalp., izdevumi par iestāžu pasūtītajiem pētījumiem)</t>
  </si>
  <si>
    <t>EUR 38'292 no EKK 2370 KA, līdzekļu atmaksa uz EKK 7245</t>
  </si>
  <si>
    <t>Mērķdotācija 2023.gadam 10'652 (EKK 2370 EUR 7'456 EKK 5233 EUR 3'196)</t>
  </si>
  <si>
    <t>18.6.3.20.</t>
  </si>
  <si>
    <t>1. Vispārējie valdības dienesti</t>
  </si>
  <si>
    <t>0633.6</t>
  </si>
  <si>
    <t>Pabalsti veselības aprūpei naudā</t>
  </si>
  <si>
    <t>Ukraiņas pilsoņi</t>
  </si>
  <si>
    <t>Sociālās garantijas bāreņiem un audžuģimenēm naudā</t>
  </si>
  <si>
    <t>Pārējā papildus sociālā palīdzība atsevišķu izdevumu apmaksai naudā</t>
  </si>
  <si>
    <t>Mājokļa pabalsts naudā</t>
  </si>
  <si>
    <t>Garantētā minimālā ienākumu pabalsts naudā</t>
  </si>
  <si>
    <t>Dzīvokļa pabalsts natūrā</t>
  </si>
  <si>
    <t>Apdrošināšanas kompensācijas EKK 1227</t>
  </si>
  <si>
    <t>Swedbank bank-link mēneša maksa (datu tiešsaistes nodrošināšana epakalpojumi un POS). 12 mēn.*(25+35+0,36). Līgums ir noslēgts ar Swedbank</t>
  </si>
  <si>
    <t>Grāmatvedības darbinieki  17*100 = 1700 euro</t>
  </si>
  <si>
    <t>Par NIN Tiesu izpildītājiem Valsts nodeva 400*3=1200</t>
  </si>
  <si>
    <t>4.maija svētkos piemaksa 15*31</t>
  </si>
  <si>
    <t>150*5 darb. Pamatojoties uz koplīgumu</t>
  </si>
  <si>
    <t>Mobilo telefonu sarunu kompensācijas priekšniekam, vietniekam EUR 15; galvenajam un 4 gab vecākiem inspektoriem inspektoriem, 2 dež. daļā un 2. gab ekipāžām pa 10.00EUR</t>
  </si>
  <si>
    <t>Ā14.1.1.8. Sadarbība sabiedriskās drošības jomā</t>
  </si>
  <si>
    <t>Grāmatvedība iekļautas Swedbankas apkalpošanas</t>
  </si>
  <si>
    <t>VK aizņēmums</t>
  </si>
  <si>
    <t xml:space="preserve">Elektronisko svaru verificēšana 48,00EUR </t>
  </si>
  <si>
    <t xml:space="preserve">Mērlentes verificēšana </t>
  </si>
  <si>
    <t>Venden 50EUR/mēn.</t>
  </si>
  <si>
    <t>Par abiem iecirkņiem</t>
  </si>
  <si>
    <t>Valsts SIA Rīgas psihiatrijas un narkoloģijas centrs. Medicīniskās pārbaudes.</t>
  </si>
  <si>
    <t xml:space="preserve">Kvadracikla uzturēšana. </t>
  </si>
  <si>
    <t>Laivu periodiskā apkope</t>
  </si>
  <si>
    <t xml:space="preserve">Depo- lietas mašīnas apkopei </t>
  </si>
  <si>
    <t>Video novērošanas sistēmas uzturēšanas izdevumi. Līgums ar SIA „Belam Rīga”. EUR 250 +PVN *12/mēn</t>
  </si>
  <si>
    <t xml:space="preserve">Printeru, kopētāju remonts </t>
  </si>
  <si>
    <t xml:space="preserve">Apliecības. </t>
  </si>
  <si>
    <t>Pirmās palīdzības aptieciņas iegādei</t>
  </si>
  <si>
    <t>Reprezentācijas materiāli  atbilstoši Ā12.3.2: Organizēt preventīvus pasākumus par drošību un policijas darbu</t>
  </si>
  <si>
    <t>Sodu piedziņas nodošana tiesu izpildītājam, valsts nodeva 3,00EUR* 80 gadā.</t>
  </si>
  <si>
    <t>Mobilie telefoni  darbiniekiem</t>
  </si>
  <si>
    <t>Alkometra verificēšana 60,00EUR * 3; remonts EUR 200. veirificēšana nepieciešama divas reizes gadā</t>
  </si>
  <si>
    <t>Maksājumi Valsts zemes dienestam par Ēku datu reģistrāciju  (EUR30*50 ēkas gadā=EUR1500)</t>
  </si>
  <si>
    <t>Kompensācija attālināta darba veikšana (11.85EUR x 9 speciālisti x 12mēneši)</t>
  </si>
  <si>
    <t>AutoCAD abonēšana - licence (2gab.)</t>
  </si>
  <si>
    <t>3</t>
  </si>
  <si>
    <t>EUR 32 komandējums pa Latviju</t>
  </si>
  <si>
    <t>Koplīguma dāvana darbiniekiem EUR 15*3</t>
  </si>
  <si>
    <t>Darbinieku apdrošināšana (200*3 darb.)</t>
  </si>
  <si>
    <t>.</t>
  </si>
  <si>
    <t>Jaunatnes nodaļa (bāze)</t>
  </si>
  <si>
    <t>Izglītības un jaunatnes nodaļa (bāze)</t>
  </si>
  <si>
    <t>7.14.</t>
  </si>
  <si>
    <t xml:space="preserve">Stāvvietas, Mobilly. </t>
  </si>
  <si>
    <t>Autobuss Isuzu Novo OCTA + KASKO</t>
  </si>
  <si>
    <t>Līzings 2 komplekti pļaujmašīnas Kubota + stikla kabīne un lāpsta , Citadele Leasing, JUR 2023/10-1174,1175,1176, 1177 (620+240=860*2*13=22360)</t>
  </si>
  <si>
    <t>Darbinieku apdrošināšana (200*4 darb.)</t>
  </si>
  <si>
    <t>Papīrs printeriem</t>
  </si>
  <si>
    <t>Plaukts periodikas izvietošanai</t>
  </si>
  <si>
    <t>„Balvas žūrijas čaklākajiem lasītājiem” 200EUR, noslēguma pasākumam 100EUR</t>
  </si>
  <si>
    <t>B-kas apmeklētāji ir ļoti apmierināti par piedāvāto periodikas piedāvājumu  (4 laikrakstu un 54 žurnālu nosaukumi) Periodika tiek izsniegta arī lasīšanai uz mājām.</t>
  </si>
  <si>
    <t>Mobilie sakari EUR (12EUR*4darb.*12mēn.)</t>
  </si>
  <si>
    <t>Kārtridžu uzpilde: 2 kopētāji x 6 toneri = 500</t>
  </si>
  <si>
    <t>Kursi un semināri (80*4darb.)</t>
  </si>
  <si>
    <t>Biroja tehnika (telefona, printera iegāde...)</t>
  </si>
  <si>
    <t>Kancelejas nodevas un valsts nodevas</t>
  </si>
  <si>
    <t>Venden SIA 75.00 EUR, (pasūtījums 2 pudeles 7,35 euro)</t>
  </si>
  <si>
    <t>Venden statīva noma EUR 3,35*12mēn</t>
  </si>
  <si>
    <t>Kafijas aparāta noma no
EMERALD, Sadarbības līgums Nr.11(JUR 2023-03/281)</t>
  </si>
  <si>
    <t>Kārtridžu - toneru iegāde (Līgums Jur
2020-05/400)</t>
  </si>
  <si>
    <t>Čeku printeri-Epson TM -T88V (284.-) 1 stāvā</t>
  </si>
  <si>
    <t>Piemaksa par UA</t>
  </si>
  <si>
    <t>Izdevumu kompensācija attālināti strādājot. ~ EUR 5*5 (~ 9 mēn)</t>
  </si>
  <si>
    <t>1 mobilais tālrunis</t>
  </si>
  <si>
    <t>Līgums ar SIA "RIAS" (JUR 2015-04/358)</t>
  </si>
  <si>
    <t>Lēmums nr.194 no 24.05.2023.(SIA RIAS Vienošanās Nr. JUR 2023-06/667)</t>
  </si>
  <si>
    <t>LMT, 2 numuri 17x12=204</t>
  </si>
  <si>
    <t xml:space="preserve">Venden, (Viena pudele 3,45*24*11). 2 iekārtas, 24 pudeles katrai mēnesī </t>
  </si>
  <si>
    <t>Saskaņā ar pielikumu</t>
  </si>
  <si>
    <t>Ādažu novada sporta pasākumi</t>
  </si>
  <si>
    <t xml:space="preserve">Peldēšanas inventārs. </t>
  </si>
  <si>
    <t>Pludmales volejbola līnijas (3 kompl.)</t>
  </si>
  <si>
    <t>Inventārs Sporta komandu nodrošināšanai (basketbola tīkliņi, bumbas)</t>
  </si>
  <si>
    <t>Jaunu karogu un baneru izgatavošana</t>
  </si>
  <si>
    <t>Valsts un pašvaldību budžeta dotācija biedrībām un nodibinājumiem  [EKK 3263]</t>
  </si>
  <si>
    <t>Portatīvais dators nodaļas vadītājam</t>
  </si>
  <si>
    <t xml:space="preserve">Rezerves nojumu un sienu iegāde teltīm 3x3. </t>
  </si>
  <si>
    <t>Futbola vārti 3x2m (2gb), vasarā priekš Podnieku futbola laukum, ziemā Ādažu sporta centra telpās</t>
  </si>
  <si>
    <t xml:space="preserve">MD </t>
  </si>
  <si>
    <t>Latvijas Mobilais Telefons (17 x 9.62 EUR)</t>
  </si>
  <si>
    <t>Izdevumi veselības pārbaudei u27 veidlapa.</t>
  </si>
  <si>
    <t>OVP darbiniekiem x 15 darbiniekiem</t>
  </si>
  <si>
    <t>Ugunsdzēsības aparātu ikgadējā apkope un krānu pārbaude</t>
  </si>
  <si>
    <t xml:space="preserve">1 gada licence </t>
  </si>
  <si>
    <t>Mājaslapas domeina abonements</t>
  </si>
  <si>
    <t>Kārtridži lielajam printerim</t>
  </si>
  <si>
    <t>Bērnu krēsliņi 20 gb.</t>
  </si>
  <si>
    <t>Tējkannas 3 gab.</t>
  </si>
  <si>
    <t>Dokumentu smalcinātājs</t>
  </si>
  <si>
    <t>Rezerve (gadījumos, ja tiek bojātas mēbelītes un varam iegādāties jaunas)</t>
  </si>
  <si>
    <t>2390</t>
  </si>
  <si>
    <t>Breloki ieejas durvīm (no EKK 2312 uz EKK2390)</t>
  </si>
  <si>
    <t>Mācību materiāli (EUR 600 x 13 grupas), T.sk. klases žurnāli, veidlapas, apliecības u.c. mācību procesa nodrošināšanai</t>
  </si>
  <si>
    <t>Mācību materiāli (EUR 300 x 6 speciālisti)</t>
  </si>
  <si>
    <t>Mācību līdzekļi (didaktisas spēles un rotaļlietas) (EUR 300 X 13 grupas)</t>
  </si>
  <si>
    <t>Rotaļiekārtu  un seguma maiņa Ežu, Zaķēnu, Pelēnu un Gliemežu grupu laikumā</t>
  </si>
  <si>
    <t>Portatīvais dators x2, tajā skaitā programmatūra</t>
  </si>
  <si>
    <t>Darba devēja pabalsti un kompensācijas, no kā neaprēķina ienākuma nodokli, valsts sociālās apdrošināšanas obligātās iemaksas (t.sk.bēru pabalsti)</t>
  </si>
  <si>
    <t>Printeru un laminatoru remonts</t>
  </si>
  <si>
    <t>Papīrs - e-iepirkums, 10 pakas gadā pa 5 iepak. ~ EUR 3.85x5x10=EUR 194.00</t>
  </si>
  <si>
    <t xml:space="preserve">Laminētas grīdas uzlīmes kāpnēm,mācību vides nodrošināšanai:   Cipari (1-25) RUR 105, Alfabēts EUR 115. Kopā 2x 220=EUR 440  </t>
  </si>
  <si>
    <t>Rezerve EUR 100.00</t>
  </si>
  <si>
    <t>Nosaka Izglītības likuma 59.panta 21.punkts un 60.panta 31.punkts</t>
  </si>
  <si>
    <t>Vides iekārtošanas materiāli (t.sk. āra un iekštelpu dekoratīvie puķu trauki, bilžu rāmji gaiteņu sienu noformējumam) EUR 240.00</t>
  </si>
  <si>
    <t>LMT, EUR 135*12. = 1 620,00 eur; 2022.g. iepirkam 9.grupām dienesta  mob.tel., Darba laikā skolotājas varēja sazināties ar vecākiem. +dežurantiem. 2023.g. iepirkam  +vadītajai, + vietniecei,+ atbalsta komandai, + med.māsai=Kopā: 14 sakaru pak. LMT.</t>
  </si>
  <si>
    <t>Barboleta apmācības logopēdiem, psihologiem+dēlis (pēc apmācībām speciālisti sanem līdzsvara platformu, tiesības strādāt ar šo metodi).</t>
  </si>
  <si>
    <t>Mēbeles (biroja krēsli darbiniekiem 3.gab. *190,00 EUR=570,00 EUR)</t>
  </si>
  <si>
    <t xml:space="preserve">Saimniecības mantas (kastes, vazes, trauki-katrai grupai). </t>
  </si>
  <si>
    <t xml:space="preserve">Mūzikas instrumenti </t>
  </si>
  <si>
    <t>Dekorešanai pasākumiem (sveces., lentes)</t>
  </si>
  <si>
    <t xml:space="preserve">Speciālas programmas licencei </t>
  </si>
  <si>
    <t>Mīkstais inventārs</t>
  </si>
  <si>
    <t>Izdevumi par precēm iestādes sabiedrisko aktivitāšu īstenošanai</t>
  </si>
  <si>
    <t xml:space="preserve">Dvieļi, gultas veļas komplekti, lacitēs, darbinieku apģērbs (priekšauti, cepures) </t>
  </si>
  <si>
    <t>Venden SIA (Ādažu un Carnikavas VPVKAC). Ūdens un papīra glāzes</t>
  </si>
  <si>
    <t xml:space="preserve">DVS "Namejs" uzturēšanas licence </t>
  </si>
  <si>
    <t>DVS "Namejs" izmitināšana</t>
  </si>
  <si>
    <t xml:space="preserve">DVS "Namejs" papildu lietotāju licences (5 gab. x 30 euro) </t>
  </si>
  <si>
    <t>ADN</t>
  </si>
  <si>
    <t>Krēsli vestibila vides uzlabošana, labiekārtošana, papildināšana (krēsli, galdi)</t>
  </si>
  <si>
    <t>Novecojušās datortehnikas pakāpeniska nomaiņa pret jaunu</t>
  </si>
  <si>
    <t>Koplīguma dāvana darbiniekiem (likuma ietvaros) EUR 15*30</t>
  </si>
  <si>
    <t>Darbinieku apdrošināšana (EUR200*8)</t>
  </si>
  <si>
    <t>2 tālr. (kasē un kopējais)</t>
  </si>
  <si>
    <t xml:space="preserve">Dalība Kultūras ministrijas un citu kultūras instuitūciju organizētajos semināros un kursos.(KC kolektīvu vadītāji un spec.) Semināru materiāli un metodiskie materiāli. </t>
  </si>
  <si>
    <t xml:space="preserve">Skatuves kulišu, telferu un motoru sistēmas drošības apsekošana, atjaunošana, apkope </t>
  </si>
  <si>
    <t xml:space="preserve">Kultūras centra saimnieciskie izdevumi un noformējuma materiāli  (sveces, salvetes, vienreiz.trauki, ziemassvētku un citu svētku noformējuma materiāli, saliekami plastikāta galdi, izstāžu iekārtošanas materiāli, puķu podi, vāzes, virtuves tehnikas ķimija, drēbju pakaramie, kastes, grozi, saimnieciskie materiāli pasākumu nodrošināšanai, rekvizītu tīrīšanas līdzekļi, vāzes, svečturi,  lāpas, foto rāmji, krāsas, dekoratīvas lentas, telpaugu  augsne, mēslojums u.c.) </t>
  </si>
  <si>
    <t>Biroja tehnika un programmatūras nolietotās tehnikas nomaiņai</t>
  </si>
  <si>
    <t>Izstāžu atklāšanas pasākumi, sab. Aktivitāšu nodrošināšana pasākumu laikā (8 pasākumi x 100.00 EUR)</t>
  </si>
  <si>
    <t>Izglītības un sabiedrības informēšanas, kopienas atbalsta pasākumi (lekcijas, meistarklases, radošie pasākumi utt.) SAM 5,5,1, projekta nosacījums  - 12 pasākumi gadā, vidēji viana pasākuma izmaksas - 400.00 EUR, gadā norisinās kā minimums 12 pasākumi</t>
  </si>
  <si>
    <t>CNC suvenīru līnijas izstrāde un izveides</t>
  </si>
  <si>
    <t xml:space="preserve">Reprezentācijas materiāli (izstrāde un ražošana) </t>
  </si>
  <si>
    <t xml:space="preserve">Eksperti tematisku pētījumu nodrošināšanai.  </t>
  </si>
  <si>
    <t>Preču un pakalpojumu piegāde (komunālservisa auto)</t>
  </si>
  <si>
    <t xml:space="preserve">Dalība kultūrvēstures un muzejiskos pasākumos, tajā skaitā arī represēto biedrības dalībnieku transportēšana uz/no pasākumu vietu (atceres pasākumi 25.martā un 14. jūnijā). </t>
  </si>
  <si>
    <t xml:space="preserve">Muzeju Biedrības biedru nauda, dalība Muzeju biedrības pasākumos. </t>
  </si>
  <si>
    <t>Nojumes ekspozīcijas atjaunošana (stendi, un nojumes teritorijas sakārtošana (info plāksnes, uzlīmes utt.)</t>
  </si>
  <si>
    <t xml:space="preserve">Muzejpedagoģisko programmu nodrošināšana - materiāli, nēģu sagataves. </t>
  </si>
  <si>
    <t>Carnikavas novadpētniecības centra drukāto materiālu (buklets par CNC maksas pakalpojumiem - muzejpedagoģiskām programmām, kāzu programmām, telpu nomu utt.)</t>
  </si>
  <si>
    <t>Iepriekš iegādāto lavu remonts (teritorijas iekārtošana)</t>
  </si>
  <si>
    <t>Elis paklāju nomai</t>
  </si>
  <si>
    <t>Darbinieku apdrošināšana (5*200)</t>
  </si>
  <si>
    <t xml:space="preserve">Laivu darvošana un impregnēšana </t>
  </si>
  <si>
    <t>Venden statīva nomai</t>
  </si>
  <si>
    <t>Kancelejas un biroja preces ikdienai un pasākumiem</t>
  </si>
  <si>
    <t xml:space="preserve">Kārtridžu cenas </t>
  </si>
  <si>
    <t>Degvielas kompensācijai</t>
  </si>
  <si>
    <t xml:space="preserve"> Muzejs -  citi ar kārtējā remontu un iestāžu uzturēšanas nepieciešamie materiāli.</t>
  </si>
  <si>
    <t xml:space="preserve">Konditorijas preces </t>
  </si>
  <si>
    <t>Laminācijas lapas afišām u.c. materiāliem pasākumu nodrošināšanai</t>
  </si>
  <si>
    <t xml:space="preserve">Mazgāšanas līdzekļi </t>
  </si>
  <si>
    <t>Sveces 11. un 18. novembra pasākumiem</t>
  </si>
  <si>
    <t>Teritorias labiekārtošanai nepieciešamās preces</t>
  </si>
  <si>
    <t>Uzlīmes, darba drošības materiāli</t>
  </si>
  <si>
    <t>Ziemassvētku egles un rotājumi nojumei un iekštelpām, svētku dekorācijas</t>
  </si>
  <si>
    <t xml:space="preserve">Autoratlīdzības līgumi pasāumu vadītājiem (lektori, gidi, kam nav iespējas izrakstīt rēķinu) </t>
  </si>
  <si>
    <t>Mājas Kafejnīcu dienas</t>
  </si>
  <si>
    <t xml:space="preserve">Tūrisma aktivitātes Nēģu Svētkos </t>
  </si>
  <si>
    <t xml:space="preserve"> Satura tulkošana (vietne un drukātie materiāli)</t>
  </si>
  <si>
    <t xml:space="preserve">Dalība pasākumos </t>
  </si>
  <si>
    <t>Maketēšanas pakalpojumi</t>
  </si>
  <si>
    <t>Vidzemes Tūrisma asociācija - biedru nauda</t>
  </si>
  <si>
    <t>Biedru nauda Pierīgas tūrisma asociācijā</t>
  </si>
  <si>
    <t>Bukleti, brošūras un drukātie materiāli (velo kartes, tematiskie bukleti, pasākumu bukleti utt.)</t>
  </si>
  <si>
    <t>Kartogrāfisko materiālu iegāde tūrisma maršrutu izstrādei</t>
  </si>
  <si>
    <t xml:space="preserve">Venden ūdens </t>
  </si>
  <si>
    <t xml:space="preserve">Iekārtu noma tūrisma pasākumu nodrošinašanai </t>
  </si>
  <si>
    <t xml:space="preserve">Bukletu turētāji, glabāšanas sistēmas </t>
  </si>
  <si>
    <t xml:space="preserve">Inventārs pasākumu nodrošināšanai </t>
  </si>
  <si>
    <t xml:space="preserve">Degvielas kompensācija </t>
  </si>
  <si>
    <t>Mēbeļu un iekārtu remonts</t>
  </si>
  <si>
    <t xml:space="preserve"> Saimniecības preces </t>
  </si>
  <si>
    <t>Mazās infrastruktūras atjaunošana visā novadā</t>
  </si>
  <si>
    <t>5.8.</t>
  </si>
  <si>
    <t>Tūrisms</t>
  </si>
  <si>
    <t>Koplīguma dāvana darbiniekiem (likuma ietvaros) EUR 15*26</t>
  </si>
  <si>
    <t>Pēc ĀKC koplīguma 200 EUR 6 pamatdarbiniekiem, 100 EUR kolektīvu vadītājiem (100 EURx 19 vadītāji)</t>
  </si>
  <si>
    <t>Transporta pakalpojumi novada pasākumu nodrošināšanai (novada svētki, valsts svētki)</t>
  </si>
  <si>
    <t>VPDK Arnika -Tautas deju festivāls "Jādejo, lai būtu prieks"</t>
  </si>
  <si>
    <t>JDK Abi divi -Ādažu novada bērnu deju kolektīvu skate</t>
  </si>
  <si>
    <t>Kora Undīne - Koru kari</t>
  </si>
  <si>
    <t>Izdevumi par licencēm AKKA, Laipa, kino</t>
  </si>
  <si>
    <t>Tautas  nama inventāra, mēbeļu, dekorāciju, biroja tehnikas uzturēšana un remonts</t>
  </si>
  <si>
    <t xml:space="preserve">Jaunas skaņu tehnikas  iegāde kultūras pasākumu nodrošināšanai. </t>
  </si>
  <si>
    <t xml:space="preserve">Divu datoru,monitoru, programmatūras iegāde 1920 EUR x2 tautas nama darbinieku darba vietu nodrošināšanai. </t>
  </si>
  <si>
    <t>Vidzemes pusmēteļi  12 gab (245 EUR x 12 gab)</t>
  </si>
  <si>
    <t>Vīriešu bikses  12 gab (75 EUR x 12 gab)</t>
  </si>
  <si>
    <t>Telefona limits/ mēnesī EUR 10*10*12</t>
  </si>
  <si>
    <t>Izdevumu kompensācija, strādājos attālināti (7 darbinieki, mēnesī katram 10 eiro)</t>
  </si>
  <si>
    <t>Uzraksti pie kabinetiem</t>
  </si>
  <si>
    <t>Beidzies!</t>
  </si>
  <si>
    <t>Līdzfinansējums auklēm</t>
  </si>
  <si>
    <t>Tūrisma lapas uzturēšana Ādažu novada tīmekļvietnē  - 15 eiro mēnesī + PVN.
 15x12=180eiro+PVN=217,8</t>
  </si>
  <si>
    <t>Gaujas svētku publicitātes materiāli u.c. Gaujas svētku mārketinga aktivitātes.</t>
  </si>
  <si>
    <t>Vienotās tīmekļvietnes abonēšanas maksa. Jāmaksā Valsts kasē (Valsts kancelejas projekts).</t>
  </si>
  <si>
    <t>Kabeļi Rode sc15 Wireless GO II uz iPhone USB-C Lightning vadshttps://www.masterfoto.lv/lv/mikrofonu-aksesuari/42417-rode-sc15-wireless-go-ii-uz-iphone-usbc-lightning-vads.html?search_query=Rode+sc15&amp;results=4</t>
  </si>
  <si>
    <t>Kabeļi Rode sc16 USB C-C 300MM FLAT CABLE Wireless GO II https://www.masterfoto.lv/lv/mikrofonu-aksesuari/42416-rode-sc16-usb-cc-300mm-flat-cable-wireless-go-ii.html?search_query=Rode+sc16&amp;results=3</t>
  </si>
  <si>
    <t>Tikšanās ar iedzīvotājiem reizi mēnesī (tēja un cepumi) - līdz 360 eiro</t>
  </si>
  <si>
    <t>Vietējais transports 6*30
Viesnīca 6*250  
Lidmašīna 6*400</t>
  </si>
  <si>
    <t>Dalības maksa konkursos (EUR 220 dalībai konkursā "Latvijas labākais tirgotājs": Mazie veikali, DUS, aptiekas - 85,00 EUR, Veikali, tirgi - 135 EUR)</t>
  </si>
  <si>
    <t>Dekori no DEPO</t>
  </si>
  <si>
    <t>Iztērēts mazāk nekā plānots! Pārceļās uz 2024.gadu.</t>
  </si>
  <si>
    <t>Būvprojekta izstrāde</t>
  </si>
  <si>
    <t>PROJEKTAM JĀBŪT PABEIGTAM 2023.GADĀ</t>
  </si>
  <si>
    <t>PROJEKTS NOSLĒGSIES 2023.GADĀ</t>
  </si>
  <si>
    <t>Būs konta atlikums!</t>
  </si>
  <si>
    <t>2024. gadā tiks slēgts jauns līgums</t>
  </si>
  <si>
    <t>Pasta pakalpojumi - Skolēnu personu lietu un medicīnas dokumentu sūtīšana</t>
  </si>
  <si>
    <t>Internets - skolas darbības un mācību procesa nodrošināšanai</t>
  </si>
  <si>
    <t>Novada un starpnovadu olimpiāžu rīkošana</t>
  </si>
  <si>
    <t>Iestādes darbinieku dalība kursos profesionālajai pilnveidei</t>
  </si>
  <si>
    <t>Ārpakalpojums izglītojamo un ģimeņu izglītošanai par aktuālām tēmām</t>
  </si>
  <si>
    <t>ALISE pakalpojumi - Bibliotēku informācijas sistēma</t>
  </si>
  <si>
    <t>www.skolutiesības.lv pakalpojumu abonēšana - normatīvo aktu sagataves</t>
  </si>
  <si>
    <t>Datorprogrammas "aSC TimeTable" ikgadējais atjauninājums</t>
  </si>
  <si>
    <t>EDURIO Programmas abonēšana - dažādu aptauju, ieskaitot iestādes pašnovērtējumam, nodrošināšanai; datu ieguvei tālākās attīstības plānošanai</t>
  </si>
  <si>
    <t>Daudzfunkcionālo printeru/kopētāju noma un apkope - digitāli pieejamo mācību materiālu izdrukāšana un pavairošana</t>
  </si>
  <si>
    <t>Iestādes darbības nodrošināšanai nepieciešamās biroja preces un materiāli -  rakstāmpiederumi, galda organizatori, galda un sienas kalendāri, plastmasas plauktiņu, dokumentu turētāji, spiedogi, aploksnes, plānotāji)</t>
  </si>
  <si>
    <t>Informācijas pārraides un apstrādes iekārtu darbības nodrošināšanas materiāli - toneri, kārtridži</t>
  </si>
  <si>
    <t>Telpu noformēšanas materiāli - vāzes, stiprinājumi skolēnu darbu izstādēm, magnētiskās tāfeles</t>
  </si>
  <si>
    <t>Izdales un informatīvie materiāli par Carnikavas pamatskolu un Carnikavas vidusskolu</t>
  </si>
  <si>
    <t>Degviela transporta un saimniecības vajadzībām (piemēram, skolēnu nogādāšanai uz olimpiādēm, pieredzes apmaiņas braucieni uz citām skolām)</t>
  </si>
  <si>
    <t>Mācību grāmatas (pamatskolai un vidusskolai)</t>
  </si>
  <si>
    <t>Mācību metodiskie materiāli (pamatskolai un vidusskolai)</t>
  </si>
  <si>
    <t>Datori (nolietoto un bojāto nomaiņai)</t>
  </si>
  <si>
    <t xml:space="preserve">Līgums ar SIA "Juva S" , "Saracēni" </t>
  </si>
  <si>
    <t>Pedagogu studiju maksas kompensēšana</t>
  </si>
  <si>
    <t xml:space="preserve">Kursi </t>
  </si>
  <si>
    <t>Rakstāmpapīrs, biroja preces, kancelejas piederumi</t>
  </si>
  <si>
    <t xml:space="preserve">Ziedi un to izstrādājumi, rezerve. </t>
  </si>
  <si>
    <t>09826</t>
  </si>
  <si>
    <t>Projekts Nordplus Junior</t>
  </si>
  <si>
    <t xml:space="preserve"> “Personu mobilitātes mācību nolūkos” Skolu izglītības sektora aktivitātē KA121 23. gada projekts</t>
  </si>
  <si>
    <t xml:space="preserve">151 Tet SIA Sakaru pakalpojumi 10/19  </t>
  </si>
  <si>
    <t>Elektrība</t>
  </si>
  <si>
    <t>Skolēnu nogādāšana izglītības iestādē 1.-4.kl.</t>
  </si>
  <si>
    <t xml:space="preserve">Skolas servera un datortīkla uzturēšnas izdevumi. </t>
  </si>
  <si>
    <t>Ūdens iekārtas statīva īre, SIA"Venden" (EUR 9,68 mēn.) Līgums Nr.0103970025.</t>
  </si>
  <si>
    <t>Taburetes ēdamzālei 55eur+pvn x 190.gab.</t>
  </si>
  <si>
    <t>Maskas mediķiem, bērniem.</t>
  </si>
  <si>
    <t>Mācību materiāli sākumskolai (atbalsta komanda)</t>
  </si>
  <si>
    <t>Mācību materiāli sākumskolai (bibliotēka)</t>
  </si>
  <si>
    <t>Mācību materiāli sākumskolai (kopīgām vajadzībām)</t>
  </si>
  <si>
    <t>Konditorija</t>
  </si>
  <si>
    <t>daiļliteratūra literatūra</t>
  </si>
  <si>
    <t>LMT mobilo sakaru pakalpojumi</t>
  </si>
  <si>
    <t>Izglītības Sistēmas SIA , Skolvadības sistēmas"e-klase" nodrošināšana</t>
  </si>
  <si>
    <t>LMT interneta sakaru pakalpojums</t>
  </si>
  <si>
    <t>478 eur *12 (internets (optika))</t>
  </si>
  <si>
    <t>Skolēnu nogādāšana izglītības iestādē  5.-12.kl (+ 10.-12.kl.)</t>
  </si>
  <si>
    <t>Neregulārie transporta pakalpojumi, ekskursijas</t>
  </si>
  <si>
    <t>E-talonu iegāde</t>
  </si>
  <si>
    <t>Obligātās pirmreizējās un periodiskās veselības pārbaudes</t>
  </si>
  <si>
    <t xml:space="preserve">Arodārsti </t>
  </si>
  <si>
    <t xml:space="preserve">Medicīniski optisko redzes korekcijas līdz. (briļļu) iegāde. </t>
  </si>
  <si>
    <t>Dalības maksa programmā MOT</t>
  </si>
  <si>
    <t>Darbinieku profesionālā pilnveide, dalība konkursos</t>
  </si>
  <si>
    <t>Kafijas pauzes semināros</t>
  </si>
  <si>
    <t xml:space="preserve">Bērnu, jauniešu un vecāku žurijas pasakuma noslēgums </t>
  </si>
  <si>
    <t>ascTimetables stundu sarakstu veidošanas programma</t>
  </si>
  <si>
    <t xml:space="preserve">Darba apģērbs mediķiem </t>
  </si>
  <si>
    <t>Mācību līdzekļi dabaszinātņu katedrai</t>
  </si>
  <si>
    <t>Instrumenti un sagataves dizains un tehnoloģijas zēni, inženierzinības</t>
  </si>
  <si>
    <t>Mācību līdzekļi sporta katedrai</t>
  </si>
  <si>
    <t>Mācību līdzekļi matemātikas katedrai</t>
  </si>
  <si>
    <t>Cienasti</t>
  </si>
  <si>
    <t>Žetoni absolventiem</t>
  </si>
  <si>
    <t>Sociālie dzīvokļi</t>
  </si>
  <si>
    <t>Pēc koplīguma- briļļu vai apdrošināšanas polises iegādei</t>
  </si>
  <si>
    <t xml:space="preserve">VZD kadastra maksas </t>
  </si>
  <si>
    <t xml:space="preserve">Vizītkartes </t>
  </si>
  <si>
    <t>biroja galds ar pacelšanas mehānismu + 1 biroja krēsls (jāmaina)</t>
  </si>
  <si>
    <t>Ugunsdzēšamo aparātu iegāde un apkope Ādadži 200 EUR  Carnikava 200 EUR</t>
  </si>
  <si>
    <t xml:space="preserve">SIA "Ādažu slimnīca" Telpu īre (2019-04/271) no 01.04.2019. EUR 5*197,1kvm+PVN. 1079.32*12  EUR 12951.84) </t>
  </si>
  <si>
    <t>PSIA "Ādažu slimnīca" par telpām soc. Dienestam</t>
  </si>
  <si>
    <t xml:space="preserve">Kancelejas preces. Ādaži 700 EUR, Carnikava 700 EUR </t>
  </si>
  <si>
    <t>Samazināts</t>
  </si>
  <si>
    <t>Tējkanna EUR 85 Ādaži, Tējkanna Carnikava 85 EUR</t>
  </si>
  <si>
    <t>Vad.pieļaujamais limits 50 l/mēnesī =&gt; ~EUR 78*12 ;2 vietnieki pieļaujamais limits 30 l/mēnesī  ~EUR 94*12</t>
  </si>
  <si>
    <t>Neparedzēti izdevumi</t>
  </si>
  <si>
    <t>Printeris</t>
  </si>
  <si>
    <t xml:space="preserve"> SN Par atbalstu aprūpes vai kopšanas nodrošināšanai. Maksājam trūcīgajiem,maznodrošinātajiem invalīdiem un bērniem invalīdiem par aprūpi un kopšanu. Četri aprūpes līmeņi: 1) 53 EUR 2) 107 EUR 3)160 EUR 4)214 EUR . </t>
  </si>
  <si>
    <t xml:space="preserve">SN Zupas virtuve </t>
  </si>
  <si>
    <t>Dzīvokļa pabalsts pēc MK 809. noteikumiem jāsedz izdevumi atbilstoši izmaksām (dzīvokļa pabalstu maksājam tikai natūrā, izņemot gadījumus, kad rēķins apmaksāts no personīgajiem līdzekļiem)</t>
  </si>
  <si>
    <t>Represētie - brauciens uz Ikšķili uz represēto salidojumu, pasākumi utml. 800 EUR Ādaži, 800 EUR Carnikava</t>
  </si>
  <si>
    <t>SN Par pabalstu aizgādņiem 30 EUR apmērā</t>
  </si>
  <si>
    <t xml:space="preserve">Daudzbērnu ģimenes pabalsts EUR 50,00 apmērā bērniem no 7-24 g.v.  </t>
  </si>
  <si>
    <t>Transporta līdzekļa nolietojums mēnesī 31,60</t>
  </si>
  <si>
    <t>Divas ekskursijas gadā DAC klientiem</t>
  </si>
  <si>
    <t>Venden EUR 15,05/mēn</t>
  </si>
  <si>
    <t>ELIS iekārtu apkalpošanas līgums</t>
  </si>
  <si>
    <t>Venden (27,83/mēn)</t>
  </si>
  <si>
    <t>Koplīguma dāvana darbiniekiem (likuma ietvaros) EUR 15*50</t>
  </si>
  <si>
    <t>Personas datu aizsardzības speciālista pakalpojumi</t>
  </si>
  <si>
    <t>Auto mazgāšana SIA "KDV"un SIA "Auto rings"</t>
  </si>
  <si>
    <t>Tehnikas apkopes</t>
  </si>
  <si>
    <t>Elis paklāji Carnikavas administrācijas paklāji</t>
  </si>
  <si>
    <t>Zemes noma "Ķulleni", Meikšāne Rasma par zemes nomu, u.c.</t>
  </si>
  <si>
    <t xml:space="preserve">Uzkodas </t>
  </si>
  <si>
    <t>komandējumi projekta ietvaros</t>
  </si>
  <si>
    <t>Projekta ietvaros</t>
  </si>
  <si>
    <t>Būvekspertīze</t>
  </si>
  <si>
    <t>Darba stāžs - 2 darbiniekiem naudas balvas</t>
  </si>
  <si>
    <t>Koplīguma dāvana darbiniekiem (likuma ietvaros) EUR 15*7</t>
  </si>
  <si>
    <t xml:space="preserve">Mobilai telefons LMT EUR 9.62/mēnesī </t>
  </si>
  <si>
    <t>Zeme zem būvēm</t>
  </si>
  <si>
    <t>Līgums ar SIA „GREEN LINE SERVICE” LĪDZ 2024.GADA APRĪLIM veļas mazgāšana</t>
  </si>
  <si>
    <t>Skolotāju rakstāmgaldi, biroja krēsli (trīs grupās)</t>
  </si>
  <si>
    <t>no tiem, iezīmētiem mērķiem:</t>
  </si>
  <si>
    <t>KA uz 31.12.2024.</t>
  </si>
  <si>
    <t>APN</t>
  </si>
  <si>
    <t>0632.6</t>
  </si>
  <si>
    <t>LIFE NewBauhaus projekts</t>
  </si>
  <si>
    <t>ĀNP 28.12.2022. lēmums Nr. 598</t>
  </si>
  <si>
    <t>Krastupes ielas projekts</t>
  </si>
  <si>
    <t>0930.2</t>
  </si>
  <si>
    <t>Jaunatnes nodaļa</t>
  </si>
  <si>
    <t>TN "Ozolaine"</t>
  </si>
  <si>
    <t xml:space="preserve">ĀVS sākumskola                                                                                                                                                      </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</si>
  <si>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</si>
  <si>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</si>
  <si>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</si>
  <si>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</si>
  <si>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</si>
  <si>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</si>
  <si>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Telpu kombinētā uzkopšanas iekārta Garā iela 20</t>
  </si>
  <si>
    <t>Āpšu ielas 0.4km divkāršā virsmas apstrāde, Garciems</t>
  </si>
  <si>
    <t>Kalngales ietves seguma atjaunošana ietvei pie P1</t>
  </si>
  <si>
    <t>Dzirnupes ielas tilta projekts, Carnikava</t>
  </si>
  <si>
    <t>Nodokļa  palielinājumu veido Saistošajos noteikumos Nr.37/2021 noteiktās likmes:
1.ja nav deklarēta persona ēkā  - 1.5%;
2.ja deklarēta cita persona - 0.4%;</t>
  </si>
  <si>
    <t>Darbinieku apmācības, supervīzijas</t>
  </si>
  <si>
    <t>Ieturētais no ēdinātāja</t>
  </si>
  <si>
    <t>Summa, ko atmaksā ēdināšanas pakalpojumu sniedzēji</t>
  </si>
  <si>
    <t xml:space="preserve">Pārējās privātās PII </t>
  </si>
  <si>
    <t>ArcGIS Basic mākoņpakalpojums</t>
  </si>
  <si>
    <t xml:space="preserve">Diktofons, tehnika publisko apspriežu nodrošināšanai </t>
  </si>
  <si>
    <t>GIS</t>
  </si>
  <si>
    <t>Sākumskola+Vidusskola</t>
  </si>
  <si>
    <t>Izdevumi iestādes sabiedrisko aktivitāšu īstenošana</t>
  </si>
  <si>
    <t>Tālākizglītības kursi</t>
  </si>
  <si>
    <t>KA:</t>
  </si>
  <si>
    <t>Pamatlīdzekļu un ieguldījuma īpašumu izveidošana un nepabeigtā būvniecība</t>
  </si>
  <si>
    <t>Skolas TEP izstrāde</t>
  </si>
  <si>
    <t>N</t>
  </si>
  <si>
    <t>Ā</t>
  </si>
  <si>
    <t>Bēniņu labiekārtošana (glābāšanas sistēmas)</t>
  </si>
  <si>
    <t>Suvenīri pārdošanai</t>
  </si>
  <si>
    <t>Izdevumi skolas vizuālajam noformējumam (gadskārtu svētkiem, svētku dienām)</t>
  </si>
  <si>
    <t>Prioritāte:</t>
  </si>
  <si>
    <r>
      <t>Kredītu pamatsummas atmaksa</t>
    </r>
    <r>
      <rPr>
        <b/>
        <i/>
        <sz val="9"/>
        <color theme="1"/>
        <rFont val="Arial"/>
        <family val="2"/>
        <charset val="186"/>
      </rPr>
      <t xml:space="preserve"> (Investīciju finansēšanai)</t>
    </r>
  </si>
  <si>
    <t>Prioritāte 1</t>
  </si>
  <si>
    <t>INVESTĪCIJAS kopā:</t>
  </si>
  <si>
    <t>Telefoni grupām, ja nepieciešams mainīt (2 gb.)</t>
  </si>
  <si>
    <t>KA realizējot "Priotitāte 1" investīcijas:</t>
  </si>
  <si>
    <t>Budžeta fails sastāv no 2 lapām:</t>
  </si>
  <si>
    <t>Pieaugums/ (samazinājums), %</t>
  </si>
  <si>
    <r>
      <t xml:space="preserve">Bāzes </t>
    </r>
    <r>
      <rPr>
        <b/>
        <sz val="11"/>
        <color theme="1"/>
        <rFont val="Times New Roman"/>
        <family val="1"/>
        <charset val="186"/>
      </rPr>
      <t>IEŅĒMUMU</t>
    </r>
    <r>
      <rPr>
        <sz val="11"/>
        <color theme="1"/>
        <rFont val="Times New Roman"/>
        <family val="1"/>
        <charset val="186"/>
      </rPr>
      <t xml:space="preserve"> struktūra ir šāda:</t>
    </r>
  </si>
  <si>
    <r>
      <t xml:space="preserve">Bāzes </t>
    </r>
    <r>
      <rPr>
        <b/>
        <sz val="11"/>
        <color theme="1"/>
        <rFont val="Times New Roman"/>
        <family val="1"/>
        <charset val="186"/>
      </rPr>
      <t>IZDEVUMU</t>
    </r>
    <r>
      <rPr>
        <sz val="11"/>
        <color theme="1"/>
        <rFont val="Times New Roman"/>
        <family val="1"/>
        <charset val="186"/>
      </rPr>
      <t xml:space="preserve"> struktūra ir šāda:</t>
    </r>
  </si>
  <si>
    <t>Lai varētu noteikt investīcijām pieejamo finansējumu, izdevumi tiek strukturēti sekojoši:</t>
  </si>
  <si>
    <t>Bāzes ieņēmumi - bāzes izdevumi</t>
  </si>
  <si>
    <t>1 - 2</t>
  </si>
  <si>
    <t>1 - 2 +3</t>
  </si>
  <si>
    <t>1 - 2 +3 - 4</t>
  </si>
  <si>
    <t>1 - 2 +3 - 4 - 5 - 6</t>
  </si>
  <si>
    <t>1 - 2 +3 - 4 - 5 - 6 - 7</t>
  </si>
  <si>
    <t>Investīvijas ir sadalītas 3 grupās:</t>
  </si>
  <si>
    <t>2. OBLIGĀTĀS / GADSKĀRTĒJĀS investīcijas:</t>
  </si>
  <si>
    <t>šie ir jau iepriekšējos gados uzsākti un jauni projekti, kuriem ir piesaistīts ārējais finasējums un/vai nepieciešams aizņēmums.</t>
  </si>
  <si>
    <t>šie ir ikgadēji svētki un pasākumi, ar saistošajiem noteikumiem uzņemtas investīcijas, ar domes lēmumu uzņemtas investīcijas, kā arī no iepriekšējā gada pārejošas nepabeigtās investīcijas ( pārcelta atlikusī daļa), kuriem ir tikai pašvaldības finansējums</t>
  </si>
  <si>
    <t>1. Pašvaldības finansējums UZSĀKTAJIEM projektiem:</t>
  </si>
  <si>
    <t>Tālāk bāzes izdevumi ir atšifrēti atbilstoši funkcionālajām kategorijām, kuras var izvērst pa iestādēm (krustiņš kreisajā malā) pēc tādas pašas izdevumu struktūras:</t>
  </si>
  <si>
    <t>Publiskās ārtelpas izveide Gaujas ielā 31 Ādažos</t>
  </si>
  <si>
    <t>0648</t>
  </si>
  <si>
    <t>Riska piemaksa</t>
  </si>
  <si>
    <t>LAD, Jūras Zeme projekts, Mākslu skolas ārtelpas projekts Garā iela 20, Carnikavā - pašvaldības finansējums un priekšfinansējums</t>
  </si>
  <si>
    <t>LAD, Jūras Zeme projekts, Mākslu skolas ārtelpas projekts Garā iela 20, Carnikavā - ārējais finansējums (avanss). Gala maksājums 2025.g.</t>
  </si>
  <si>
    <t>Latvijas vides aizsardzības fonda finansējums "Piekrastes apsaimniekošanas praktisko aktivitāšu realizēšanai" - ārējais finansējums</t>
  </si>
  <si>
    <t>Vai šim pareiza kopsumma? Investīciju lapā paredzētsEUR 165853. Pieliku starpību pie EKK2239.</t>
  </si>
  <si>
    <t>Pārbaudīt naudas plūsmu!</t>
  </si>
  <si>
    <t>Atlikušie maksājumi</t>
  </si>
  <si>
    <t>Pensionāru balle</t>
  </si>
  <si>
    <t>EKII projekts (ERAF finansējums)</t>
  </si>
  <si>
    <t>EKII projekts (VK aizņēmums)</t>
  </si>
  <si>
    <t>CKS atlikums 02.01.2024.</t>
  </si>
  <si>
    <t>Personīgo transportlīdzekl. Izmant. degviela EUR 20*2*11=220 Vadītāja</t>
  </si>
  <si>
    <t>Atalgojums ar korekciju pret 28.12.2023.</t>
  </si>
  <si>
    <t>Atalgojums korekcija pret 28.12.2023.</t>
  </si>
  <si>
    <t>Precizēta dotācija +59'292, papildus dotācija par pārņemtajiem ceļiem EUR 1'248</t>
  </si>
  <si>
    <t>Struktūra 0632.7</t>
  </si>
  <si>
    <t>0903</t>
  </si>
  <si>
    <t xml:space="preserve"> V </t>
  </si>
  <si>
    <t>0100</t>
  </si>
  <si>
    <t>0100 Dome</t>
  </si>
  <si>
    <t>1.1.1.2.</t>
  </si>
  <si>
    <t xml:space="preserve"> Saņemts no Valsts kases sadales konta pārskata gadā ieskaitītais iedzīvotāju ienākuma nodoklis</t>
  </si>
  <si>
    <t>4.1.1.1.</t>
  </si>
  <si>
    <t>Nekustamā īpašuma nodokļa par zemi kārtējā saimnieciskā gada ieņēmumi</t>
  </si>
  <si>
    <t>4.1.1.2.</t>
  </si>
  <si>
    <t>Nekustamā īpašuma nodokļa par zemi iepriekšējo gadu parādi</t>
  </si>
  <si>
    <t>4.1.2.1.</t>
  </si>
  <si>
    <t>Nekustamā īpašuma nodokļa par ēkām kārtējā gada maksājumi</t>
  </si>
  <si>
    <t>4.1.2.2.</t>
  </si>
  <si>
    <t>Nekustamā īpašuma nodokļa par ēkām parādi par iepriekšējiem gadiem</t>
  </si>
  <si>
    <t>4.1.3.1.</t>
  </si>
  <si>
    <t>Nekustamā īpašuma nodokļa par mājokļiem kārtējā saimnieciskā gada ieņēmumi</t>
  </si>
  <si>
    <t>4.1.3.2.</t>
  </si>
  <si>
    <t>Nekustamā īpašuma nodokļa par mājokļiem parādi par iepriekšējiem gadiem</t>
  </si>
  <si>
    <t>8.3.9.0.</t>
  </si>
  <si>
    <t>Pārējie ieņēmumi no dividendēm (ieņēmumi no valsts (pašvaldību) kapitāla izmantošanas)</t>
  </si>
  <si>
    <t>12.2.3.0.</t>
  </si>
  <si>
    <t>Ieņēmumi no ūdenstilpju un zvejas tiesību nomas un zvejas tiesību rūpnieciskas izmantošanas (licences)</t>
  </si>
  <si>
    <t>Līgumsodi un procentu maksājumi par saistību neizpildi</t>
  </si>
  <si>
    <t>12.3.9.9.</t>
  </si>
  <si>
    <t>Pārējie dažādi nenodokļu ieņēmumi, kas nav iepriekš klasificēti šajā klasifikācijā</t>
  </si>
  <si>
    <t>13.4.0.0.</t>
  </si>
  <si>
    <t>Ieņēmumi no pašvaldību kustamā īpašuma un mantas realizācijas</t>
  </si>
  <si>
    <t>Pagātnes dialogs ar tagadni - 10 EUR par grāmatu</t>
  </si>
  <si>
    <t>Ieņēmumi izglītības funkciju nodrošināšanai</t>
  </si>
  <si>
    <t>Ieņēmumi par telpu nomu</t>
  </si>
  <si>
    <t>Ieņēmumi par zemes nomu</t>
  </si>
  <si>
    <t>Pārējie ieņēmumi par nomu un īri</t>
  </si>
  <si>
    <t>21.3.9.9.1.</t>
  </si>
  <si>
    <t>Citi ieņēmumi suvenīri</t>
  </si>
  <si>
    <t>8.6.1.2.</t>
  </si>
  <si>
    <t>Pašvaldību budžeta procentu ieņēmumi par noguldījumiem depozītā kontos Valsts kasē vai kredītiestādēs</t>
  </si>
  <si>
    <t>8.6.4.0.</t>
  </si>
  <si>
    <t>9.4.5.0.</t>
  </si>
  <si>
    <t>Valsts nodeva par civilstāvokļa aktu reģistrēšanu, grozīšanu un papildināšanu</t>
  </si>
  <si>
    <t>9.4.9.0.</t>
  </si>
  <si>
    <t>Pārējās valsts nodevas, kuras ieskaita pašvaldību budžetā</t>
  </si>
  <si>
    <t>9.5.1.1.</t>
  </si>
  <si>
    <t>Pašvaldības nodeva par domes izstrādāto oficiālo dokumentu un apliecinātu to kopiju saņemšanu</t>
  </si>
  <si>
    <t>9.5.1.2.</t>
  </si>
  <si>
    <t>Pašvaldības nodeva par izklaidējoša rakstura pasākumu sarīkošanu publiskās vietās</t>
  </si>
  <si>
    <t>9.5.1.4.</t>
  </si>
  <si>
    <t>Pašvaldības nodeva par tirdzniecību publiskās vietās</t>
  </si>
  <si>
    <t>9.5.2.9.</t>
  </si>
  <si>
    <t>Pārējās nodevas, ko uzliek pašvaldības</t>
  </si>
  <si>
    <t>Naudas sodi, ko uzliek pašvaldības</t>
  </si>
  <si>
    <t>Pārējās mērķdotācijas - investi</t>
  </si>
  <si>
    <t>Latvijas Republikas Vides aizsardzības un reģionālās attīstības ministrija VB dotācija KAC uzturēšanai un publisko pakalpojumu sistēmas pilnveidei 2023 gadā, rīkojumam Nr. 1-2/72</t>
  </si>
  <si>
    <t>21.3.9.9.4.</t>
  </si>
  <si>
    <t>Citi ieņēmumi - pārējie</t>
  </si>
  <si>
    <t>Pakalpojumi dzimtsarakstu nodaļā</t>
  </si>
  <si>
    <t>21.4.9.0.1.</t>
  </si>
  <si>
    <t>Citi iepriekš neklasificētie pašu ieņēmumi</t>
  </si>
  <si>
    <t>Apdrošināšanas atlīdzība</t>
  </si>
  <si>
    <t>10.1.5.4.</t>
  </si>
  <si>
    <t>Naudas sodi, ko uzliek pašvaldību institūcijas par pārkāpumiem ceļu satiksmē</t>
  </si>
  <si>
    <t>Autoceļu mērķdotācija</t>
  </si>
  <si>
    <t>Dabas resursu nodoklis par dabas resursu ieguvi un vides piesārņošanu</t>
  </si>
  <si>
    <t>9.5.1.7.</t>
  </si>
  <si>
    <t>Pašvaldības nodeva par reklāmas, afišu un sludinājumu izvietošanu publiskās vietās</t>
  </si>
  <si>
    <t>9.5.2.1.</t>
  </si>
  <si>
    <t>Pašvaldības nodeva par būvatļaujas saņemšanu</t>
  </si>
  <si>
    <t>Būvvaldes dokumentu saņemšana</t>
  </si>
  <si>
    <t>Uzņēmējdarbības veicināšana</t>
  </si>
  <si>
    <t>Meža dienu projekts</t>
  </si>
  <si>
    <t>Ieņēmumi no citu Eiropas Savienības politiku instrumentu līdzfinansēto projektu un pasākumu īstenošanas un saņemtās ārvalstu finanšu palīdzības, kas nav Eiropas Savienības struktūrfondi</t>
  </si>
  <si>
    <t>Pārējie saņemtie transferti ārvalstu finanšu projektiem</t>
  </si>
  <si>
    <t>0633.1  ”Mobilitātes punkta infrastruktūras izveidošana Rīgas metropoles areālā – “Carnikava””</t>
  </si>
  <si>
    <t>0643</t>
  </si>
  <si>
    <t>Maxisushi SIA Telpu noma un komunālie pakalpojumi Ādažu Kultūrcentrā (EUR 605/mēn)</t>
  </si>
  <si>
    <t>ĀDAŽU GLĀBŠANAS DIENESTS SIA Telpu noma Gaujas ielā 16, Ādaži (227.01/mēn)</t>
  </si>
  <si>
    <t>VEINBERGA ZIGRĪDA Telpu noma Garā iela 20, Carnikava. Līgums JUR 2023-04/398 (113.96/mēn.)</t>
  </si>
  <si>
    <t>LIEPZIEDI ĀRSTA PRAKSE SIA  Telpu noma Garā iela 20, Carnikava. Līgums JUR JUR 2023-08/882 (259.44/mēn.)</t>
  </si>
  <si>
    <t>INDRĀNE MAIRA Telpu noma Garā iela 20, Carnikava. Līgums JUR 2023-04/399 (304.53/ mēn.)</t>
  </si>
  <si>
    <t>E.GULBJA LABORATORIJA SIA Telpu noma Garā iela 20, Carnikava. Līgums JUR 2023-05/640 (260.45/mēn.)</t>
  </si>
  <si>
    <t>Citi</t>
  </si>
  <si>
    <t>13.2.1.0.</t>
  </si>
  <si>
    <t>Ieņēmumi no zemes īpašuma pārdošanas</t>
  </si>
  <si>
    <t>21.3.9.9.2.</t>
  </si>
  <si>
    <t>Citi ieņēmumi - baseins, florbols, futbols, džudo, basketbols, volejbols u.c.</t>
  </si>
  <si>
    <t>21.3.9.9.3.</t>
  </si>
  <si>
    <t>Citi ieņēmumi - sports (dalības maksas)</t>
  </si>
  <si>
    <t>21.3.7.9.</t>
  </si>
  <si>
    <t>Ieņēmumi par pārējo dokumentu izsniegšanu un pārējiem kancelejas pakalpojumiem</t>
  </si>
  <si>
    <t>Ieņēmumi par biļešu realizāciju</t>
  </si>
  <si>
    <t>Kur šie tiek grāmatoti?</t>
  </si>
  <si>
    <t>Ieņēmumi no vecāku maksām</t>
  </si>
  <si>
    <t>Pārējie ieņēmumi par izglītības pakalpojumiem</t>
  </si>
  <si>
    <t>Pašv.izgl.iest. 5 un 6 gad.apm</t>
  </si>
  <si>
    <t>Mācību grāmatu iegāde</t>
  </si>
  <si>
    <t>Baseina pakalpojumi</t>
  </si>
  <si>
    <t>Valsts izglītības attīstības aģentūra Līg.Nr.2021-1-LV01-KA122-SCH-000014123, Carnikavas psk. noslēg. maks., Mācību mobilitātes skolu sektorā</t>
  </si>
  <si>
    <t>Izglītības licences</t>
  </si>
  <si>
    <t>Bezdarbnieku atlīdzība , koord. darba samaksa</t>
  </si>
  <si>
    <t>18.6.2.14.</t>
  </si>
  <si>
    <t>Latvijas skolas soma</t>
  </si>
  <si>
    <t>09521</t>
  </si>
  <si>
    <t>Valsts kase-skolotāju algas</t>
  </si>
  <si>
    <t>18.6.2.10.</t>
  </si>
  <si>
    <t>Vidusskolas brīvpusdienu nodrošināšanai</t>
  </si>
  <si>
    <t>18.6.3.7.</t>
  </si>
  <si>
    <t>Erasmus + projekti</t>
  </si>
  <si>
    <t>VALSTS KULTŪRKAPITĀLA FONDS Līgums Nr. 2023-2TEM039, 20.07.2023.</t>
  </si>
  <si>
    <t>0962</t>
  </si>
  <si>
    <t>MMS pedagogu darba samaksa</t>
  </si>
  <si>
    <t>Pierīgas BJSS</t>
  </si>
  <si>
    <t>Valdorfa skolas interešu izglītība</t>
  </si>
  <si>
    <t>Valsts kase-skolotāju algas - interešu izglītība</t>
  </si>
  <si>
    <t>18.6.2.11.</t>
  </si>
  <si>
    <t>Valdorfa skolas brīvpusdienu nodrošināšanai</t>
  </si>
  <si>
    <t>Projekts "Nordplus Junior" Carnikava pamatskola</t>
  </si>
  <si>
    <t>9.4.2.0.</t>
  </si>
  <si>
    <t>Valsts nodeva par apliecinājumiem un citu funkciju pildīšanu bāriņtiesās</t>
  </si>
  <si>
    <t xml:space="preserve">Pārējās mērķdotācijas - investi </t>
  </si>
  <si>
    <t>MD audžuģimenēm</t>
  </si>
  <si>
    <t>GMI 30 % kompensē LM</t>
  </si>
  <si>
    <t>LM kompensācija par supervīzijām. ESF projekts Nr. 9.2.1.1/15/I/001.</t>
  </si>
  <si>
    <t>Budžeta iestāžu maksas pakalpojumi</t>
  </si>
  <si>
    <t xml:space="preserve">Asistenta pakalpojumu nodrošināšanai </t>
  </si>
  <si>
    <t>17.2.0.0.</t>
  </si>
  <si>
    <t>Pašvaldību saņemtie transferti no valsts budžeta daļēji finansētām atvasinātām publiskām personām un no budžeta nefinansētām iestādēm</t>
  </si>
  <si>
    <t>18.6.3.4.</t>
  </si>
  <si>
    <t>Deinstitucionalizācijas projekts</t>
  </si>
  <si>
    <t xml:space="preserve">Citi ieņēmumi - pārējie </t>
  </si>
  <si>
    <t>18.6.2.20.</t>
  </si>
  <si>
    <t>Ukrainas civiliedzīvotāju mērķdotācija</t>
  </si>
  <si>
    <t>18.6.2.21.</t>
  </si>
  <si>
    <t>Energoresursu atbalsts mērķdotācija</t>
  </si>
  <si>
    <t>Precizēta MD, saskaņā ar LNKC līgumu Nr. . 1.5-5.1/12</t>
  </si>
  <si>
    <t>KA 01.01.2024.</t>
  </si>
  <si>
    <t>KA uz 31.12. - par janvāri.</t>
  </si>
  <si>
    <t>0954.1</t>
  </si>
  <si>
    <t>09821.1</t>
  </si>
  <si>
    <t>Investīcijas (CKS)</t>
  </si>
  <si>
    <t>MD mācību līdzekļiem 2024.gadam</t>
  </si>
  <si>
    <t>KA precizējums 01.01.2024.</t>
  </si>
  <si>
    <t>EUR 500 no EKK 2239 uz EKK 2314 ziedu iegāde un kliņģeri pasākumos</t>
  </si>
  <si>
    <t>EUR 472 no EKK 7210 uz EKK 2239 bibliotēku sistēmas uzturēšanai (EKK korekcija)</t>
  </si>
  <si>
    <t>EUR 430 no EKK 2272 uz EKK 6500 mantisko zaudējumu atlīdzināšana prettiesiska 2023.gada 25.aprīļa lēmuma Nr.ĀNP/1-7-3-2/23/2 rezultātā</t>
  </si>
  <si>
    <t>Kompensācijas, kuras Latvijas valsts izmaksā personām, pamatojoties uz Eiropas Kopienu Tiesas lēmumu</t>
  </si>
  <si>
    <t>EUR 10'440 no EKK 2261 uz EKK 2221 (izdevumi par apkuri)</t>
  </si>
  <si>
    <t>EUR 200 no EKK 2261 uz EKK 2222 (Izdevumi par ūdeni un kanalizāciju)</t>
  </si>
  <si>
    <t>EUR 1'740 no EKK 2261 uz EKK 2223 (izdevumi par elektroenerģiju)</t>
  </si>
  <si>
    <t>Korekcija pēc MD apstiprināšanas</t>
  </si>
  <si>
    <t>Pakalpojuma saņemšanai pasākumiem noslēgti autorlīgumi, tāpēc EUR 500 no EKK 2239 uz EKK 1150 (EKK korekcija)</t>
  </si>
  <si>
    <t>SN Nāk ar čekiem, maksājam trūcīgām un maznodrošinātām ģimenēm. EUR 200 no EKK 6253 (šāds EKK vairs neeksistē) uz EKK 6254.</t>
  </si>
  <si>
    <t>Precizēta dotācija par papildus pārņemtajiem ceļiem EUR 3966</t>
  </si>
  <si>
    <t>MD KA EUR 1 no EKK 1119 uz EKK 2370</t>
  </si>
  <si>
    <t>MD 2024.gadam māc. līdz.iegāde mazākumtautību apmācībai</t>
  </si>
  <si>
    <t>EUR 264 no EKK 2370 KA, uz EKK 1119</t>
  </si>
  <si>
    <t>Mērķdotācija 2024.gadam mazākumtautību apmācībai</t>
  </si>
  <si>
    <t>Mērķdotācija 2024.gadam 19'583 (EKK 2370 EUR 5'920 EKK 5233 EUR 13'663)</t>
  </si>
  <si>
    <t>EUR 27'100 Erasmus, NordPlus finansējums attiecināms uz Carnikavas pamatskolu nevis Ādažu vidusskolu</t>
  </si>
  <si>
    <t>EUR 55 no EKK 1210 uz EKK 2247 (EKK korekcija apdrošināšanai)</t>
  </si>
  <si>
    <t>EUR 431 no EKK 5238 uz EKK 2312 (EKK korekcija no PL uz inventāru)</t>
  </si>
  <si>
    <t>EUR 75 no EKK 2121 uz EKK 2122 (EKK korekcija)</t>
  </si>
  <si>
    <t>Pārvalde</t>
  </si>
  <si>
    <t>Precizēta projekta naudas plūsma (28.03.2024.)</t>
  </si>
  <si>
    <t xml:space="preserve">Darba apģērbs mediķiem, labiekārtošanas strādniekiem. EUR 700 pārcelts no EKK 2361 uz EKK 7230 (28.03.2024.). </t>
  </si>
  <si>
    <t>0632.7</t>
  </si>
  <si>
    <t>CVK finansējums Eiropas parlamenta vēlēšanu nodrošināšanai</t>
  </si>
  <si>
    <t>EUR 102 no EKK 2239 uz EKK 2312 (telefona iegādei)</t>
  </si>
  <si>
    <t>EKK korekcija (algu ekonomija novirzīta uz KA, atbalstīto zemsvītras investīciju finansēšanai EUR 27'697 (EUR 22'410 EKK 1119; EUR 5'197 EKK 1210)</t>
  </si>
  <si>
    <t>EUR 90 no EKK 2111 uz EKK 2121 (EKK korekcija)</t>
  </si>
  <si>
    <t>Pašvaldību transferti citām pašvaldībām</t>
  </si>
  <si>
    <t>EUR 90 no EKK 2250 uz EKK 7210 (Bibliotēkas sistēmas uzturēšana)</t>
  </si>
  <si>
    <t>EUR 5'801 no Attīstības nodaļas (ekonomija uz vakancēm) uz projektu Mākslu skolas ārtelpas labiekārtošana</t>
  </si>
  <si>
    <t>EUR 50'687 aizņēmumu % maksājumu plānotās kopsummas samazinājums uz projekta Pastaigu taka gar Baltezera kanālu budžetu</t>
  </si>
  <si>
    <t>Pakalpojumi</t>
  </si>
  <si>
    <t>Normatīvajos aktos noteiktie ceselības un fiziskās sagatavotības pārbaudes</t>
  </si>
  <si>
    <t>Pārējā noma</t>
  </si>
  <si>
    <t>Izdevumi juridiskās palīdzības sniedzējiem un zvērinātiem tiesu izpildītājiem</t>
  </si>
  <si>
    <t>Pārējie bioloģiskie un lauksaimniecības aktīvi</t>
  </si>
  <si>
    <t>Pabalsti veselības aprūpei natūrā</t>
  </si>
  <si>
    <t>Sociālās garantijas bāreņiem un audžuģimenēm natūrā</t>
  </si>
  <si>
    <t>Atbalsta pasākumi un kompensācijas natūrā</t>
  </si>
  <si>
    <t>Pārējie valsts budžeta uzturēšanas izdevumu transferti pašvaldībām</t>
  </si>
  <si>
    <t>0111 Deputāti</t>
  </si>
  <si>
    <t>0120 Vēlēšanu komisija</t>
  </si>
  <si>
    <t>0130 Administratīvā komisija</t>
  </si>
  <si>
    <t>0140 Iepirkumu komisija</t>
  </si>
  <si>
    <t>0150 Pārējās komisijas</t>
  </si>
  <si>
    <t>0420 Autoceļu dotācijas izlietojums</t>
  </si>
  <si>
    <t>0490 Sabiedrisko attiecību nodaļa</t>
  </si>
  <si>
    <t>0490.1 Sabiedrisko attiecību nodaļa - Ādažu vēstis</t>
  </si>
  <si>
    <t>0510 Dabas resursa nodokļa izlietojums</t>
  </si>
  <si>
    <t>0610 Neparedzēti gadījumi</t>
  </si>
  <si>
    <t>0630 Attīstības un projektu nodaļa</t>
  </si>
  <si>
    <t>0630.1 Attīstības un projektu nodaļa - iedzīvotāju iniciatīvas</t>
  </si>
  <si>
    <t>0631.2 Krastupes ielas projekts</t>
  </si>
  <si>
    <t>0632.5 TEP Atjaunojamo energoresursu izmantošana Ādažu novadā (EUCF)</t>
  </si>
  <si>
    <t>0633.1 Mobilitātes punkta infrastruktūras izveidošana Rīgas metropoles areālā. Carnikava</t>
  </si>
  <si>
    <t>0633.6 EKII projekts (Emisijas kvotu izsolīšanas instruments)</t>
  </si>
  <si>
    <t>0643 Ēka, Gaujas iela 33A</t>
  </si>
  <si>
    <t>0648 Saimniecības un infrastruktūras daļa</t>
  </si>
  <si>
    <t>0649 Ielu un ceļu uzturēšana</t>
  </si>
  <si>
    <t>0660 Teritorijas plānošanas nodaļa</t>
  </si>
  <si>
    <t>0670 Nekustamā īpašuma nodaļa</t>
  </si>
  <si>
    <t>0812 Sporta nodaļa</t>
  </si>
  <si>
    <t>0841.1 Ādažu novada kultūras centrs</t>
  </si>
  <si>
    <t>0841.2 Carnikavas Tautas nams "Ozolaine"</t>
  </si>
  <si>
    <t>0841.3 Carnikavas novadpētniecības centrs</t>
  </si>
  <si>
    <t>0841.4 Tūrisms</t>
  </si>
  <si>
    <t>0843 Multihalle Pirmajā ielā</t>
  </si>
  <si>
    <t>0901 Carnikavas PII "Riekstiņš"</t>
  </si>
  <si>
    <t>09011 Carnikavas PII "Riekstiņš" (VB mērķdotācija)</t>
  </si>
  <si>
    <t>0902 Siguļu PII "Piejūra"</t>
  </si>
  <si>
    <t>09021 Siguļu PII "Piejūra" (VB mērķdotācija)</t>
  </si>
  <si>
    <t>0903 Jauna PII izbūve Podniekos</t>
  </si>
  <si>
    <t>0910 Ādažu PII "Strautiņš"</t>
  </si>
  <si>
    <t>0911 Ādažu PII (VB mērķdotācija)</t>
  </si>
  <si>
    <t>0920 Kadagas PII "Mežavēji"</t>
  </si>
  <si>
    <t>0921 Kadagas PII (VB mērķdotācija)</t>
  </si>
  <si>
    <t>0930 Izglītības un jaunatnes nodaļa</t>
  </si>
  <si>
    <t>0930.2 Jaunatnes nodaļa</t>
  </si>
  <si>
    <t>0931 ESF projekts Atbalsts priekšlaicīgas mācību pārtraukšanas samazināšnai (Pumpurs)</t>
  </si>
  <si>
    <t>0940.1 Pašvaldību savstarpējie norēķini izglīt.funkc.nodrošināšanai</t>
  </si>
  <si>
    <t>0940.2 Līdzfinansējums privātajiem PII izglīt.funkc.nodrošināšanai</t>
  </si>
  <si>
    <t>0940.3 Līdzfinansējums privātajām skolām izglīt.funkc.nodrošināšanai</t>
  </si>
  <si>
    <t>0951 Projekts "Skolas soma"</t>
  </si>
  <si>
    <t>0952 PII ĀVS</t>
  </si>
  <si>
    <t>0952.1 PII ĀVS (VB mērķdotācija)</t>
  </si>
  <si>
    <t>0954 Ādažu vidusskola (VB mērķdotācija)</t>
  </si>
  <si>
    <t>0954.1 Ādažu vidusskola (VB mērķdotācija - interešu izglītība)</t>
  </si>
  <si>
    <t>0957 Projekts "ERASMUS+" Ādažu vsk.</t>
  </si>
  <si>
    <t>0960 Ādažu novada Mākslu skola</t>
  </si>
  <si>
    <t>Lielās talkas atkritumu izvešana</t>
  </si>
  <si>
    <t>Paklāju noma. EUR 62 pārcelts no 0831/EKK 2264 uz 0645/EKK 7230 (27.06.2024.).</t>
  </si>
  <si>
    <t xml:space="preserve">Parketa slotu, dvieļu mazgāšanas un nomaiņas pakalpojumi. </t>
  </si>
  <si>
    <t>EUR 1'054 no EKK 1119 (ekonomija uz vakanci) uz EKK 5239 (skaņu sistēmas iekārtas iegādei.</t>
  </si>
  <si>
    <t>EUR 1195 no EKK 1223 “Mācību maksas kompensēšanai”uz EKK 2239 “Divu speciālo izglītības programmu licencēšanai”.</t>
  </si>
  <si>
    <t>0632.6 "LIFE BauhausingEurope" pieejas piemērošana sabiedrisko ēku pārveidošanai</t>
  </si>
  <si>
    <t>0633.2 Maģistrālā veloceļa izbūve Rīga-Carnikava</t>
  </si>
  <si>
    <t>0634 Plūdu riska novēršanas pasākumi Ādažu nov.terit.</t>
  </si>
  <si>
    <t>0634.1 Jaunais plūdu projekts - 2.1.3.2. "Nacionālas nozīmes plūdu un krasta erozijas pasākumi" 1.daļa</t>
  </si>
  <si>
    <t>0844.1 SAM 5.5.1. Kultūras objektu būvniecība (maksājumi projekta partneriem)C</t>
  </si>
  <si>
    <t>0880 Evanģēliski luteriskās draudzes un Garkalnes Evaņģēliski luteriskā draudze</t>
  </si>
  <si>
    <t>0962 Ādažu novada Mākslu skola (VB mērķdotācija)</t>
  </si>
  <si>
    <t>0965 Ādažu Bērnu un jaunatnes sporta skola</t>
  </si>
  <si>
    <t>09651 Ādažu bērnu un jaunatnes sporta skola (VB mērķdotācija)</t>
  </si>
  <si>
    <t>0970 Ādažu brīvā Valdorfa skola</t>
  </si>
  <si>
    <t>0981 Ādažu sākumskola</t>
  </si>
  <si>
    <t>0982 Carnikavas pamatskola</t>
  </si>
  <si>
    <t>09821 Carnikavas pamatskola (VB mērķdotācija)</t>
  </si>
  <si>
    <t>09821.1 Carnikavas pamatskola (VB mērķdotācija - interešu izglītība)</t>
  </si>
  <si>
    <t>09822 Projekts "Skolas soma" Carnikavas pamatskola</t>
  </si>
  <si>
    <t>09825 Projekts "ERASMUS+" Carnikava pamatskola</t>
  </si>
  <si>
    <t>09826 Projekts Nordplus Junior</t>
  </si>
  <si>
    <t>1011 Stipendiāti, bezdarbnieki</t>
  </si>
  <si>
    <t>1012 Asistenti</t>
  </si>
  <si>
    <t>1013.1 Projekts "Pasākumi vietējās sabiedrības veselības veicināšanai"/ SAM 9.2.4.2. Ādaži</t>
  </si>
  <si>
    <t>1013.2 Projekts "Pasākumi vietējās sabiedrības veselības veicināšanai"/ SAM 9.2.4.2. Carnikava</t>
  </si>
  <si>
    <t>1014.1 Projekts "Deinstitucionalizācija - Dienas centra izveide"/ SAM 9.3.1.1. Ādaži</t>
  </si>
  <si>
    <t>1014.3 Projekts Deinstitucionalizācija SAM 9.3.1.1./Dienas aprūpes un rehabilitācijas centrs "Ādažu Ūdensroze"</t>
  </si>
  <si>
    <t>1016 Dotācijas Ukrainas pilsoņu atbalstam</t>
  </si>
  <si>
    <t>1017 Dotācijas "Energoresursu atbalsts"</t>
  </si>
  <si>
    <t>1018 Projekts "Atbalsta pasākumi cilvēkiem ar invaliditāti mājokļu vides pieejamības nodrošināšanai"</t>
  </si>
  <si>
    <t>Funkcionālā kategorija</t>
  </si>
  <si>
    <t>2. Sabiedriskā kārtība un drošība</t>
  </si>
  <si>
    <t>3. Ekonomiskā darbība</t>
  </si>
  <si>
    <t>4. Vides aizsardzība</t>
  </si>
  <si>
    <t>5. Pašvaldības teritoriju un mājokļu apsaimniekošana</t>
  </si>
  <si>
    <t>6. Atpūta, kultūra un reliģija</t>
  </si>
  <si>
    <t>7. Sociālā aizsardzība</t>
  </si>
  <si>
    <t>8. Izglītība</t>
  </si>
  <si>
    <t>EUR 2000 no EKK 1111 uz EKK 1119 (EKK korekcija)</t>
  </si>
  <si>
    <t>EUR 7 no EKK 2239 uz EKK 2236 - komisijas maksas par sniegtqajiem kopēšanas pakalpojumiem (EKK korekcija)</t>
  </si>
  <si>
    <t>EUR 4000 no EKK 2390 uz EKK 2314 par precēm iestādes sabiedrisko aktivitāšu īstenošanai</t>
  </si>
  <si>
    <t>Apliecības par pamatizglītības iegūšanu SIA "Plūsma". Šos EUR 300 no EKK 2390 uz EKK 2314 (EKK korekcija)</t>
  </si>
  <si>
    <t>0631.2</t>
  </si>
  <si>
    <t>0634.1</t>
  </si>
  <si>
    <t>Jaunais plūdu projekts - 2.1.3.2. "Nacionālas nozīmes plūdu un krasta erozijas pasākumi" 1.daļa</t>
  </si>
  <si>
    <t>Līdzdalības budžets</t>
  </si>
  <si>
    <t>Balstoties uz faktisko izpildi un precizētajiem aprēķiniem.</t>
  </si>
  <si>
    <t>Līgums ar CFLA nav noslēgts, līdz ar to zināms, ka projektēšana pilnā apmērā jāmaksā no pašvaldības.</t>
  </si>
  <si>
    <t>0961 Ādažu novada Mākslu skolas Carnikavas mācību punkta publiskās ārtelpas labiekārtošana, palielinot ārtelpas pievilcību</t>
  </si>
  <si>
    <t>Carnikavas vidusskola</t>
  </si>
  <si>
    <t>Normatīvajos aktos noteiktie veselības un fiziskās sagatavotības pārbaudes</t>
  </si>
  <si>
    <t>EUR 1'000 no EKK 1147 uz EKK 1142 (EKK korekcija)</t>
  </si>
  <si>
    <t>EUR 2'000 no EKK 1146 uz EKK 1142 (EKK korekcija)</t>
  </si>
  <si>
    <t>EUR 300 no EKK 1146 uz EKK 1145 (EKK korekcija)</t>
  </si>
  <si>
    <t>EUR 569 no EKK 1119 uz EKK 2312 (EKK korekcija)</t>
  </si>
  <si>
    <t>EUR 2'000 no EKK 1119 uz EKK 1148 (EKK korekcija)</t>
  </si>
  <si>
    <t>EUR 2'000 no EKK 1147 uz EKK 1142 (EKK korekcija)</t>
  </si>
  <si>
    <t>EUR 500 no EKK 1147 uz EKK 1142 (EKK korekcija)</t>
  </si>
  <si>
    <t>EUR 5 no EKK 1228 uz EKK 2247 (EKK korekcija apdrošināšanai)</t>
  </si>
  <si>
    <t>EUR 50 no EKK 1221 uz EKK 1228 (EKK korekcija)</t>
  </si>
  <si>
    <t>EUR 118 no EKK 1228 uz EKK 2247 (EKK korekcija apdrošināšanai)</t>
  </si>
  <si>
    <t>EUR 2'763 no EKK 2262 uz EKK 2239 kanalizācijas ievilkšana pašvaldības dzīvokļos</t>
  </si>
  <si>
    <t>EUR 418 no EKK 5239 uz EKK 2239 bibliotēkas skapja sakārtošanai</t>
  </si>
  <si>
    <t>EUR 200 no EKK 1221 uz EKK 1227 (EKK korekcija)</t>
  </si>
  <si>
    <t>EUR 80 no EKK 1148 uz EKK 1150 (EKK korekcija)</t>
  </si>
  <si>
    <t>EUR 500 no EKK 2312 uz EKK 2350 (EKK korekcija)</t>
  </si>
  <si>
    <t>EUR 50 no EKK 1147 uz EKK 1141 (EKK korekcija)</t>
  </si>
  <si>
    <t>EUR 6'000 no EKK 1210 uz EKK 1221 (EKK korekcija)</t>
  </si>
  <si>
    <t>EUR 4000 no EKK 1119 uz EKK 1147 (EKK korekcija)</t>
  </si>
  <si>
    <t>EUR 2000 no EKK 1210 uz EKK 1221 (EKK korekcija)</t>
  </si>
  <si>
    <t>EUR 31 no EKK 1119 uz EKK 7245</t>
  </si>
  <si>
    <t>EUR 200 no EKK 1228 uz EKK 1227 (EKK korekcija)</t>
  </si>
  <si>
    <t>EUR 2'559 no EKK 5240 uz EKK 5213 (EKK korekcija projekta realizācijas laikā)</t>
  </si>
  <si>
    <t>EUR 540 no EKK 5240 uz EKK 5239 (EKK korekcija projekta realizācijas laikā)</t>
  </si>
  <si>
    <t>EUR 339 no EKK 5240 uz EKK 5269 (EKK korekcija projekta realizācijas laikā)</t>
  </si>
  <si>
    <t>EUR 16'430 no EKK 5240 uz EKK 5218 (EKK korekcija projekta realizācijas laikā)</t>
  </si>
  <si>
    <t>EUR 2000 no EKK 1210 uz EKK 1221 (EKK precizējums)</t>
  </si>
  <si>
    <t>EUR 2'000 no EKK 2314 uz EKK 2390 (EKK korekcija)</t>
  </si>
  <si>
    <t>EUR 10'000 no EKK 1119 uz EKK 1147 (EKK korekcija)</t>
  </si>
  <si>
    <t>EUR 30'000 no EKK 1119 uz EKK 1147 (EKK korekcija)</t>
  </si>
  <si>
    <t>EUR 20'000 no EKK 1119 uz EKK 1147 (EKK korekcija)</t>
  </si>
  <si>
    <t>EUR 10'000 no EKK 1119 uz EKK 1148 (EKK korekcija)</t>
  </si>
  <si>
    <t>Mērķdotācija pedagogiem (t.sk. administrācijai, atbalsta personālam) (01.01.-31.08.2024.)</t>
  </si>
  <si>
    <t>Mērķdotācija pedagogiem (t.sk. administrācijai, atbalsta personālam) (01.09.-31.12.2024.)</t>
  </si>
  <si>
    <t>EUR 1'310 no pedagogu MD no EKK 1210 uz EKK 1221</t>
  </si>
  <si>
    <t>EUR 7'000 no EKK 1210 uz EKK 1221(EKK korekcija)</t>
  </si>
  <si>
    <t>EUR 50 no EKK 2122 uz EKK 2121 (EKK korekcija)</t>
  </si>
  <si>
    <t>EUR 3000 no EKK 1147 uz EKK 1148 (EKK korekcija)</t>
  </si>
  <si>
    <t>EUR 2000 no EKK 1147 uz EKK 1148 (EKK korekcija)</t>
  </si>
  <si>
    <t>EUR 240 no EKK 1228 uz EKK 2247 (EKK korekcija apdrošināšana)</t>
  </si>
  <si>
    <t>EUR 100 no EKK 2239 uz EKK 2235 (EKK korekcija)</t>
  </si>
  <si>
    <t>Papildus EUR 566 no EKK 5238 uz EKK 5239 TV iegāde priekšsēdētāja kabinetā</t>
  </si>
  <si>
    <t>EUR 2990 no EKK 2314 uz EKK 5239 ģeneratoram, Civilās aizsardzības komis. vajadzībām</t>
  </si>
  <si>
    <t>Precizēta MD sept.dec.</t>
  </si>
  <si>
    <t>Valsts kase-skolotāju algas (mazākumtautību) - precizējot MD sept.-dec. -2'258 (EUR 1'827 EKK 1119; EUR 431 EKK 1210)</t>
  </si>
  <si>
    <t>Precizēts mērķdotāciju apjoms sept. - decembrim (- EUR 15'145 pedagogi) (- EUR 12'254 EKK 1119; - EUR 2'891 EKK 1210)</t>
  </si>
  <si>
    <t>Precizēts mērķdotāciju apjoms (mazākumtautība) sept. - decembrim (- EUR 2'065 pedagogi) (- EUR 1'670 EKK 1119; - EUR 395 EKK 1210)</t>
  </si>
  <si>
    <t>Precizēts mērķdotāciju apjoms sept. - decembrim (- EUR 5'439 pedagogi) (- EUR 4'400 EKK 1119; - EUR 1'039 EKK 1210)</t>
  </si>
  <si>
    <t>Precizēts mērķdotāciju apjoms privātajiem pakalp. sniedzējiem sept.-dec. (- EUR 18'363)</t>
  </si>
  <si>
    <t>Precizēts mērķdotāciju apjoms sept.-dec. (- EUR 2'660 EKK 1119 - EUR 2'152 ; EKK 1210 - EUR 508)</t>
  </si>
  <si>
    <t>Iekš. groz.: EKK korekcija “Ādažu novada transporta attīstības plans” - Tas ir ilgtspējas dokuments līdz 2037.gadam, kas norādīts iepirkuma tehniskajā specifikācijā. Tāpēc šim mērķim 2024.gadā plānotie EUR 40’600 jāpārceļ no EKK 2239 uz EKK ir 5140 “Nemateriālo ieguldījumu izveidošana”.</t>
  </si>
  <si>
    <t>EUR 3'904 mērķdotācijas korekcija (EUR 3'158 EKK 1119; EUR 746 EKK 1210)</t>
  </si>
  <si>
    <t>2025.gada plāns EUR</t>
  </si>
  <si>
    <t>2025.gada plāns/ detaļas</t>
  </si>
  <si>
    <t xml:space="preserve">Nepieciešams iegādāties monitoru I.Žīgurei </t>
  </si>
  <si>
    <t>9.62 EUR 1 pieslēgums</t>
  </si>
  <si>
    <t xml:space="preserve">Pasta izdevumi </t>
  </si>
  <si>
    <t xml:space="preserve">Vidēji EUR 50*12 mēnesī. </t>
  </si>
  <si>
    <t>Līgumam ar Biedrību „Ulubele" Nr.JUR2024-09/841 no 05.09.2024 uz gadu 19050+PVN4000,- klaiņojošu dzīvnieku vet.aprūpe</t>
  </si>
  <si>
    <t xml:space="preserve">Dzelzs ārdurvju remonts </t>
  </si>
  <si>
    <t>Auto servisa pakalpojums ŠKODA NT5856 pēc Līguma Vertw autu KUR-2024/272 no 05.04.2024 uz 5 gadiem 1000.-</t>
  </si>
  <si>
    <t xml:space="preserve">Auto mazgāšana - Automātiskā </t>
  </si>
  <si>
    <t>Auto mazgāšana - Ar rokām</t>
  </si>
  <si>
    <t>VIDEO novērošanas kameru nomaiņa rotācijas apļos 4*4*500</t>
  </si>
  <si>
    <t>Obligāta prasība, veselības un nelaimes gad.apdrošināšana 31*373 un 31*18</t>
  </si>
  <si>
    <t xml:space="preserve"> licence datoram</t>
  </si>
  <si>
    <t xml:space="preserve">Līgums ar SIA "KOOL Latvija" </t>
  </si>
  <si>
    <t>bibliotēku nakts, dzejas dienas - 1000</t>
  </si>
  <si>
    <t>tikšanās ar ar lektoriem, lekcijas - 500</t>
  </si>
  <si>
    <t>2 darbininiekiem OVP</t>
  </si>
  <si>
    <t>Reprezentatīvie izdevum</t>
  </si>
  <si>
    <t>SIA Elis tekstile - saimniecības līdzekļi noma uz EKK 2244.</t>
  </si>
  <si>
    <t>Kursi un semināri 75*9 cilvēki ~ 2i lētie kursi/ gadā. EUR 510 (3 sertif.uzturēšana). EUR 490 rezerve</t>
  </si>
  <si>
    <t>ArcGIS reklāmu modulis</t>
  </si>
  <si>
    <t>2 krēsli EUR 150*2</t>
  </si>
  <si>
    <t>limita izmaiņas būvinženierim</t>
  </si>
  <si>
    <t>EUR 15 x 4 darbin.=EUR 60</t>
  </si>
  <si>
    <t>LDz Svētku apgaismojums</t>
  </si>
  <si>
    <t xml:space="preserve">Iepirkums: zemes robežu kadastrālā uzmērīšana (Ādažu pag. 5 NĪ (t.sk., Krastupes iela, Ādaži), Carnikavas pag. 3 NĪ (t.sk., zemes uzmērīšana Carnikavas kapu paplašināšanai saskaņā ar domes 27.06.2024. lēmumu Nr.231), kopā EUR 3250). Zemes vienību apvienošana: Elīzes 1 un 3 un Lindas 1 apvienošana (domes 23.08.2023. lēmums Nr.335, zemas īres mājokļu būvniecībai, EUR 850) </t>
  </si>
  <si>
    <t xml:space="preserve">Ielu/ceļu pārņemšana pašvaldības īpašumā, piem., Mazstapriņu iela, Stapriņi (nodevas EUR 500) un gadā vairāku servitūta līgumu noslēgšanas izdevumi (EUR 400). </t>
  </si>
  <si>
    <t>Zemes ierīcības projektu izstrāde un izdevumu apmaksa izstrādei NĪ Ziemeļu iela 23A un 25A, Lilaste, Carnikavas pag. (EUR 3000)</t>
  </si>
  <si>
    <t>Plānota būvju/inženierbūvju Ādažu pag. uzmērīšana, reģistrēšana VZD kadastrā un ierakstīšana ZGR: 4 ielas (Muižas, Saules, Attekas B, Gaujas; EUR 1590); ēku Kāpas iela 23, Kadagas (t.sk., ēku lietošanas veidu sakārtošana (EUR 1300).</t>
  </si>
  <si>
    <t>Plānota būvju/inženierbūvju Ādažu pag. uzmērīšana un ierakstīšana zemesgrāmatā: Graustu nojaukšana NĪ Ādažu pag. (Trenči, sūkņu stacija Kanāla ielā 77, kopā EUR 7000).</t>
  </si>
  <si>
    <t>Meža inventarizācijas plāni 2025.gadā uzmērītajiem īpašumiem = EUR 200, mežaudzes krājas vērtēšana</t>
  </si>
  <si>
    <t xml:space="preserve">NĪ vērtējumi un citas procedūras to sagatavošanai atsavināšanai vai iznomāšanai vai apbūves tiesību nodibināšanai (NĪ vērtējumi, notāra pakalpojumi) - vismaz 15 īpašumi gada laikā x 220 EUR, saskaņā ar 2023.gada statistiku) </t>
  </si>
  <si>
    <t>EUR 200 gadā x 4 darb.= EUR 800</t>
  </si>
  <si>
    <t>Zemes noma ĶULLENI Baltezera krastā no Unas Liepiņas, 19.07.2024. līgums Nr.JUR 2024-07/721.</t>
  </si>
  <si>
    <t>Zemes noma no Rīgas pašvaldības NĪ "Baltauši" Alderu iela 33, 25.04.2023. vienošanās Nr. RD-13-398-lī/1</t>
  </si>
  <si>
    <t>Lasītavas aprīkojums</t>
  </si>
  <si>
    <t>neparedzētiem remonta darbiem piem. elektrībai</t>
  </si>
  <si>
    <t xml:space="preserve">Turpināsim  papildināt  bibliotēkas grāmatu fondu ar jaunākajiem izdevumiem  visās nozarēs. ( MK not. Nr.415, ne mazāk kā 0,43 EUR uz 1 iedz.) 
Akreditācijas komisijas ieteikums. Bibliotēkas apmeklētāju skaits  un pieprasījums pieaug pēc jaunākās literatūras izdevumiem  visās nozarēs (Īpaši pedagoģijā, psiholoģijā , tiesību zinātnēs, medicīnā, marketingā u.c.). </t>
  </si>
  <si>
    <t>multifunkcionālā printera iegāde</t>
  </si>
  <si>
    <t xml:space="preserve">BIS ALISE-i uzturēšana – 472,00(ar PVN)
Piegādes un pakalpojumu līgums Nr.A22/2022(JUR2022-03/330) 
</t>
  </si>
  <si>
    <t xml:space="preserve">kancelejas preces(Līgums Nr. JUR 2024-07/705), </t>
  </si>
  <si>
    <r>
      <t>grāmatu turētāji 10 gab.  (</t>
    </r>
    <r>
      <rPr>
        <sz val="8"/>
        <color theme="1"/>
        <rFont val="Arial"/>
        <family val="2"/>
        <charset val="186"/>
      </rPr>
      <t>40,-)</t>
    </r>
  </si>
  <si>
    <t>Printeriem rezerves daļas</t>
  </si>
  <si>
    <t>Stacijas iela 5, Tet abon. 472eur/mēn.; Garā iela 20, Tet abon. 180eur/mēn.</t>
  </si>
  <si>
    <t>Gaujas iela 33A,Tet abon. 424eur/mēn.</t>
  </si>
  <si>
    <t>Gaujas iela 33A. WEB uzturēšanai EUR 4,50 mēnesī x 12 (adazi.lv)</t>
  </si>
  <si>
    <t>Sertifikātu pagarināšana; Elektro drošība B kategorija.</t>
  </si>
  <si>
    <t>5 darbinieki ~200eur (pēc iepirkuma precizēt)</t>
  </si>
  <si>
    <t>Adobe cloud 3.gab. abonomenta lic.</t>
  </si>
  <si>
    <t>ESET PROTECT Advanced (Iekārtu sk. 400)</t>
  </si>
  <si>
    <t>Microsoft Office 365 mākoņa pakalpojuma abonēšana (225 lic.)</t>
  </si>
  <si>
    <t>Zoom abonoments ar diska vietu 140eur/mēn.</t>
  </si>
  <si>
    <t>ZZ Dats VPS Integrācijas risinājums ar DVS Namejs 29400eur bez PVN</t>
  </si>
  <si>
    <t>ZZ Dats VPS Integrācijas uzturēšanas maksa gadā 4200eur bez PVN</t>
  </si>
  <si>
    <t>Tīkla vadi un optikas SFP moduļi, Tīkla aktīvā aparatūra MikroTik (CN + AN). Cietie diski darbstacijām un serveriem, kā arī citas rezerves daļas. Flash atmiņas datu pārvietošanai iestādēm, Optiskie kompaktdiski (CD; DVD). U.t.t. +baterijas visām struktūrvienībām, mobilo tel. aizsargstikli, vāciņi un lādētāji.</t>
  </si>
  <si>
    <t>DELL PowerEdge 760 ar 12.gab.cietajiem diskiem -30000eur ar PVN (Jāmaina vecie serveri: 2x DELL PowerVault MD3400; 2x DELL PowerEdge 520 (13.09.2012 un 04.04.2013); IBM System x3400 M3 (29.08.2012); Serveris Lenovo System x3550 M5, Windows Svr 2016 (26.05.2017))</t>
  </si>
  <si>
    <t>Dator parka ~7% atjaunošana -17.gab. portatīvie datori (1600eur ar PVN)</t>
  </si>
  <si>
    <t>Informatīvā izdevuma druka, līgums ar SIA "Veiters Korporācija" līdz 01.03.2024., no 02.03.2024., cits informatīvā izdevuma modelis A3, 16.lpp. 2003.76 (ieskaitot PVN) x 2 mēneši + 2250 (ieskaitot PVN) x 10 mēneši</t>
  </si>
  <si>
    <t>Avīzes izplatīšana privāt- un daudzdz. mājām - 650 EUR x 12 mēneši.</t>
  </si>
  <si>
    <t>Publiskās aptaujas (divas aptaujas manabalss.lv vietnē 1089 x 2 = 2178 EUR)</t>
  </si>
  <si>
    <t xml:space="preserve"> Par ERAF pr.Valsts un pašv.iestažu tīmekļvietu vienotā platforma</t>
  </si>
  <si>
    <t>Fotogrāfs utml.</t>
  </si>
  <si>
    <t>Briļļu iegāde pēc koplīguma</t>
  </si>
  <si>
    <t>Mobilās sarunas (LMT apmaksa)</t>
  </si>
  <si>
    <t xml:space="preserve">Balstoties uz MK noteikumiem OVP  (EUR 45*2). </t>
  </si>
  <si>
    <t>2026. gada kalendāru piegāde.</t>
  </si>
  <si>
    <t>Datorprogrammu licences izdevumi: Captions (9,99 eiro mēnesīx12=119.88)</t>
  </si>
  <si>
    <t>Foto objektīvs (https://www.masterfoto.lv/lv/mirrorless-objektivi/19192-sony-fe-24240mm-f3563-oss-lens-sel24240.html)</t>
  </si>
  <si>
    <t>Foto tehnika: K&amp;F Concept Variable ND Filtrs (82mm) (https://www.masterfoto.lv/lv/nd-neitrala-blivuma-filtri/53486-kf-concept-82-mm-variable-nd-filter-nd3nd1000-kf012012.html)</t>
  </si>
  <si>
    <t>Atmiņas karte Canon kamerām (2 gab.) (https://www.masterfoto.lv/lv/atminaskartes/43681-sandisk-memory-sdxc-128gb-uhsi-sdsdunb128ggn6in.html)</t>
  </si>
  <si>
    <t>Fototehnikas soma (https://www.masterfoto.lv/lv/mugursomas/57273-tenba-axis-v2-18l-lt-black.html)</t>
  </si>
  <si>
    <t>Mikrofons Rode (https://www.masterfoto.lv/lv/videokameru-mikrofoni/28220-rode-videomic-go-kompaktsviegls-kameras-mikrofons.html)</t>
  </si>
  <si>
    <t>Foto tehnika: Gaismu komplekts (https://www.masterfoto.lv/lv/studijas-zibspuldzu-komplekti/45558-godox-sk300ii-travel-kit-with-accessories.html)</t>
  </si>
  <si>
    <t>Pele ar klaviatūru (65 EUR x2)</t>
  </si>
  <si>
    <t>Foto tehnika: Osmo Pocket (mini kamera) (https://www.masterfoto.lv/lv/sporta-kameras/3173-dji-osmo-pocket-3-vlogging-3axis-gimbal-sporta-kamera.html)</t>
  </si>
  <si>
    <t>Briļļu iegāde pēc koplīguma 400 (2 darbiniekiem)</t>
  </si>
  <si>
    <t>5 mobilie telefoni.</t>
  </si>
  <si>
    <t>Supervīzijas EUR 250*4; kursiem EUR 850 (2 darbinieki pa EUR 200, 3 pa EUR 150 katram)</t>
  </si>
  <si>
    <t xml:space="preserve">Pēc koplīguma (200 EUR*5 darbin.) </t>
  </si>
  <si>
    <r>
      <t xml:space="preserve">Skolēnu nogādāšana izglītības iestādē (Pasažieru vilciena un Latvijas Sabiedriskā transporta </t>
    </r>
    <r>
      <rPr>
        <sz val="8"/>
        <rFont val="Arial"/>
        <family val="2"/>
        <charset val="186"/>
      </rPr>
      <t>mēnešbiļetes</t>
    </r>
    <r>
      <rPr>
        <i/>
        <sz val="8"/>
        <rFont val="Arial"/>
        <family val="2"/>
      </rPr>
      <t xml:space="preserve">) </t>
    </r>
  </si>
  <si>
    <t>183 skolēni, 9 mēneši, līdzfinansējums dienā EUR 1,545</t>
  </si>
  <si>
    <t>Domes līdzfinansējums, 350 skolēni</t>
  </si>
  <si>
    <t>Domes līdzfinansējums, 40 pirmsskolnieki (1,6-4 g.v. - 14, 5-7 g.v. - 26)</t>
  </si>
  <si>
    <t>Līdzfinansējums privātskolu skolēniem, Tāme Nr.3 
 (90 eiro mēnesī -privātskola, 45 eiro- tālmācības skola)</t>
  </si>
  <si>
    <t>Pašvaldību savstarpējie norēķini, Tāme Nr.1</t>
  </si>
  <si>
    <t>Dalības maksa Elvi Florbola Virslīgā + spēlētāju licenzes</t>
  </si>
  <si>
    <t>Pakalpojuma saņemšanai pasākumiem noslēgti autorlīgumi</t>
  </si>
  <si>
    <t>39 eur X 12 MĒNEŠI</t>
  </si>
  <si>
    <t>82,03 EUR x 12 mēneš</t>
  </si>
  <si>
    <t xml:space="preserve">Vidēji mēnesī 90 EUR. 10 mēnešiem </t>
  </si>
  <si>
    <t>13,03 EUR *12 mēneši</t>
  </si>
  <si>
    <t>Biroja krēsls nodaļas vadītājam</t>
  </si>
  <si>
    <t xml:space="preserve">Izglītojamo un darbinieku  obligātās veselības pārbaudes. </t>
  </si>
  <si>
    <t>Jāorganizē 2 sacensības - vieglatlētika un peldēšana</t>
  </si>
  <si>
    <t>Pārbaudīt formula</t>
  </si>
  <si>
    <t xml:space="preserve">Rīga - Jauniešu Dziesmu un Deju svētki (noklausīšanās, skates) Zināmie datumi ---&gt;   Koklētājiem 22.02.2025., 13.04.2025., 06.07.2025., 07.07.2025., 08.07.2025.; Pūtēju orķestris 28.02.2025., 01.03.2025., 30.06.2025., 09.07.2025., 10.07.2025.,13.07.2025.; Stīgu orķestris 29.03.2025., 12.04.2025., 07.07.2025., 08.07.2025.; Koris 02.03.2025., 07.04.2025., + vēl nezināmie datumi)   </t>
  </si>
  <si>
    <t>85 darbinieki x 40eur (Jānodrošina pedagogu profesionālās kompetences pilnveide)</t>
  </si>
  <si>
    <t xml:space="preserve">Darbinieku tālākizglītības kursi  </t>
  </si>
  <si>
    <t>Klavieru skaņošana un remonts.(Kopā 34 klavieres, 1klavieres skaņošana no 60-80Eur. Obligāti gadā vismaz 2x jāskaņo + jāregulē. 3 flīģeļu skaņošana, pēc nepieciešamības/pirms koncertiem, utt).</t>
  </si>
  <si>
    <t>Digitālo klavieru remonts. (16 digitālās klavieres, nepieciešamas apkopes un remonts). Līdz šim netika labotas, jo instrumenti vēl bija jauni, tagad sāk parādīties problēmas ar taustiņiem, u.c.</t>
  </si>
  <si>
    <t>Printeru remonts/apkope (2024.gadā 10 printeri, multif.iekārtas)</t>
  </si>
  <si>
    <t>Tīmekļa vietnes uzturēšanas izmaksas - līgums</t>
  </si>
  <si>
    <t>Dāvanas absolventiem</t>
  </si>
  <si>
    <t>Akustikas uzlabošana mācību klasēs abos mācību punktos (tai skaitā, lampu nomaiņa - ekanomijai un kvalitātei, jo grab lampas spēlējot mūzikas instrumentus).</t>
  </si>
  <si>
    <t>Izstāžu eksponēšanas sistēmas turpināšana</t>
  </si>
  <si>
    <t>Tērpu iegāde bērnu Dziesmusvētkiem 2025.gadā (Deju nodaļas tērpi)</t>
  </si>
  <si>
    <t>Tērpu iegāde bērnu Dziesmusvētkiem 2025.gadā (pūtēju orķestra tērpi)</t>
  </si>
  <si>
    <t>Tērpu iegāde bērnu Dziesmusvētkiem 2025.gadā (Kora tērpi)</t>
  </si>
  <si>
    <t xml:space="preserve">10gab stepa deja kurpes mācību procesa nodrošināšanai Dejas nodaļā - turpināt papildināt </t>
  </si>
  <si>
    <t>SIA Keramserviss</t>
  </si>
  <si>
    <t>Printeris Carnikavas mācību punkta datorklasei</t>
  </si>
  <si>
    <t>2025. - Mēbeles Carnikavas mācību punktm</t>
  </si>
  <si>
    <t>2025. - Mēbeles Ādažu mācību punktam</t>
  </si>
  <si>
    <t>Sintezators</t>
  </si>
  <si>
    <t xml:space="preserve">Flauta Jupiter JFL700WD  </t>
  </si>
  <si>
    <t>Flauta -  MTP mod.1602</t>
  </si>
  <si>
    <t>Bungu klašu un eksāmenu zāļu papildinājumi, u.c. Thomann iepirkums</t>
  </si>
  <si>
    <t>neiztērētās MD atmaksa</t>
  </si>
  <si>
    <t>Skatuves telferu un kulišu sistēmas apkope jāveic regulāri, pamatojoties uz MK noteikumiem Nr. 341  par skatuves sistēmu drošību.</t>
  </si>
  <si>
    <t>MĒBELES (krēsli, galdi u.c.)</t>
  </si>
  <si>
    <t>Nošu pultis (40 eur gab. x 4)</t>
  </si>
  <si>
    <t>A3 kopētājs, printeris, publicitātes materiālu sagatavošanai (afišas, plakāti u.c.)</t>
  </si>
  <si>
    <t>Skatuves monitori 4.gab.</t>
  </si>
  <si>
    <t>Ausu monitorsistēmas 4 gab. ar aprīkojumu (austiņas, komutāciju sistēma)</t>
  </si>
  <si>
    <t>Tiks papildināts pēc amatiermākslas kolektīvu pieteikumu saņemšanas</t>
  </si>
  <si>
    <t>Domes lēmums</t>
  </si>
  <si>
    <t xml:space="preserve">Mērķdotācija G1 provizoriski 1700 gadā, G2 850 EUR gadā. 5 G1 kolektīvi; 3 G2 kolektīvi </t>
  </si>
  <si>
    <t xml:space="preserve">Mērķdotācija </t>
  </si>
  <si>
    <t>Pēc ĀKC koplīguma - briļļu iegādei</t>
  </si>
  <si>
    <t>komandējuma dienas nauda</t>
  </si>
  <si>
    <t>Transporta pakalpojumi kolektīviem uz skatēm, koncertiem, novada svētkiem (max 3 braucieni Dziesmu svētku kolektīvam, 2 braucieni pārējiem saskaņā ar nolikumu)</t>
  </si>
  <si>
    <t xml:space="preserve">Putekļu sūcējs - robots ar mazgāšanas funkciju lielās zāles uzkopšanai. </t>
  </si>
  <si>
    <t>Kora Undīne - 45 gadu Jubileja</t>
  </si>
  <si>
    <t>Senioru balle</t>
  </si>
  <si>
    <t>Tēlotājmākslas studijas SIDRABOTA  - meistarklase</t>
  </si>
  <si>
    <t>TLMS Auseklītis  60 gadu Jubilejas izstāde</t>
  </si>
  <si>
    <t>SDK Tacis tautas deju  lielkoncerts ar viesu kolektīviem</t>
  </si>
  <si>
    <t>Mākslas darbu izstādes. t.sk. SIDRABOTA izstāde</t>
  </si>
  <si>
    <t>Muzikālie vasaras pikniki, preces</t>
  </si>
  <si>
    <t xml:space="preserve">Zvejnieksvētku zaļumballe, preces </t>
  </si>
  <si>
    <t xml:space="preserve">Carnikavas Nēģu svētki, preces </t>
  </si>
  <si>
    <t xml:space="preserve">Pensionāru balle, preces </t>
  </si>
  <si>
    <t xml:space="preserve">Tradicionālo gadskārtu un valsts svētku pasākumu organizēšanas izdevumi (Lieldienas, Saulgrieži, 4.maijs, 18.novembris, Ziemassvētki) </t>
  </si>
  <si>
    <t xml:space="preserve">Sieviešu kora Undīne koncerttērpu papildināšana jaunajiem dalībniekiem </t>
  </si>
  <si>
    <t>SDK Tacis sievu cepures 12 gab</t>
  </si>
  <si>
    <t>SDK Tacis vīru lakati 12 gab</t>
  </si>
  <si>
    <t>Ausu monitoru sistēma Shure PSM 300 2 gab</t>
  </si>
  <si>
    <t>Ausu monitoru uztvērējs Shure P3RA 2 gab</t>
  </si>
  <si>
    <t>Transporta kaste 1 gab</t>
  </si>
  <si>
    <t>Transporta kastes atvilkne 1 gab</t>
  </si>
  <si>
    <t>Transporta kastes izeju ieeju panelis 1 gab</t>
  </si>
  <si>
    <t>Transporta kastes ieeju ligzdas 4 gab</t>
  </si>
  <si>
    <t>Transporta kastes elektrības ieejas ligzda 1 gab</t>
  </si>
  <si>
    <t>Transporta kaste 625 x 420 x 340 mm 1 gab</t>
  </si>
  <si>
    <t>Transporta kaste 560 x 355 x 290 mm 1 gab</t>
  </si>
  <si>
    <t xml:space="preserve"> Jaunā plānošanas perioda projektu konkursa 2. kārtu Saulkrastu pilsētai un pagastam un Carnikavas pagastam. Jaunas saimes telpas un virtuves ekspozīcijas izveide. Projekta kopsuma sastāda 60000.00 EUR, ES fonda atbalsts sastāda 90 %. Mākslinieciskā koncepcija pielikumā.</t>
  </si>
  <si>
    <t xml:space="preserve">Mākslinieki, tulkotāji un zinātnisko darbu veicēji </t>
  </si>
  <si>
    <t>Autoratlīdzības līgumi ar zvejniekiem, Nēģu svētku un zvejnieksētku, kā arī citu izglītojošo pasākumu dalībniekiem - lektoriem, speciālistiem utt.</t>
  </si>
  <si>
    <t>Balstoties uz CK rēķinu par jūliju augustu un septembri</t>
  </si>
  <si>
    <t xml:space="preserve">Apmeklētāji bojā katru gadu, ir sarežģīti paredzēt bojājumu apmērus  </t>
  </si>
  <si>
    <t>Ķīmiskās tīrītavas pakalpojumi</t>
  </si>
  <si>
    <t xml:space="preserve">Izglītojoša rakstura semināru rīkošana, izdevumi tematisko pētniecības darbu veikšanai, tematisku izstāžu rīkošana.  </t>
  </si>
  <si>
    <t>Jaunās 2024 gadā no SIA "GRIF 93" nogādātās  laivas remonts, pacelšana</t>
  </si>
  <si>
    <t>Muzejs - Saimniecības izdevumi ( vāzes, svečturi, trauki, paliktņi u.taml.)</t>
  </si>
  <si>
    <t xml:space="preserve">Fasādes atjaunošana/ krāsošana, pandusa atjaunošana </t>
  </si>
  <si>
    <t xml:space="preserve">Citas, neklasificējamās preces darbībai un pasākumiem (dekorācijas, stiprinājumi izstādēm utt.) </t>
  </si>
  <si>
    <t>Balttour</t>
  </si>
  <si>
    <t xml:space="preserve">Ekspertu pakalpojumi (pētījumi, datu iegāde, stratēģiskā plānošana u.c.).  </t>
  </si>
  <si>
    <t>Tūrisma uzņēmēju pasākuma nodrošināšana 1 reizi gadā</t>
  </si>
  <si>
    <t>Dators TIC darbiniekam</t>
  </si>
  <si>
    <t>Dziesmu svētku darba grupas atalgojums, Tāme Nr.1</t>
  </si>
  <si>
    <t>Novada dziesmu svētku koordinatora darba samaksa ne mazāk kā 30 % no pamatalgas ( 7 mēneši janv. - jūlijs)</t>
  </si>
  <si>
    <t>Skates skaņotāja, gaismotāja papildstundu, tāmes Nr.5 un Nr.6</t>
  </si>
  <si>
    <t>Naudas balvas kolektīvu vadītājiem (18)
un jomu koordinatoriem (3), 250 euro katram</t>
  </si>
  <si>
    <t>darbinieki, naudas balvas</t>
  </si>
  <si>
    <t>uzņēmuma līgumi ar privātpersonām</t>
  </si>
  <si>
    <t>Transporta pakalpojumi Ādažu novada delegācijai svētku gājienā</t>
  </si>
  <si>
    <t>Dalībnieku un pavadošo personu ( t.sk. kolektīvu vadītāju) ēdināšanas izdevumi, Tāme Nr. 8</t>
  </si>
  <si>
    <t>Dziesmu svētku kolektīviem materiālu rezerves nodrošinājums ( tērpi, u.c.)</t>
  </si>
  <si>
    <t>Ādažu novada kolektīvu Dziesmu svētku atspoguļojums - novada tēls</t>
  </si>
  <si>
    <t xml:space="preserve">Degvielas kompensācija (virsdiriģentam), Tāme Nr.2 </t>
  </si>
  <si>
    <t>Sabiedrība ar dvēseli. Atbalsts iedzīvotāju grupām projektu īstenošanā RP. Palielināts, jo šis ir vienīgis instruments, kur privātās zemēs veido rotaļu un sporta laukumus. AP 10.1.1.2.1.</t>
  </si>
  <si>
    <t>Konkurss "Sabiedrība ar dvēseli" (ĀNP 25.02.2024. nolikums Nr. 2 "Konkursa "Sabiedrība ar dvēseli 2024" nolikums"), EUR 40'000. AP pasākums Ā15.1.2.1.</t>
  </si>
  <si>
    <t>Naudas balva jubilejā (G.Dundurei par 20 nostrādātajiem gadiem)</t>
  </si>
  <si>
    <t>Koplīguma dāvana darbiniekiem (likuma ietvaros) (EUR 15 x 10 darbinieki = EUR 150)</t>
  </si>
  <si>
    <t>Atbilstoši 12.10.2010. MKN Nr. 969 "Kārtība, kādā atlīdzināmi ar komandējumiem saistītie izdevumi", 21.2.punktam</t>
  </si>
  <si>
    <t>Braucieni uz Briseli, uz semināriem, 2 cilvēkiem, 1 brauciens, uz 2 dienām, EUR 60 dienā (EUR 60 x 2 cilvēki x 1 brauciens x 2 dienas = EUR 240)</t>
  </si>
  <si>
    <t>Atbilstoši 12.10.2010. MKN Nr. 969 "Kārtība, kādā atlīdzināmi ar komandējumiem saistītie izdevumi", 1.pielikumam</t>
  </si>
  <si>
    <t>Atbilstoši 12.10.2010. MKN Nr. 969 "Kārtība, kādā atlīdzināmi ar komandējumiem saistītie izdevumi", 21.3.punktam</t>
  </si>
  <si>
    <t xml:space="preserve">Telefona sarunu kompensācija (EUR 7,95 x 1,21 x 10 darbinieki x 12 mēneši = EUR 1154,34) </t>
  </si>
  <si>
    <t>Lursoft pakalpojuma abonešana (06.10.2023. vienošanās Nr.1/ JUR 2023-10/1171 ar SIA "Lursoft IT" pie 01.07.2022. līguma Nr. 89062/2-013/47454)</t>
  </si>
  <si>
    <t>Jāņa sētas kartes izmantošana no karšu pārlūka www.balticmaps.eu (26.06.2023. līgums Nr. JUR 2023-06/724 ar SIA "Jāņa sēta")</t>
  </si>
  <si>
    <t>Kursi un semināri visiem APN darbiniekiem (EUR 85 x 10 darbinieki = EUR 850)</t>
  </si>
  <si>
    <t>Jūras zemē būs jāmaksā 0,07 EUR no 1.janvārī deklarēto iedzīvotāju skaita Ādažu novadā. Varētu pieņemt, ka uz 01.01.2025. to skaits varētu būt 25000
(EUR 0,07 x 25000 cilvēki = EUR 1750).</t>
  </si>
  <si>
    <t>Lieldienu dekoru iegādei, 5 gb. L izmēra + piegāde</t>
  </si>
  <si>
    <t>Velo skaitītāja abonēšanas maksa 10 EUR/mēn. 03.04.2023. līgums Nr. JUR 2023-03/379 ar SIA "AMRO BALTIC".</t>
  </si>
  <si>
    <r>
      <t>A.Podiņa būvprakses sertifikāta gada maksa un piekļuve pie būvniecības nozares standartiem gada maksa.</t>
    </r>
    <r>
      <rPr>
        <i/>
        <sz val="8"/>
        <color theme="8" tint="-0.249977111117893"/>
        <rFont val="Arial"/>
        <family val="2"/>
        <charset val="186"/>
      </rPr>
      <t xml:space="preserve"> AP pasākums Ā9.1.2.2., ĀNP 26.10.2023. lēmums Nr. 411.</t>
    </r>
  </si>
  <si>
    <t xml:space="preserve">Tehnikas remonts. Kopētāji. </t>
  </si>
  <si>
    <t>Darbinieku apdrošināšana (10 darbinieki x EUR 200 = EUR 2000)</t>
  </si>
  <si>
    <t>Kancelejas preces ārpus EIS 10 darbiniekiem (EUR 150 ceturksnī = 600)</t>
  </si>
  <si>
    <t>Svētku dekorācijas - jaunas, Jāņiem</t>
  </si>
  <si>
    <t xml:space="preserve">Apmācības / seminārs biedrībām un citiem interesentiem par pieteikumu iesniegšanu EIS </t>
  </si>
  <si>
    <t>"Blusu" kroga atjaunošana ir paredzēta "Jūras Zemes" administrētās LEADER programmas ietvaros. Tam paredzēti EUR 333 333.</t>
  </si>
  <si>
    <t xml:space="preserve">Pilnīgi viss finansējums visai nodaļai 100% nāk no LM </t>
  </si>
  <si>
    <t>Supervīzijas</t>
  </si>
  <si>
    <t xml:space="preserve"> Vendens iekārtas noma</t>
  </si>
  <si>
    <t xml:space="preserve">Datorkrēsls 2 gab. </t>
  </si>
  <si>
    <t>Printeris  2  gab. ~ Ādaži 1gab. EUR 500 Carnikava 1.gab.500 EUR</t>
  </si>
  <si>
    <t xml:space="preserve">Mikroautobuss 20 vietām DAC klientu pārvadāšanai </t>
  </si>
  <si>
    <t>Asistenta pakalpojumi</t>
  </si>
  <si>
    <t xml:space="preserve">Noteikumi: iepriekš neparedzamos gadījumos (zādzība, smaga saslimšana, ceļu satiksmes negadījums, ilgstošas ārstēšanās, u.c.) - līdz 300,00 euro  </t>
  </si>
  <si>
    <t>Trūcīgajiem mācību līdzekļu iegādei. Soc.rehabilitācijas mērķu sasniegšanai.</t>
  </si>
  <si>
    <t>30% dotācija no LM 18000 EUR</t>
  </si>
  <si>
    <t>Slimnīcu rēķini</t>
  </si>
  <si>
    <t>Brīvpusdienas uz rēķina - Maksā trūcigajām un maznodrošinātajām ģimenēm 100 % apmērā</t>
  </si>
  <si>
    <t>Pašvaldību vienreizējie pabalsti natūrā krīzes situācijā līdz 300 euro</t>
  </si>
  <si>
    <t>30% dotācija no LM 30000 EUR</t>
  </si>
  <si>
    <t>SN Par aprūpes mājās pakalpojumu bērniem invalīdiem</t>
  </si>
  <si>
    <t>Psihologa paklpojumi.  2025.gadā var paaugstināties pakalpojuma maksa</t>
  </si>
  <si>
    <t>SN Par pabalstiem bez materiālās situācijas izvērtēšanas(pabalsts bērniem invalīdiem un bērniem ar celiakiju 100 EUR</t>
  </si>
  <si>
    <t>Pabalsts transportam personai,kurai ir pārvietošanās grūtības 100 EUR gadā</t>
  </si>
  <si>
    <t xml:space="preserve"> darbinieku mācību nomaksai</t>
  </si>
  <si>
    <t xml:space="preserve">SIA LMT   EUR 9.70*1.21*12*22 Telefons, interneta pieslēgums </t>
  </si>
  <si>
    <t>Pasta izdevumi ~ EUR 250/mēnesī</t>
  </si>
  <si>
    <t xml:space="preserve">Papīrs Ādaži 500 EUR, Carnikava 500 EUR </t>
  </si>
  <si>
    <t>Neparedzēti izdevumi. (Pods, dušas telpai)</t>
  </si>
  <si>
    <t>Reprezentācijas materiāli semināru rīkošanai</t>
  </si>
  <si>
    <t>pēc patēriņa</t>
  </si>
  <si>
    <t>Tehnisko iekārtu remonta rezerve</t>
  </si>
  <si>
    <t>2024.gada līgums uz trijiem gadiem JUR 2024-08/833</t>
  </si>
  <si>
    <t>māls, krāsas- dažādas, guaša, akvareļa, flomāsteri, audumam, svecēm, papīrs zīmēšanai un birojam, stikls, parafīns, ģipsis, DEPO</t>
  </si>
  <si>
    <t>kopā ar specializētajām darbnīcām</t>
  </si>
  <si>
    <t>Preces reprezentācijai</t>
  </si>
  <si>
    <t>Dezinfekcijas līdzekļi telpām, virsmām, rokām, tabletes trauku masīnai, švammes, lupatas, sāls un skalojamie līdzekļi, vienreiz lietojame cimdi, atkaļķošanas līdzekļi</t>
  </si>
  <si>
    <t>Preces mājturības darbnīcām</t>
  </si>
  <si>
    <t>Pusdienu komplekts, nepeiciešamības gadījumā arī speciālās pārtikas pusdienu komplekts</t>
  </si>
  <si>
    <t>Atkritumu izvešana</t>
  </si>
  <si>
    <t xml:space="preserve">Uzņēmuma līgums-mācību jomu koordinātora pakalpojums 
Tāme Nr.1 </t>
  </si>
  <si>
    <t>Skolēnu apbalvošana par augstiem mācību sasniegumiem (balvu fonds), tāme Nr. 19</t>
  </si>
  <si>
    <t>Bērnu un jauniešu nometnes, Tāme Nr. 21</t>
  </si>
  <si>
    <t xml:space="preserve">Skolēnu apbalvošana par augstiem mācību sasniegumiem (apbalvošanas pasākums), Tāme Nr.19 </t>
  </si>
  <si>
    <t>ĀNP 28.03.2024. domes lēmums Nr. 115 (2026. gadā tiks saņemta atmaksa)</t>
  </si>
  <si>
    <t>Komentārs</t>
  </si>
  <si>
    <t>Tāme Nr.6 Prezentmateriāli un balvas (ar jauniešu atpazīstamības logotipu)</t>
  </si>
  <si>
    <t>Pedagoģiski medicīniskās komisijas atalgojums, Tāme Nr.5</t>
  </si>
  <si>
    <t xml:space="preserve">Materiālā stimulēšana darbiniekiem Tāme Nr.6 </t>
  </si>
  <si>
    <t>Komandējuma dienas nauda (transporta biļetes, viesnīca, dienas nauda), Tāme Nr.8</t>
  </si>
  <si>
    <t>Skolēnu pārvadājumu kompensācijas izglītojamo nokļūšanai uz/ no mācību iestādēm, Tāme Nr.9</t>
  </si>
  <si>
    <t xml:space="preserve">Ādažu novada pašvaldības olimpiāžu nodrošināšanas izdevumi (dalībnieku nokļūšanai uz olimpiādes norises vietu),Tāme Nr.13 </t>
  </si>
  <si>
    <t>Nodaļas darbinieku profesionālās pilnveides kursi, semināri</t>
  </si>
  <si>
    <t xml:space="preserve">Novada pedagogu ikgadējā augusta konference, Tāme Nr. 10. 
</t>
  </si>
  <si>
    <t>Pasākumi digitālās kompetences pilnveidei, Tāme Nr. 11</t>
  </si>
  <si>
    <t>Programma STOP 4-7, Tāme Nr. 12.</t>
  </si>
  <si>
    <t>Toneru iegāde</t>
  </si>
  <si>
    <t xml:space="preserve">Mobilā telefona iegāde </t>
  </si>
  <si>
    <t>Dāvanas absolventiem izlaidumā, tāme Nr. 14</t>
  </si>
  <si>
    <t>Ziedi iglītības iestādēm svinīgos pasākumos, tāme Nr. 15</t>
  </si>
  <si>
    <t>Kliņģeri izglītības iestādēm svinīgos pasākumos, tāme Nr. 16</t>
  </si>
  <si>
    <t xml:space="preserve">Novada pedagogu ikgadējā konference augustā, Tāme Nr. 10. </t>
  </si>
  <si>
    <t>Ādažu novada pašvaldības olimpiāžu nodrošināšanas izdevumi,Tāme Nr.13</t>
  </si>
  <si>
    <t xml:space="preserve">Programma STOP 4-7 Tāme Nr.12.
</t>
  </si>
  <si>
    <t>28.09.2023. lēmums Nr.381; 2024.g.februāra IKSS lēmums (plānot divas intervences gadā, līdz šim viena reize gadā)</t>
  </si>
  <si>
    <t>Degvielas kompensācija Tāme Nr.17</t>
  </si>
  <si>
    <t>Pārējās preces nodaļas darba nodrošināšanas vajadzībām</t>
  </si>
  <si>
    <t>Nodrošinājums pedagoģiski medicīniskajai komisijai,Tāme Nr. 18</t>
  </si>
  <si>
    <t>Jauniešu iniciatīvu projekti, tāme Nr. 7 (8x500EUR=4000EUR)</t>
  </si>
  <si>
    <t>tāme Nr.8.  ZZ dati - pieteikšanās skolēnu vasaras nodarbinātībai cau e-pakalpojumiem</t>
  </si>
  <si>
    <t xml:space="preserve"> kompensāijas maksa studijām (rezerve) 3 mācīsies</t>
  </si>
  <si>
    <t>15 darbinieki*200 EUR brilles</t>
  </si>
  <si>
    <t>Mācību ekskursijas izlaidumu grupai</t>
  </si>
  <si>
    <t>Ja polise nesedz, tad 59 darbinieki X 20 EUR</t>
  </si>
  <si>
    <t>Veļas mazgāšana,</t>
  </si>
  <si>
    <t>ELIIS -pirmsskolas izglītības iestāžu mācību darba organizēšanai. (SIA „Edukas Latvia”) Līgums 07.2024. g. EUR 25 + PVN + EUR 0.3 par katru bērnu.</t>
  </si>
  <si>
    <t xml:space="preserve"> Skolu tiesību abonementam gadam</t>
  </si>
  <si>
    <t>Ūdens iekārtas nomai</t>
  </si>
  <si>
    <t>Datorpeles (5 gb.), telefonu stikliņi grupu telefoniem (15 gb.)</t>
  </si>
  <si>
    <t xml:space="preserve">Grupas galdi 12 gb </t>
  </si>
  <si>
    <t>Krēsli 50 gb. darbiniekiem</t>
  </si>
  <si>
    <t>20 krēsli aktu zālei</t>
  </si>
  <si>
    <t>Saliekami galdi semināriem un pasākumiem 6 gb.</t>
  </si>
  <si>
    <t>Mobīlie krēsli skolotājām 2 gb.</t>
  </si>
  <si>
    <t>Laminatori 2 gb.</t>
  </si>
  <si>
    <t>Iesiešanas  iekārta</t>
  </si>
  <si>
    <t xml:space="preserve">Atstarojošās vestes bērniem </t>
  </si>
  <si>
    <t>Interaktīvā tāfele</t>
  </si>
  <si>
    <t>SIA „Tet”  optiskā internata nodrošinājuma izmaksas Siguļi PII "Piejūra" EUR170*1.21=205.70*12=2468.40</t>
  </si>
  <si>
    <t>VAS „Latvenergo” cena plānota par patēriņu 120000 kWh. Aprēķinus veica PA "Carnikavas komunālserviss" enerģētiķis I. Jankovskis</t>
  </si>
  <si>
    <t xml:space="preserve"> 7 vecāko grupu 139 izglītojamo (5-6 gadīgie)  atbilstoši pirmsskolas mācību programmai ekskursijas  Sociālo zinību apguves jomā uz  ZOO (Rīga, Sigulda,u.c tuvākie), Poligonu "Getliņi", Latvijas Nacionālo bibliotēku, Ādažu sākumskolu, Carnikavas vidusskolu, Carnikavas novadpētniecības centru. Mācību ekskursiju izmaksas ~EUR186x7=EUR 1300 (CKS transports)</t>
  </si>
  <si>
    <t>E-žurnālu komplekts 12 mēn.:Pirmsskolā,a"un  "Metodiskie materiāli pirmsskolām" . Gada abonaments EUR 168.00</t>
  </si>
  <si>
    <t xml:space="preserve"> Maksa par PI licencēšanas pak.par programmu kods 57 (Pedagoģidki medicīniskās komisijas lēmums) MK not. Nr. 213</t>
  </si>
  <si>
    <t>Darbinieku apdrošināšana 53*200=EUR 10600</t>
  </si>
  <si>
    <t>SIA "Edurio" Līgums (tiek sēgts) pirmsskolas darbības izvērtēšanai (vecāki, darbinieki) abonēšana kalendārā gada ietvaros 103 euro +1.03 euro par bērnu-10% atlaide=EUR 299.52 (212 izglītojamie)</t>
  </si>
  <si>
    <t>e-līgums JUR2024-08/815 Digitālo mācību materiālu abonēšana mācību vadības platformā PII</t>
  </si>
  <si>
    <t>18 Krēsli "Colores" Zvirbulīšu skolas grupas 5-6 gadīgajiem bērniem (H35cm) (SIA "Bolderāja Serviss"). 18*EUR 96.05=EUR 1737</t>
  </si>
  <si>
    <t>Plaukts ar kastēm 3x8 Zvirbulīšu un Zīlīšu skolas grupas 5-6 gadīgajiem bērniem (SIA "Bolderāja Serviss"). 2*EUR 352.5=EUR 705</t>
  </si>
  <si>
    <t>Bērnudārza galds LEO 4 Zvirbulīšu skolas grupas 5-6 gadīgajiem bērniem (SIA "Bolderāja Serviss").4*EUR 80.00=EUR 320</t>
  </si>
  <si>
    <t xml:space="preserve"> Elektriski augstumā regulējams galds FLEXUS Ergonomisks, 1600x1200 mm (AJ mēbeles) 2*389= EUR 778 (pamatojums: Pamatojoties uz ģimenes ārsta un vertebrologa slēdzieniem, nepieciešami kancelejas pārzinei un iestādes vadītājai)</t>
  </si>
  <si>
    <t>Minhenes funkcionālās attīstības diagnostikas MFAD komplekts (Nepieciešams resurss bērniem ar īpašām vajadzībām diagnosticēšanai)</t>
  </si>
  <si>
    <t>Vingrošanas/līdzsvara steperis Standarta 3 soļi (25.99) 20 gab.=EUR 520</t>
  </si>
  <si>
    <t>Pasākums ģimenēm veselīga dzīvesveida popularizēšnai:Vecāku, vecvecāku dienu ietvaros sporta spēles maija beigās - 210 gab. šokolādes medaļas: EUR 2x210=EUR 420.00</t>
  </si>
  <si>
    <t>Ziemassvētku egles EUR 70</t>
  </si>
  <si>
    <t>"Ādažu aptieka" - medicīniskajam kabinetam EUR 240.00</t>
  </si>
  <si>
    <t xml:space="preserve"> Dezinfekcijas līdzekļi 11 grupu telpām un atbalsta personāla, smilšu un sajūtas telpām, mūzikas un sporta jomas kabinetiem. EUR 8x66=EUR 528.</t>
  </si>
  <si>
    <t xml:space="preserve">Mācību materiāli/ izejmateriāli mācību procesa nodrošinājumam: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x210 izglītojamajiem 11  grupās:  EUR 462.00 mēnesī  x12 mēn=EUR 5544 gadā </t>
  </si>
  <si>
    <t xml:space="preserve">Dārzeņu sēklas, sīpoli, sīpolpuķu sīpoli  apzaļumošanai EUR 15*11=110 </t>
  </si>
  <si>
    <t>Augsne siltumnīcas kastēm un telpaugiem 20*8.50=EUR 170</t>
  </si>
  <si>
    <t>Augsne siltumnīcas augļu kokiem 10*12=EUR 120</t>
  </si>
  <si>
    <t>Interaktīvais ekrāns ActivPanel 9 65'' ar ActivInspire Professional Edition licenci 5-6 gadīgo  bērnu (139 izglītojamie) mācību procesa IT jomā nodrošinājumam</t>
  </si>
  <si>
    <t>90 sešgadnieki- topošie skolēni</t>
  </si>
  <si>
    <t>6gadīgo bērnu nogādāšanai mācību ekskursijas nolūkos</t>
  </si>
  <si>
    <t xml:space="preserve">Kopētāju, printeru apkope remonts,  8 kopētāji/printeri. </t>
  </si>
  <si>
    <t>Darbinieku apdrošināšana. 77*EUR 200</t>
  </si>
  <si>
    <t>pēc līguma izcenojuma</t>
  </si>
  <si>
    <t>Toneri pēc fakta 5 jaunajiem priteriem (1771eiro)+300 vecajiem printeriem</t>
  </si>
  <si>
    <t xml:space="preserve">Papīrs e-iepirkums  </t>
  </si>
  <si>
    <t>metāla plaukti sporta inventāra uzglabāšanai</t>
  </si>
  <si>
    <t>Gultiņas 92X120EUR (2.,4.,5,13. gr.)</t>
  </si>
  <si>
    <t>kliņģeris (izlaidums, svētku pasākumi)</t>
  </si>
  <si>
    <t>Pārtika (ūdens, cepumi, utt) viesu uzņemšanai(semināri, pieredzes apmaiņa)</t>
  </si>
  <si>
    <t>ģimenes pasākums sportisko aktivitāšu veicināšanai 2*376 bērni</t>
  </si>
  <si>
    <t>piemiņas grāmata/albumi zlaidumā 4,5x90 absolventi</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</si>
  <si>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200.00x17 grupām= EUR 3400</t>
  </si>
  <si>
    <t>Mācību materiāli/ izejmateriāli jomu pedagogiem  (mūzika, sports) un atbalsta personālam (logopēgs, spec.ped., psigologs), mūzikas un sporta pedagogiem EUR 90.00x7= EUR 630</t>
  </si>
  <si>
    <t>Mācību līdzekļi un materiāli jomu pedagogiem un atbalsta personālam (logopēds, spec.ped., psihologs, mūzikas un sporta pedagogi) t.sk. audioieraksti (Dabas skaņas, Latvijas valsts himna, tautasdziesmas, Ziemassvētku dziesmas, bērnu dziesmas, dažādu instrumentu spēles
paraugi, latviešu tautas, cittautu un literārās pasakas, dzejoļi, lugas (teksta izpildījums dažādās valodās atbilstoši grupas
etniskajam sastāvam) u. c.); videoieraksti (bērnu izrādes, tautasdejas, mūsdienu dejas u. c.) EUR 200.00x7= EUR 1400</t>
  </si>
  <si>
    <t>2025.g. darbiniekiem gada beigas naudas balvām  20 000  EUR+ 2 darbinieki naudas balvas 300,00 EUR nostrādāja 15.gadi Kadagas PII "Mežavēji" 20 600 EUR=20 600,00 EUR</t>
  </si>
  <si>
    <t>Kompensācija par auto amortizāciju  I.Kuzņecova EUR 14*12</t>
  </si>
  <si>
    <t>Sanitārās grāmatiņas. Obligāta prasība skolotājiem un tehniskiem darbiniekiem EUR 30/46 pers *30 =1380 EUR</t>
  </si>
  <si>
    <t>Vakara vadītājs PII "Mežavēji" skolotāju diena, Ziemassvetkos pasākumos</t>
  </si>
  <si>
    <t xml:space="preserve"> Licenču iegāde </t>
  </si>
  <si>
    <t>ELIIS -pirmsskolas izglītības iestāžu mācību darba organizēšanai. (SIA „Edukas Latvia”) Līgums JUR 2024-08/804 Mēneša maksu par Pakalpojumu veido abonēšanas maksa EUR 25,00 (divdesmit pieci eiro) bez PVN vienai pirmsskolas izglītības iestādei un pakalpojuma maksa par katru izglītojamo EUR 0,30 (trīdesmit centi) bez PVN par katru izglītojamo 195 berni. Kopā 30,25 EUR ar PVN +70,78 EUR ar PVN= 102,00 EUR</t>
  </si>
  <si>
    <t xml:space="preserve"> eis- kārtridži. EUR 1500,00</t>
  </si>
  <si>
    <t>Makslīga egle</t>
  </si>
  <si>
    <t>Dekorēšanas materiāli dažādiem pasākumiem</t>
  </si>
  <si>
    <t xml:space="preserve">Reprezentācijas materiāli+ davanas sadarbības partnieriem </t>
  </si>
  <si>
    <t>Ergonomiskie spilveni sežamvietas un muguras jostas daļas atbalstam (sedoša darba veicējiem) 5 darbiniekiem*70.00 EUR=350,00 EUR</t>
  </si>
  <si>
    <t>Cepeškrasns bērniem (cept cepumus, maizi), galda svari, galda kultūrai (galda piedurumi, glāzes,naži, salvetes trauki)</t>
  </si>
  <si>
    <t>Aizkari ēdamzālē</t>
  </si>
  <si>
    <t>Krāsas, otas lai apgleznotu sienas ēdamzālē.</t>
  </si>
  <si>
    <t>Maskas gadskārta svētkiem, pasākuma atribūti</t>
  </si>
  <si>
    <t>Ledusskapis</t>
  </si>
  <si>
    <t>Kafijas aparats (viesu uznemšanai, darbiniekiem)</t>
  </si>
  <si>
    <t>Skapju komplekts ar antresolu</t>
  </si>
  <si>
    <t>Zem nodaļas 0950</t>
  </si>
  <si>
    <t>Kārtridžu papildināšana</t>
  </si>
  <si>
    <t>Skolēnu ekskurijas, neregulārie transporta pakalpojumi</t>
  </si>
  <si>
    <t>Dalības maksa matemātikas konkursos (Ķengurs, Meridiāns) (interešu Mazais Einšteins)</t>
  </si>
  <si>
    <t>Dalības maksa sacensībās  (interešu Orientēšanās)</t>
  </si>
  <si>
    <t xml:space="preserve">Balvu fonds olimpiādēm, konkursiem, viktorīnām </t>
  </si>
  <si>
    <t>Sporta zāles aprīkojuma (nolaižamā sadalošā siena, basketbola grozi X6) apkope 1.reizi gadā</t>
  </si>
  <si>
    <t xml:space="preserve">Izdevumi neparedzētiem sporta zāles un aulas (skaņas un gaismas sistēma nolaižamais ekrāns) aprīkojuma remonta darbiem </t>
  </si>
  <si>
    <t>radot.lv abonēšana uz gadu (mūzika)</t>
  </si>
  <si>
    <t>Kancelejas preces mediķiem</t>
  </si>
  <si>
    <t>WiFi piekļuves p-ti. 50 gab.</t>
  </si>
  <si>
    <t>Depo mazie remonti</t>
  </si>
  <si>
    <t>Dažādi sīki inventātāra remonti.</t>
  </si>
  <si>
    <t>921*22*1.20*8</t>
  </si>
  <si>
    <t>Mācību materiāli sākumskolai (1. klases)</t>
  </si>
  <si>
    <t>Mācību materiāli sākumskolai (2. klases)</t>
  </si>
  <si>
    <t>Mācību materiāli sākumskolai (3. klases)</t>
  </si>
  <si>
    <t>Mācību materiāli sākumskolai (4. klases)</t>
  </si>
  <si>
    <t>Mācību materiāli sākumskolai (mūzika)</t>
  </si>
  <si>
    <t>Mācību materiāli sākumskolai (sports)</t>
  </si>
  <si>
    <t>Mācību materiāli sākumskolai (Interešu Dabazinības)</t>
  </si>
  <si>
    <t>Mācību materiāli sākumskolai (Interešu Mazais Einšteins)</t>
  </si>
  <si>
    <t>Mācību materiāli sākumskolai (Interešu Orientēšanās)</t>
  </si>
  <si>
    <t>Mācību materiāli sākumskolai (Interešu Rokdarbi)</t>
  </si>
  <si>
    <t>Mācību materiāli sākumskolai (Interešu Video animācija)</t>
  </si>
  <si>
    <t>Mācību materiāli sākumskolai (Interešu Vieglatlētika)</t>
  </si>
  <si>
    <t>Mācību materiāli sākumskolai (Interešu Vizuālā)</t>
  </si>
  <si>
    <t>Knowla Box – tas ir augstākās kvalitātes Epson tuvās distances lāzerprojektors</t>
  </si>
  <si>
    <t>Galds ar soliem OCTO Antracīta sēdekļi, sudrabots rāmis 5 gab</t>
  </si>
  <si>
    <t>Līdz  15 darbiniekiem izmanto briļļu kompensāciju 15*200,00</t>
  </si>
  <si>
    <t>komandējuma izdevumi</t>
  </si>
  <si>
    <t>komandējums</t>
  </si>
  <si>
    <t>Transporta izdevumi Rūta</t>
  </si>
  <si>
    <t>Transporta izdevumi Eiropas klubs</t>
  </si>
  <si>
    <t>Transporta izdevumi šaušana</t>
  </si>
  <si>
    <t xml:space="preserve">"Sadarbība ar Iespējamo misiju" mācībspēku (fizikas, ķīmijas) nodrošināšanai. </t>
  </si>
  <si>
    <t>Balvu fonds E-Faktoram un Eiropas dienām (interešu - Eiropas klubs)</t>
  </si>
  <si>
    <t>Pasākuma organizēšanas izmaksas (interešu - Eiropas klubs)</t>
  </si>
  <si>
    <t>Plakātu veidošanas izmaksas (interešu - Eiropas klubs)</t>
  </si>
  <si>
    <t>Kora dziesmu grāmatas (interešu- koris)</t>
  </si>
  <si>
    <t>Dalības maksa festivālā un koncertos (interešu - Rūta)</t>
  </si>
  <si>
    <t>Prezentācijas izdevumi (interešu - Rūta)</t>
  </si>
  <si>
    <t>Deju formas - izdrukas(interešu - Rūta)</t>
  </si>
  <si>
    <t xml:space="preserve">Veselības apdrošināšana 200,00 eur  </t>
  </si>
  <si>
    <t>Skolotāju un skolēnu skaits katru gadu palielinās!  Maksājam par skolotāju licencēm. Skolēnu licences ir bez maksas.</t>
  </si>
  <si>
    <t>Alise - abonēšana</t>
  </si>
  <si>
    <t>Digitālo māc. līdz. Krātuve (Skolas Vārds) abonēšana</t>
  </si>
  <si>
    <t>Solfegio lietošanas licence gadam.</t>
  </si>
  <si>
    <t>Skolēnu skaits kuri  gatavojas eksāmeniem pieaug, jo eksāmeniem gatavojas 9., 11. un  12. klašu skolēni. Plus abonēšana Ātrie testi skolotājiem  formatīvās vērtēšanas  pārbaudījumiem.</t>
  </si>
  <si>
    <t>2131 skolēns</t>
  </si>
  <si>
    <t xml:space="preserve"> 4.00 par skolēnu gadā 2150*4=8552. Cena ja līgumu noslēdzam līdz 2024/2025 māc.gada beigām. saņēmām jaunākās izmaksas, informācija, ka 50 % sadārdzinājums - maconis.lv abonēšana</t>
  </si>
  <si>
    <t>6.20*12</t>
  </si>
  <si>
    <t>Žalūzijas + plēves. 47 klases</t>
  </si>
  <si>
    <t xml:space="preserve">Apliecības un atestāti  SIA Plūsma. </t>
  </si>
  <si>
    <t>Degviela saimniecības vadītajam</t>
  </si>
  <si>
    <t>Higiēniskās paketes meiteņu tualetēs</t>
  </si>
  <si>
    <t>Depo mazie remontdarbi</t>
  </si>
  <si>
    <t>Pagarinātāji (fizika)</t>
  </si>
  <si>
    <t>Uzkopšanas inventārs (dizains un tehnolpoģijas zēni)</t>
  </si>
  <si>
    <t>Vienreizējie cimdi, medicīnas maskas mediķiem</t>
  </si>
  <si>
    <t>Klašu norādes (30,00 EUR) 20 gab</t>
  </si>
  <si>
    <t>Galdu virsmas datorklasei 223 (16 gab)</t>
  </si>
  <si>
    <t>Mācību materiāli interešu izglīītība Eiropas klubs</t>
  </si>
  <si>
    <t>Mācību materiāli interešu izglīītības Jauniešu klubs</t>
  </si>
  <si>
    <t>Mācību materiāli interešu izglīītības kokapstrāde</t>
  </si>
  <si>
    <t>Mācību materiāli interešu izglīītības šaušana</t>
  </si>
  <si>
    <t>Mācību materiāli interešu izglīītības teātris</t>
  </si>
  <si>
    <t>Mācību līdzekļi angļu valodas katedrai</t>
  </si>
  <si>
    <t>Mācību līdzekļi latviešu valodas katedrai</t>
  </si>
  <si>
    <t>Mācību līdzekļi otrās svešvalodas katedrai</t>
  </si>
  <si>
    <t>Skolas mājas lapas pilnveide, tehniskie risinājumi</t>
  </si>
  <si>
    <t>Eksperimentu komplekts "Enerģijas pārvērtības" (fizika)</t>
  </si>
  <si>
    <t>Eksperimentu komplekts "Dinamo un ģenerators" (fizika)</t>
  </si>
  <si>
    <t>Eksperimentu komplekts klasei "Mehānika" (fizika)</t>
  </si>
  <si>
    <t>Demonstrējumu komplekts "Mehānika" magnētiskajai tāfelei (fizika)</t>
  </si>
  <si>
    <t>Demonstrējumu komplekts "Fizikas pamati" (fizika)</t>
  </si>
  <si>
    <t>Datu reģ. ierīču komplekts EasySense V-Log4 Bluetooth (5 gab.) (fizika)</t>
  </si>
  <si>
    <t>Format zāģis (dizains un tehnoloģijas zēni)</t>
  </si>
  <si>
    <t>Darba galds 8 gab(dizains un tehnoloģijas zēni)</t>
  </si>
  <si>
    <t>Skaidu nosūcējs (dizains un tehnoloģijas zēni)</t>
  </si>
  <si>
    <t>CNC frēze (dizains un tehnoloģijas zēni)</t>
  </si>
  <si>
    <t>Galds ar soliem OCTO Antracīta sēdekļi, sudrabots rāmis 5 gab vestibilos</t>
  </si>
  <si>
    <t>Pneimatiskā pistole Steyr LP2 rokturis XS izmērs (interešu - šaušana)</t>
  </si>
  <si>
    <t>Grāmatvedība  vidēji 7 eiro*12=84</t>
  </si>
  <si>
    <t>Rezerve pārējo darbinieku komandējumiem</t>
  </si>
  <si>
    <t>Komandējumi</t>
  </si>
  <si>
    <t>Grāmatvedība 16*7.95+PVN*12m=1846.94, 7.95+3.30+PVN*12m=163.35</t>
  </si>
  <si>
    <t>SIA “A.Kursītes auditorfima</t>
  </si>
  <si>
    <t>Grāmatvedība ņemts pēc faktiskās izpildes</t>
  </si>
  <si>
    <t>SIA "iŽurnāli" - iFinanses</t>
  </si>
  <si>
    <t>UV lampas apkope Carnikavas VPVKAC (SIA Kvarcalampas)</t>
  </si>
  <si>
    <t>DVS Namejs Arhīva modulis (EUR 8'168) + apmācības</t>
  </si>
  <si>
    <t>API universālā licence (EUR 6'050) (visām pašvaldības iestādēm) un konsultācija.  (API (integrācijas saskarne) universālo licenci ir jāpērk no AS "RIX Technologies" - DVS "Namejs City" izstrādātāja, lai saintegrētu DVS ar SIA "ZZ Dats" programmām)</t>
  </si>
  <si>
    <t>Venden SIA.~ EUR 35/mēn. (KAC)</t>
  </si>
  <si>
    <t>Papīrs - e-iepirkums</t>
  </si>
  <si>
    <t>Vizītkartes, zīmogi. Ādažiem un Carnikavai - administrācijai</t>
  </si>
  <si>
    <t xml:space="preserve">Gaisa mitrinātājs Venta LW 15 Anthracite Carnikavas VPVKAC: 
https://www.rdveikals.lv/products/lv/267/379034/sort/5/filter/0_0_0_0/LW-15-Anthracite-gaisa-mitrin%C4%81t%C4%81js.html?_gl=1*1usuqit*_up*MQ..&amp;gclid=Cj0KCQjwsJO4BhDoARIsADDv4vDoLyOe7TXjvsxDKGMyTCR3Iq1Nqa1oxZayN9cwKUgs-sHDCohHvUIaAmnIEALw_wcB </t>
  </si>
  <si>
    <t xml:space="preserve">Electrolux Siltā gaisa pūtējs 1500W, EFH/S-1125 Carnikavas VPVKAC: 
https://sanpro.lv/apkure/elektriskie-silditaji/silta-gaisa-puteji/silta-gaisa-putejs-electrolux-1500w-efh-s-1125 </t>
  </si>
  <si>
    <t xml:space="preserve">Galda ventilators Mesko MS 7330, Carnikavā (Lindai Pavlovskai, kabinetā vasarā ir karsti):
https://220.lv/lv/majai-un-remontam/klimata-kontrole/ventilatori/galda-ventilators-mesko-ms-7330?id=15026022 </t>
  </si>
  <si>
    <t xml:space="preserve">LED Aptumšojama skārienvadāma galda lampa ar bezvadu lādētāju JOY LED/6W/230V+USB balta, Carnikavā (Lindas Pavlovskas kabinetā): 
https://www.lampupasaule.lv/led-aptumsojama-skarienjutiga-lampa-ar-bezvadu-uzladi-joy-led-6w-230v-usb-balta/ </t>
  </si>
  <si>
    <t xml:space="preserve">Dell 24 Video Conferencing Monitor - P2424HEB 24-inch, 2 gab., Ādažos (Jevgēnijai un Sintijai): 
https://www.dell.com/en-us/shop/dell-24-video-conferencing-monitor-p2424heb/apd/210-bglq/monitors-monitor-accessories </t>
  </si>
  <si>
    <t>Metāla stūra plaukts grāmatvedībai  Gaujas 33A https://www.ikea.lv/lv/products/virtuve/brivi-stavosas-virtuves-mebeles/virtuves-salas-un-ratini</t>
  </si>
  <si>
    <t>Ergonomiskās peles 7*131 (pēc OVP ieteikuma) https://capital.lv/logitech-mx-vertical-vertical-mouse-usb-bluetooth-2-4-ghz-graphite</t>
  </si>
  <si>
    <t>Mobilie telefoni</t>
  </si>
  <si>
    <t>Grāmatvedība Rezerve</t>
  </si>
  <si>
    <t>Dzimtsarakstu nod. - monitori 340 + PVN*2, klaviatūras un pele - 70 +PVN*2</t>
  </si>
  <si>
    <t xml:space="preserve">Printeris un skeneris grāmatvedībā Carnikavas pag. NIN inspektoriem (https://birojatehnika.lv/M2040dn) </t>
  </si>
  <si>
    <t>Dzimtsarakstu nod. - Portatīvais dators ar programmatūru 1250 + PVN=1'513</t>
  </si>
  <si>
    <t>Neizmantotā finansējuma atgriešana EUR 4733 no EKK 1119 uz EKK 7460</t>
  </si>
  <si>
    <t>EUR 9.62/mēn</t>
  </si>
  <si>
    <t>LMT 9,62*12m</t>
  </si>
  <si>
    <t>Skatīt tāmi</t>
  </si>
  <si>
    <t>Zīmju drukāšana</t>
  </si>
  <si>
    <t>Telefona pieslēgums komisijai</t>
  </si>
  <si>
    <t>Transporta izdevumi</t>
  </si>
  <si>
    <t>Ēdināšana (89x12)</t>
  </si>
  <si>
    <t>Datortehnikas iepirkums</t>
  </si>
  <si>
    <t xml:space="preserve">Tēja/Kafija/uzkodas apmācībām </t>
  </si>
  <si>
    <t>Īpašumu un teritoriju apsaimniekošana Atalgojums</t>
  </si>
  <si>
    <t>Raiders+Pļaušanas panna+ sniega šķūre</t>
  </si>
  <si>
    <t>Labiekārtošana_Ādaži</t>
  </si>
  <si>
    <t>Inču ielas apgaismojuma izbūve, gaisvada izbūve 300m</t>
  </si>
  <si>
    <t>Energosaimn.</t>
  </si>
  <si>
    <t>Jūras iela 4 ēkas demontāža</t>
  </si>
  <si>
    <t>Jūras iela 4 stāvlaukuma izbūve</t>
  </si>
  <si>
    <t>Gaujas iela 33a, jumta horizotālas virsmas remonts (1100m2) , parapetu un virsgaismas hermitizēšana</t>
  </si>
  <si>
    <t>Rotaļu laukuma atrakcija Gaujā (balansa šūpoles un namiņš ar slidkalniņu 3-5gadi)</t>
  </si>
  <si>
    <t>Rotaļu laukuma atrakcija Jaunā ielā, Garciemā ( namiņš ar slidkalniņu 5-8gadi)</t>
  </si>
  <si>
    <t>Rotaļu laukuma atrakcija Līgo laukumā, Ādažos ( namiņš ar slidkalniņu5-8gadi)</t>
  </si>
  <si>
    <t>2 guļbaļķu galdi/soli ar jumtu Jomas 7</t>
  </si>
  <si>
    <t xml:space="preserve">Baltezera kapu atmežotajā daļā ceļu un celiņu izveidošana </t>
  </si>
  <si>
    <t>Baltezera kapos ceļu ierīkošana jaunajos (apkalpojošais transports un atkritumu izvešana)</t>
  </si>
  <si>
    <t>Caurteku pārbūve Ādažu novadā</t>
  </si>
  <si>
    <t>Carnikavas kapu paplašināšanas projekts</t>
  </si>
  <si>
    <t>Carnikavas kapsētas paplašināšanai 5 dažādu ekspertu atzinumi</t>
  </si>
  <si>
    <t>Cemety programmas iegāde un uzstādīšana Baltezera  kapiem</t>
  </si>
  <si>
    <t>Baltezera Komunistiskā masu terora upuru piemiņas vietas pieminekļa remonts</t>
  </si>
  <si>
    <t>Ceļu un ielu uzturēšana Bāze</t>
  </si>
  <si>
    <t>Jūras ielā 1,2 km vienkārtas virsmas apstrāde, Carnikava</t>
  </si>
  <si>
    <t>Torņu iela afaltbetona seguma atjaunošana 0.35 km</t>
  </si>
  <si>
    <t xml:space="preserve">Gaujas dambja virskārtas uzlabošana </t>
  </si>
  <si>
    <t>Satiksmes organizācijas uzlabošana (paskaidrojuma raksti, gājēju pārejas un to apgaismojums (Austrumu iela, Kadaga)</t>
  </si>
  <si>
    <t>Smilšu ielas pārbūve projekts, Carnikava</t>
  </si>
  <si>
    <t>Sienāžu ielas projekts</t>
  </si>
  <si>
    <t>iespējams AM finansējums</t>
  </si>
  <si>
    <t>Marķēta degviela Gaujas iela 16</t>
  </si>
  <si>
    <t>Atalgojums (CKS)</t>
  </si>
  <si>
    <t>Saules kolektori - karstā ūdens sagatavošanai no aprīļa līdz septembrim</t>
  </si>
  <si>
    <t>Garāžu demontāža un utilizācija (ārpakapojums)</t>
  </si>
  <si>
    <t>Nožogojuma pārvietošana pie garāžām, atbilstoši plānam</t>
  </si>
  <si>
    <t>Fasādes remonts (neizpildītais)</t>
  </si>
  <si>
    <t>Jumta seguma remonts/maiņa  13 grupu nojumēs</t>
  </si>
  <si>
    <t>Jumta remonts virs 5 grupiņām un ziemas dārza</t>
  </si>
  <si>
    <t>Atbalsta sienas demontāža un montāža pie iestādes galvenās ieejas</t>
  </si>
  <si>
    <t>Tauku uztvērējs virtuves kanalizācijai</t>
  </si>
  <si>
    <t>Mazā (1500 eur) un lielā baseina membrāna (2500 eur)</t>
  </si>
  <si>
    <t>Baseina pretaļģu dozācijas sistēma</t>
  </si>
  <si>
    <t>Gumijas seguma nomaiņa rotaļu laukumā skolas iekšpagalmā</t>
  </si>
  <si>
    <t>Āra lifta izbūve pie A korpusa</t>
  </si>
  <si>
    <t>Ādažu vidusskolas D korpusa siltināšana</t>
  </si>
  <si>
    <t>Flīžu demontāža/sienu remonts - Centrālā kāpņutelpa 0 - 3stāvs</t>
  </si>
  <si>
    <t>Flīžu demontāža/sienu remonts - kāpņutelpa pie D korp. 0 - 3st.</t>
  </si>
  <si>
    <t>Izdevumi par apkuri, apjoms gadā 33 MWh</t>
  </si>
  <si>
    <t>Logu mazgāšana 260 m2*1.5</t>
  </si>
  <si>
    <t>Elektromateriāli ārpakalpojuma nodrošināšanai</t>
  </si>
  <si>
    <t xml:space="preserve">Apsardzes pakalpojums, Līgums nr.02-20.1/24/81 ar SIA Forus grupa. </t>
  </si>
  <si>
    <t>Elektropakalpojumu nodrošināšana</t>
  </si>
  <si>
    <t xml:space="preserve">Paklāju un dvieļu maiņa. EUR 16.25/mēn. Rezerve EUR 200*3. </t>
  </si>
  <si>
    <t>Pēc I.Jankovska norādītā</t>
  </si>
  <si>
    <t>Pēc I.Jankovska gada summa EUR 42'316</t>
  </si>
  <si>
    <t>Saskaņā ar I.Jankovska prognozi EUR 17'468</t>
  </si>
  <si>
    <t>DRN par apkures katlu Gaujas iela 33a, Ādaži</t>
  </si>
  <si>
    <t>DRN par apkures katlu Gaujas iela 30, Ādaži (ĀVS)</t>
  </si>
  <si>
    <t>DRN par apkures katlu PII Strautiņš, Pirmā iela 26a, Ādaži</t>
  </si>
  <si>
    <t>DRN par apkures katlu PII Mežavēji</t>
  </si>
  <si>
    <t>LMT Gaujas ielas apgaismojumam</t>
  </si>
  <si>
    <t>Mežgarciems 10 objekti EUR 99.22*10*12 (Muzeja iela 1; 2; 3; 4; 5; 6; 8; Sintēzes iela 1; 3; 7)</t>
  </si>
  <si>
    <t>Pašvaldības dzīvokļu uzturēšana</t>
  </si>
  <si>
    <t>Traktoru Case 2gb. KASKO</t>
  </si>
  <si>
    <t>Līzings mikroautobuss Toyota Proace, "Pilna servisa līzings", JUR 2021-04/288, (949.81*13=9165)</t>
  </si>
  <si>
    <t>Operatīvais līzings - Frontālais iekrāvējs CASE,  Citadele factoring, JUR 2020-11/875, (1429*13=18681)</t>
  </si>
  <si>
    <t xml:space="preserve">Ikmēneša līzinga maksājums 1865*12 par Case </t>
  </si>
  <si>
    <t>Operatīvais līzings - skolēnu autobuss Isuzu Novo, Citadele leasing, JUR 2023-07/763 (2100*13=27300)</t>
  </si>
  <si>
    <t>Par pašvaldības dzīvokļiem</t>
  </si>
  <si>
    <t xml:space="preserve">Daudzstāvu ēku siltināšanas līdzfinansējums </t>
  </si>
  <si>
    <t>Šeit pēc izpildes liekas ļoti daudz</t>
  </si>
  <si>
    <t>3 personām OVP</t>
  </si>
  <si>
    <t>EUR 22'000 no EKK 1147 uz EKK 1141 (EKK korekcija)</t>
  </si>
  <si>
    <t>CV Online utml. (1 sludinajums 250EUR) (viena reize  - 2 ned ir 240EUR, šogad bija vairāk - 3)</t>
  </si>
  <si>
    <t>Gada atskaites pasākums (viens liels pasākums marts EUR 4500)</t>
  </si>
  <si>
    <t>Darbinieku kompetences pilnveidošanas pasākumi ~ 2xgadā. (divi pasākumi - jūnijs un oktobris (2x~2'000))</t>
  </si>
  <si>
    <t>Apbalvojumiem, nozīmītēm, diplomiem (Laila) Nozīmītes - 1400
diplomi (2x gadā 4.maijs un 18.nov.)
Statuju nevajag</t>
  </si>
  <si>
    <t>EUR 500 no EKK 1147 uz EKK 1148 (EKK korekcija)</t>
  </si>
  <si>
    <t>Medicīniskā.  Potes 45x5=225</t>
  </si>
  <si>
    <t>Valsts zemes dienests NĪVKIS teksta īpašuma apskate</t>
  </si>
  <si>
    <t>Printera kārtridži (ploterim un printerim)</t>
  </si>
  <si>
    <t xml:space="preserve">Portatīvais dators Laumai (esošais dators vairs nav piemērots tik lielam datu apjomam)- , </t>
  </si>
  <si>
    <t>EUR 20 x12mēm. = EUR 240</t>
  </si>
  <si>
    <t>OVP 2025.gadā 3 darbiniekiem</t>
  </si>
  <si>
    <t>Medicīniskās potes 45x7=315</t>
  </si>
  <si>
    <t>6 darbinieki * EUR 45</t>
  </si>
  <si>
    <t>45 par personu</t>
  </si>
  <si>
    <t>Līdzfinansējums Salaspils domei  par programmas Alise-i servera uztur., metodiskā palīdzība semināri u.t.t. (920,- EUR uzturēšana zem EKK 2239)</t>
  </si>
  <si>
    <t>Laikrakstu un žurnālu abonēšana - "Izglītība un kultūra", "Ilustrētā zinātne", "Praktiskie rokdarbi" u.c.</t>
  </si>
  <si>
    <t>Dalības maksa pasākumos, olimpiādēs - piemēram, Ķengurs, GenExis</t>
  </si>
  <si>
    <t xml:space="preserve">Ieejas biļetes pasākumos, izstādēs un muzejos - Skola, u.c. </t>
  </si>
  <si>
    <t>Ziedi - izlaidumam, 1. septembrim, valsts svētkiem, jaunajiem pedagogiem u.c. svinīgiem un piemiņas pasākumiem</t>
  </si>
  <si>
    <t>Konditorejas pakalpojumi - ciemiņu uzņemšanai, valsts svētkiem</t>
  </si>
  <si>
    <t>Depo - saimniecības precēm, remontiem</t>
  </si>
  <si>
    <t>Dāvanas absolventiem un labākajiem skolēniem un par panākumiem olimpiādēs, konkursos (atlikums tiek izmantots kā skolas reprezentācijas suvenīri viesiem un sadarbības partneriem), izdales materiāli - pildspalvas, nozīmītes, pudeles u.c. ar skolas logo</t>
  </si>
  <si>
    <t>Darbam nepieciešamo briļļu kompensācija (20darb.x150)</t>
  </si>
  <si>
    <t>DZIESMU SVĒTKI 2025</t>
  </si>
  <si>
    <t>Mērķdotācijas - interešu izglītība</t>
  </si>
  <si>
    <t>www.e-klase.lv  pakalpojumi - oficiālais skolas saziņas līdzeklis</t>
  </si>
  <si>
    <t>www.carnikavasskola.lv lietošanas tiesības - oficiālā skolas tīmekļvietne</t>
  </si>
  <si>
    <t>Atbilstoši vidējiem gada izdevumiem</t>
  </si>
  <si>
    <t>Rezerve vienam aktīvam mēnesim gadā</t>
  </si>
  <si>
    <t>Skolēnu vilciena mēnešbiļetes un kompensācija par braukšanu ar vilcienu</t>
  </si>
  <si>
    <t>Sabiedriskā autobusa biļetes un kompensācija par braukšanu ar autobusu</t>
  </si>
  <si>
    <t>Transports mācību ekskursijām (ZZ čempionāts, Gudrs vēl gudrāks, Ēnu dienas, karjeras pasākumi...)</t>
  </si>
  <si>
    <t>Transports dejotāju izbraucieniem uz sadejošanos</t>
  </si>
  <si>
    <t>Autobuss skolēnu ekskursijām</t>
  </si>
  <si>
    <t>Obligātās veselības pārbaudes (OVP) (30darbx25)</t>
  </si>
  <si>
    <t>Izziņas par veselības stāvokli (+rentgens, ja nav apdrošināšana) (68 darb.x15)</t>
  </si>
  <si>
    <t>Dalība MOT programmā</t>
  </si>
  <si>
    <t>Bērnu un jauniešu Dziesmu un deju svētku novada kolektīvu skates organizēšana</t>
  </si>
  <si>
    <t>Izglītības programmas (58 kods) licencēšana</t>
  </si>
  <si>
    <t>Mācību platformas www.soma.lv abonēšana</t>
  </si>
  <si>
    <t>Garderobes virsdrēbju novietošanai</t>
  </si>
  <si>
    <t>MS office, AutoCAD tehniskajai grafikai</t>
  </si>
  <si>
    <t>0982 Carnikavas vidusskola</t>
  </si>
  <si>
    <t>Mēģinājumu tērpi meitenēm (1.-2.kl. 16 kompl.; 3.-7.kl. 16 kompl.; ~35 eiro/gab)</t>
  </si>
  <si>
    <t>Mēģinājumu tērpi zēniem (1.-2.kl. 16 kompl.; 3.-7.kl. 16 kompl.; ~35 eiro/gab)</t>
  </si>
  <si>
    <t>Meiteņu tautas tērpu ņieburi (1-7.klase, 24 kompl., ~75 eiro/gab)</t>
  </si>
  <si>
    <t>Vestes puišiem (1-6.klase, 24 kompl.; ~80 eiro/gab)</t>
  </si>
  <si>
    <t>Kakla lakatiņi puišiem (24 gab.; ~5 eiro/gab)</t>
  </si>
  <si>
    <t>Nolietoto datorklases datoru nomaiņa (25 gab)</t>
  </si>
  <si>
    <t>pieņemts, ka palielināsies atbilstoši skolēnu skaita pieaugumam (20%)</t>
  </si>
  <si>
    <t>Erasmus+ programmas “Personu mobilitātes mācību nolūkos” skolu izglītības sektora projekta īstenošana</t>
  </si>
  <si>
    <t>NPJR-2024/10357 “Cultural Heritage Trail</t>
  </si>
  <si>
    <t>“Cultural Heritage Trail”</t>
  </si>
  <si>
    <t xml:space="preserve"> Faktiskā izpilde 05.11.</t>
  </si>
  <si>
    <t xml:space="preserve"> 2025.gada plāns EUR </t>
  </si>
  <si>
    <t xml:space="preserve"> 2025.gada plāns/ detaļas </t>
  </si>
  <si>
    <t>Procentu ieņēmumi par atlikto maksājumu no vēl nesamaksātās pirkuma maksas daļas un pārējie procentu maksājumi, kas nav klasificēti citur</t>
  </si>
  <si>
    <t>Centrālā vēlēšanu komisija Finansējums EP vēlēšanu nodrošināšanai, saskaņā ar Vienošanos Nr.CVK/2024/EPV-58</t>
  </si>
  <si>
    <t>Ziedojumi</t>
  </si>
  <si>
    <t>0540</t>
  </si>
  <si>
    <t>0540 Ziedojumi</t>
  </si>
  <si>
    <t>23.4.1.0.</t>
  </si>
  <si>
    <t>Juridisku personu ziedojumi un dāvinājumi naudā</t>
  </si>
  <si>
    <t>Rīgas plānošanas reģions Saskaņā ar Vienošanos Nr. 5.3/2023/41. RPR Remigrācijas konkurss. Uzņēmējdarbības veicināšana</t>
  </si>
  <si>
    <t>0632.7 "Upesceļi II/Ūdenstūrisma pieejamības veicināšana (RiverwaysII/Facilitating access to watertourism activities)".</t>
  </si>
  <si>
    <t>"Upesceļi II/Ūdenstūrisma pieejamības veicināšana (RiverwaysII/Facilitating access to watertourism activities)".</t>
  </si>
  <si>
    <t>MM MEDICAL SIA Telpu noma Garā iela 20. Līgums JUR 2024-04/339. EUR 102,17/mēm</t>
  </si>
  <si>
    <t>INDRĀNE MAIRA Telpu noma Garā iela 20. Līgums JUR 2023-04/399. EUR 89,68/mēm</t>
  </si>
  <si>
    <t>Veinberga Zigrīda Telpu noma Garā iela 20. Līgums JUR 2023-04/398. EUR 285,46/mēm</t>
  </si>
  <si>
    <t>Nodrošinājuma valsts aģentūra Telpu noma, komunālie pakalpojumi, Gaujas 16, Ādaži. Vienošanās JUR 2023-05/604 (459.03/mēn)</t>
  </si>
  <si>
    <t>MM MEDICAL SIA Telpu noma Garā iela 20, Carnikava. Līgums JUR 2024-04/339 (258,42/mēn</t>
  </si>
  <si>
    <t>ĀDAŽU SLIMNĪCA PSIA Ģeneratora noma noma. Līgums JUR 2022-01/94. Līdz 31.12.2026. EUR 15+PVN/mēn</t>
  </si>
  <si>
    <t>Nodrošinājuma maksas par izsolēm</t>
  </si>
  <si>
    <t>AM FOOD telpu noma Lilastē pie jūras kafeinīcai (9 mēn/gadā)</t>
  </si>
  <si>
    <t>BALTENEKO SIA Telpu noma Kadagas katlu mājā. Līgums JUR 2020-08/636</t>
  </si>
  <si>
    <t>Korekcija pret ielikto budžetā</t>
  </si>
  <si>
    <t>Baseins, zāles, futbola laukums Rožu ielā, stadions.</t>
  </si>
  <si>
    <t>BIĻEŠU PARADĪZE SIA Rēķ: R24.0585 52.03. Telpu noma Ādažu K/c. Līgums JUR 2022-12/1382</t>
  </si>
  <si>
    <t>BIĻEŠU PARADĪZE SIA. Par sadarbību kultūras pasākuma organizēšanā</t>
  </si>
  <si>
    <t>Erasmus +</t>
  </si>
  <si>
    <t>Atkārtotu e-talonu izsniegšana</t>
  </si>
  <si>
    <t>COFFEE ADDRESS. SIA Nr. Telpu noma Ādažu MMS un Ādažu Sporta centrā. Līgums JUR 2019-08/641. EUR 170+PVN/mēn*9</t>
  </si>
  <si>
    <t>Par dalību konkursos</t>
  </si>
  <si>
    <t>23.5.1.0.</t>
  </si>
  <si>
    <t>Fizisku personu ziedojumi un dāvinājumi naudā</t>
  </si>
  <si>
    <t>Līdzfinansējumi aprūpes namos</t>
  </si>
  <si>
    <t>18.6.3.13.</t>
  </si>
  <si>
    <t>Pasākumi vietējās sabiedrības veselības veicināšanai/ SAM 9.2.4.2.</t>
  </si>
  <si>
    <t>Projekts "Pasākumi vietējās sabiedrības veselības veicināšanai"/ SAM 9.2.4.2. Ādaži</t>
  </si>
  <si>
    <t>Deinstitucionalizācijas pakalpojumi</t>
  </si>
  <si>
    <t xml:space="preserve">Sum of  2025.gada plāns EUR </t>
  </si>
  <si>
    <t>9.4.2.0.; 9.4.5.0.; 9.4.9.0.; 9.5.1.1.; 9.5.1.2.; 9.5.1.4.; 9.5.1.7.; 9.5.2.1.; 9.5.2.9.</t>
  </si>
  <si>
    <t>10.1.4.0.; 10.1.5.4.</t>
  </si>
  <si>
    <t>21.3.9.9.1.; 21.3.9.9.2.; 21.3.9.9.3.; 21.3.9.9.4.</t>
  </si>
  <si>
    <t>12.2.3.0.; 12.3.9.5.; 12.3.9.9.; 8.3.9.0.; 8.6.1.2.</t>
  </si>
  <si>
    <t>13.2.1.0.; 13.4.0.0.</t>
  </si>
  <si>
    <t>Baseina pakalpojumi; telpu nomu komunālie maksājumi</t>
  </si>
  <si>
    <t>0631.3</t>
  </si>
  <si>
    <t>SIA "Enviroprojekts" 2022.g. 20% avanss EUR 6'846,66 (ar PVN); 2023.g. EUR 27'386,66. Jauna vienošanās JUR 2024-10/1002 (08.10.2024.) termiņš 01.09.2025., atlikusī summa EUR 38'518,66</t>
  </si>
  <si>
    <t>Projektu atklāšanas pasākumu organizēšanas (EUR 200 Gaujas - Baltezera kanāla celiņa atklāšana; EUR 300 Plūdu projekta atklāšana</t>
  </si>
  <si>
    <t xml:space="preserve">1)	Pārvietojamu apmeklētāju plūsmas skaitītāju iegāde ( 4300 EUR) / komentārā Ā4.3.2.8. un ĀNTRAP 1.6./ tādi, kas izšķir velobraucējus no gājējiem ) </t>
  </si>
  <si>
    <t>Monitora iegāde</t>
  </si>
  <si>
    <t>IIN pieaugums</t>
  </si>
  <si>
    <t>Labiekārtošana_Carnikava</t>
  </si>
  <si>
    <t>Vide</t>
  </si>
  <si>
    <t>Pamatlīdzekļi</t>
  </si>
  <si>
    <t xml:space="preserve">Tūrisma pasākumi (info dienas, izglītošanas pasākumi utt.) 12 pasākumi gadā, ieskaitot eksursijas, pārgājienus utt. Viena pasākuma izmaksa 300  EUR). </t>
  </si>
  <si>
    <t>Degvielas limits 50 l</t>
  </si>
  <si>
    <t>un degviela limits 50 l - degviela EKK 2322</t>
  </si>
  <si>
    <t>Termināla nomas līlgums Nr. 2964/004 (EUR 10,50+50/mēn</t>
  </si>
  <si>
    <t>Ielikts 15,05*12</t>
  </si>
  <si>
    <t>Ņemot vērā izpildi, nav pamata palielinājumam!</t>
  </si>
  <si>
    <t>Aprīkojums - rezerve</t>
  </si>
  <si>
    <t>AS Elis tekstila serviss Saimniecības preces/noma ~ EUR 45/mēn</t>
  </si>
  <si>
    <t>CKS dati</t>
  </si>
  <si>
    <t>Datorsomas 2 gab. 100,00EUR</t>
  </si>
  <si>
    <t>ĀNP KA uz 31.12.2024</t>
  </si>
  <si>
    <t>1) ĀNP KA uz 31.12.2024</t>
  </si>
  <si>
    <t>2) CKS KA uz 31.12.2024</t>
  </si>
  <si>
    <t>Brīvais KA uz 31.12.2024</t>
  </si>
  <si>
    <t>ĀNP 26.10.2023. lēmums Nr. 412.</t>
  </si>
  <si>
    <t xml:space="preserve">ĀNP 25.04.2024. lēmums Nr. 164. </t>
  </si>
  <si>
    <t>LIFE BauhausingEurope pieejas piemērošana sabiedrisko ēku pārveidošanai</t>
  </si>
  <si>
    <t>Jauna PII izbūve Podniekos</t>
  </si>
  <si>
    <t>1018</t>
  </si>
  <si>
    <t>Projekts "Atbalsta pasākumi cilvēkiem ar invaliditāti mājokļu vides pieejamības nodrošināšanai"</t>
  </si>
  <si>
    <t>Aprēķins tāmē.</t>
  </si>
  <si>
    <t>EUR 140,48/cet.</t>
  </si>
  <si>
    <t>Tālruņu izdevumi ( LMT ) 9,62/mēn</t>
  </si>
  <si>
    <t>Darbinieku tālākizglītība  - 27 darbinieki x 90 (divi kursi gadā)</t>
  </si>
  <si>
    <t>Projekts "Kontakts" telpu noma</t>
  </si>
  <si>
    <t>Ielikti 70% no max</t>
  </si>
  <si>
    <t>Šei izņemts, jo iekļauts CKS sadaļas plānā</t>
  </si>
  <si>
    <t>2025.gada ieņēmumu plāns 60'000</t>
  </si>
  <si>
    <t>CKS darbinieku apdrošināšana - līgums ar Domi</t>
  </si>
  <si>
    <t>EUR 1'500 no CKS atalgojuma uz PII Domes budžetu, jo apdrošināšanas līgums ar Domi</t>
  </si>
  <si>
    <t>EUR 2'250 no CKS atalgojuma uz PII Domes budžetu, jo apdrošināšanas līgums ar Domi</t>
  </si>
  <si>
    <t>EUR 1'250 no CKS atalgojuma uz PII Domes budžetu, jo apdrošināšanas līgums ar Domi</t>
  </si>
  <si>
    <t>EUR 250 no CKS atalgojuma uz PII Domes budžetu, jo apdrošināšanas līgums ar Domi</t>
  </si>
  <si>
    <t>EUR 4'500 no CKS sākumskolas atalgojuma uz 0950 Domes budžetu, jo apdrošināšanas līgums ar Domi</t>
  </si>
  <si>
    <t>EUR 6'750 no CKS atalgojuma uz 0950 Domes budžetu, jo apdrošināšanas līgums ar Domi</t>
  </si>
  <si>
    <t>EUR 1'750 no CKS atalgojuma uz Domes budžetu, jo apdrošināšanas līgums ar Domi</t>
  </si>
  <si>
    <t>EUR 2'250 no CKS atalgojuma uz Domes budžetu, jo apdrošināšanas līgums ar Domi</t>
  </si>
  <si>
    <t>Dalība sacensībās Igaunijā (interešu - šaušana)</t>
  </si>
  <si>
    <t>Dalība Latvijas čempionātā (interešu - šaušana)</t>
  </si>
  <si>
    <t>Uzņēmuma līgums - Pedagoģiski medicīniskās komisijas atalgojums. Tāme Nr. 5</t>
  </si>
  <si>
    <t>DARBA  GADI 15,20,25,30,35_2025 - 8 darbinieki*300 EUR</t>
  </si>
  <si>
    <t>DARBA  GADI 15,20,25,30,35_2025 - 1 darbinieks*300 EUR</t>
  </si>
  <si>
    <t>DARBA  GADI 15,20,25,30,35_2025 - 7 darbinieki * 300 EUR</t>
  </si>
  <si>
    <t>DARBA  GADI 15,20,25,30,35_2025 - 2 darbinieki * 300 EUR</t>
  </si>
  <si>
    <t>DARBA  GADI 15,20,25,30,35_2025 - 1 darbinieks * 300 EUR</t>
  </si>
  <si>
    <t>0690 Līdzdalības budžets</t>
  </si>
  <si>
    <t>Neparedzēti gadījumi</t>
  </si>
  <si>
    <t>Ēdinātāja maksājums</t>
  </si>
  <si>
    <t xml:space="preserve">0170 </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</si>
  <si>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</si>
  <si>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</si>
  <si>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</si>
  <si>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0904</t>
  </si>
  <si>
    <t xml:space="preserve">Teritorijas novērtēšana pirms būvprojekta izstrādes un būvprojekts jaunas pamatskolas izveidei Ādažu pilsētā. ĀNP 23.11.2023. lēmums Nr. 425, ĀNP 29.02.2024. lēmums Nr. 68. AP pasākumi Ā3.2.2.2. un Ā5.1.2.12. </t>
  </si>
  <si>
    <t>Saimniecības un infrastruktūras daļa</t>
  </si>
  <si>
    <t>0812 (CKS)</t>
  </si>
  <si>
    <t>Kopā sākumskolas un vidusskolas pedagogu atalgojums</t>
  </si>
  <si>
    <t>I.cet. 22%, II.cet.23%. III.cet.27%, IV.cet. 28%</t>
  </si>
  <si>
    <t>O.Vācieša literārā prēmija dzejā: prēmiju fonds (EUR 1500) + apbalvošanas pasākums (EUR 4000)</t>
  </si>
  <si>
    <t>0910 (CKS)</t>
  </si>
  <si>
    <t xml:space="preserve">0920 </t>
  </si>
  <si>
    <t>Kadagas PII "Mežavēji"</t>
  </si>
  <si>
    <t>0920 (CKS)</t>
  </si>
  <si>
    <t>0950 (CKS)</t>
  </si>
  <si>
    <t>0981 (CKS)</t>
  </si>
  <si>
    <t>Samazinājums plānojot budžetu</t>
  </si>
  <si>
    <t>Ikgadējs projekts, ko realizē CKS</t>
  </si>
  <si>
    <t>Ikgadējā veselības (U27 forma) pārbaude 70 x 25,00=EUR 1750</t>
  </si>
  <si>
    <t xml:space="preserve">Darba apģērba iegāde (lietus mēteļi, aizsargķiveres) 7*129 Eur </t>
  </si>
  <si>
    <t>Piemaksu soc. Nod.</t>
  </si>
  <si>
    <t>Darbinieku apdrošināšana (200 EUR*7darb.)</t>
  </si>
  <si>
    <t>150 EUR mēnesī ~100l degvielas</t>
  </si>
  <si>
    <t>No jūnija pārslēgs uz CKS</t>
  </si>
  <si>
    <t>EUR 32'000 no EKK 1119 uz EKK 1148 (EKK korekcija)</t>
  </si>
  <si>
    <t>Arhīva aprakstīšana,nodošana glabāšanā Valsts arhīvā</t>
  </si>
  <si>
    <t>Grupu samazinājums</t>
  </si>
  <si>
    <t>Darbinieku apdrošināšana EUR 200*11</t>
  </si>
  <si>
    <t xml:space="preserve"> kancelejas precēm EUR 600.00 x9 grupām= EUR 5'400,00</t>
  </si>
  <si>
    <t xml:space="preserve">Mācību gada prrioritātes nodrošināšanai  (ēdienu gatavošana, pasniegšana) cukurs, </t>
  </si>
  <si>
    <t xml:space="preserve">2.datori-7., 8.grupai 2 000,00 EUR   </t>
  </si>
  <si>
    <t>Virvju trase (burtu taka). Turpina, papildina jau uzsākto.</t>
  </si>
  <si>
    <t xml:space="preserve">Suvenīru (pildspalvas, jubilejas grāmata u.c.) </t>
  </si>
  <si>
    <t>Iestādes pamatdarbības nodrošināšanai - degviela (J. Skrastiņa 25l +A. Krasta35l =60l mēn. x EUR/l 1.75*12mēn) kopā EUR 435</t>
  </si>
  <si>
    <t>Carnikavas vidusskola (bāze)</t>
  </si>
  <si>
    <t>Reprezentācijas rezerve no Būvvaldes</t>
  </si>
  <si>
    <t>Auto nolietojums. 0.04eur/l</t>
  </si>
  <si>
    <t>Vadītājs ~ max EUR 57 (100l)</t>
  </si>
  <si>
    <t xml:space="preserve">teritorijas plānotājs  (80l)  </t>
  </si>
  <si>
    <t>teritorijas plānotājs   (80l)</t>
  </si>
  <si>
    <t>jurists (40l)</t>
  </si>
  <si>
    <t>2 datori</t>
  </si>
  <si>
    <t>Datorprogrammu licences izdevumi:Photoshop, Illustrator, InDesign, Adobe XD, Lightroom, Acrobat Pro, Animate, Dreamweaver, Premiere Pro, Premiere Rush, After Effects, Dimension, InCopy, Lightroom Classic, Media Encoder, Character Animator, Flicr. (66,99 eiro mēnesīx12=804+80 (Flicr))</t>
  </si>
  <si>
    <t>Portatīvais dators</t>
  </si>
  <si>
    <t>MacBook Pro M4 MAX (Dārtai - grafikas dizainam)</t>
  </si>
  <si>
    <t>Vides informācijas stendu satura atjaunošana Piejūras dabas parkā (nav atjaunoti kopš 2011. g)</t>
  </si>
  <si>
    <t>Reprezentācijas apģērba elementi</t>
  </si>
  <si>
    <t xml:space="preserve">Iepriekšēju pasākumu atdzimšana - Ugunskuru nakts piekrastē - 1000 EUR, Kopienas plostnieku pasākums Ādažos - 500 EUR, Vasarsvētku danču vakars NC - 1500 EUR, amatnieku pasākums CN pagalmā asarā vai rudenī - 1000 EUR </t>
  </si>
  <si>
    <t>Ekspozīcijas atjaunošana Carnikavas Novadpētniecības centrā (podests, nojume)</t>
  </si>
  <si>
    <t xml:space="preserve">Koris JUMIS, SAKNES, MUNDUS Lieldienu koncerts </t>
  </si>
  <si>
    <t>Kora SAKNES Ukraiņu- Latviešu koru koprojekta koncerts</t>
  </si>
  <si>
    <t>VPDK SĀNSOLĪTIS koncerts Sadancis</t>
  </si>
  <si>
    <t>Kora SAKNES Ziemassvētku koncerts</t>
  </si>
  <si>
    <t>ZIEMAS SADANCIS ĀKC deju kolektīvu koncerts</t>
  </si>
  <si>
    <t>SDK DĒKA draugu kolektīvu koncerts</t>
  </si>
  <si>
    <t>Kora MUNDUS koncerts Ilzes Rijnieces dziesmu pirmatskaņojums</t>
  </si>
  <si>
    <t>Tradīciju kopa ĀBOLS pasākums</t>
  </si>
  <si>
    <t>SDK SPRIGULIS  (12 sieviešu vestes)</t>
  </si>
  <si>
    <t>VPDK SPRIGULIS Dagdas tautas tērpu komplekta papildināšana (16 meitu ņieburi)</t>
  </si>
  <si>
    <t>Kora MUNDUS tērpu komplektu papildināšana</t>
  </si>
  <si>
    <t>SDK DĒKA tautas tērpu šūšana (8 vīru jakas, 8 sieviešu brunči, 1 mētelis), tika šūšana, jo aufums ir iegādāts</t>
  </si>
  <si>
    <t>VDK SĀNSOLĪTIS tautas tērpu izgatavošana Latgales (12 vīru vestes)</t>
  </si>
  <si>
    <t>2 jauni monitori (Monika, Laura)</t>
  </si>
  <si>
    <t>Kompensācija par auto amortizāciju - Priekšsēdētāja vietnieks (100l max EUR 57)</t>
  </si>
  <si>
    <t>Kompensācija par auto amortizāciju - Priekšsēdētāja  (100l max EUR 57)</t>
  </si>
  <si>
    <t>Kompensācija par auto amortizāciju - Izpilddirektors + vietnieks  100l max EUR 57+(80l*100km/6l uz km*0.04*11m)</t>
  </si>
  <si>
    <t>Kompensācija par auto amortizāciju I.Bērziņš (40l*100km/6l uz km*0.04*11m)</t>
  </si>
  <si>
    <t>Kompensācija par auto amortizāciju - A.Snigireva; I.Krūzmane (2*10l*100km/6l uz km*0.04*11m)</t>
  </si>
  <si>
    <t>Ieva Krūzmane; Anita Snigireva 120l/gadā</t>
  </si>
  <si>
    <t>Amortizācija, izmantojot personīgo autotransportu (kopsumma 200 l)</t>
  </si>
  <si>
    <t>Vadītāja novērtēšanai EUR 995 (nosaka MK 213).</t>
  </si>
  <si>
    <t>Kopā ar Tūrismu</t>
  </si>
  <si>
    <t>CKS Labiekārtošana_Ādaži</t>
  </si>
  <si>
    <t>CKS Energosaimniecība</t>
  </si>
  <si>
    <t>Ielu apgaismojuma projekta izstrāde un būvniecība posmā no dzelzceļa stacijas Gauja līdz ciemam Kāpas (saņemts iesniegums no 120 iedzīvotājiem)</t>
  </si>
  <si>
    <t>Ielu apgaismojuma projekta izstrāde un būvniecība Rūpnieku iela, Carnikavā (350m)</t>
  </si>
  <si>
    <t>CKS Īpašumu apsaimniekošana</t>
  </si>
  <si>
    <t>Jūras iela 4 ēkas demontāžas projekts</t>
  </si>
  <si>
    <t>CKS Vides pārvaldība</t>
  </si>
  <si>
    <t>Grīdas mazgājamā mašīna sporta zālei, platība 1500 m2</t>
  </si>
  <si>
    <t>Pabalsts transporta pakalpojumu izmantošanai 300 EUR gadā personām ar pārvietošanās grūtībām (piem., guļošam pacientam)</t>
  </si>
  <si>
    <t>Garantētā minimālā ienākuma pabalsts naudā</t>
  </si>
  <si>
    <t>Dzīvokļa pabalsti naudā (30% dotācija no LM 18000 EUR)</t>
  </si>
  <si>
    <t>Precizēta summa pēc iepirkuma</t>
  </si>
  <si>
    <t>Veselības apdrošināšana 10 darbinieki</t>
  </si>
  <si>
    <t>Valsts līdzfinansējums dienas centra uzturēšanas izmaksu segšanai 22 880, kad ienāks, tiks koriģēts!</t>
  </si>
  <si>
    <t>Gaujas ielas 33a uzturēšana Civinity. Dec. rēķins + 4 mēneši 2025.gadā.</t>
  </si>
  <si>
    <t>Līdzfinansējumi par izglītības pakalpojumiem</t>
  </si>
  <si>
    <t>Izlaiduma organizēšana</t>
  </si>
  <si>
    <t>Skolas izlaidumam apbalvojumi</t>
  </si>
  <si>
    <t>Valsts nodevas. Jāparedz budžetā ~EUR 1'000. Kad sods nomaksāts, atmaksa nāk kopējā kontā un netiek attiecināta pret iestādi, kas to uzlikusi. Šis no EKK 2239 uz EKK 2519</t>
  </si>
  <si>
    <t>Deputātu darba samaksa (EUR 5'000 no EKK 1119)</t>
  </si>
  <si>
    <t>Ziemassvētku paciņa bērniem natūrā 6 EUR ,200 personas  (Bērni - soc. neaizsargātās grupas)</t>
  </si>
  <si>
    <t>Carnikavas skeitparka projektēšana</t>
  </si>
  <si>
    <t>JDK "Abi divi" Tautas tērpu papildināšana</t>
  </si>
  <si>
    <t>TDA SPRIGULĪTIS Vidzemes novada meiteņu un puišu tērpi - pabeigt komplektu (4 puišu vestes, 4 puišu bikses, 4 meitu ņieburi, 6 meitu brunči, 8 meitu vainagi)</t>
  </si>
  <si>
    <t>2. OBLIGĀTĀS, GADSKĀRTĒJĀS investīcijas:</t>
  </si>
  <si>
    <t>1. UZSĀKTIE projekti</t>
  </si>
  <si>
    <t>Riska piemaksa 3%</t>
  </si>
  <si>
    <t>ĀŪ nododamo zemes gabalu atdalīšana</t>
  </si>
  <si>
    <t>Creative Cloud for teams All Apps Multiple
Platforms EU English Subscription New
Monthly 1 User Level 1 1 - 9 VIP-G</t>
  </si>
  <si>
    <t>Plūdu projektam izņemtais aizņēmums</t>
  </si>
  <si>
    <t>Siltumtīkla pieslēguma būvprojekts un būvniecība, Gaujas iela 16, Ādaži</t>
  </si>
  <si>
    <t>Ielu apgaismojuma pārbūves projekts Liepu un Tulpju iela Carnikava (no Tulpju 5 pa Liepu līdz Ziedlejām)</t>
  </si>
  <si>
    <t>Dzīvokļa remonts Rīgas iela 2-12, Carnikava (28.11.2024 īpašums saņemts dāvinājumā)</t>
  </si>
  <si>
    <t>Būvprojekta izstrāde un ieguvumu analīze - Atkritumu dalītās vākšanas laukums, Carnikavā</t>
  </si>
  <si>
    <t xml:space="preserve">Attālinātas monitoringa sistēma sūkņu stacijām un slūžām, Attālinātas monitoringa sistēma SCADA abonēšana uz gadu </t>
  </si>
  <si>
    <t>Ieturētais no ēdinātāja par ūdeni un kanalizāciju</t>
  </si>
  <si>
    <t>Šis pie CKS</t>
  </si>
  <si>
    <t>Ūdens un kanalīzācija</t>
  </si>
  <si>
    <t>Ceļu dotācija</t>
  </si>
  <si>
    <t>Padziļināta tehniskā apsekošana, kā arī defektu novēršanas priekšlikumu izstrādāšana īpašumā Blusas (SIA "Balts un melns") (pārejošs līgums no 2024.dec.)</t>
  </si>
  <si>
    <t>2 stendu izveidepie Gaujas - Baltezera kanāla taciņas (pārejošs no 2024)</t>
  </si>
  <si>
    <t>Jauno uzņēmēju konkurss</t>
  </si>
  <si>
    <t>Atkritumu dalītās vākšanas laukums, Carnikavā. domes lēmums nr.475, 28.11.2024. Ielieku pie Investīcijām. 2026.gadā izdevumi no 2025. un 2026.gadā sakrātā DRN.</t>
  </si>
  <si>
    <t>KA 31.12.2025. EUR 161'138- citi plānotie izdevumi, pārējo Laveru sūkņu stacijai</t>
  </si>
  <si>
    <t>21.1.9.1.</t>
  </si>
  <si>
    <t>Ieņēmumi no citu Eiropas Savienības politiku instrumentu līdzfinansēto projektu un pasākumu īstenošanas, kas nav Eiropas strukturālie un investīciju fondi, un citu valstu finanšu palīdzības programmu īstenošanas</t>
  </si>
  <si>
    <t>Telefona iegāde. Saskaņots 2024.gadā, bet iegādāts 2025.</t>
  </si>
  <si>
    <t>Interneta tīkla sakārtošana (līgums noslēgts 2024.gadā un līdzekļi pārceļas no 2024.gada)</t>
  </si>
  <si>
    <t>81'000 stāvvietas; 7'000 kapu pakalp.; 1'000 apsaimniekoš.; 1'000 sludināj. kopēš.</t>
  </si>
  <si>
    <t>Deputātu sēžu zāles tehniskais nodrošinājums</t>
  </si>
  <si>
    <t>Dati no VK prognozēm un papildus plānotie aizņēmumi</t>
  </si>
  <si>
    <t>5.9.</t>
  </si>
  <si>
    <t>Kadiķis</t>
  </si>
  <si>
    <t>Pirmsskolas izglītības iestāde Ādažu vidusskolā (bāze)</t>
  </si>
  <si>
    <t xml:space="preserve">0631.4 </t>
  </si>
  <si>
    <t>"Blusu" kroga pārbūves tehniskā projekta izstrāde</t>
  </si>
  <si>
    <t xml:space="preserve">Pagalmu labiekārtošanu līdzfinansējums </t>
  </si>
  <si>
    <t xml:space="preserve">MS Project programmas vai analoga iegādei 5 darbiniekiem (5 darbinieki x EUR 1'659,00 = EUR 8'295). AP pasākums Ā16.1.1.3. </t>
  </si>
  <si>
    <t>Nekustamā īpašuma iegāde - zeme zem garāžas Alderu ielā 33, Baltezerā</t>
  </si>
  <si>
    <t>Smilšu kastu maiņa 8 grupiņām 8x790,00 +PVN</t>
  </si>
  <si>
    <t>Prioritāte 2 (Var tikt izskatīts budžeta ekonomijas rezultātā)</t>
  </si>
  <si>
    <t>Kiberdrošības iepirkums iekšējo normatīvo aktu izstrādei (EIS iepirkums). Indikatīvi EUR 10'000</t>
  </si>
  <si>
    <t>Mežaparka ceļs I kārta no A1 līdz Mežaparka ceļam 1,1km (ir būvprojekts)</t>
  </si>
  <si>
    <t>Apkure. Decembra rēķins</t>
  </si>
  <si>
    <t>Ieskaitīta apdrošināš par bojātiem vārtiem - remonts</t>
  </si>
  <si>
    <t>KA uz 31.12.2025.</t>
  </si>
  <si>
    <t xml:space="preserve">šeit ir pārējās investīcijas, kuras ir vērtējamas un lemjamas. </t>
  </si>
  <si>
    <t>Sobrīd Prioritāte 1, kas ir iekļauti budžeta projektā ir atzīmēti "A" kolonna ar ciparu 1, tās aktivitātes, kas pašlaik nav iekļautas budžetā ir ar ciparu 2 vai 3 "A " kolonnā</t>
  </si>
  <si>
    <t xml:space="preserve">Ukraiņas pilsoņi KA </t>
  </si>
  <si>
    <t>MD KA</t>
  </si>
  <si>
    <t xml:space="preserve"> MD KA</t>
  </si>
  <si>
    <t>MD apstiprināts-iesniegtais</t>
  </si>
  <si>
    <t>Mērķdotācijai pedagogiem (t.sk. administrācijai, atbalsta personālam) (01.09.-31.12.2025.)</t>
  </si>
  <si>
    <t>MD mazākumtautībām</t>
  </si>
  <si>
    <t>MD Sept - Dec</t>
  </si>
  <si>
    <t>MD Janv - Augusts</t>
  </si>
  <si>
    <t>MD mazākumtautībām Janv - Augusts</t>
  </si>
  <si>
    <t>MD mazākumtautībām Sept - Dec</t>
  </si>
  <si>
    <t>MD skola</t>
  </si>
  <si>
    <t>MD privātajiem</t>
  </si>
  <si>
    <t>0631.4</t>
  </si>
  <si>
    <t>0631.4 Projekts “Infrastruktūras uzlabošana uzņēmējdarbības attīstībai Ādažos”</t>
  </si>
  <si>
    <t>0631.3 Publiskās ārtelpas izveide Gaujas ielā 31 Ādažos</t>
  </si>
  <si>
    <t>0632.6 LIFE NewBauhaus projekts</t>
  </si>
  <si>
    <t xml:space="preserve"> Jaunais plūdu projekts - 2.1.3.2. "Nacionālas nozīmes plūdu un krasta erozijas pasākumi" 1.daļa</t>
  </si>
  <si>
    <t>0903 Jaunas pirmsskolas izglītības iestādes Podniekos būvniecība</t>
  </si>
  <si>
    <t>Piekrastes apsaimniekošana</t>
  </si>
  <si>
    <t>EUR 19'065 Piekrastes apsaimniekošanas projekta KA - kamēr nezinam vai projektam vai Domes</t>
  </si>
  <si>
    <t xml:space="preserve">Būvdarbi - 2025.gadā plānots samaksāt avansu EUR 53'039. . </t>
  </si>
  <si>
    <t>Ekspertu konsultācijas, publicitātes izmaksas ĀNP 23.11.2023. lēmums Nr. 451 un ĀNP 29.08.2024. lēmums Nr. 349. AP pasākums Ā5.1.1.5</t>
  </si>
  <si>
    <t xml:space="preserve">Publiskās ārtelpas izveide Gaujas ielā 31 Ādažos - projektēšana. Ārfinansējums EUR 103'070, pašvaldības - EUR 35'407. 03.10.2024. līgums ar SIA "Baltex Group" Nr. JUR 2024-09/981, kopējā līgumcena EUR 59'718,34.2025.gadā jāsamaksā 70% no līgumcenas. </t>
  </si>
  <si>
    <t>Ārfinansējums - Būvdarbi, autoruzraudzība. Plānots EUR 1'046'960. ĀNP 25.04.2024. lēmums Nr. 164. AP pasākums Ā7.1.1.1.2. RPR 30.05.2024. lēmums Nr.7</t>
  </si>
  <si>
    <t>Krastupes ielas projekts - pašvaldības finansējums</t>
  </si>
  <si>
    <t>Krastupes ielas projekts - ārfinansējums</t>
  </si>
  <si>
    <t>Krastupes ielas projekts - VK aizņēmums</t>
  </si>
  <si>
    <t>Jaunais plūdu projekts - pašvaldības finansējums</t>
  </si>
  <si>
    <t>Jaunais plūdu projekts - ārfinansējums</t>
  </si>
  <si>
    <t>Metu konkursa orgnizēšana (honorāri žūrijai 1'400, balvas konkursa uzvarētājiem 15'000, LAS (Nr. 21s/2024) - 4'114)</t>
  </si>
  <si>
    <t>Būvprojektu izstrāde 15'000</t>
  </si>
  <si>
    <t>Bioloģisko atkritumu izgāztuves ierīkošana 50'000</t>
  </si>
  <si>
    <t>Kopīgas pilsētas satikšanās vietas izveide Attekas ielā 41 59'189</t>
  </si>
  <si>
    <t>Dažādas preces un pakalpojumi (iedzīvotāju aktivizēšanas kampaņa, pasākumu organizēšana) 26 634</t>
  </si>
  <si>
    <t>Domes finansējums EUR 14'114;
Ārfinansējums + KA EUR 420'008</t>
  </si>
  <si>
    <t>2.4.Būvekspertīze, l20.09.2024 līgums Nr.JUR2024-09/921, SIA "PRO VIA"9390.00+PVN=11361.90</t>
  </si>
  <si>
    <t>ST būvniecība-  jāmaksā atsevišķi ST (4104,72 euro bez PVN ir ST noteikumos, bet + 5% rezervei)= 4310 bez PVN, 5215 ar PVN</t>
  </si>
  <si>
    <t xml:space="preserve"> Maģistrālā  veloceļa izbūve Rīga-Carnikava. KA + ārfinansējums</t>
  </si>
  <si>
    <t>Jauna PII izbūve Podniekos. (Sniegsim proj. Pieteikumu CFLA; Projektēšana 138'300+PVN=167'343) - pašvaldības finansējums. 2025.gadā ārfinansējums</t>
  </si>
  <si>
    <t>SAM 9.2.4.2. projekts "Pasākumi vietējās sabiedrības veselības veicināšanai Ādažu novada pašvaldības Ādažu pagastā" - ārfinansējums</t>
  </si>
  <si>
    <t>ANM pasākuma "Atbalsta pasākumi cilvēkiem ar invaliditāti mājokļu vides pieejamības nodrošināšanai" - ĀND finansējums</t>
  </si>
  <si>
    <t>ANM pasākuma "Atbalsta pasākumi cilvēkiem ar invaliditāti mājokļu vides pieejamības nodrošināšanai" - ārfinansējums</t>
  </si>
  <si>
    <t xml:space="preserve">KA </t>
  </si>
  <si>
    <t>Plānotais ārfinansējums</t>
  </si>
  <si>
    <t>Erasmus + konta atlikums</t>
  </si>
  <si>
    <t>09.530.07 Valsts programma "Latvijas skolas soma". KA + plānotais ārfinansējums</t>
  </si>
  <si>
    <t>0631.5 "Blusu" kroga pārbūve</t>
  </si>
  <si>
    <t>"Blusu" kroga pārbūves tehniskā projekta izstrāde. AP pasākums C5.1.3.5.  - ĀND finansējums</t>
  </si>
  <si>
    <t>LR kompleksie sporta pasākumi - Florbola komandas dalība Elvi Virslīgā. Dalības maksa + spēlētāju licenzes</t>
  </si>
  <si>
    <t>Gaujas svētku ieņēmumu daļa, kas ar lēmumu tiek novirzīta svētku izdevumu segšanai</t>
  </si>
  <si>
    <t>Jauns Case (universālais iekrāvējs) līzings, pirmā iemaksa.</t>
  </si>
  <si>
    <t>Eliis paklāju nomai</t>
  </si>
  <si>
    <r>
      <t xml:space="preserve">09.530.08 ESF projekts Atbalsts priekšlaicīgas mācību pārtraukšanas. </t>
    </r>
    <r>
      <rPr>
        <b/>
        <i/>
        <sz val="8"/>
        <rFont val="Arial"/>
        <family val="2"/>
        <charset val="186"/>
      </rPr>
      <t>Ieņēmumos 2022. EUR 7'360</t>
    </r>
  </si>
  <si>
    <t>Ādažu vidusskolas D korpusa siltināšana  (t.sk. VK aizņēmums 255'000)</t>
  </si>
  <si>
    <t>Pašvaldības priekšfinansējuma daļa</t>
  </si>
  <si>
    <t>CKS ceļu, ielu infrastruktūras attīstībā un uzlabošanā</t>
  </si>
  <si>
    <r>
      <t xml:space="preserve">Seguma atjaunošana - asfaltbetons - Dzirnupes ielas tilta pārbūve I kārta (būs būvprojekts). </t>
    </r>
    <r>
      <rPr>
        <b/>
        <i/>
        <sz val="8"/>
        <rFont val="Arial"/>
        <family val="2"/>
        <charset val="186"/>
      </rPr>
      <t>T.sk. EUR 510'000 no VK aizņēmuma</t>
    </r>
  </si>
  <si>
    <t>CKS ieņēmumi</t>
  </si>
  <si>
    <t>Ādažu vidusskolas ēkas A korpusa, savienojuma daļas starp korpusiem (A un B), kā arī, vidusskolas centrālās daļas, tai skaitā torņa fasādes atjaunošana. EUR 55'569 ĀND; EUR 474'147 VK. Papildus darbi EUR 13'198</t>
  </si>
  <si>
    <t>Ādažu novada Mākslu skola (bāze)</t>
  </si>
  <si>
    <t>Carnikavas vidusskola ERASMUS+</t>
  </si>
  <si>
    <t>Carnikava vidusskola Projekts "Nordplus Junior"</t>
  </si>
  <si>
    <t>LĪGO svētki Carnikavā (23.06.)</t>
  </si>
  <si>
    <t>0990</t>
  </si>
  <si>
    <t>0990 - Dziesmu svētki 2025</t>
  </si>
  <si>
    <t>0940.1</t>
  </si>
  <si>
    <t>Tāmēšanas pakalpojumi, mērnieka pakalpojumi</t>
  </si>
  <si>
    <t>Lietus kanalizācijas uzturēšana Ādažos</t>
  </si>
  <si>
    <t>Ceļu un ielu kārtējais remonts (bedrītes)</t>
  </si>
  <si>
    <t>Pretputekļu līdzekļa iestrāde Ādažu novads</t>
  </si>
  <si>
    <t>Materiālu drupināšana</t>
  </si>
  <si>
    <t>Ceļu uzturēšanas inventārs (norobežojušie vadstatņi)</t>
  </si>
  <si>
    <t>Ceļu uzturēšanas inventārs (vairogs/barjera)</t>
  </si>
  <si>
    <t>Palīginstrumenti</t>
  </si>
  <si>
    <t>Minerālmateriāli</t>
  </si>
  <si>
    <t>Ziemas uzturēšanas materiāli  (sāls)</t>
  </si>
  <si>
    <t xml:space="preserve">Pretputekļu līdzeklis </t>
  </si>
  <si>
    <t>Ielu norādes saskaņā ar domes lēmumiem</t>
  </si>
  <si>
    <t xml:space="preserve">Aizsargbarjera pie PII Mežavēji </t>
  </si>
  <si>
    <t>Garkalnes baznīca. Draudžu atbalstam piešķirti katrai pa EUR 2000.</t>
  </si>
  <si>
    <t>Baltezera baznīca. Draudžu atbalstam piešķirti katrai pa EUR 2000.</t>
  </si>
  <si>
    <t>Grants jaunas pirmskolas izglītības iestādes būvniecībai</t>
  </si>
  <si>
    <t>Asistenta pakalpojumu nodrošināšanai</t>
  </si>
  <si>
    <t>EUR 40'000 2024. un 2025 no 1010/ EKK 6411 uz 1010.1 atalgojums bērnu invalīdu aprūpētājiem</t>
  </si>
  <si>
    <t>EUR 30'000 no 1010/ EKK 6412 uz 1010.1 atalgojums bērnu invalīdu aprūpētājiem</t>
  </si>
  <si>
    <t>EUR 15'200 no 1010/ EKK 6423 uz 1010.1 atalgojums bērnu invalīdu aprūpētājiem kā pakalpojums EKK 6411</t>
  </si>
  <si>
    <t>1010.2 Sociālā mentora pakalpojums</t>
  </si>
  <si>
    <t xml:space="preserve"> Uz 1010.2 Sociālā mentora pakalpojums (no 1010/ EKK 6419 Ģimenes asistenta pakalp.)</t>
  </si>
  <si>
    <t xml:space="preserve">Ikmēneša atlīdzība EUR 150 - 10 bezdarbnieki šobrīd plānā vidēji, max nodarbinātības laiks 4 mēneši. </t>
  </si>
  <si>
    <t>Tīkla komutators EUR 847 no EKK 2312 uz EKK 5238</t>
  </si>
  <si>
    <t>EUR 300 no EKK 1111 uz EKK 2239Venden  ūdens iegāde</t>
  </si>
  <si>
    <t xml:space="preserve">Daudzstāvu ēkupagalmu līdzfinansējums </t>
  </si>
  <si>
    <t>18.6.3.5.</t>
  </si>
  <si>
    <t>0631.5</t>
  </si>
  <si>
    <t>CO2 dekoders</t>
  </si>
  <si>
    <t xml:space="preserve"> Maģistrālā  veloceļa izbūve Rīga-Carnikava. Aizņēmums</t>
  </si>
  <si>
    <t>0904 Jaunas pamatskolas izveide Ādažu pilsētā</t>
  </si>
  <si>
    <t>EUR 242 koru karu skaņu aparatūras nomai uz EKK 2264</t>
  </si>
  <si>
    <t>EUR 13'288 no kopsummas zem EKK 5238</t>
  </si>
  <si>
    <t>EUR 3'755 no kopsummas zem EKK 5239</t>
  </si>
  <si>
    <t>EUR 161 no EKK 2314 uz EKK 2390 mācību materiāli</t>
  </si>
  <si>
    <t xml:space="preserve">Koriģēts interešu izgl. Finansējums saskaņā ar 30.01. rīkojumu </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</si>
  <si>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</si>
  <si>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</si>
  <si>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</si>
  <si>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EUR 1'113 mērķdotācija no ĀVS uz CVS, saskaņā ar 27.02.2025. lēmumu "Par mācību jomu koordinatoru darba nodrošināšanu".</t>
  </si>
  <si>
    <t>EUR 1'146 no EKK 2261 uz EKK 2239 (NĪN apmaksa)</t>
  </si>
  <si>
    <t>EUR 350*12=4'200 no EKK 2261 uz EKK 2244 (ēkas uzturēšana)</t>
  </si>
  <si>
    <t>EUR 242 no EKK 1142 uz EKK 2239 CN Online publikācijai saistībā ar APN vakancēm</t>
  </si>
  <si>
    <t>EUR 2'057 no vakantā amata atalgojuma uz EKK 2239 IIA izstrādei projektam "Infrastruktūras uzlabošana Ādažos, 2., 3.kārta.</t>
  </si>
  <si>
    <t>EUR 3'900 no EKK 3263 uz EKK 3262 (EKK korekcija)</t>
  </si>
  <si>
    <t>EUR 1500 no Latvijas jaunatnes olimpiādei paredzētā (nenotiks) EKK 2239 uz EKK 3263subsīdijai cīņu klubam "Bersrk"</t>
  </si>
  <si>
    <t>Saskaņā ar lēmumprojektu par izmaiņām CKS struktūrā daļa tehnisko darbinieku (atalgojums) tiek pārcelts uz iestādes budžetu. EUR 10'459 (EKK 1119 EUR 8'462; EKK 1210 EUR 1'997)</t>
  </si>
  <si>
    <t>Saskaņā ar lēmumprojektu par izmaiņām CKS struktūrā daļa tehnisko darbinieku (atalgojums) tiek pārcelts uz iestādes budžetu. EUR 32'443 (EKK 1119 EUR 26'250; EKK 1210 EUR 6'193)</t>
  </si>
  <si>
    <t>Saskaņā ar lēmumprojektu par izmaiņām CKS struktūrā daļa tehnisko darbinieku (atalgojums) tiek pārcelts uz iestādes budžetu. EUR 44'124 (EKK 1119 EUR 35'701; EKK 1210 EUR 8'423)</t>
  </si>
  <si>
    <t>Saskaņā ar lēmumprojektu par izmaiņām CKS struktūrā daļa tehnisko darbinieku (atalgojums) tiek pārcelts uz iestādes budžetu. EUR 42'399 (EKK 1119 EUR 34'306; EKK 1210 EUR 8'093)</t>
  </si>
  <si>
    <t>Saskaņā ar lēmumprojektu par izmaiņām CKS struktūrā daļa tehnisko darbinieku (atalgojums) tiek pārcelts uz iestādes budžetu. EUR 20'720 (EKK 1119 EUR 16'765; EKK 1210 EUR 3'955)</t>
  </si>
  <si>
    <t>EUR 3'824 no EKK 5239 uz EKK 5238 (EKK korekcija multifunkcionālās iekārtas iegādei)</t>
  </si>
  <si>
    <t>EUR 30'428 projekta “Digitālā darba ar jaunatni sistēmas attīstība pašvaldībās” ārfinansējums (0932).</t>
  </si>
  <si>
    <t>0932  Projekts Digitālā darba ar jaunatni sistēmas attīstība pašvaldībā</t>
  </si>
  <si>
    <t>Projekts Digitālā darba ar jaunatni sistēmas attīstība pašvaldībā</t>
  </si>
  <si>
    <t>0932 Projekts Digitālā darba ar jaunatni sistēmas attīstība pašvaldībā</t>
  </si>
  <si>
    <t>Digitālā mārketinga apmācības</t>
  </si>
  <si>
    <t>Digitālā mārketinga apmācības jauniešu centrā -  tiešsaistes grafiskās noformēšanas rīks - Canva</t>
  </si>
  <si>
    <t>Digitālā mārketinga apmācības jauniešu centrā -  Mākslīgais intelekts</t>
  </si>
  <si>
    <t>Starp atskaite</t>
  </si>
  <si>
    <t>Video montēšana un skatīšanās</t>
  </si>
  <si>
    <t xml:space="preserve">1. sērija  “Ādažu novada jaunieši” </t>
  </si>
  <si>
    <t>Digitālās apmācības jauniešu centrā -  Datu pratība un drošība</t>
  </si>
  <si>
    <t>Individuālās konsultācijas</t>
  </si>
  <si>
    <t>DIGI apmācības</t>
  </si>
  <si>
    <t>Video filmēšanas aprīkojums (mikrofons, apgaismojums, statīvs u.c.)</t>
  </si>
  <si>
    <t xml:space="preserve">Austiņas </t>
  </si>
  <si>
    <t>Jauniešu domes un jaunatnes darbinieku komandas tikšanās</t>
  </si>
  <si>
    <t xml:space="preserve">Veidosim aktualitātes “Ādažu novada jaunieši” digitālajā vidē kopā! </t>
  </si>
  <si>
    <t>Izvērtēšanas tikšanās</t>
  </si>
  <si>
    <t xml:space="preserve">Vizīte Carnikavas vidusskolā </t>
  </si>
  <si>
    <t>Vizīte Ādažu vidusskolā</t>
  </si>
  <si>
    <t>Vizīte Ādažu Brīvajā Valdorfa skolā</t>
  </si>
  <si>
    <t>Noslēgums</t>
  </si>
  <si>
    <t>CapCut programma</t>
  </si>
  <si>
    <t>Canva Pro</t>
  </si>
  <si>
    <t xml:space="preserve">Kahoot </t>
  </si>
  <si>
    <t>2 mobilie telefoni ar labu kameru</t>
  </si>
  <si>
    <t>Datori</t>
  </si>
  <si>
    <t>Dators</t>
  </si>
  <si>
    <t>EUR 21 780 ĀVS D korpusa siltināšanai pārcelt uz ĀVS CKS-investīcijas (līgums ar SIA "US Arhitekti", par paskaidrojuma raksta izstrādi, noslēgts ar CKS) no EKK 5250 uz EKK 7230</t>
  </si>
  <si>
    <t>Alise abonēšana EUR 140 no EKK 2250 uz EKK 7210</t>
  </si>
  <si>
    <t>EUR 1000 no EKK 1228 uz EKK 1227 (EKK korekcija)</t>
  </si>
  <si>
    <t>Projekts "Labklājības nozares un pašvaldību sociālās sfēras platformas "DigiSoc" izstrāde un ieviešana</t>
  </si>
  <si>
    <t>1010.3  "DigiSoc" izstrāde un ieviešana</t>
  </si>
  <si>
    <t>Papildus vienošanās cenas palielinājums EUR 19'594, tātad papildus no D korpusa siltināšanas paņemam EUR 6'396</t>
  </si>
  <si>
    <t>EUR 148 no EKK 5238 uz EKK 5120 datorprogrammu licenču iegādei</t>
  </si>
  <si>
    <t>EUR 2'000 no ekonomijas plānošanas programmas iegādei (0630/EKK 5120) iniciatīvu projektu finansējuma palielinājumam (Ādažu pensionāru biedrībai vingrošana) (0630.1/EKK 3263).</t>
  </si>
  <si>
    <t>EUR 1'782 Personas datu aizsardzības līgumam</t>
  </si>
  <si>
    <t>EUR 3'189 no EKK 2312 uz EKK 5239 (EKK korekcija,jo klasificēsies kā pamatlīdzeklis)</t>
  </si>
  <si>
    <t>Līgums par Ziemassvētku dekoru vizuālo risinājumu; līgums par Ziemassvētku dekoru eksponēšanu un nomu; līgums par Ziemassvētku eglēm</t>
  </si>
  <si>
    <t>EUR 67 no EKK 2239 uz EKK 2243 (EKK korekcija kopētāja apkopei)</t>
  </si>
  <si>
    <t>EUR 12 no EKK 1119 uz EKK 7245 - neiztērētās mērķdotācijas atgriešana</t>
  </si>
  <si>
    <t>EUE 110 no EKK 2239 uz EKK 2312 rūtera iegādei</t>
  </si>
  <si>
    <t>EUR 120 no EKK 2239 uz EKK 2210 LMT pieslēguma izmaksas, lai nodrošinātu futbola laukuma attālinātu laistīšanas sistēmu.</t>
  </si>
  <si>
    <t>EUR 1'519 no EKK 1142 uz EKK 2239 sertificēta arboristaatzinuma sniegšanai Jaunkūlu projektā</t>
  </si>
  <si>
    <t>EUR 1'100 (materiāli sporta stundām) no EKK 2370 uz EKK 2312 (koriģēts uzskaites kods)</t>
  </si>
  <si>
    <t>EUR 286 no EKK 2311 uz EKK 2312 (nepieciešams iegādārties veļas mašīnu saplīsušās vietā)</t>
  </si>
  <si>
    <r>
      <t xml:space="preserve">Semināra, lielās zāles telpu noma un izmitināšana Bērzu gatvē 11, Kadagā. </t>
    </r>
    <r>
      <rPr>
        <b/>
        <i/>
        <sz val="8"/>
        <color rgb="FFFF0000"/>
        <rFont val="Arial"/>
        <family val="2"/>
        <charset val="186"/>
      </rPr>
      <t>EUR 450 jāpārceļ no EKK 2239 uz EKK 2261</t>
    </r>
  </si>
  <si>
    <r>
      <t xml:space="preserve">Digitālā mārketinga apmācības jauniešu centrā -  Video montāžai.
</t>
    </r>
    <r>
      <rPr>
        <i/>
        <sz val="8"/>
        <color theme="3"/>
        <rFont val="Arial"/>
        <family val="2"/>
        <charset val="186"/>
      </rPr>
      <t>EUR 500 Andis Sipjāgins</t>
    </r>
  </si>
  <si>
    <r>
      <t xml:space="preserve">Digitālās apmācības pēc jauniešu anketas rezultātu apkopošanas
</t>
    </r>
    <r>
      <rPr>
        <i/>
        <sz val="8"/>
        <color theme="3"/>
        <rFont val="Arial"/>
        <family val="2"/>
        <charset val="186"/>
      </rPr>
      <t xml:space="preserve">EUR 350 SIA CINDY MEDIA </t>
    </r>
    <r>
      <rPr>
        <i/>
        <sz val="8"/>
        <rFont val="Arial"/>
        <family val="2"/>
        <charset val="186"/>
      </rPr>
      <t xml:space="preserve">
</t>
    </r>
    <r>
      <rPr>
        <i/>
        <sz val="8"/>
        <color theme="3"/>
        <rFont val="Arial"/>
        <family val="2"/>
        <charset val="186"/>
      </rPr>
      <t>EUR 350 Sintija Leimane</t>
    </r>
  </si>
  <si>
    <t>EUR 952'269 no IIN klasificējas kā IIN dotācijas, kas jāatspoguļo valsts budžeta transfertu sadaļā (10.p.)</t>
  </si>
  <si>
    <t>Lieldienu dekoru izgatavošana. Dekori tiek ņemti uzskaitē, tāpēc EUR 3136 no EKK 2239 uz EKK 5239.</t>
  </si>
  <si>
    <t>EUR 186 nodevas samaksai par notariāliem pakalpojumiem no EKK 2239 (Delegāciju uzņemšana) uz EKK 2519</t>
  </si>
  <si>
    <t>Iniciatīvu projekts - EUR 2'000 no EKK 3263 uz EKK 3261 (EKK korekcija, balstoties uz projekta realizētāja statusu)</t>
  </si>
  <si>
    <t>Sabiedrība ar dvēseli - EUR 7'867 no EKK 3263 uz EKK 3262 (EKK korekcija, balstoties uz projekta realizētāja statusu)</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</si>
  <si>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</si>
  <si>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</si>
  <si>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ventilācijas sistēmu tīrīšanas uz Ādažu vidusskolas siltināšanas procesā konstatēto papildus darbu veikšanai.</t>
  </si>
  <si>
    <t>EUR 5'070 no CKS plānotās dotācijas īpašumu apsaimniekošanai uz Teritorijas uzturēšanu (Dome) arboristu čempionāta līguma apmaksai, kas noslēgts ar Domi).</t>
  </si>
  <si>
    <t>EUR 680 no EKK 2223 uz EKK 3263 (līdzfinansējums pagalmu labiekārttošanā).</t>
  </si>
  <si>
    <t>Sporta centra POS termināla nomas maksas plānu pārcelt no pārvaldes tāmes uz Sporta centra tāmi (EUR 650)</t>
  </si>
  <si>
    <t>EUR 300 no EKK 2239 uz EKK 2121 (saistībā ar dalību projektā "Upju tīkla attīstība")</t>
  </si>
  <si>
    <t>EUR 200 no EKK 2239 uz EKK 2122 (saistībā ar dalību projektā "Upju tīkla attīstība")</t>
  </si>
  <si>
    <t>EUR 500 no EKK 2239 uz EKK 2314 (EKK korekcija)</t>
  </si>
  <si>
    <t>MD .gadam māc. līdz.iegāde</t>
  </si>
  <si>
    <t>MD gadam māc. līdz.iegāde</t>
  </si>
  <si>
    <t>Mērķdotācija gadam EUR 2'468 (EKK 2370).</t>
  </si>
  <si>
    <t xml:space="preserve">Mērķdotācija gadam EUR 71'355 (EUR 3'499 uz EKK 2370; EUR 67'856 uz EKK 5233). </t>
  </si>
  <si>
    <t>EUR 2'000 no EKK 1119 uz 1147 (EKK korekcija)</t>
  </si>
  <si>
    <t>EUR 4'000 no EKK 1148 uz 1147 (EKK korekcija)</t>
  </si>
  <si>
    <t>EUR 40 no EKK 2239 uz EKK 2121 (A.Krastas komandējums)</t>
  </si>
  <si>
    <t>EUR 4 no EKK 2239 uz EKK 2122 (A.Krastas komandējums)</t>
  </si>
  <si>
    <t>EUR 630 no EKK 2350 uz EKK 2361 gultasveļu komplektu iegādei 2 grupiņu vajadzībām.</t>
  </si>
  <si>
    <t>EUR 100 no EKK 2314 uz EKK 2312 (telefona iegādei papildus)</t>
  </si>
  <si>
    <t>EUR 600 no EKK 1150 uz EKK 1147 (EKK korekcija)</t>
  </si>
  <si>
    <t>EUR 140 no EKK 1150 uz EKK 1210 (EKK korekcija)</t>
  </si>
  <si>
    <t>EUR 1'000 no EKK 1119 uz EKK 1148 (EKK korekcija)</t>
  </si>
  <si>
    <t>EUR 1500 no EKK 1147 uz EKK 1145 (EKK korekcija)</t>
  </si>
  <si>
    <t>EUR 1000 no EKK 1147 uz EKK 1150 (EKK korekcija)</t>
  </si>
  <si>
    <t>EUR 2'000 no EKK 1210 uz EKK 1221(EKK korekcija)</t>
  </si>
  <si>
    <t>EUR 1'000 no EKK 1147 uz EKK 1146 (EKK korekcija)</t>
  </si>
  <si>
    <t>EUR 2'000 no EKK 1210 uz EKK 1221 (EKK korekcija)</t>
  </si>
  <si>
    <t>EUR 110 no EKK 2312 uz EKK 2370 (Atestātiem un atestātu vāciņiem cenas pieaugums)</t>
  </si>
  <si>
    <t>EUR 800 no EKK 1141 uz EKK 1145 (EKK korekcija)</t>
  </si>
  <si>
    <t>EUR 2'000 no EKK 2122 uz EKK 2233 (EKK korekcija)</t>
  </si>
  <si>
    <t>Precizēts pēc projekta naudas plūsmas</t>
  </si>
  <si>
    <t>Valsts izglītības attīstības aģentūra "Atbalsts Ukrainas un Latvijas bērnu un jauniešu nometnēm"</t>
  </si>
  <si>
    <t>No ekonomijas iegādājoties nekustamo īpašumu Alderu ielā 33 (0670/EKK 5214) EUR 8'000 pārcelt uz CKS dotāciju ēkas nojaukšanai Kalmju ielā 2 (0645/EKK 7230)</t>
  </si>
  <si>
    <t>EUR 1500 no Latvijas jaunatnes olimpiādei paredzētā (nenotiks) EKK 2239 uz EKK 3263 subsīdijai cīņu klubam "Bersrk"</t>
  </si>
  <si>
    <t>Trūkstošais PVN</t>
  </si>
  <si>
    <t>EUR 2'000 no maksājuma pašvald. savienībai (ekonomija) no EKK 2239 uz EKK 2512 (EKK korekcija)</t>
  </si>
  <si>
    <t>EUR 2'000 no pārpalikuma ēkas uzturēšanai uz EKK 2512 (PVN par telpu nomu)</t>
  </si>
  <si>
    <t>EUR 226 no EKK 2322 uz EKK 5238 datora iegādei.</t>
  </si>
  <si>
    <t>EUR 200 no EKK 2350 uz EKK 2512 PVN apmaksai</t>
  </si>
  <si>
    <t>EUR 3'000 no Latvijas jaunatnes olimpiādei paredzētā (nenotiks) EKK 2239 uz EKK 3263 subsīdijai dalībās sacensībās</t>
  </si>
  <si>
    <t>EUR 110 no EKK 2239 uz EKK 2312 rūtera iegādei</t>
  </si>
  <si>
    <t>EUR 787 no EKK 2233 uz EKK 5218 ūdens sūkņa aprīkojuma ar spiediena devēju un pretvārstu uzstādīšanai</t>
  </si>
  <si>
    <t>EUR 57 no EKK 5239 uz EKK 5238 (EKK korekcija)</t>
  </si>
  <si>
    <t>EUR 30 no EKK 2350 uz EKK 2512 PVN nomaksai</t>
  </si>
  <si>
    <t>EUR 30 no  EKK 2239 uz EKK 2244 paklāju nomai</t>
  </si>
  <si>
    <t>EUR 464 no EKK 5238 (ieplānoti telefi) uz EKK 2312 (telefona iegādei)</t>
  </si>
  <si>
    <t>EUR 299 no EKK 5238 (ieplānoti telefi) uz EKK 2312 (telefona iegādei)</t>
  </si>
  <si>
    <t>EUR 1000 no EKK 5214 uz EKK 2519 nodevu nomaksām</t>
  </si>
  <si>
    <t>EUR 200 no EKK 5214 uz EKK 2512 PVN samaksai</t>
  </si>
  <si>
    <t>EUR 3'000 no EKK 1210 uz EKK 1221 (EKK korekcija)</t>
  </si>
  <si>
    <t>EUR 2'000 no EKK 1146 uz EKK 1147 (EKK korekcija)</t>
  </si>
  <si>
    <t>EUR 2000 no EKK 2223 uz EKK 2512 (PVN nomaksai)</t>
  </si>
  <si>
    <t>EUR 2'000 no EKK 2223 uz EKK 2512 (EKK korekcija PVN atmaksai)</t>
  </si>
  <si>
    <t>EUR 300 no EKK 2370 uz EKK 2512 (EKK korekcija saņemtā PVN atmaksai)</t>
  </si>
  <si>
    <t>EUR 60 no EKK 2235 uz EKK 2239 (EKK korekcija)</t>
  </si>
  <si>
    <t>EUR 450 no EKK 2233 uz EKK 2242 - stāvvietas izmantošanas izmaksas.</t>
  </si>
  <si>
    <t>EUR 150 no EKK 2322 uz EKK 2242 autostāvvietu apmaksai</t>
  </si>
  <si>
    <t>EUR 2'000 no EKK 2233 uz EKK 6292 (EKK korekcija degvielas kompensācijai asistentiem)</t>
  </si>
  <si>
    <t>Pavadošo personu aomaksai EUR 2'400 no EKK 2233 uz EKK 1150.</t>
  </si>
  <si>
    <t>EUR 3'000 no EKK 2239 uz EKK 2264 Gaujas svētku pakalpojumi - tualešu noma</t>
  </si>
  <si>
    <t>Projekta finansējums draudzei - EUR 1000 no EKK 2239 uz EKK 3263</t>
  </si>
  <si>
    <t>EUR 1500 no EKK 2321 (EKK korekcija PVN apmaksai)</t>
  </si>
  <si>
    <t>EUR 2'000 no EKK 1119 uz EKK 2512 (EKK korekcija PVN apmaksai)</t>
  </si>
  <si>
    <t>EUR 1'000 no EKK 1147 uz EKK 2512 (EKK korekcija PVN apmaksai)</t>
  </si>
  <si>
    <t>Pavadošo personu apmaksai EUR 2'400 no EKK 2233 uz EKK 1150.</t>
  </si>
  <si>
    <t>EUR 300 no Mākslu skolas budžeta uz vidusskolas budžetu par apmācību vadīšanu Bērnu tiesību aizsardzību.</t>
  </si>
  <si>
    <t>Saņemtā PVN par sniegtajiem pakalpojumiem atmaksa valstij.</t>
  </si>
  <si>
    <t>Ieguvumu izdevumu analīzei ERAF projektu pieteikumiem «Multimodāls sabiedriskā transporta tīkls» STACIJA 2.0 (Garciems, Carnikava, Gauja).</t>
  </si>
  <si>
    <t>Apstiprināts valsts finansējums dziesmu un deju svētku dalībnieku ēdināšanai EUR 16'359</t>
  </si>
  <si>
    <t>EKII projekts noslēdzies, tiks ieskaitīts gala maksājums, kas jānovirza kredīta atmaksai</t>
  </si>
  <si>
    <t>Ādažu stadiona asfaltētā seguma bedrīšu lāpīšana. EUR 2'239 no EKK 2241 uz EKK 2244 (EKK korekcija)</t>
  </si>
  <si>
    <t>EUR 2’608 no EKK 2512 uz EKK 2241 (2024.gada PVN apmaksa par remontdarbiem).</t>
  </si>
  <si>
    <t>Nolēdzies iepirkums par Āra trenažieru uzstādīšana pie Ādažu stadiona, kas par 3'263 pārsniedz budžetā plānoto. Trūkstošo finansējumu EUR 1'042 pārcelt no EKK 2312; EUR 221 no EKK 2244 un EUR 2'000 no EKK 5239 uz EKK 5239.</t>
  </si>
  <si>
    <t>Jauna grīdas seguma ieklāšana sporta centra lielajā zālē EUR 24'185 EKK 5239 (EUR 7'000 no EKK 2239; EUR 1'700 no EKK 2233; EUR 1'685 no EKK 2312; EUR 13'800 no nesadalītā KA)</t>
  </si>
  <si>
    <t>Šo neliekam sākotnēji, jo katreiz ir lēmums ar kuru tas tiek novirzīts!</t>
  </si>
  <si>
    <t>Projekta finansējums komersantam - EUR 1000 no EKK 2239 uz EKK 3262</t>
  </si>
  <si>
    <t>EUR 2'000 no EKK 2239 uz EKK 2512 (EKK korekcija PVN apmaksai)</t>
  </si>
  <si>
    <t>EUR 1'670 no EKK 2231 uz EKK 2250 - mājas lapas "turisms.adazi.lv"pilnveidošanas darbi</t>
  </si>
  <si>
    <t>0934 Pedagogu profesionālā atbalsta sistēmas izveide</t>
  </si>
  <si>
    <t>Projekts "Pedagogu profesionālā atbalsta sistēmas izveide"</t>
  </si>
  <si>
    <t>0935 Atbalsts jaunatnes politikas īstenošanai vietējā līmenī</t>
  </si>
  <si>
    <t>Projekta vadītāja, koordinātora un komunikāciju speciālista atalgojums</t>
  </si>
  <si>
    <t>Projekta vadītāja, koordinātora un komunikāciju speciālista VSAOI</t>
  </si>
  <si>
    <t>Tranporta pakalpojumi ( Ādaži - Madona - Ādaži)</t>
  </si>
  <si>
    <t>Tranporta pakalpojumi  (Ādaži - Ogre- Ādaži)</t>
  </si>
  <si>
    <t>Tranporta pakalpojumi  (Ādaži - Bauska- Ādaži)</t>
  </si>
  <si>
    <t>Papīrs A4 (500lpp)</t>
  </si>
  <si>
    <t>Pildspalvas ar apdruku</t>
  </si>
  <si>
    <t>Krāsains papīrs (100lpp)</t>
  </si>
  <si>
    <t>Zīmēšanas papīrs (A3)</t>
  </si>
  <si>
    <t>Diplomu papīrs</t>
  </si>
  <si>
    <t>Kapučjaka ar apdruku</t>
  </si>
  <si>
    <t>T-krekli ar apdruku</t>
  </si>
  <si>
    <t xml:space="preserve">Mācību vadītājs- organizācijas koučs </t>
  </si>
  <si>
    <t>Uzkodas, dzērieni brīvprātīgo darba organizatoru tikšanās reizē</t>
  </si>
  <si>
    <t>Ēdināšanas izdevumi plānošanas darbnīcā</t>
  </si>
  <si>
    <t>Ēdināšanas izdevumi pieredzes apmaiņas pasākumos</t>
  </si>
  <si>
    <t>Uzkodas, dzērieni projektu noslēguma pasākumā</t>
  </si>
  <si>
    <t>Uzkodas, dzērieni aktivitātē "Sāc ar savu sētu"</t>
  </si>
  <si>
    <t>Darba materiāli aktivitātēm (cimdi, puķu podi un citas nepieciešamās preces)</t>
  </si>
  <si>
    <t>Augu stādi</t>
  </si>
  <si>
    <t>Trauku komplekti (krūzīte, šķīvītis, bļodiņa) un galda piederumu komplekts</t>
  </si>
  <si>
    <t xml:space="preserve">Pakalpojuma līgums - talkas pasākums uz supiem </t>
  </si>
  <si>
    <t>0934</t>
  </si>
  <si>
    <t>0935</t>
  </si>
  <si>
    <t>Projekts Atbalsts jaunatnes politikas īstenošanai vietējā līmenī</t>
  </si>
  <si>
    <t>Dalība konkursā "Atbalsts jaunatnes politikas īstenošanai vietējā līmenī" - ārfinansējums EUR 8'781</t>
  </si>
  <si>
    <t>Apstiprināts projekts Pedagogu profesionālā atbalsta sistēmas izveidei. Precizēts finansējums 35'581 un no pašvaldības nepieciešams 20% avanss (EUR 8'896), ko atgūsim, noslēdzoties projektam</t>
  </si>
  <si>
    <t>0936</t>
  </si>
  <si>
    <t xml:space="preserve">0936 Skola- kopienā  </t>
  </si>
  <si>
    <t xml:space="preserve">Projekts Skola- kopienā  </t>
  </si>
  <si>
    <t>Dalība ESF projektu konkursā “Skola – kopienā”. Plānots ienākošais finansējums EUR 38'003</t>
  </si>
  <si>
    <t>Projekts "Skola- kopienā"</t>
  </si>
  <si>
    <t>Valsts izglītības attīstības aģentūras finansējums EUR 5'643 dalībai projektā “Neformālās izglītības pasākumi, t.sk., latviešu valodas apguve, Ukrainas bērniem un jauniešiem”</t>
  </si>
  <si>
    <t>EUR 60 no EKK 1228 uz EKK 2121 - komandējuma nauda Kauņa 02.06.-03.06.</t>
  </si>
  <si>
    <t>Florbola nometne. Saskaņā ar MK 981 noteikumiem uz katriem 10 bērniem jābūt 1 pavadošai personai. Tā apmaksai EUR 1'113 no EKK 2239 uz EKK 1150</t>
  </si>
  <si>
    <t>EUR 2'500 no EKK 2370 uz EKK 2312 (2024.gada rēķins par zviedru sienu samaksāts 2025.gadā)</t>
  </si>
  <si>
    <t>EUR 1'000 no maksājuma pašvald. savienībai (ekonomija) no EKK 2239 uz EKK 2519 (EKK korekcija)</t>
  </si>
  <si>
    <t>EUR 420 no EKK 5239 uz EKK 2312 (portatīvā tumba uz inventāru)</t>
  </si>
  <si>
    <t>EUR 300 no EKK 2350 uz EKK 2312 (tīklu iegādei)</t>
  </si>
  <si>
    <t>EUR 339 no EKK 2239 uz EKK 2264 (tualešu, žogu noma sporta pasākumos)</t>
  </si>
  <si>
    <t>EUR 130 no EKK 5240 uz EKK 2239 (Atzinums Par būvprojekta “Publiskās ārtelpas attīstība”)</t>
  </si>
  <si>
    <t>EUR 100 no EKK 2239 uz EKK 2314 preces iedzīvotāju aktiviz;e;sanas kampaņu ietvaros)</t>
  </si>
  <si>
    <t>EUR 2'000 no EKK 2239 uz EKK 1150 (Gaujas svētku pasākuma izdevumu segšana)</t>
  </si>
  <si>
    <t>EUR 200 no EKK 2314 uz EKK 2512 PVN apmaksai.</t>
  </si>
  <si>
    <t>EUR 319 no EKK 5239 uz EKK 2312 (iegādātā prece klasificējas kā inventārs nevis PL)</t>
  </si>
  <si>
    <t>EUR 1'415 no EKK 2239 uz EKK 2314 (EKK korekcija - tūrisma karšu iegāde)</t>
  </si>
  <si>
    <t>EUR 2'000 no EKK 1119 uz EKK 1147 (EKK korekcija)</t>
  </si>
  <si>
    <t>EUR 10'000 no EKK 1147 uz EKK 1148 (EKK korekcija)</t>
  </si>
  <si>
    <t>EUR 500 no EKK 1146 uz EKK 1145 (EKK korekcija)</t>
  </si>
  <si>
    <t>EUR 5'000 no EKK 1210 uz EKK 1221 (EKK korekcija)</t>
  </si>
  <si>
    <t>EUR 45 no EKK 1147 uz EKK 1170 (EKK korekcija)</t>
  </si>
  <si>
    <t>EUR 73 no EKK 2311 uz EKK 2312 (EKK korekcija - datorpeles iegāde)</t>
  </si>
  <si>
    <t>EUR 160 no EKK 2239 uz EKK 2239 (supervīzijas)</t>
  </si>
  <si>
    <t>EUR 303 no EKK 2239 uz EKK 2235 (EKK korekcija apmācībām)</t>
  </si>
  <si>
    <t>EUR 1000 no EKK 1150 uz EKK 1147 (EKK korekcija)</t>
  </si>
  <si>
    <t>EUR 116 no EKK 2239 uz EKK 2250 (EKK korekcija)</t>
  </si>
  <si>
    <t>EUR 8'000 no EKK 1147 uz EKK 1142 (EKK korekcija)</t>
  </si>
  <si>
    <t>EUR 265 no EKK 2112 uz EKK 2121 (EKK korekcija)</t>
  </si>
  <si>
    <t>EUR 260 no EKK 2111 uz EKK 2121 (EKK korekcija)</t>
  </si>
  <si>
    <t>EUR 242 no EKK 2239 uz EKK 2269 vēsturiskā spēkrata noma Gaujas svētku norisē. (EKK korekcija)</t>
  </si>
  <si>
    <t>EUR 198 no EKK 2350 uz EKK 5239 2024.gada PVN</t>
  </si>
  <si>
    <t>EUR 240 no EKK 2519 uz EKK 2312 telefona iegādei.</t>
  </si>
  <si>
    <t>EUR 385 no EKK 2239 uz EKK 2264 trauku un inventāra noma Gaujas svētkos</t>
  </si>
  <si>
    <t>EUR 170 no EKK 2239 uz EKK 2233 transporta nodrošināšana Gaujas svētkos</t>
  </si>
  <si>
    <t>EUR 75 no EKK 2247 uz EKK 2243 (kafijas automāta remonts)</t>
  </si>
  <si>
    <t>EUR 300 no EKK 1119 uz EKK 1141 (EKK korekcija)</t>
  </si>
  <si>
    <t>EUR 2'000 no EKK 1119 uz EKK 1141 (EKK korekcija)</t>
  </si>
  <si>
    <t>EUR 1'500 no EKK 1119 uz EKK 1147 (EKK korekcija)</t>
  </si>
  <si>
    <t>EUR 2'000 no EKK 1119 uz EKK 1150 (EKK korekcija)</t>
  </si>
  <si>
    <t>EUR 2000 no EKK 1119 uz EKK 1150 (EKK korekcija)</t>
  </si>
  <si>
    <t>EUR 50 no EKK 1210 uz EKK 1228 (EKK korekcija)</t>
  </si>
  <si>
    <t>EUR 50 no EKK 2233 uz EKK 2322 (EKK korekcija)</t>
  </si>
  <si>
    <t>Saskaņā ar IDR rīkojumu #ĀNP/1-6-1/25/59 "Par videonovērošanas sistēmu sabiedriskajai drošībai un kārtībai" šo funkciju nododot no ĀPP uz IT, uzturēšanai un kameru iegādei EUR 11'328 no 0340/2243 uz 0170/2243.</t>
  </si>
  <si>
    <t>Projektā "Pedagogu profesionālā atbalsta sistēmas izveide" paredzēti papildus līdzekļi mācību literatūras iegādei. 2025.gadā EUR 14'838 (realizē Izglītības nodaļa)</t>
  </si>
  <si>
    <t>CSDD attālinātās satiksmes kontroles sodu administrēšana EUR 170/ mēn</t>
  </si>
  <si>
    <t>EUR 177 no EKK 2241 uz EKK 2235 (mācību apmaksai)</t>
  </si>
  <si>
    <t>EUR 28 no EKK 1142 uz EKK 1141 (EKK korekcija)</t>
  </si>
  <si>
    <t>EUR 1'765 no EKK 3263 uz EKK 3261 (līdzfinansējums pagalmu labiekārttošanā).</t>
  </si>
  <si>
    <t>Līdzfinansējums  daudzstāvu ēku siltināšanai un pagalmu labiekārtošanai bija paredzēts EUR 23'000. Uz šo brīdi tas ir iztērēts un ir divi komisijas lēmumi par atbalstu 2 ēkām kopā EUR 14'000 apmērā, kuras var apmaksāt, ja akceptē finansējuma palielinājumu.</t>
  </si>
  <si>
    <t>Saskaņā ar 24.07.2025. lēmumu #290 "Par basketbola komandas atjaunošanu EUR 2'500 no EKK 1119 uz EKK 2239 dalības maksas segšanai.</t>
  </si>
  <si>
    <t>Saskaņā ar 24.07.2025. lēmumu #290 "Par basketbola komandas atjaunošanu EUR 600 no EKK 2239 (ietaupījums Ādažu MTB velomaratonā) uz EKK 2312 formu iegādei.</t>
  </si>
  <si>
    <t>EUR 545 no EKK 2239 (Nēģu svētku aktivitātes un Carnikavas riteņbraukšanas pasākuma) uz EKK 2264 Rožu ielas laukuma nomai.</t>
  </si>
  <si>
    <t>EUR 300 no EKK 1210 uz EKK 1228 (EKK korekcija)</t>
  </si>
  <si>
    <t>Ādažu stadiona asfaltētā seguma bedrīšu lāpīšana. EUR 2'114 no EKK 2244 uz EKK 2241 (EKK korekcija)</t>
  </si>
  <si>
    <t>EUR 400 no EKK 1147 uz EKK 1141 (EKK korekcija)</t>
  </si>
  <si>
    <t>EUR 2'000 no EKK 2239 uz EKK 1150 (pasākuma izdevumu segšana)</t>
  </si>
  <si>
    <t>EUR 2'000 no EKK 2239 uz EKK 2512 (Saņemtā PVN atmaksa)</t>
  </si>
  <si>
    <t>EUR 1000 no EKK 1210 uz EKK 1221 (EKK korekcija)</t>
  </si>
  <si>
    <t>EUR 1000 no EKK 2231 uz EKK 2314 (priekšauti ar apdruku)</t>
  </si>
  <si>
    <t>EUR 85 no EKK 2370 uz EKK 5238 (interaktīvā displeja iegādei)</t>
  </si>
  <si>
    <t>EUR 847 no EKK 2239 (ekonomija uz veļas mazgāšanu) uz EKK 2312 pārvietojamo gultiņu iegādei.</t>
  </si>
  <si>
    <t>EUR 885 no EKK 2370 (ekonomija uz drukāto mācību līdzekļu iegādi) uz EKK 2312 pārvietojamo gultiņu iegādei.</t>
  </si>
  <si>
    <t>EUR 144 no EKK 2312 uz EKK 5239 (mēbeles, kas neklasificējas kā inventārs)</t>
  </si>
  <si>
    <t>EUR 1'000 no EKK 1210 uz EKK 1221 (EKK korekcija)</t>
  </si>
  <si>
    <t>EUR 2'450 no EKK 1119 uz EKK 2239 (asistentu pakalpojuma apmaksa, kas tika plānots kā pastāvīgs darbinieks)</t>
  </si>
  <si>
    <t>EUR 7'962 no pārpalikuma no skolēnu apbalvošanas novirzīt TET optikas pieslēguma ierīkošanai jauniešu centrā Gaujas ielā 25B.</t>
  </si>
  <si>
    <t>EUR 1'672 no EKK 1119 (vakance jaunatnes darbinieks) novirzīt TET optikas pieslēguma ierīkošanai jauniešu centrā Gaujas ielā 25B EKK 2239.</t>
  </si>
  <si>
    <t>EUR 530 no EKK 2314 uz EKK 2390 - preces, kas iegādātas ped. Med. Komisijai.</t>
  </si>
  <si>
    <t>EUR 2'193 pedagogu profesionālās kompetences pilnveidei, vardarbības novēršanai un labbūtībasveicināšanai izglītības vidē.</t>
  </si>
  <si>
    <t>EUR 500 no EKK 1210 uz EKK 1228 (EKK korekcija)</t>
  </si>
  <si>
    <t>Vēl papildus 2i neizskatīti iesniegumi par EUR 13'020</t>
  </si>
  <si>
    <t>EUR 1'000 no EKK 2239 (ekonomija pie nometnēm) uz EKK 2350 akustisko paneļu iegādei.</t>
  </si>
  <si>
    <t>EUR 12'000 no EKK 1147 uz EKK 1221 (EKK korekcija)</t>
  </si>
  <si>
    <t>EUR 300 no EKK 1147 uz EKK 1228 (EKK korekcija)</t>
  </si>
  <si>
    <t>EUR 278 no EKK 2312 uz EKK 5239 (EKK korekcija)</t>
  </si>
  <si>
    <t>Iegādāts printeris, kurš plānots kā PL, tāpēs EUR 496 no EKK 5238 uz EKK 2312 (EKK korekcija)</t>
  </si>
  <si>
    <t>EUR 1'625 no EKK 2223 ekonomijas uz EKK 2361tautas tērpu šūšanai.</t>
  </si>
  <si>
    <t>EUR 500 (degvielas ekonomija) no EKK 2322 uz EKK 2312 mēbeļu un galda zāģa iegādei</t>
  </si>
  <si>
    <t>EUR 800 (ekonomija uz koplietošanas telpu sienu apstrādi) no EKK 2350 uz EKK 2312 mēbeļu un galda zāģa iegādei</t>
  </si>
  <si>
    <t>EUR 6'320 (ekonomija uz pašvaldības finansējumu mācību līdzekļiem) no EKK 2370 uz EKK 2312 mēbeļu un galda zāģa iegādei</t>
  </si>
  <si>
    <t>EUR 4'650 (ekonomija uz datoru iegādi, jo tos saņems no IZM) no EKK 5238 uz EKK 2312 mēbeļu un galda zāģa iegādei</t>
  </si>
  <si>
    <t>EUR 2'000 no EKK 2239 uz EKK 2314 (EKK korekcija)</t>
  </si>
  <si>
    <t>EUR 10 no EKK 2312 uz EKK 2314 (EKK korekcija)</t>
  </si>
  <si>
    <t>EUR 10'000 no EKK 6255 (ekonomija sociālajām garantijām bāreņiem un audžu ģimenēm, jo nav pieaudzis to skaits) uz EKK 6419 (psihologa pakalpojumu apmaksai).</t>
  </si>
  <si>
    <t>EUR 2'000 no EKK 1147 uz EKK 2122 (EKK korekcija)</t>
  </si>
  <si>
    <t>EUR 800 no EKK 2233 uz EKK 2122 (EKK korekcija)</t>
  </si>
  <si>
    <t>EUR 239 no EKK 5140 uz EKK 2312 (krēsla iegāde)</t>
  </si>
  <si>
    <t>EUR 10'000 no EKK 1147 uz EKK 1221 (EKK koprekcija)</t>
  </si>
  <si>
    <t xml:space="preserve">Kursi, semināri 24h EUR 105*22. Likumā  noteikti - 24h kursi un 10 supervīzijas 21*33*10. </t>
  </si>
  <si>
    <t>EUR 20 no EKK 2239 uz EKK 2235 (supervīzijas)</t>
  </si>
  <si>
    <t>EUR 1'000 no Izglītības nodaļas (0930/ EKK 3263) uz 0630.1/ EKK 3263) iniciatīvu projektu līdzfinansējumam.</t>
  </si>
  <si>
    <t>0844.3 "Carnikavas novadpētniecības centra Saimes mājas ekspozīcijas pamatnes atjaunošana" LEADER</t>
  </si>
  <si>
    <t xml:space="preserve">EUR 6'000 no 0841.3 EKK 2239 uz LEADER projekta nodaļu 0844.3 EKK 5239 "Carnikavas novadpētniecības centra Saimes mājas ekspozīcijas pamatnes atjaunošana" </t>
  </si>
  <si>
    <t>0844.3</t>
  </si>
  <si>
    <t>0631.7 "Sporta laukuma ierīkošana Garciemā" LEADER</t>
  </si>
  <si>
    <t>"Sporta laukuma ierīkošana Garciemā" LEADER</t>
  </si>
  <si>
    <t>2025.gada plānotais LAD finansējums</t>
  </si>
  <si>
    <t>Pašvaldības līdzfinansējums EUR 9'600 no sadaļas 0904 "Jaunas pamatskolas izveide Ādažu pilsētā" uz 0631.7.</t>
  </si>
  <si>
    <t>0631.8 "Veloapkopes stenda ierīkošana Kadagā un Garkalnē" LEADER</t>
  </si>
  <si>
    <t>Pašvaldības līdzfinansējums EUR 4'100 no sadaļas 0904 "Jaunas pamatskolas izveide Ādažu pilsētā" uz 0631.8.</t>
  </si>
  <si>
    <t>0631.7</t>
  </si>
  <si>
    <t>0631.8</t>
  </si>
  <si>
    <t xml:space="preserve"> "Veloapkopes stenda ierīkošana Kadagā un Garkalnē" LEADER</t>
  </si>
  <si>
    <t>0631.9 "Garezeru apkārtnes biotopu saudzēšana veicinot koncentrētu gājēju plūsmas vadīšanu ar mērķi mazināt augsnes degradāciju" LEADER</t>
  </si>
  <si>
    <t>Pašvaldības līdzfinansējums EUR 8'200 no sadaļas 0904 "Jaunas pamatskolas izveide Ādažu pilsētā" uz 0631.9</t>
  </si>
  <si>
    <t>"Garezeru apkārtnes biotopu saudzēšana veicinot koncentrētu gājēju plūsmas vadīšanu ar mērķi mazināt augsnes degradāciju"</t>
  </si>
  <si>
    <t>0937</t>
  </si>
  <si>
    <t>0937 "Bērnu un jauniešu centra izveide Ādažos"</t>
  </si>
  <si>
    <t>Pašvaldības līdzfinansējums EUR 24'600 no sadaļas 0904 "Jaunas pamatskolas izveide Ādažu pilsētā" uz 0937</t>
  </si>
  <si>
    <t>Saskaņā ar protokollēmumu EUR 29'163 no ēdināšanas pabalsta 5.-9.klašu skolēniem (pie Soc. Dienesta 1010/EKK6423) uz CVS brīvpusdienu līdzfinansējuma nodrošināšanai.</t>
  </si>
  <si>
    <t>Saskaņā ar protokollēmumu EUR 37'837 no ēdināšanas pabalsta 5.-9.klašu skolēniem (pie Soc. Dienesta 1010/EKK6423) uz ĀSS brīvpusdienu līdzfinansējuma nodrošināšanai.</t>
  </si>
  <si>
    <t>EUR 2'200 no EKK 1119 ekonomijas uz EKK 2239 tāmju izstrādei projekta "Izglītības iestāžu nodrošinājums vienlīdzīgai piekļuvei".</t>
  </si>
  <si>
    <t>EUR 7'000 no EKK 1147 uz EKK 1221 (EKK korekcija)</t>
  </si>
  <si>
    <t>EUR 2'000 no maksājuma pašvald. savienībai (ekonomija) no EKK 2239 uz EKK 2519 (EKK korekcija)</t>
  </si>
  <si>
    <t>EUR 500 no EKK 1119 uz EKK 1148 (EKK korekcija)</t>
  </si>
  <si>
    <t>EUR 3'000 no EKK 2350 uz EKK 2312 bezvadu datu pārraides antenu iegāde un krēslu iegāde.</t>
  </si>
  <si>
    <t>EUR 3'000 no EKK 1147 uz EKK 1221 (EKK korekcija)</t>
  </si>
  <si>
    <t>0631.9</t>
  </si>
  <si>
    <t>EUR 6'732 no EKK 3263 uz EKK 3262, jo projekta vadītājs klasificējas kā jkomersants nevis biedrība.</t>
  </si>
  <si>
    <t>EUR 896 no EKK 5239 uz EKK 2312 (iegādātā prece klasificējas kā inventārs nevis PL)</t>
  </si>
  <si>
    <t>EUR 120 no EKK 2233 uz EKK 2112 (šoferim naktsmītne)</t>
  </si>
  <si>
    <t>EUR 2'191 no EKK 2233 uz EKK 2361 (EKK korekcija tērpu iegādei dziesmu un deju svētkiem)</t>
  </si>
  <si>
    <t>EUR 5'360 no EKK 2370 uz EKK 5233 (EKK korekcija, jo daļa mācību līdzekļu ir kā bibliotēku fondi).</t>
  </si>
  <si>
    <t>EUR 12'800 no EKK 1119 uz EKK 2239 asistentu pakalpijumu apmaksai (08.2025. lēmums)</t>
  </si>
  <si>
    <t>EUR 4'000 no EKK 1119 uz EKK 1221 (EKK korekcija)</t>
  </si>
  <si>
    <t>ĀVS D korpusa siltināšanai atlikušo paredzēto summu pārcelt uz ĀVS CKS-investīcijas, jo visi līgumi tiks slēgti  ar CKS). EUR 271'824 no EKK 5250 uz EKK 7230</t>
  </si>
  <si>
    <t>EUR 781 no EKK 1150 uz EKK 2312 (sporta inventāra iegādei).</t>
  </si>
  <si>
    <t>Jauns līgums par busa Operatīvo līzingu, 10 000 EUR+ikmēnēsa maka =1000*12 mēn. Busa operatīvā līzinga līgums noslēgts ar CKS, tāpēc 2025.gadā nepieciešamā summa EUR 9'084 no 0648/2262 uz 0645/7230.</t>
  </si>
  <si>
    <t>Jauns līgums par a/m ar kravas kasti 3.5t, Operatīvo līzingu, 8000 eur+ikmēnēsa maksa =800*12 mēn.  A/m ar kravas kasti operatīvā līzinga līgums noslēgts ar CKS, tāpēc 2025.gadā nepieciešamā summa EUR 7'404 no 0648/2262 uz 0645/7230.</t>
  </si>
  <si>
    <t>EUR 1'000 no EKK 6260 uz EKK 6259 (EKK korekcija)</t>
  </si>
  <si>
    <t>EUR 2'000 no EKK 1147 uz EKK 1221 (EKK korekcija)</t>
  </si>
  <si>
    <t>EUR 500 no EKK 2210 (ietaupījums NĪN paziņojumu nosūtīšanā) uz EKK 2312 2u monitoru iegādei grāmatvedības nodaļā.</t>
  </si>
  <si>
    <t>EUR 40 no EKK 2311 uz EKK 2512 (EKK korekcija saņemtā PVN atmaksai)</t>
  </si>
  <si>
    <t>EUR 2'637 no EKK 2239 (tualešu noma Gaujas svētku ietvaros bija plānota kopējā pasākuma tāmē EKK 2239) uz EKK 2264</t>
  </si>
  <si>
    <t>EUR 2'796 no EKK 2239 (telts koka grīdas, skatuves elektrosadales aprīkojuma, pacēlājanomas Gaujas svētku ietvaros bija plānota kopējā pasākuma tāmē EKK 2239) uz EKK 2264</t>
  </si>
  <si>
    <t>ĀKC skatuves gaismu sistēmu nomaiņa uz energoefektīvu aprīkojumu - EUR 5'803 no EKK 5239 uz EKK 2312, jo daļa pozīciju klasificējas kā inventārs.</t>
  </si>
  <si>
    <t>Tā, kā 2025.gada pasākuma budžetā lielus izdevumus sastāda tieši medaļu un kausu iegāde, lūdzu pārcelt no EKK 2239 uz EKK 2314 EUR 5000. Izdevumi pieauguši, jo vairākos pasākumos (riteņbrauciens, kross, veselības skrējieni, Nēģu svētku programma u.c.) ir saliktas papildus vecuma grupas, kas nozīmē, ka medaļu un kausu apjoms ir pieaudzis.</t>
  </si>
  <si>
    <t xml:space="preserve">EUR 2'000 no EKK 2239 uz EKK 2314. Vairākiem Carnikavas novadpētniecības centra pasākumiem pasākumu izmaksu samazināšanas nolūkos ir nepieciešamas preces nevis piesaistītu izpildītāju pakalpojumus, </t>
  </si>
  <si>
    <t>EUR 2'000 no EKK 2231 uz EKK 2314 tūrisma pasākumiem visvairāk līdzekļu tiek tērēts precēm pasākumu sadārdzinājuma samazināšanas nolūkos</t>
  </si>
  <si>
    <t>EUR 4'000 no EKK 1147 uz EKK 1221 (EKK korekcija)</t>
  </si>
  <si>
    <t>EUR 1'000 no EKK 1119 uz EKK 1221 (EKK korekcija)</t>
  </si>
  <si>
    <t>EUR 3'000 no EKK 5239 uz EKK 2312 (iegādātas mēbeles, kas klasificējas kā inventārs, bet budžeta plānā bija ielikts kā PL)</t>
  </si>
  <si>
    <t>EUR 1'750 pārcelt no EKK 5238 (datortehnika) uz EKK 2312 (inventāru), jo visi iegādātie monitori un printeri klasificējušies kā inventārs (plānā bija ielikts zem PL)</t>
  </si>
  <si>
    <t>EUR 1'000 no EKK 2370 (mācību līdzekļiem) uz EKK 2350 (kārtējā remonta un iestāžu uzturēšanās materiāli) pārcelt Depo līguma naudiņu mācību līdzekļiem, no depo tik daudz nevajadzēs, bet vēl depo naudiņa nepieciešama pie uzturēšanas materiāliem, sakarā ar visiem vasaras remontiem</t>
  </si>
  <si>
    <t>Līdzmaksājums nometnēm</t>
  </si>
  <si>
    <t>EUR 1'800 no EKK 2314 uz EKK 2311 kārtridžu iegādei.</t>
  </si>
  <si>
    <t>EUR 560 no EKK 5238 uz EKK 2312 (EKK korekcija, kas klasificējas kā inventārs nevis PL).</t>
  </si>
  <si>
    <t>EUR 1'500 no EKK 5239 uz EKK 2312 (EKK korekcija, kas klasificējas kā inventārs nevis PL).</t>
  </si>
  <si>
    <t>EUR 1500 no EKK 2350 uz EKK 2312 (EKK korekcija, plānotie sadzīves priekšmeti klasificējas kā inventārs.)</t>
  </si>
  <si>
    <t>EUR 5'000 no EKK 1147 uz EKK 1221 (EKK korekcija)</t>
  </si>
  <si>
    <t>EUR 170 no EKK 5240 uz EKK 2236 (ergoterapeita pakalpojumi)</t>
  </si>
  <si>
    <t>EUR 23985 (EKK korekcija, ieguldot ne pašvaldības īpašumā tas klasificējas kā "Atbalsts pasākumi natūrā")</t>
  </si>
  <si>
    <t>Saskaņā ar protokollēmumu EUR 24'862 no ēdināšanas pabalsta 5.-9.klašu skolēniem (pie Soc. Dienesta 1010/EKK6423) uz CVS brīvpusdienu līdzfinansējuma nodrošināšanai.</t>
  </si>
  <si>
    <t>2026.gada plāns EUR</t>
  </si>
  <si>
    <t>2026.gada plāns/ detaļas</t>
  </si>
  <si>
    <t xml:space="preserve">KAC - tikai Ādaži. </t>
  </si>
  <si>
    <r>
      <t xml:space="preserve"> Pēc 08.10.2024.rīkojuma ĀNP/1-6-1/24/71 </t>
    </r>
    <r>
      <rPr>
        <b/>
        <i/>
        <sz val="8"/>
        <color rgb="FFFF0000"/>
        <rFont val="Arial"/>
        <family val="2"/>
        <charset val="186"/>
      </rPr>
      <t>valsts mērķdotācija</t>
    </r>
    <r>
      <rPr>
        <i/>
        <sz val="8"/>
        <color rgb="FFFF0000"/>
        <rFont val="Arial"/>
        <family val="2"/>
        <charset val="186"/>
      </rPr>
      <t xml:space="preserve"> 10 mēnešiem ir 33 032 euro 
Atņemot 2024.gadu, 2025. gadam ( janv-jūn.)paliek =19819 euro</t>
    </r>
  </si>
  <si>
    <t>Ielikti 80%, ņemot vērā reālo izpildi. Atbilstoši ĀNP 23.02.2022. noteikumu Nr. 7 "Transportlīdzekļu izmantošanas kārtība Ādažu novada pašvaldībā" 3.pielikumam</t>
  </si>
  <si>
    <r>
      <t xml:space="preserve">Struktūra 0632.7 - </t>
    </r>
    <r>
      <rPr>
        <b/>
        <i/>
        <sz val="8"/>
        <color rgb="FFFF0000"/>
        <rFont val="Arial"/>
        <family val="2"/>
      </rPr>
      <t>pārlikts uz 0961</t>
    </r>
    <r>
      <rPr>
        <i/>
        <sz val="8"/>
        <color rgb="FFFF0000"/>
        <rFont val="Arial"/>
        <family val="2"/>
      </rPr>
      <t xml:space="preserve"> EUR 12'942 priekšfinansējums, atgūsim EUR 10'128</t>
    </r>
  </si>
  <si>
    <t>izmaiņa pret 2025.g. EUR</t>
  </si>
  <si>
    <t>izmaiņa pret 2025.g. %</t>
  </si>
  <si>
    <t>0936 Skola- kopienā</t>
  </si>
  <si>
    <t>0990 Latvijas Skolu jaunatnes dziesmu un deju svētki (no 01.01.2025.)</t>
  </si>
  <si>
    <t>1010.1 Aprūpētāju pakalpojums</t>
  </si>
  <si>
    <t>1010.3 "DigiSoc" izstrāde un ieviešana</t>
  </si>
  <si>
    <t>0631.2 ERAF projekts "Pielāgošanās klimata pārmaiņām Ādažu novada Podniekos"</t>
  </si>
  <si>
    <t>0631.3 ERAF projekts "Publiskās ārtelpas attīstība Ādažos Gaujas ielā 31"</t>
  </si>
  <si>
    <t>0631.4 Projekts "Infrastruktūras uzlabošana uzņēmējdarbības attīstībai Ādažos 1.kārta"</t>
  </si>
  <si>
    <t>0631.5 Projekts "Blusu" kroga atjaunošana 1.kārta</t>
  </si>
  <si>
    <t>0631.7 LAD Projekts "Sporta laukuma ierīkošana Garciemā"</t>
  </si>
  <si>
    <t>0631.8 LAD Projekts "Veloapkopes stenda ierīkošana Kadagā un Garkalnē"</t>
  </si>
  <si>
    <t>0631.9 LAD Projekts "Garezeru apkārtnes biotopu saudzēšana veicinot koncentrētu gājēju plūsmas vadīšanu ar mērķi mazināt augsnes degradāciju"</t>
  </si>
  <si>
    <t>1013.1 Projekts "Pasākumi vietējās sabiedrības veselības veicināšanai"/ SAM 9.2.4.2. Ādažu novadā</t>
  </si>
  <si>
    <t>0844.3 LAD Projekts "Carnikavas novadpētniecības centra Saimes mājas ekspozīcijas pamatnes atjaunošana"</t>
  </si>
  <si>
    <t>09822 Projekts "Skolas soma" Carnikavas vidusskola</t>
  </si>
  <si>
    <t>09821 Carnikavas vidusskola (VB mērķdotācija)</t>
  </si>
  <si>
    <t>09821.1 Carnikavas vidusskola (VB mērķdotācija - interešu izglītība)</t>
  </si>
  <si>
    <t>09825 Projekts "ERASMUS+" Carnikavas vidusskola</t>
  </si>
  <si>
    <t>EUR 10 no EKK 1142 uz EKK 1141 (EKK korekcija)</t>
  </si>
  <si>
    <t>EUR 714 no EKK 2239 uz EKK 2244 (EKK korekcija)</t>
  </si>
  <si>
    <t>EUR 100 no EKK 2122 uz EKK 2314 (EKK korekcija)</t>
  </si>
  <si>
    <t>EUR 200 no EKK 2122 uz EKK 2390 (EKK korekcija)</t>
  </si>
  <si>
    <t>EUR 200 no EKK 2122 uz EKK 2239 (EKK korekcija)</t>
  </si>
  <si>
    <t>EUR 200 no EKK 2122 uz EKK 2314 (EKK korekcija)</t>
  </si>
  <si>
    <t>EUR 6'000 no EKK 2122 uz EKK 2264 (EKK korekcija)</t>
  </si>
  <si>
    <t>EUR 500 no EKK 2239 uz EKK 2350 (EKK korekcija)</t>
  </si>
  <si>
    <t>EUR 2000 no EKK 2264 uz EKK 2239 (EKK korekcija)</t>
  </si>
  <si>
    <t>EUR 250 no EKK 2121 uz EKK 2264 (EKK korekcija)</t>
  </si>
  <si>
    <t xml:space="preserve"> 2026.gada plāns EUR </t>
  </si>
  <si>
    <t xml:space="preserve"> 2026.gada plāns/ detaļas </t>
  </si>
  <si>
    <t>Drošības nauda saraksta iesniegšanai Ādažu novada pašvaldību vēlēšanās</t>
  </si>
  <si>
    <t>ĀDAŽU NAMSAIMNIEKS SIA Telpu noma Gaujas ielā 16, Ādaži Vienošanās JUR 2024-09/968 (EUR 793.61/mēn)</t>
  </si>
  <si>
    <t>MARIO MM SIA Telpu noma Gaujas ielā 16. LīgumsJUR 2024-09/904 (119.79/mēn)</t>
  </si>
  <si>
    <t>ĻAUNU SIRŽU MĪKSTINĀTĀJA ĀDAŽU VISSVĒTĀS DIEVMĀTES IKONAS PAREIZTICĪGO DRAUDZE Telpu noma Gaujas ielā 16. Līgums JUR 2024-09/903 (53,24/mēn)</t>
  </si>
  <si>
    <t>ĀDAŽU ŪDENS SIA . Telpu noma Gaujas ielā 16. Vienošanās JUR 2024-09/946 (676.81/mēn.)</t>
  </si>
  <si>
    <t>GRAND JETE BIEDRĪBA  Telpu noma Gaujas ielā 16. Līgums JUR 2024-08/771 (Vienošanās JUR 2025-05/587)</t>
  </si>
  <si>
    <t>Krasinskis Raimonds telpu noma Gaujas ielā 16. Līgums 2024-09/905 (53,24/mēn)</t>
  </si>
  <si>
    <t>Aprūpe dzīvesvietā SIA Telpu noma Garā ielā 20, Carnikavā. Līgums JUR 2025-02/100 (110,35/mēn)</t>
  </si>
  <si>
    <t>ROPAŽU NOVADA PAŠVALDĪBA Līdzfinansējums Baltezera kapu apsaimniekošanai 2025.gadam. Par sadarbību ar Ropažu novada pašvaldību; Līgums JUR 2021-02/126 un vienošanās JUR 2025-04/339</t>
  </si>
  <si>
    <t>Baltic Bearing Company-Riga, SIA 5.maksājums saskaņā ar pirkuma  līgumu Nr.02-14.6/21/138 Procentu maksājumi par nekustamo īpašumu Sintēzes iela 2, Mežgarciems, Carnikavas pagasts, Ādažu novads
Zemes vienības kadastra apzīmējums 8052 008 1472.
Pirk</t>
  </si>
  <si>
    <t>Latvijas Pasts VAS Telpu noma Stacijas ielā, Carnikava (63,86/mēn)</t>
  </si>
  <si>
    <t>Par printēšanas un kopēšanas pakalpojumiem</t>
  </si>
  <si>
    <t>Koriģēts interešu izgl. finansējums saskaņā ar 30.01. rīkojumu</t>
  </si>
  <si>
    <t>Koriģēts interešu izgl. finansējums saskaņā ar 30.01. rīkojumu (privātajiem pakalpojuma sniedzējiem)</t>
  </si>
  <si>
    <t>Vardarbībā cietušo rehabilitācijas pakalpojums</t>
  </si>
  <si>
    <t>Labklājības ministrija par dienas centra personām ar garīga rakstura traucējumiem</t>
  </si>
  <si>
    <t>Aprūpētāju pakalpojums</t>
  </si>
  <si>
    <t xml:space="preserve">Summa no  2026.gada plāns EUR </t>
  </si>
  <si>
    <t>Sociālā mentora pakalpojums</t>
  </si>
  <si>
    <t>2025.gada nav pareizināts ar 4 speciālistiem</t>
  </si>
  <si>
    <t>EUR 200 no EKK 2239 uz EKK 2264 trauku un inventāra noma Nēģu svētkos</t>
  </si>
  <si>
    <t>EUR 600 no EKK 2390 uz EKK 2512 (EKK korekcija)</t>
  </si>
  <si>
    <t>EUR 283 no EKK 5238 (grāmatvedība nepirks printeri) un EKK 2311 uzlīmju un termolentes iegādei pamatlīdzekļiem un inventāram</t>
  </si>
  <si>
    <t>Saskaņā ar Domes 25.09. protokollēmumu, nolemts nepieciešmaos līdzekļus EUR 10'933 apmērā novirzīt projekta “LIFEBauhausingEurope” īstenošanai no budžeta sadaļas “TEP Atjaunojamo energoresursu izmantošana Ādažu novadā
(EUCF)”.</t>
  </si>
  <si>
    <t>Izdevumi par CKS darbinieku apdrošināšanu, kas piekritīgi CKS, bet sākotnēji plānoti izglītības iestādēs:
EUR 5'000 no ĀVS; EUR 200 no ĀVS PII; EUR 3'600 no ĀSS; EUR 1'400 no CVS; EUR 1'000 no KPII; EUR 1'000 no SPII; EUR 1'200 no CPII; EUR 1'400 no ĀPII uz sadaļu teritorijas uzturēšana (Dome)</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</si>
  <si>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</si>
  <si>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Saskaņā ar lēmumu, EUR 3'000 no 0670/EKK 2239 uz CKS koku uzmērīšanai, cirsmu inventarizācijai un sagatavošanai atsavināšanai.</t>
  </si>
  <si>
    <t>0953</t>
  </si>
  <si>
    <t>0953 STEM un pilsoniskās līdzdalības norises plašākai izglītības pieredzei un karjeras izvēlei (Ādažu vidusskola)</t>
  </si>
  <si>
    <t>09522 STEM un pilsoniskās līdzdalības norises plašākai izglītības pieredzei un karjeras izvēlei (Ādažu vidusskolas PII)</t>
  </si>
  <si>
    <t>09522</t>
  </si>
  <si>
    <t>09827</t>
  </si>
  <si>
    <t>09827 STEM un pilsoniskās līdzdalības norises plašākai izglītības pieredzei un karjeras izvēlei (Carnikavas vidusskola)</t>
  </si>
  <si>
    <t>09012</t>
  </si>
  <si>
    <t>09012 - STEM un pilsoniskās līdzdalības norises plašākai izglītības pieredzei un karjeras izvēlei (PII Riekstiņš)</t>
  </si>
  <si>
    <t>0912 - STEM un pilsoniskās līdzdalības norises plašākai izglītības pieredzei un karjeras izvēlei (PII Strautiņš)</t>
  </si>
  <si>
    <t>0922 - STEM un pilsoniskās līdzdalības norises plašākai izglītības pieredzei un karjeras izvēlei (PII Mežavēji)</t>
  </si>
  <si>
    <t>0922</t>
  </si>
  <si>
    <t>09022</t>
  </si>
  <si>
    <t>09022 - STEM un pilsoniskās līdzdalības norises plašākai izglītības pieredzei un karjeras izvēlei (PII Piejūra)</t>
  </si>
  <si>
    <t>EUR 200 no EKK 2243 uz EKK 2311 (EKK korekcija)</t>
  </si>
  <si>
    <t>EUR 650 no EKK 5120 uz EKK 2250 - papildus antivīrusa lecenžu iegādei IzM piešķirtajiem jaunajiem datoriem izglītības iestādēm.</t>
  </si>
  <si>
    <t>EUR 40 no EKK 2241 uz EKK 2364 - formastērpu papildus atšķirības zīmju iegādei.</t>
  </si>
  <si>
    <t>EUR 520 no EKK 2314 (semināri par pieteikumu iesniegšanu EIS) uz EKK 2250 AutoCAD licences iegādei</t>
  </si>
  <si>
    <t>EUR 74 no EKK 2239 uz EKK 2247 - jaunā drona apdrošināšana.</t>
  </si>
  <si>
    <t>EUR 2'400 no EKK 2239 uz EKK 2264 dekori - noma, nezis pakalpojums (EKK korekcija).</t>
  </si>
  <si>
    <t>EUR 2'200 no EKK 1119 ekonomijas uz EKK 2239 tāmju izstrādei projekta "Izglītības iestāžu nodrošinājums vienlīdzīgai piekļuvei". Šie EUR 2'200 klasificējas zem EKK 5250 (EKK korekcija)</t>
  </si>
  <si>
    <t>EUR 11'520 CSS paplašināšanai no Ādažu Centra katlu mājas līdz ēkām Gaujas ielā 33A un Gaujas ielā 30 no pakalpojuma EKK 2239 uz pamatkapitāla EKK 5240</t>
  </si>
  <si>
    <t>EUR 2'000 no EKK 1119 uz EKK 1142 (EKK korekcija</t>
  </si>
  <si>
    <t>Saskaņā ar lēmumu EUR 12'100 ēku demontāžai Pīlādžu ielā no "Nekustamā īpašuma" sadaļas uz CKS, jo to realizēs CKS.</t>
  </si>
  <si>
    <t>EUR 45'000 no EKK 2262 uz EKK 2512 (korekcija līzingu PVN)</t>
  </si>
  <si>
    <t>EUR 4'000 no EKK 2223 uz EKK 2512 (EKK korekcija)</t>
  </si>
  <si>
    <t>EUR 4'000 no EKK 2262 uz EKK 2512 (EKK korekcija)</t>
  </si>
  <si>
    <t>EUR 500 no EKK 1147 uz EKK 1228 (EKK korekcija)</t>
  </si>
  <si>
    <t>EUR 1'425 no EKK 2243 uz EKK 2241 (EKK korekcija kosmētiskā remonta veikšanai)</t>
  </si>
  <si>
    <t>EUR 200 no EKK 1147 uz EKK 1141 (EKK korekcija)</t>
  </si>
  <si>
    <t>EUR 1'500 no EKK 1147 uz EKK 1142 (EKK korekcija)</t>
  </si>
  <si>
    <t>EUR 70 no EKK 2314 uz EKK 2250 (EKK korekcija licenšu izmaksām)</t>
  </si>
  <si>
    <t>EUR 546 no EKK 2239 uz EKK 2322 (EKK korekcija no svētku tāmēm)</t>
  </si>
  <si>
    <t>EUR 10'000 no EKK 1147 uz EKK 1221 (EKK korekcija)</t>
  </si>
  <si>
    <t>EUR 193 no EKK 2370 uz EKK 2250 (e-žurnāla "Skolas vārds" abonēšanai 12 mēn.</t>
  </si>
  <si>
    <t>EUR 450 no EKK 2235 uz EKK 5120 (IM nodrošināto datoru licenču iegādei)</t>
  </si>
  <si>
    <t>EUR 3'000 no EKK 1147 uz EKK 1148 (EKK korekcija)</t>
  </si>
  <si>
    <t>EUR 15'000 no EKK 1147 uz EKK 1221 (EKK korekcija)</t>
  </si>
  <si>
    <t>EUR 15'000 no EKK 1147 uz EKK 1148 (EKK korekcija)</t>
  </si>
  <si>
    <t>EUR 1'000 no EKK 1119 uz EKK 2239 - asistentu pakalpojumu apmaksai</t>
  </si>
  <si>
    <t>EUR 1'000 no EKK 2370 uz EKK 2312 (galdi un krēsli izremontētajai skoliņia)</t>
  </si>
  <si>
    <t>EUR 900 no EKK 2370 uz EKK 2341 (aptieciņu papildināšana grupņās)</t>
  </si>
  <si>
    <t>Precizēts MD apjoms septembrim-decembrim.</t>
  </si>
  <si>
    <t>EUR 2000 no EKK 1119 uz EKK 1147 (EKK korekcija)</t>
  </si>
  <si>
    <t>EUR 120 no EKK 2112 uz EKK 2121 (EKK korekcija)</t>
  </si>
  <si>
    <t>EUR 75 no EKK 2350 uz EKK 2233 (EKK korekcija)</t>
  </si>
  <si>
    <t>EUR 593 no EKK 2239 uz EKK 2264 (EKK korekcija pasākuma nodrošināšanai)</t>
  </si>
  <si>
    <t>EUR 3'329 no EKK 1119 uz EKK 5238 datu tīklu izbūvei jauniešu centrā.</t>
  </si>
  <si>
    <t>EUR 500 no EKK 2314 uz EKK 2312 (EKK korekcija)</t>
  </si>
  <si>
    <t>Pneimatiskā pistole Steyr LP2 rokturis XS izmērs (interešu - šaušana) - papildus EUR 695 no EKK 2312 uz EKK 5239</t>
  </si>
  <si>
    <t>EUR 16 no EKK 2121 uz EKK 2111 (EKK korekcija)</t>
  </si>
  <si>
    <t>EUR 22 no EKK 2122 uz EKK 2112 (EKK korekcija)</t>
  </si>
  <si>
    <t>EUR 179 no EKK 2350 uz EKK 2341 (EKK korekcija)</t>
  </si>
  <si>
    <t>EUR 3'250 no EKK 2350 uz EKK 5238 (EKK korekcija - ekonomija no projektu lampu iegādes uz interaktīvo displeju iegādi)</t>
  </si>
  <si>
    <t>EUR 2'000 no EKK 1147 uz EKK 1221 (EKK korekcija</t>
  </si>
  <si>
    <t>EUR 42 no EKK 2312 uz EKK 2341 (EKK korekcija)</t>
  </si>
  <si>
    <t>EUR 1'000 no EKK 5239 uz EKK 2312 (iegādāti mūzikas instrumenti, kas klasificējas kā inventārs, bet budžeta plānā bija ielikts kā PL)</t>
  </si>
  <si>
    <t>EUR 2'000 no plānotā nometņu izdevumiem (nenotika dēļ dziesmu un deju svētkiem) uz EKK 2312 bungu šķīvju komplekta iegādei.</t>
  </si>
  <si>
    <t>EUR 3'000 no plānotā nometņu izdevumiem (nenotika dēļ dziesmu un deju svētkiem) uz EKK 5239 bungu komplekta, skaļruņa un trompetes iegādei.</t>
  </si>
  <si>
    <t>EUR 70'000 atalgojuma samazinājums pašvaldības sadaļā, palielinoties mērķdotācijas apjomam.</t>
  </si>
  <si>
    <t>Precizēts mērķdotācijas apjoms sept.- dec.</t>
  </si>
  <si>
    <t>EUR 100 no EKK 2312 uz EKK 2311 (EKK korekcija)</t>
  </si>
  <si>
    <t>EUR 205 no EKK 2239 uz EKK 2264 (pasākuma organizēšanai tehnikas noma)</t>
  </si>
  <si>
    <t>EUR 2'000 no EKK 2223 uz EKK 2512 (EKK korekcijas saņemtā PVN atmaksai)</t>
  </si>
  <si>
    <t xml:space="preserve">Precizēts mērķdotāciju apjoms sept. - decembrim </t>
  </si>
  <si>
    <t>EUR 2000 no EKK 1147 uz EKK 1146 (EKK korekcija)</t>
  </si>
  <si>
    <t>Mācību literat. Mazākumtautību valodas interešu izglītības apguvei.</t>
  </si>
  <si>
    <t>EUR 20'000 uz EKK 1147</t>
  </si>
  <si>
    <t>Carnikavas vsk. priekšfinansējuma maks., Mācību mobilitātes skolu sektorā Erasmus +</t>
  </si>
  <si>
    <t>EUR 7'000 NordPlus projekts Carnikavas vsk.EKK 2121
EUR 10'940 NordPlus projekts Carnikavas vsk. EKK 2239</t>
  </si>
  <si>
    <t>EUR 105 no EKK 2235 uz EKK 2222 (EKK korekcija)</t>
  </si>
  <si>
    <t>EUR 178 no ekk 2243 uz EKK 2247 (EKK korekcija apdrošināšanas apmaksai)</t>
  </si>
  <si>
    <t>EUR 20'000 no EKK 6260 uz EKK 6419 (EKK korekcija saskaņā ar 17.09.2025. FK protokollēmumu)</t>
  </si>
  <si>
    <t>EUR 10'000 no EKK 6299 uz EKK 6419 (EKK korekcija saskaņā ar 17.09.2025. FK protokollēmumu)</t>
  </si>
  <si>
    <t>EUR 17'940 NordPlus projekts Carnikavas vsk.</t>
  </si>
  <si>
    <t>EUR 20'157 no EKK 5240 uz EKK 5250 (EKK korekcija)</t>
  </si>
  <si>
    <t>EUR 132 no EKK 5250 uz EKK 6330 (EKK korekcija)</t>
  </si>
  <si>
    <t>EUR 500 no EKK 1147 uz EKK 1221 (EKK korekcija)</t>
  </si>
  <si>
    <t>EUR 2'500 no EKK 1150 (ekonomija uz ārpakalpojumiem) uz EKK 5238 profesionālās kameras iegādei.</t>
  </si>
  <si>
    <t>EUR 5'154 no EKK 2312 uz EKK 5239 (EKK korekcija, jo klasificējas kā PL)</t>
  </si>
  <si>
    <t>EUR 600 no EKK 2239 uz EKK 5120, datoru licenču iegādei (datori no IM projekta)</t>
  </si>
  <si>
    <t>EUR 2'264 pārcelts no projektam "YOUTth and democrac" paredzētajiem komandējuma izdevumiem EKK 2122 uz EKK 5238 multifunkcionālās iekārtas iegādei, jo šos izdevumus sedza projekta vadošais partneris.</t>
  </si>
  <si>
    <t>EUR 280 no EKK 2314 (semināri par pieteikumu iesniegšanu EIS) uz EKK 5240 Lilastes nobrauktuves TEP izstrādei</t>
  </si>
  <si>
    <t>EUR 197 no EKK 2312 (monitora iegāde nebāus nepieciešama) uz EKK 5240 Lilastes nobrauktuves TEP izstrādei</t>
  </si>
  <si>
    <t>Projektu atklāšanas pasākumu organizēšanas (EUR 200 Gaujas - Baltezera kanāla celiņa atklāšana; EUR 300 Plūdu projekta atklāšana). Šie EUR 500 no EKK 2314 uz EKK 5240 Lilastes nobrauktuves TEP izstrādei</t>
  </si>
  <si>
    <t>EUR 1'560 pārcelts no projektam "Portici" paredzētajiem komandējuma izdevumiem EKK 2122 uz EKK 5238 multifunkcionālās iekārtas iegādei, jo šos izdevumus sedza projekta vadošais partneris.</t>
  </si>
  <si>
    <t>EUR 1'709 no EKK 2312 uz EKK 5239 (2 lielo drēbju skapju iegāde)</t>
  </si>
  <si>
    <t>EUR 1'500 no EKK 2239 uz EKK 2350 jaunas žalūzijas noplūdušajai grupiņai.</t>
  </si>
  <si>
    <t>EUR 430 no ekonomijas EKK 2239 uz EKK 2312 - iestādes  mobilā telefona iegādei.</t>
  </si>
  <si>
    <t xml:space="preserve">Karuseļi (ATRAKCIJU AĢENTŪRA SIA) </t>
  </si>
  <si>
    <t>Cirks</t>
  </si>
  <si>
    <t>Tirgus organizēšana</t>
  </si>
  <si>
    <t>Laulību ceremoniju vadītāja friziera un manikīra pakalpojumi 2*750EUR</t>
  </si>
  <si>
    <t>Reģistru grāmatu iesiešana  Dzimtsarakstiem. 3 grāmatas *26,62 EUR (ar PVN)=79,86 EUR</t>
  </si>
  <si>
    <t>Sveces, dekori, rāmji, svečturi (kāzām, kāzu jubilejām)</t>
  </si>
  <si>
    <t>Vāciņi dzimšanas un miršanas apliecībām. 200*4,00+PVN=968EUR</t>
  </si>
  <si>
    <t>Dzimtsarakstiem izdevums "Mans bērns". 50*5,0(ar PVN)=250EUR</t>
  </si>
  <si>
    <t>Civilstāvokļa apliecības. (400*0,33+PVN=160EUR)</t>
  </si>
  <si>
    <t>Dāvaniņa jaundzimušajiem - (50*27,7EUR (ar PVN)=1385EUR)</t>
  </si>
  <si>
    <t>Izdevumu plāns pārcelts uz EKK 2314</t>
  </si>
  <si>
    <t>EUR 2'600 no EKK 2350 uz EKK 5238 (EKK korekcija IZM piešķirto portatīvo datoru izvietošanai)</t>
  </si>
  <si>
    <t>Venden iekārtas noma EUR 27.83*12m</t>
  </si>
  <si>
    <t>I.Žīgurei iegādāties darba mobilo tālruni, jo viņai tāda nemaz nav</t>
  </si>
  <si>
    <t xml:space="preserve"> ar domes lēmumu no 01.10.2025. samazināti 2 komisijas locekļi</t>
  </si>
  <si>
    <t>Apmācības (6 komis loc.+sekretāre)*80 EUR</t>
  </si>
  <si>
    <t>DARBA  GADI 15,20,25,30,35_2025 - 4 darbinieks*300 EUR</t>
  </si>
  <si>
    <t>Iepirkumi.lv - 3 licences</t>
  </si>
  <si>
    <t>EKK 1228</t>
  </si>
  <si>
    <t>Uzkodas utml. - reprezentācijas izdevumi, Gaujas svētki, Nēģu svētki</t>
  </si>
  <si>
    <t>Ventspils digitālais centrs- VPVKAC telefonlīnijas pieslēgums  (12,10*12=145,20)</t>
  </si>
  <si>
    <t>EUR 3'500 no EKK 2239 uz EKK 2512 (EKK korekcija par ieņēmumos saņemto PVN pasākuma organizēšanas laikā)</t>
  </si>
  <si>
    <t>Reprezentācijas rezerve (kliņģeri utt.) Konditoreja SaracēnsSumma Pārvaldei, Venden</t>
  </si>
  <si>
    <t>Reprezentācijas izdevumi (priekšsēdētāja un domes administrācijas vajadzībām )                                                                                             (Pro baltic, līgums JUR 2025-07/778, līdz 22.07.2026., summa 960)                                                                                             (Depo, līgums JUR 2025-02/16, līdz 12.10.2026., summa 1073)</t>
  </si>
  <si>
    <t>Riepu iegādei. 1 kompl.  VOLVO V 60 EUR 700 no EKK 2312 uz EKK 2350</t>
  </si>
  <si>
    <t>SIA "Transporta telemātikas sistēmas" terminālu apkope (MPOS) abiem VPVKAC</t>
  </si>
  <si>
    <t>Latvijas dzimtsarakstu sistēmas 105.gadadienas atzīmēšanai  finansējums, saskaņā ar dzimtsarakstu nodaļu darbinieku asociācijas vēstuli</t>
  </si>
  <si>
    <t>Jauns telefons priekšsēdētājai</t>
  </si>
  <si>
    <t>Uz EKK 2276</t>
  </si>
  <si>
    <t>Izdevumi tiesu izpildītājiem EUR 500 no EKK 2519 uz EKK 2276 (EKK korekcija)</t>
  </si>
  <si>
    <t>Auto GPS sakari. GPS frekvenču īre. (2 gabxEUR8x12mēn). Līgums ar SIA "GSM Apsardze" 01.07.2025 uz 3 gadiem.Nr.JUR 2025-06/633</t>
  </si>
  <si>
    <t>LMT ~ 60 EUR/ mēn internets planšetdatoram un piecas video novērošanas kameras pie ūdenstilpēm</t>
  </si>
  <si>
    <t>Papildus 5 video novērošanas kameras pie ūdenstilpēm</t>
  </si>
  <si>
    <t>Ātruma mērierīces ikmēneša apkalpošanai 3 a/m 302,50*12*3 līgums ar "Inkomerc holding" 16.05.2024 uz 5 gadiem Nr.JUR2024-05/256; līgums ar "Autolux" 23.08.2024 uz 5 gadiem Nr.JUR2024-08/817, līgums ar "Inkomerc holding" uz 5 gadiem Nr. JUR</t>
  </si>
  <si>
    <t>Automatizētās sistēmas ieviešana rada papildus izmaksas ikmēneša pakalpojumu maksā. Jaunajam auto šī opcija ir jau iekļauta līgumā</t>
  </si>
  <si>
    <t>Līgums par optiskā kabeļa apkalpošanu (EUR 309,55/mēn)</t>
  </si>
  <si>
    <t>Jauna kamera pie senioru laukuma</t>
  </si>
  <si>
    <t>LMT slēgumu videokamerai pie Ādažu sākumskolas un senioru laukuma (10.00eur/mēn.x2 = 240eur )</t>
  </si>
  <si>
    <t>Šis turpmāk EKK 2250</t>
  </si>
  <si>
    <r>
      <t xml:space="preserve">Automatizētās sistēmas ieviešana rada papildus izmaksas ikmēneša pakalpojumu maksā. Jaunajam auto šī opcija ir jau iekļauta līgumā.
</t>
    </r>
    <r>
      <rPr>
        <i/>
        <sz val="8"/>
        <color rgb="FFFF0000"/>
        <rFont val="Arial"/>
        <family val="2"/>
        <charset val="186"/>
      </rPr>
      <t>Šis turpmāk EKK 2250</t>
    </r>
  </si>
  <si>
    <t>LMT satiksmes kontroles un uzraudzības pakalpojums (EUR 1023,25 (ar PVN)/ mēnesī, līgums uz 3 gadiem Nr. JUR</t>
  </si>
  <si>
    <r>
      <t xml:space="preserve">Automatizētās sistēmas ieviešana 
</t>
    </r>
    <r>
      <rPr>
        <i/>
        <sz val="8"/>
        <color rgb="FFFF0000"/>
        <rFont val="Arial"/>
        <family val="2"/>
        <charset val="186"/>
      </rPr>
      <t>Šis turpmāk EKK 2250</t>
    </r>
  </si>
  <si>
    <t>Izdevumi par elektroenerģiju 300*12, Depo 2 un Kadagas video 10*12, video pie ūdenstilpēm 5x2x12</t>
  </si>
  <si>
    <t>Papildus videokameras</t>
  </si>
  <si>
    <t>Ši turpmāk EKK 2243</t>
  </si>
  <si>
    <t xml:space="preserve">Automatizētās sistēmas ieviešana </t>
  </si>
  <si>
    <t>Līgums ar SIA Inventars.lv Nr.JUR2025-07/780 par roņu līķu savākšanu 5000.-</t>
  </si>
  <si>
    <t xml:space="preserve">Par bezpalīdzības stāvoklī nonākušu personu patversmes pakalpojumiem 24.70 EUR personu, līgums Nr. JUR 2024-12/1274 </t>
  </si>
  <si>
    <t xml:space="preserve">Par transportlīdzekļu, kas atzīti par ilgstoši atstātiem uz ceļa, evakuācijas pakalpojumu. Saskaņā ar 29.02.2024 līgumu Nr.JUR 2024-02/211 uz 36 mēnešiem. </t>
  </si>
  <si>
    <t>NVR video iekārtu remonts, nomaiņa</t>
  </si>
  <si>
    <t>Speciāli aprīkotas policijas automašīnas iegāde (atbilstoši opertīvā transporta statusam) līgums ar "Transporent" uz pieciem gadiem mēneša maksājums ~ EUR 634,94 Škoda</t>
  </si>
  <si>
    <t>Speciāli aprīkotas policijas automašīnu iegāde (atbilstoši opertīvā transporta statusam) pilna servisa nomas līgums uz pieciem gadiem ar "Autolux Latvia" Nr. JUR 2024-08/816,mēneša maksājums ~ EUR 1262.25</t>
  </si>
  <si>
    <t xml:space="preserve">Speciāli aprīkotas policijas automašīnas iegāde (atbilstoši opertīvā transporta statusam), līgums ar "Transporent" Nr. JUR 2025-05/588 (piecu gadu periods),- pirmā iemaksa 8183 EUR, ikmēneša maksājums  1251,22 EUR </t>
  </si>
  <si>
    <t>EUR 500 EKK 2276 - atsevišķi maksājumi tiesu izpildītājiem</t>
  </si>
  <si>
    <t>Gāzes baloniņi ar maku EUR 37*4=148, lukturītis ar maku 57,00*4=228, uzkabes jostas 37.00* 4 = 148, telesk. Steks ar turētāju 60.00*4=240,  Rezerve EUR 20</t>
  </si>
  <si>
    <t>Stacionārie datori ar monitori 1600*3gab</t>
  </si>
  <si>
    <t>Portatīvo datoru iegādei, lai nodrošinātu ĀPP nepārtrauktu darbību ārkārtas stāvoklī. 1600*2=3200</t>
  </si>
  <si>
    <t xml:space="preserve">Strāvas ģenerators </t>
  </si>
  <si>
    <t>Atbilstoši CAK lūgumam STAR LINK sistēmas darbības  nodrošināšnai</t>
  </si>
  <si>
    <t>Kāpēc šis plānots lielāks?</t>
  </si>
  <si>
    <t>noņēmu šeit 500</t>
  </si>
  <si>
    <t>Vai šo nevajag samazināt par 500????</t>
  </si>
  <si>
    <t>pieaudzis darbiniekus skaits</t>
  </si>
  <si>
    <t>Brilles 4 darbinieki</t>
  </si>
  <si>
    <t>Žalūzijas 2 logiem, sensorās istabas telpiskā pārplānošana</t>
  </si>
  <si>
    <t>ārējās žalūzijas 2 logiem. Saules aizsardzībai RIPO provizoriskā tāme</t>
  </si>
  <si>
    <t>Līgums Nr.Līgums nr. 1022179828, LMT pieslēgums 6 tālruņiem  klāt vēl 1 pieslēgums darbnīcās)</t>
  </si>
  <si>
    <t>industriālais internets,optika 100x12 līdz šim bija SD sadaļā</t>
  </si>
  <si>
    <t>pieaudzis klientu skaits,transports atbilstoši iepirkuma daļai</t>
  </si>
  <si>
    <t>viena apmācību sesija 35-45 eiro, supervīzija DAC vadītājam</t>
  </si>
  <si>
    <t xml:space="preserve"> 4 printeri, viens no tiem krāsainais (Uz EKK 2311, vairs neuzpildam, bet pērkam jaunus kārtridžus) NAV IZPILDES?</t>
  </si>
  <si>
    <t>Kārtridži, toneri</t>
  </si>
  <si>
    <t>informācija no piegādātāja par izmaiņām apkopē un uzturēšanā</t>
  </si>
  <si>
    <t>Silto smilšu apkopšanas līgums</t>
  </si>
  <si>
    <t>DEPO un Hestio līgums 600x2 (izpildē te iet tikai Hestio kancelejas preces)</t>
  </si>
  <si>
    <t>Līgums ar SIA Vita mārket uz 18 mēnešiem</t>
  </si>
  <si>
    <t xml:space="preserve"> Līgums ar SIA Vita mārket uz 18 mēnešiem par pārtikas preču iegādi </t>
  </si>
  <si>
    <t>Nav pamata palielināt!!!</t>
  </si>
  <si>
    <t>2025.g līgums 21,916</t>
  </si>
  <si>
    <t>Šim daļa ir zem EKK 2239</t>
  </si>
  <si>
    <t>šis EKK 2250</t>
  </si>
  <si>
    <t>Kursu, semināru apmeklējumi. (EUR 85 x 4 cilvēki)</t>
  </si>
  <si>
    <t>Mājsaimniecību skaita pieaugums par 250</t>
  </si>
  <si>
    <t>Ādažu novada attīstības virzienu audiovizuālā dokumentēšana – kultūrmantojuma veidošana.</t>
  </si>
  <si>
    <t>EUR 600 zem EKK 1150</t>
  </si>
  <si>
    <t>Mežgarciema reklāmas kampaņa ārpakalpojumā.</t>
  </si>
  <si>
    <t>Darbinieku apdrošināšana (200*4)</t>
  </si>
  <si>
    <t>šis EKK 7247</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</si>
  <si>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</si>
  <si>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Pārbaudīt, vai nepārklājas ar komunālservisa plānoto.</t>
  </si>
  <si>
    <t>DJI Osmo Pocket 3 akumulatora rokturis - https://www.masterfoto.lv/lv/sporta-kameru-aksesuari/3201-dji-osmo-pocket-3-battery-handle-cpos0000030401.html</t>
  </si>
  <si>
    <t>DJI Osmo Pocket 3 platleņķa objektīvs - https://www.masterfoto.lv/lv/sporta-kameru-aksesuari/3291-dji-osmo-pocket-3-wideangle-lens-cpos0000030701.html</t>
  </si>
  <si>
    <t>DJI Osmo Pocket 3 somiņa - https://www.masterfoto.lv/lv/sporta-kameru-aksesuari/3229-dji-osmo-pocket-3-carrying-bag-cpos0000030801.html</t>
  </si>
  <si>
    <t>DJI Osmo Mini statīvs - https://www.masterfoto.lv/lv/mini-foto-stativi/3172-dji-osmo-mini-tripod-cpos0000030901.html</t>
  </si>
  <si>
    <t>K&amp;F Concept VND filtrs DJI Osmos Pocekt 3 magnētiski mainīgie ND2-32, ND32-512 - https://www.masterfoto.lv/lv/nd-neitrala-blivuma-filtri/16935-kf-concept-vnd-filtri-dji-osmo-pocket-3-magnetiskie-mainigie-nd232-nd32512.html</t>
  </si>
  <si>
    <t>Spāru svētki jaunajā Podnieku bērnudārzā</t>
  </si>
  <si>
    <t>1. polo krekls ar īsām rokām melni; -43,56*30
2. polo krekls ar īsām rokām balti; -41,16*25
3. vasaras apavi (Magnum vai ekvivalents); 107,75*16
4. vasaras bikses (vēlams Helikon-Tex Outdoor Tactical Pants  - 102,87*23
5. polo krekli garām piedurknēm 46,00*19
6.T-krekls ar apdruku 20,57*33
7. ziemas jaka 230,00*4
8. rudens jaka 119,8*6; 
9. ziemas zābaki 120.00*2; 
10. personalizēti numuri 4,24*62; 
11. sieviešu formas svārki 60,60*3; 
12. Ziemeas cepure 1gab*12;
13. Tuneļšalle 1gab*9;
14. Termoveļa 1 gab*47</t>
  </si>
  <si>
    <t>Kompensācija par apdrošināšanu, ja nepērk caur Domi</t>
  </si>
  <si>
    <t>Pēc koplīguma- kompensācija briļļu iegādei EUR 200*6 darb.</t>
  </si>
  <si>
    <t>Te briļļu kompensāciaja, pieņemot, ka iegādāsies 6 no 9.</t>
  </si>
  <si>
    <t>DARBA  GADI 15,20,25,30,35_2025 - 2 darbinieks*300 EUR</t>
  </si>
  <si>
    <t>Mobilās sarunas ~ EUR 82*12m=984</t>
  </si>
  <si>
    <t>Precizēts pēc izpildes</t>
  </si>
  <si>
    <t>Venden - ūdens. EUR 7,53/mēn</t>
  </si>
  <si>
    <t>Konstants rēkins mēnesī. Precizēts</t>
  </si>
  <si>
    <t>Kāds šim pamatojums??</t>
  </si>
  <si>
    <t>mobīlais telefons, 2gb</t>
  </si>
  <si>
    <t>2024., 2025.gadā nav pirkts</t>
  </si>
  <si>
    <t>klēpjdatori (2x2000)</t>
  </si>
  <si>
    <t>Stāvgalds -apspriežu telpā projektu izskatīšanai. 1.gab*650</t>
  </si>
  <si>
    <t>2026. gadā plānots nodot 4 lielos infrastrutkūras projektus (maģistrālais velo celiņš, mobilitātes punkts Carnikavā, publiskā ārtelpa Ādažos, Jaunkūlu projekts).</t>
  </si>
  <si>
    <t xml:space="preserve">APN darbinieki: nodaļas vadītāja, 5 projektu vadītājii, 3 tehniskie projektu vadītāji, kopienu eksperte. Līdzvērtīgiem amatiem atalgojums ir izlīdzināts. </t>
  </si>
  <si>
    <t>Tiek paredzēta rezerva ITN darbinieku darba atlīdzībai ārpus darba laika.</t>
  </si>
  <si>
    <t>Samaksa par virsstundu darbu un darbu svētku dienās (samaksa ITN darbiniekiem par attālināto sanāksmju organizēšanu un ieraksta materiāla apstrādi veselības projekta ietvaros un sabierdības iesaistes aktivizēšanai) (4 sanāksmes x 3 stundas x EUR 28,2 par vienu stundu = EUR 338,40).</t>
  </si>
  <si>
    <t>Ņemot vērā to, ka 2026. gadā CFLA un biedrība "Jūras Zeme" sludinās ārā dažādus konkursus, lai apgūtu vēl neapgūtos ES fondu līdzekļus, nepieciešams paredzēt atalgojumu par papildus darbu. Konkrētu summu nevar paredzēt. Nepieciešams atstāt līdzīgi kā bija plānots iepriekšējā gadā.</t>
  </si>
  <si>
    <t>Atbilstoši koplīgumā paredzētajam - 15 euro 10 darbiniekiem</t>
  </si>
  <si>
    <t>Pēc koplīguma - briļļu iegādei (1 x trijos gados) (EUR 200 x 5 darbinieki = EUR 1000)</t>
  </si>
  <si>
    <t>Briļļu iegāde 5 cilvēkiem (Koplīguma 6.9.1.punkts paredz medicīniski optisko redzes korekcijas lidzekļu iegādi 1 reizi divos gados. 2024. un 2025. gadā nevienam brilles netika apmaksātas.)</t>
  </si>
  <si>
    <t>Atbilstoši ĀNP 23.02.2022. noteikumu Nr. 7 "Transportlīdzekļu izmantošanas kārtība Ādažu novada pašvaldībā" 3.pielikumam. 2026.gadā tiks veikta vairāku lielu infrastruktūras projektu būvniecība.</t>
  </si>
  <si>
    <t>Dienas nauda 2 dienu komandējumam uz kādu no Latvijas pašvaldībām visiem APN darbiniekiem (EUR 8 x 10 darbinieki x 2 dienas =EUR 160)</t>
  </si>
  <si>
    <t>EUR 60 no EKK 2111 uz EKK 2112 (EKK korekcija)</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</si>
  <si>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</si>
  <si>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</si>
  <si>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 xml:space="preserve">Brauciens uz Igauniju un Somiju, uz Interreg projekta "Upesceļi II" sanāksmēm, 2 cilvēkiem, 3 dienām (ĀNP 17.01.2024. lēmums Nr. 2, AP pasākums Ā14.1.9.3.):
     Vietējais transports Igaunijā: 2 cilvēki x 1 brauciens x 3 dienas x EUR 30 = EUR 180
     Viesnīca Igaunijā: 2 cilvēki x 1 brauciens x 2 naktis x EUR 120 = EUR 480
     Vietējais transports Somijā: 2 cilvēki x 1 brauciens x 3 dienas x EUR 30 = EUR 180
     Viesnīca Somijā: 2 cilvēki x 1 brauciens x 2 naktis x EUR 220 = EUR 880
     Lidmašīna Somijā: 2 cilvēki x 1 brauciens x 1 lidojums turp-atpakaļ x EUR 380 = EUR 760 </t>
  </si>
  <si>
    <t xml:space="preserve">Brauciens uz Igauniju un Somiju, uz RPR organizētajiem projektu pasākumiem, 1 cilvēkam, 3 dienām (ĀNP 26.10.2023. lēmums Nr. 412, AP pasākums Ā7.1.2.3.):
     Vietējais transports Igaunijā: 1 cilvēks x 1 brauciens x 3 dienas x EUR 30 = EUR 90
     Viesnīca Igaunijā: 1 cilvēks x 1 brauciens x 2 naktis x EUR 120 = EUR 240
     Vietējais transports Somijā: 1 cilvēks x 1 brauciens x 3 dienas x EUR 30 = EUR 90
     Viesnīca Somijā: 1 cilvēks x 1 brauciens x 2 naktis x EUR 220 = EUR 440
     Lidmašīna Somijā: 1 cilvēks x 1 brauciens x 1 lidojums turp-atpakaļ x EUR 380 = EUR 380 </t>
  </si>
  <si>
    <t xml:space="preserve">Viesnīca komandējumam uz kādu no Latvijas pašvaldībām visiem APN darbiniekiem (EUR 60 x 10 darbinieki = EUR 600) </t>
  </si>
  <si>
    <t>Telefona sarunu kompensācija 10 darbiniekiem</t>
  </si>
  <si>
    <t>Atbilstoši noslēgtajam līgumam</t>
  </si>
  <si>
    <t>Interneta pakalpojumu nodrošināšana "Kadiķī"</t>
  </si>
  <si>
    <t>Izņemts, jo maksā CKS</t>
  </si>
  <si>
    <t>Saglabāts iepriekšējā gada līmenī</t>
  </si>
  <si>
    <t>Obligātā medicīniskā pārbaude Ivetai, Brigitai, jaunajam projektu vadītājam (3 darbinieki x EUR 50 = EUR 150)</t>
  </si>
  <si>
    <t>Obligātā medicīniskā pārbaude 3 darbiniekiem</t>
  </si>
  <si>
    <t>Kursi un semināri visiem APN darbiniekiem</t>
  </si>
  <si>
    <t>Kārtridžu maiņa printerim Kyocera TaskALFA 4054ci (Multifunkcionālais) (EUR 450 x 2 reizes = EUR 900)</t>
  </si>
  <si>
    <t>Drukas un kopēšanas pakalpojums lielais formāts (Lielformāta baneri šādiem projektiem: Jaunkūlu ielas pārbūves projekts (2 gb.), publikā ārtelpa Ādažos (1 gb.), Life projektam (2 gab.), Krastupes ielas pārbūve (2 gb.) (7 baneri x EUR 75 = EUR 525)</t>
  </si>
  <si>
    <t>Plānots pasūtīt vairākus lielformāta banerus šādiem projektiem: Jaunkūlu ielas pārbūves projekts (2 gb.), publikā ārtelpa Ādažos (1 gb.), Life projektam (2 gab.), Krastupes ielas pārbūve (2 gb.)</t>
  </si>
  <si>
    <t>Ar 2025.gadu pašvaldība maksā biedru naudu biedrībā "Jūras Zemē" gan par Carnikavas pagasta, gan Ādažu pagasta teritoriju (EUR 0,07 par 1 deklarēto iedzīvotāju).</t>
  </si>
  <si>
    <t>Saglabāts iepriekšējā gada līmenī, Ivetas aprēķini</t>
  </si>
  <si>
    <t>Ziemassvētki 2025 (pārejošie līgumi)</t>
  </si>
  <si>
    <t>Pārejošais līgums. Ivetas aprēķini</t>
  </si>
  <si>
    <t>Svētku dekorāciju pakalpojums (karogu noma, dekoru noma, Lieldienu olu pārkrāsošana, karoglentu izgatavošana u.c.) 2026.gadā. Tiks eksponēti 155 karogi (29,00 euro uz 1 karogu).</t>
  </si>
  <si>
    <t>Izmaksas, salīdzinot ar 2025. gadu, palielinājās, jo palielināsies karogu un dekoru skaits, kas tiks eksponēti valsts svētku laikā. Tiks eksponēti 155 karogi (29,00 euro uz 1 karogu). Ivetas aprēķini</t>
  </si>
  <si>
    <t>Floristu un maketētāju pakalpojumi (Jāņi, Lieldienas, Z-svētki, Gaujas svētki. Vides elementi) 2026.gadā</t>
  </si>
  <si>
    <t>CN Online publikācijai saistībā ar APN vakancēm</t>
  </si>
  <si>
    <t>Ņemot vērā to, ka katru gadu nākas izsludināt vakances, būtu nepieciešams paredzēt tam līdzekļus</t>
  </si>
  <si>
    <t>2026. gadā paredzēts nodot 4 projektus (maģistrālais velo celiņš, mobilitātes punkts Carnikavā, publiskā ārtelpa Ādažos, Jaunkūlu projekts) (4 x EUR 150)</t>
  </si>
  <si>
    <t>2026. gadā paredzēts nodot 4 projektus (maģistrālais velo celiņš, mobilitātes punkts Carnikavā, publiskā ārtelpa Ādažos, Jaunkūlu projekts)</t>
  </si>
  <si>
    <t>Ārvalstu delegāciju uzņemšanas pakalpojumu nodrošināšana (transports, ekskursijas u.tml.)</t>
  </si>
  <si>
    <t>2026. gadā nav plānots uzņemt Ukrainas pārstāvjus, tāpēc izmaksas samazinātas</t>
  </si>
  <si>
    <t>Lai veicinātu vietējo uzņēmēju atpazīstamību, 2026. gadā ir plānots piedalīties minētajā konkursā.</t>
  </si>
  <si>
    <t>IIA izstrāde jaunā uzņēmējdarbības projekta pieteikumam</t>
  </si>
  <si>
    <t>Obligāts pielikums projekta pieteikumam</t>
  </si>
  <si>
    <t>Ādažu novada attīstības programmas (2021-2027) un Ādažu novada ilgtspējīgas attīstības stratēģijas (2013-2037) Vides pārskata monitoringa izstrāde, atbilstoši Enerģētikas un vides aģentūras 31.08.2021. sagatavotajā atzinumam Nr.4-03/6 “Par Ādažu novada ilgtspējīgas attīstības stratēģijas 2013.–2037. gadam aktualizācijas un Ādažu novada attīstības programmas 2021.–2027. gadam Vides pārskatu” norādītajā termiņā, t.i., vismaz vienu reizi plānošanas periodā (2026. gadā) pašvaldība sastādīs un iesniegs Vides pārraudzības valsts birojam monitoringa ziņojumu (arī elektroniskā veidā).</t>
  </si>
  <si>
    <t xml:space="preserve">Obligāts prasība saistībā ar plānošanas dokumentu uzraudzību. </t>
  </si>
  <si>
    <t>Uzņēmējdarbības jomas aktivitzēšanas aktivitāšu īstenošana (pasākumi)</t>
  </si>
  <si>
    <t>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t>
  </si>
  <si>
    <t>Projekta ietvaros jāparedz izglītojoša lekcija, projektā izmaksās tas netiek paredzēts</t>
  </si>
  <si>
    <t>EUR 28 no EKK 2243 uz EKK 2242 (stāvvietu apmaksai)</t>
  </si>
  <si>
    <t>Rezerve remontam jāparedz.</t>
  </si>
  <si>
    <t>10 darbinieku apdrošināšana</t>
  </si>
  <si>
    <t>AUTO CAD programma 3 darbiniekiem. (3 gb x EUR 600 = EUR 1'800).</t>
  </si>
  <si>
    <t>3 darbinieki strādā ar programmu AutoCAD</t>
  </si>
  <si>
    <t>Jāpadomā, ka varbūt daļu no dekorācijas naudām jāparedz šeit!?</t>
  </si>
  <si>
    <t>Šo pārliku uz EKK 2311, jo parasti tagad maina nevis uzpilda…</t>
  </si>
  <si>
    <t>Izmaksas, salīdzinot ar 2025. gadu, palielinās, jo nepieciešams izgatavot jaunas novada svētku karoglentes (84 gab. Ādažu pagastā, 71 - Carnikavas pagastā). Esošās karoglentes ir noelietojušās.</t>
  </si>
  <si>
    <t>Reprezentācijas preces. Semināru rīkošana, piedalīšanās semināros, piedalīšanās konferencēs, sadarbība ar LV pašvaldībām. Svētku pasākumu organizēšana.(Sabiedrība ar Dvēseli u.c. konkursu noslēgumu pasākumi). 
- Konditorejas izmaksas atbilstoši 11.03.2025. līgumam Nr. JUR 2025-02/150 ar SIA "Konditoreja Saracēns" līdz EUR 400
- Ziedu iegādes izmaksas atbilstoši 03.03.2025. līgumam Nr. JUR 2025-03/169 ar SIA "Pommpons" līdz EUR 207
- Pārtikas preces, atbilstoši 06.03.2025. līgumam Nr. JUR 2025-03/186 ar SIA "VITA mārkets" līdz EUR 170.
- Reprezentācijas preces atbilstoši 22.07.2025. līgumam Nr. JUR 2025-07/778 ar SIA "Pro-Baltic" līdz EUR 500.</t>
  </si>
  <si>
    <t>Atbilstoši noslēgtajiem līgumiem.</t>
  </si>
  <si>
    <t>DEPO</t>
  </si>
  <si>
    <t>Tiek paredzēts atsevišķajā struktūrā</t>
  </si>
  <si>
    <t>Rīgas plānošanas reģiona un Ādažu Uzņēmējdarbības veicināšanas programmas izveide 2026.gadā - pašvaldības finansējums</t>
  </si>
  <si>
    <t>Rīgas plānošanas reģiona un Ādažu Uzņēmējdarbības veicināšanas programmas izveide 2026.gadā - ārējais finansējums</t>
  </si>
  <si>
    <t>SEB bankas grantu konkurss "Augšup"</t>
  </si>
  <si>
    <t>Sociālās uzņēmējdarbības attīstības iniciatīvām</t>
  </si>
  <si>
    <t>SEB bankas grantu konkurss "Iedvesma"</t>
  </si>
  <si>
    <t>Jauno biznesa ideju īstenošanas iniciatīva un uzņēmējdarbības attīstībai</t>
  </si>
  <si>
    <t>Esošais dators tika iegādāts vairāk kā 2 gadus atpakaļ, ir sabojāts viens taustiņš (nevar vienkārši nomainīt)</t>
  </si>
  <si>
    <t>Nopirkta jauna multifunkcionālā iekārta 2025.gadā</t>
  </si>
  <si>
    <t>Lieldienu dekoru izgatavošana</t>
  </si>
  <si>
    <t>Visas izmaksas iepriekš tika plānotas pie EKK 2239</t>
  </si>
  <si>
    <t>Iniciatīvu atbalsta kopnkurss (ĀNP 2026. nolikums “Iniciatīvas projektu finansēšanas kārtība Ādažu novada pašvaldībā”), EUR 10'000. AP pasākums Ā15.1.2.4.</t>
  </si>
  <si>
    <t>Ādažu novada domes nolikums “Iniciatīvas projektu finansēšanas kārtība Ādažu novada pašvaldībā”. 2025.gadā piešķirtais, kas pārceļas uz 2026.gadu. AP pasākums Ā15.1.2.4.</t>
  </si>
  <si>
    <t>Latvijas Mobilais Telefons SIA Telpu noma un elektrību Gaujas ielā 33A (EUR86,08/mēn.)</t>
  </si>
  <si>
    <t>izmaksas iekļautas CKS budžeta tāmē</t>
  </si>
  <si>
    <t>EUR 8'295 plānotie ieņēmumi. Saņemtais PVN 8'295/121*21=1'440</t>
  </si>
  <si>
    <t>Ar rezervīti</t>
  </si>
  <si>
    <t>EKK 12.3.9.9. plānotie ieņēmumi 5'728 (PVN 995)</t>
  </si>
  <si>
    <t>649 Saimniecības un infrastruktūras daļa</t>
  </si>
  <si>
    <t>DZINTARS ROŽKALNS Telpu noma Gaujas ielā 16, Nomas Līgums JUR 2025-08/865, EUR 59,90/mēn</t>
  </si>
  <si>
    <t>EKK 21.3.8.1. plānotie ieņēmumi 42'500 (PVN 7'376)</t>
  </si>
  <si>
    <t xml:space="preserve">Biedrība "Gaujas ilgtspējīgas attīstības biedrība" biedru nauda </t>
  </si>
  <si>
    <t>(pašrisks publiskās WC remontam - apdrošināšanas gadījums)</t>
  </si>
  <si>
    <t>izmaksas plānotas CKS budžeta tāmē</t>
  </si>
  <si>
    <t>visi CKS darbinieki, t.sk. izglītības iestāžu apsaimniekotāji</t>
  </si>
  <si>
    <t>plānots izpilkt 2025. gadā</t>
  </si>
  <si>
    <t>jauns līzinga līgums noslēgts ar CKS</t>
  </si>
  <si>
    <t>1 mēn rezerve EURIBOR likmes maiņai</t>
  </si>
  <si>
    <t>Transportlīdzekļa ekspluatācijas nodoklis. Transportlīdzekļa pārreģistrācija</t>
  </si>
  <si>
    <t>Šo nevajadzētu pie CKS?</t>
  </si>
  <si>
    <t>2026. gadā netioek plānots</t>
  </si>
  <si>
    <t>Ceļa zīmes ar norādi uz Novadpētniecības centru, izvietojums uz autoceļiem</t>
  </si>
  <si>
    <t>Gājēju celiņu tīkla atjaunošana, Novadpētniecības centra pagalms</t>
  </si>
  <si>
    <t>Stāvvietas, līgums ar SIA „CityCredit” ~EUR 33*12 (Miķelsone). Mobilly.</t>
  </si>
  <si>
    <t>Tehniskā apskate, nodevas Volvo V60</t>
  </si>
  <si>
    <t>Tehniskās apkopes, remonti.   VOLVO V 60    </t>
  </si>
  <si>
    <t>I.Grīnbergs</t>
  </si>
  <si>
    <t>Samazināts, jo pārsvarā uzpilda</t>
  </si>
  <si>
    <t>Ielikti 70%</t>
  </si>
  <si>
    <t>OVP 2026.gadā 3 darbiniekiem (Laila)</t>
  </si>
  <si>
    <t>EUR 70 no EKK 2239 uz EKK 2272 (EKK korekcija - tiesvedības izdevumi)</t>
  </si>
  <si>
    <t>12 NĪ pirmreizēja ierakstīšana ZG (EUR 50x12=600).</t>
  </si>
  <si>
    <t>2025.g. līmenī</t>
  </si>
  <si>
    <t>2025.g. līmenī (Mazstapriņu ielas posma pārņemšana pašvaldības īpašumā vēl nav noslēgusies)</t>
  </si>
  <si>
    <t>Šis turpmāk EKK 2244</t>
  </si>
  <si>
    <t>Šis turpmāk EKK 2244 (nevis EKK 2239)</t>
  </si>
  <si>
    <t xml:space="preserve">Iepirkums: zemes robežu kadastrālā uzmērīšana (8-10 NĪ abos pagastos un pilsētā (t.sk., zemes uzmērīšana Carnikavas kapu paplašināšanai saskaņā ar domes 27.06.2024. lēmumu Nr.231), kopā EUR 6050). </t>
  </si>
  <si>
    <t>2025.g. līmenī (zemes vienību Elīzes 1 un 3 un Lindas 1 apvienošana tiks finansēta no APN budžeta (domes 24.07.2025. lēmums Nr.286, zemas īres mājokļu būvniecība))</t>
  </si>
  <si>
    <t>2025.g. līmenī (minēto darbu izpilde pārcelta uz 2026.g.)</t>
  </si>
  <si>
    <t xml:space="preserve">NĪ vērtējumi un citas procedūras to sagatavošanai atsavināšanai vai iznomāšanai vai apbūves tiesību nodibināšanai (NĪ vērtējumi, notāra pakalpojumi) - plānoti vismaz 25 īpašumi gada laikā x 220 EUR, saskaņā ar 2025.gada statistiku) </t>
  </si>
  <si>
    <t>Līdz 15.10.2025. veiktas 19 procedūras.</t>
  </si>
  <si>
    <t>ZIP Laivu 12, Carnikava, ĀŪ nododamā zemes gabala atdalīšanai (domes 28.08.2025. lēmums Nr.336, 06.10.2025. līgums Nr.JUR 2025-10/1052, līguma izpilde 6 mēneši, līgumcena EUR 1323 bez PVN)</t>
  </si>
  <si>
    <t>Līgumcena saskaņā ar noslēgto līgumu</t>
  </si>
  <si>
    <t>2025.g. līmenis - 30%</t>
  </si>
  <si>
    <t>Veselības apdrošināšana</t>
  </si>
  <si>
    <t>Pašvaldība iegādājusies NĪ īpašumā</t>
  </si>
  <si>
    <t>Nekustamā īpašuma noma (saskaņā ar ieņēmumu plānu) - saņemtā PVN atmaksa valstij.</t>
  </si>
  <si>
    <t>Nav ziņu par 2026.g. plānotu NĪ iegādi no nodaļas budžeta</t>
  </si>
  <si>
    <t>Uz sporta sacensībām ik pa laikam nepieceišams noslēgt autorlīgumus. Šī, 2025.gadā, izlietotā summa šim mērķim ir atbilstoša un būtu nepieciešams atstāt arī uz 2026.gadu.</t>
  </si>
  <si>
    <t>Koplīguma dāvana darbiniekiem (likuma ietvaros) EUR 13*21</t>
  </si>
  <si>
    <t>Kompensācija par auto amortizāciju (Liniņš, Krūms) EUR 2*10*11m</t>
  </si>
  <si>
    <t>Pieslēgums nodrošināšana</t>
  </si>
  <si>
    <t>Florbola, basketbola komandas norošināšana uz sacensībām</t>
  </si>
  <si>
    <t>Kursi - 3 peldēšanas instruktori, pirmās palīdzības kursi. Administratorēm, pirmā palīdzība.</t>
  </si>
  <si>
    <t>POS termināla uzturēšana (10,50+50)*12m</t>
  </si>
  <si>
    <t>Florbola federācija biedru nauda</t>
  </si>
  <si>
    <t>Florbola kom. Dalibas maksa Elvi Visrslīgā +spēlētāju licenzes</t>
  </si>
  <si>
    <t>Basketbola kumandas dalības maksa sacensībās LBL</t>
  </si>
  <si>
    <t xml:space="preserve"> 2026 gadā no 18.06-20.06 Valmierā. Saņemts pasākuma projekts. Dalībnieku formu nodrošināšana, ēdināšana , naktsmītnes.</t>
  </si>
  <si>
    <t>Slēpošanas trases izveide. Trases izveidošana garkalnē, Carnikavā, Ādažos, atjaunošana ar mulču.</t>
  </si>
  <si>
    <t>Rožu ielas sintētiskā laukuma sagatavošana. Laukuma sagatavošana sezonai</t>
  </si>
  <si>
    <t>Darbinieku apdrošināšana 200*13 darb.</t>
  </si>
  <si>
    <t>200 EUR * 13 darbinieki</t>
  </si>
  <si>
    <t>Venden SIA - aparātu noma / 2.iekārtas /. EUR 13,03/mēn</t>
  </si>
  <si>
    <t>Plānoti strītbola posmi, nenotika divi pasākumi</t>
  </si>
  <si>
    <t>Rožu ielas laukuma nomai.</t>
  </si>
  <si>
    <t>Vai šis būs?</t>
  </si>
  <si>
    <t>Nepieciešamas informatīvās zīmes.</t>
  </si>
  <si>
    <t>EUR 650 no EKK 2350 uz EKK 2312 (tīklu iegādei)</t>
  </si>
  <si>
    <t>5 peldēšanas jostas, 2 vestes, 5 nūdeles, 5 peldēšanas dēļi</t>
  </si>
  <si>
    <t>4m žoga posmi 12gabx16eur, stabi 12gabx12eur</t>
  </si>
  <si>
    <t>Basketbola gr.tīkliņi, volej.tīkla antenas, Vārtu tīkli.</t>
  </si>
  <si>
    <t>Ikgadēju pasākumu atspoguļošana, karogu noformēšana.</t>
  </si>
  <si>
    <t>10 gab.sānu sienas Carnikavas trenažieru telts sienu atjaunošana.</t>
  </si>
  <si>
    <t>Pārvietojamo tribīņu papildināšana Carnikavas stadionam</t>
  </si>
  <si>
    <t>2 tribīne. Nepieciešamas vismaz 4 tribīnes. Futbola, vieglatlētikas sacensību laikā, skatītājiem nav sēdvietu. Var izmantot arī citos pasākumos skatītāju vietu nodrošināšanai.</t>
  </si>
  <si>
    <t>Baseina apskaņošanas nodrošināšana.Tumbas 4gab. Pastiprinātājs.</t>
  </si>
  <si>
    <t>Basketbola komandas 12 formu nodrošināšana.</t>
  </si>
  <si>
    <t>Baseina aptieciņas un sporta medicīnas somas nodrošināšana sezonai.</t>
  </si>
  <si>
    <t>Krāsas, materiāli, sp.centra uzlabošanai. Materiāli pasākumiem.</t>
  </si>
  <si>
    <t>2025.gadā finansējusm bija nepietiekams, jo nācās ateikt vairākiem sportistiem. Kā arī biedrību skaits ir palielinājies (pienākušas klāt vismaz 2 biedrības). Kā arī dalībnieku skaits esošajās biedrībās palielinās ar katru gadu. Katrā gadījumā šis atbalsts sportistiem ir vitāli nepieciešams. Jo jebkurā gadījumā š'da veida atbalsts ir krietni lētāks, kā, piemēram, uzturēt un veidot jaunas sekcijas ĀBJSS. Lai gan dažas biedrības noteikti atbilstu visiem kritērijiem, lai tiktu veidotas jaunas sporta programmas ĀBJSS.</t>
  </si>
  <si>
    <t>Ūdens sūkņa iegāde un uzstādīšana futbola laukumam.</t>
  </si>
  <si>
    <t>Saliekamais konteiners inventāra glabāšanai SAAP "ZIBEŅOS"</t>
  </si>
  <si>
    <t>Stāvlaukuma ierīkošana pie ādažu sporta centra.</t>
  </si>
  <si>
    <t>EUR 87 no EKK 2247 uz EKK 2243 (EKK korekcija)</t>
  </si>
  <si>
    <t xml:space="preserve">Tematiskiem  pasākumiem, tikšanās ar grāmatu autoriem, māksliniekiem (Piem. K. Vērdiņu, Z. Zusti, P. Strubergu ) </t>
  </si>
  <si>
    <t>Darba stāžs - 1 darbinieks</t>
  </si>
  <si>
    <t>Mobilā telefona pakalpojumu izmaksas. 2 mobilā telefona pakalpojumu izmaksas (EUR 19,58*12mēn.)</t>
  </si>
  <si>
    <t>• LNB “Skaļās lasīšanas sacensība” dalībnieku aizvešana uz Salaspili un Rīgu LNB – finālsacensībām (2025. g. uz sacensībām nogādāja Carnikavas v-sk.)
• Preču piegāde</t>
  </si>
  <si>
    <t>Bibliotekāru kvalifikācijas celšanas kursi LNB (200,-EUR);</t>
  </si>
  <si>
    <t>News ziņas b-kā pieejamas bez maksas</t>
  </si>
  <si>
    <t>Kārtridžus nepilda EUR 100 uz EKK 2311 no EKK 2239</t>
  </si>
  <si>
    <t xml:space="preserve">Tematiskiem  pasākumiem, dzejas dienām, tikšanās ar grāmatu autoriem u.c. radošo darbnīcu organizēšana dažādām bibliotēkas lietotāju grupām, piem. “Vienaldzīgo nav” grāmatas autorēm, tikšanās ar ceļotāju grāmatu autoriem u.c. </t>
  </si>
  <si>
    <t>Rokas dez.doz. noma no AS “Elis tekstila serviss” Līgums Nr.JUR 2023-05/501 (2,18 EUR mēnesī) - 10m, 10EUR - 2mēn</t>
  </si>
  <si>
    <t>Īre 2.stāvs EUR 914,2+PVN=1106,18*12mēneši=EUR13274</t>
  </si>
  <si>
    <t>Īre 1.stāvs  EUR 1088,9+PVN=1317.57*12=EUR 15811</t>
  </si>
  <si>
    <t>EUR 2'075/ mēn</t>
  </si>
  <si>
    <t>Kāpēc šim vēl nav faktiskā izpilde</t>
  </si>
  <si>
    <t>EUR 100 no EKK 2239 uz 2311</t>
  </si>
  <si>
    <t>Tāfele magnētiskā 70x100</t>
  </si>
  <si>
    <t>divvietīgs dīvāns bez roku atbalsta</t>
  </si>
  <si>
    <t>Bezvadu svītrkodu skeneris</t>
  </si>
  <si>
    <t>Ziedi SIA “Pommpons” 100,-EUR (Līgums Nr. JUR 2025-03/169)</t>
  </si>
  <si>
    <t>SIA”Konditoreja SARECĒNS” 150,-EUR  Nr. JUR 2024-03/232</t>
  </si>
  <si>
    <t>Dalība LNB projektā "Grāmtu starts " 3-4 g.vec. bērniem</t>
  </si>
  <si>
    <t>Reprezentācijas piederumi -izd. 400,-EUR(atsēgu piekariņi, krūzītes ar apdruku)</t>
  </si>
  <si>
    <t>Saimniecības preces DEPO (Līgums Nr.Jur 2025-02/164)</t>
  </si>
  <si>
    <t>Portatīvā datora   iegāde. Pēc IT speciālista ieteikuma nepieciešama novecojošās datortehnikas nomaiņa uz jaunāku modernāku</t>
  </si>
  <si>
    <t>Divpusīga mobilā arhīva plaukta iegāde -mazāk pieprasīto izdevumu novietošanai – 2 gab  (viena plaukta cena  1197,89 ar PVN)</t>
  </si>
  <si>
    <t>EUR 859 no EKK 2239 uz EKK 2312 (EKK korekcija plauktu iegādei</t>
  </si>
  <si>
    <t>EUR 1'219 no EKK 5238 uz EKK 2312 (EKK korekcija)</t>
  </si>
  <si>
    <t>Šis jau ir EKK 2250</t>
  </si>
  <si>
    <t>Projektors un ekrāns</t>
  </si>
  <si>
    <t>jauns, pārvietojamais ekrāns un pārvietojamais projektors</t>
  </si>
  <si>
    <t>jauns, lasītājiem</t>
  </si>
  <si>
    <t>Periodikas plaukts</t>
  </si>
  <si>
    <t>jauns, plauktu turpinājums periodikas nosaukumiem</t>
  </si>
  <si>
    <t>2 datorkrēsli</t>
  </si>
  <si>
    <t>jauns, vecie ir nolietoti, neatbilst ergonomiskajām prasībām</t>
  </si>
  <si>
    <t xml:space="preserve">Pēc koplīguma - EUR 200 x 8 pamatdarbiniekiem un  EUR 100 x 24 darbiniekiem briļļu iegādei vai apdrošināšanai </t>
  </si>
  <si>
    <t>Komandējumu dienas naudu izmanto amatiermākslas kolektīvu vadītāji dalībai konkursos un koncertos</t>
  </si>
  <si>
    <t>Nav izpildes…, tad vajag?</t>
  </si>
  <si>
    <t>Komandējumu naudu izmanto amatiermākslas kolektīvu vadītāji dalībai konkursos un koncertos</t>
  </si>
  <si>
    <t xml:space="preserve">Iepirkuma līgumā 2026.g. plānotā summa. </t>
  </si>
  <si>
    <t>Esošā līguma ietvaros, summa ir nepietiekama, ĀKC galdauti tiek izmantoti ne tikai kultūras centra vajadzībām, bet arī citu iestāžu un struktūrvienību pasākumos.</t>
  </si>
  <si>
    <t xml:space="preserve">Maksas pasākumu (garantēto) programmu apmaksa.  Prognozētie ieņēmumiem no kultūras  pasākumiem. Piem., filmu izrādes u.c. maksas pasākumu programmu apmaksa.   </t>
  </si>
  <si>
    <t>Jārēķinās ar vidēji 20% pieaugumu visiem pakalpojumiem.
 Tāmes projekts, pamatots ar 2024.gada izdevumiem, pielikumā</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</si>
  <si>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</si>
  <si>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</si>
  <si>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</si>
  <si>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</si>
  <si>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</si>
  <si>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</si>
  <si>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r>
      <t>Tradicionālo un novada svētku rīkošana :</t>
    </r>
    <r>
      <rPr>
        <i/>
        <sz val="8"/>
        <rFont val="Arial"/>
        <family val="2"/>
      </rPr>
      <t xml:space="preserve"> (šo svētku organizēšana ir pašvaldības funkcija)</t>
    </r>
  </si>
  <si>
    <t>ĀKC deju kolektīvu  un vieskolektīvu tradicionālie koncerti (2 pasākumix EUR 200)</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</si>
  <si>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</si>
  <si>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</si>
  <si>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</si>
  <si>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</si>
  <si>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</si>
  <si>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</si>
  <si>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</si>
  <si>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</si>
  <si>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Skaņu  aparatūras uzturēšana,  gaismu sistēmu remonts, apkope, saimnieciskie izdevumi</t>
  </si>
  <si>
    <t>Tērpu un aksesuāru labošana, atjaunošana</t>
  </si>
  <si>
    <t>Kultūras centra inventāra, mēbeļu, dekorāciju uzturēšana un remonts</t>
  </si>
  <si>
    <t>Daļa izpildes EKK 2264</t>
  </si>
  <si>
    <t xml:space="preserve">Nolietojušos mēbeļu nomaiņai </t>
  </si>
  <si>
    <t>Kultūras centra tehniskie izdevumi- audio vadi, konektori, lēcas, spuldzes skatuvju gaismu sistēmu nodrošinājumam, elekto instalācijas, detaļas, dumu sķidrumi, akumulatori baterejas skatuves tehnikas nodrošināšanai, transporta kastes, līmlentas, otas, vienreizējie cimdi tehnisko darbu veikšanai, mērlentas, skrūves, darba instrumenti, skavas, durvju balsti, savilces, vides reklāmu stiprināšanas piederumi</t>
  </si>
  <si>
    <t>Kora SAKNES koncerttērpu izgatavošana (35 sieviešu kleitas)</t>
  </si>
  <si>
    <t>Korim pastāvēšanas laikā sieviešu tērpi nav izgatavoti. Izmanto privāti šūtos tērpus.</t>
  </si>
  <si>
    <t>SDK SPRIGULIS  Vidzemes tautas tērpa brunči (austs vilnas audums) 12 gab.x EUR 198, sievu cepures 12gab.x EUR 75, vīriešu bikses 12 gab.x EUR 70</t>
  </si>
  <si>
    <t xml:space="preserve">VPDK SPRIGULIS baltas aubes (12gab.x EUR 25, zīda lakatiņi 12gab.x EUR 15, uzkrekliņi 12gab.x EUR 20 </t>
  </si>
  <si>
    <t>Autentiska pilna komplekta latviešu tautas kāzu tērpa (lietota) iegāde (pāris).</t>
  </si>
  <si>
    <t>Šāda jauna tērpu komplekta izgatavošana izmaksātu ap EUR 8000</t>
  </si>
  <si>
    <t>Līdzfinansējums plānots EKK 2239</t>
  </si>
  <si>
    <t>Pārcelts no EKK2250. Licenzētas programmas nepieciešamas, lai nodrošinātu tiešraides, vizualizācijas, apraides ēkā, pasākumu laikā u.c. Visiem pasākumiem nepieciešamas videoprojekcijas. Nepieciešamība sadalīt diferencētu signālu .
 Tiek izmantotas programmas no personīgajiem resursiem.</t>
  </si>
  <si>
    <t>Adobe Creative suite Pro (gada abonements)</t>
  </si>
  <si>
    <t>MS Office 360 (gada abonements)</t>
  </si>
  <si>
    <t>Resolume Arena (pasākumu videoprojekcijām)(vienreizēja licence)</t>
  </si>
  <si>
    <t>RØDECaster Video (video splitteris/mixeris kc apraides sistēmaiun pasākumu video apraidei)</t>
  </si>
  <si>
    <t>Nolietojušos nomaiņai (3 darbiniekiem)</t>
  </si>
  <si>
    <t xml:space="preserve">ĀKC skatuves kulišu un horizonta nomaiņa </t>
  </si>
  <si>
    <t xml:space="preserve">Ugunstroša sertificēta skatuves kulišu sistēma ir iegādāta 2011.gadā. 
Kulises laika gaitā ir nolietojušās, tās palikušas "trauslas" un aizvien vairāk plīst. Gadu laikā tās tika šūtas un labotas, bet šobrīd tas vairs nelīdz. </t>
  </si>
  <si>
    <t>ĀKC skatuves gaismu sistēmu nomaiņa uz energoefektīvu aprīkojumu 3.kārta (LED kustīgais efektu sānu gaismu starmetis 2 gab.)</t>
  </si>
  <si>
    <t>Komandējumu dienas naudu izmanto amatiermākslas kolektīvu vadītāji dalībai konkursos un koncertos.2026.gadā jauniešu deju svētki Liepājā</t>
  </si>
  <si>
    <t>O.Vācieša prēmijas dzejā apbalvošanas pasākums</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</si>
  <si>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</si>
  <si>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</si>
  <si>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</si>
  <si>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</si>
  <si>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</si>
  <si>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Eksperimentālā mūzikas teātra izrāde “Ummis un lobēlija”</t>
  </si>
  <si>
    <t>Iespējams atbalsts izrādei par Ādažu novada ģērboņa simbolu - Dortmaņa lobēliju - biļešu tirdzniecība</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</si>
  <si>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</si>
  <si>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</si>
  <si>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</si>
  <si>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</si>
  <si>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</si>
  <si>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</si>
  <si>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</si>
  <si>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</si>
  <si>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 xml:space="preserve">Sieviešu kora Undīne dalība festivālā Armēnijā </t>
  </si>
  <si>
    <t>Pieprasījums no kolektīva, taču pašvaldība šādā apmērā dalību parasti neatbalsta</t>
  </si>
  <si>
    <t>Amatierteātra Nagla divas pirmizrādes</t>
  </si>
  <si>
    <t>Dāmu deju kopas Gaujmalietes dalība festivālā Grieķijā</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</si>
  <si>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</si>
  <si>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</si>
  <si>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</si>
  <si>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Šie bija EKK 2239</t>
  </si>
  <si>
    <t>Saskaņā ar vispārīgajā vienošanās norādīto</t>
  </si>
  <si>
    <t>2026.gadā plānoti jauniešu deju kolektīvu svētki Liepājā, kur nepieciešams transports</t>
  </si>
  <si>
    <t>Dalība Liepājas Jauniešu deju kolektīvu svētkos, kā arī dalības maksa skatēs</t>
  </si>
  <si>
    <t>Ķīmiskās tīrīšanas pakalpojumi</t>
  </si>
  <si>
    <t>Esošā līguma ietvaros summa ir nepietiekama, jo pakalpojuma cenas ir augstākas nekā iepriekš</t>
  </si>
  <si>
    <t>Nepieciešama skaņu pults tehniskā apkope</t>
  </si>
  <si>
    <t>Mēbeļu un griestu tīrīšana</t>
  </si>
  <si>
    <t>Nepieciešama griestu siju un 200 gab krēslu tīrīšana</t>
  </si>
  <si>
    <t xml:space="preserve">Maksa par licenci 1 gadam </t>
  </si>
  <si>
    <t>Atstāts 2025.gada līmenī, ja nav kādas izmaiņas</t>
  </si>
  <si>
    <t>Saskaņā ar līgumu</t>
  </si>
  <si>
    <t>SDK Tacis 12 gab sievu un 12 gab vīru krekli</t>
  </si>
  <si>
    <t>Jauktā kora "Vēja balss" 15 gadu Jubilejas koncerts -koncerttērpu izgatavošanu</t>
  </si>
  <si>
    <t>Sieviešu kora Undīne kora mapes papildināšana 10 gab</t>
  </si>
  <si>
    <t xml:space="preserve">VPDK Arnika 12 gab Carnikavas tautas tērps </t>
  </si>
  <si>
    <t>Sakas blūzes ar izšuvumu 12 gab x 150 EUR Spangu vainagi 12 gab x 120 EUR</t>
  </si>
  <si>
    <t>12 gab meitu brunči 12 gab meitu ņieburi</t>
  </si>
  <si>
    <t>Balstoties uz plānotajiem ieņēmumiem</t>
  </si>
  <si>
    <t>Mobilais tālrunis tautas nama darbības nodrošināšanai</t>
  </si>
  <si>
    <t>Projektora iegāde</t>
  </si>
  <si>
    <t xml:space="preserve">Esošais darba tālrunis ir novecojis un nestrādā visas funkcijas. Minētā tehnikas vienība ir fiziski un morāli novecojuša un to remonta/atjaunošanas darbi nav lietderīgi augsto izmaksu dēļ. </t>
  </si>
  <si>
    <t>PRIORITĀTE! Esošais projektors, kas iegādāts 2014.gadā ir morāli un fiziski novecojis un neatbalsta jaunāko filmu formātus, kas rada problēmas filmu demonstrēšanā. Nepieciešams jauns projektors-VMZ82 (LCD tehnoloģija, 16:10 1920x1200 attēla punkti, TR 1.09–1.77:1, 8000 lumeni, lāzera diodes ar darba mūžu līdz 20 000 stundām, H+V (stūru) trapeces korekcija, projekcija uz izliektām virsmām, vertikālā/horizontālā attēla nobīde, 10W skaļrunis,  fona troksnis 39 dB, eko režīmā 29 dB, 3 gadu garantija projektoram un lāzera avotam.</t>
  </si>
  <si>
    <t>Koncerttērpi korim nekad nav izgatavoti, ir tautastērpi.
37 gab Kleitas dāmām x 208 EUR                 15 gab Uzvalks vīriem x 229 EUR             15 gab Kaklasaite/tauriņš vīriem x 9 EUR</t>
  </si>
  <si>
    <t>Briļļu kompensācija 4 darbiniekiem</t>
  </si>
  <si>
    <t>Darba gadi - 1 darbinieks</t>
  </si>
  <si>
    <t>O.Rinkus 10 darba gadi</t>
  </si>
  <si>
    <t>Saistībā ar dalību projektā "Upju tīkla attīstība"</t>
  </si>
  <si>
    <t>Samazināts. Max summa EUR 22/mēn</t>
  </si>
  <si>
    <t>Kuratoru konsultācijas projekta īstenošanas laikā</t>
  </si>
  <si>
    <t>Apvienotas iepriekš sadalītas budžeta pozīcijas (Atceres un piemiņas pasākumi)</t>
  </si>
  <si>
    <t xml:space="preserve">Cienasts pasākumu, semināru dalībniekiem, Ēdināšana reprezentācijas pasākumu ietvaros (piem. Ministru vizīte) </t>
  </si>
  <si>
    <t>Muzeju nakts  organizēšana</t>
  </si>
  <si>
    <t>Papildinājums - krājums gada laikā beidzies</t>
  </si>
  <si>
    <t>Nodaļa 0844.3</t>
  </si>
  <si>
    <t>2024. un 2025.gadā izpilde 0 ???</t>
  </si>
  <si>
    <t>Canva Pro abonements CNC + TIC ikdienas vizuāļu veidošanai</t>
  </si>
  <si>
    <t>(TRAP 2.17)</t>
  </si>
  <si>
    <t>Pērkam jau 3. gadu, jo sab. att. nodaļai šiem mērķiem līdzekļi netiek piešķirti. Pret ieņēmumiem</t>
  </si>
  <si>
    <t>Apjoms palielināts, ņemot vērā sarādzinājumu</t>
  </si>
  <si>
    <t>Nav atbalstīts 2025.</t>
  </si>
  <si>
    <t>Saņemtā PVN atmaksa valstija</t>
  </si>
  <si>
    <t xml:space="preserve">Tūrisma un novadpētniecības procesu nodrošināšanai - apsekojumiem, lielformāta karšu digitalizēšanai, pasākumu fotogrāfiju nodrošināšanai, utt. </t>
  </si>
  <si>
    <t>Fototehnikas iegāde</t>
  </si>
  <si>
    <t>(TRAP 2.13)</t>
  </si>
  <si>
    <t>Palielināts, ņemot vērā ik gadu pieaugošo dalībnieku skaitu (TRAP 3.7)</t>
  </si>
  <si>
    <t>Pasākumu boostošana soc tīklos un Novada vēstneša piesaiste reklāmmateriālu izstrādei</t>
  </si>
  <si>
    <t>(TRAP 2.17 UN 2.18) 1200 Boostošanai, 3000 novada vēstnesim uz vasaras sezonas satura izstrādi</t>
  </si>
  <si>
    <t>Novada reprezentācijas telts nodrošināšana un pārvietojamie baneri Gaujas, Nēģu svētku un citu novada pasākumu laikā</t>
  </si>
  <si>
    <t>Tūrisma aktivitātes Gaujas svētkos</t>
  </si>
  <si>
    <t>Audiogida ieskaņošana</t>
  </si>
  <si>
    <t>TRAP (3.11)</t>
  </si>
  <si>
    <t>Palielināts karšu atjaunošanai un jaunu materiālu izstrādei</t>
  </si>
  <si>
    <t>(TRAP 3.1)</t>
  </si>
  <si>
    <t>Palielināts karšu atjaunošanai un jaunu materiālu drukai (TRAP 1.7 un 2.12., 1.5.)</t>
  </si>
  <si>
    <t>Palielināts, pasākumu izmaksu segšanai, ņemot vērā izmaksu sadārdzinājumu (TRAP 1.8 UN 2.15)</t>
  </si>
  <si>
    <t>Telšu vietu apsekošana, marķēšana</t>
  </si>
  <si>
    <t>(TRAP 1.7. UN 2.8)</t>
  </si>
  <si>
    <t>Regulāra mājaslapas uzturēšana + mājaslapas uzlabojumi</t>
  </si>
  <si>
    <t xml:space="preserve">EUR 500 drukas kasešu iegādei </t>
  </si>
  <si>
    <t>Bukletu kastīšu atjaunošana un jaunu izvietošana (TRAP 1.5)</t>
  </si>
  <si>
    <t xml:space="preserve">(plānots - 1000 katram - Alderos 2, Pagasta māja Ādažos, Līgo laukums, Baltezera kapi un Baznīca) </t>
  </si>
  <si>
    <t>(TRAP 2.11 UN 2.17)</t>
  </si>
  <si>
    <t>Priekšauti ar apdruku</t>
  </si>
  <si>
    <t>Tūrisma pasākumiem visvairāk līdzekļu tiek tērēts precēm pasākumu sadārdzinājuma samazināšanas nolūkos</t>
  </si>
  <si>
    <t>Monitors TIC darbiniekam</t>
  </si>
  <si>
    <t>EUR 236 no EKK 5238 uz EKK 5120 IM piešķirto datoru licenžu iegādesi</t>
  </si>
  <si>
    <t>EUR 589 no EKK 2311 uz EKK 2312 (EKK korekcija)</t>
  </si>
  <si>
    <t>EUR 1'500 no EKK 2314 uz EKK 2312 (EKK korekcija)</t>
  </si>
  <si>
    <t>6 apaļas jubilejas*EUR 300</t>
  </si>
  <si>
    <t>Šis ir EKK 1228</t>
  </si>
  <si>
    <t>DARBA  GADI 15,20,25,30,35_2025 - 6 darbinieki * 300 EUR</t>
  </si>
  <si>
    <t>2025.gada budžeta komentārs: Iepriekšējā gadā sakarā ar grupas pielāgošanu un papildus vietu sagatavošnu šim nepietika laika.</t>
  </si>
  <si>
    <t>Darbinieku apdrošināšana (200 EUR*57darb.)</t>
  </si>
  <si>
    <t>Tas pats saraksta, kas uz 2025.gada budžetu??</t>
  </si>
  <si>
    <t>2025. budžeta gada komentārs: Sakarā ar iestādes 45 gadu jubileju</t>
  </si>
  <si>
    <t>žalūzijas (Pūcītes, Sienāzīši, Lācēni)</t>
  </si>
  <si>
    <t>Saņemtā PVN atmaksa</t>
  </si>
  <si>
    <t>Rotaļiekārtu  un seguma maiņa (Skolas pusē)Zaķēnu, Ezīšu, Pelēnu, Gliemežu grupu laukumiņā</t>
  </si>
  <si>
    <t>J. Ozoliņa noslēgts līgums ar ANP</t>
  </si>
  <si>
    <t>Apaļie darba gadi - 1 darbinieks</t>
  </si>
  <si>
    <t>SIA "LMT" mobilo sakaru 11 grupu un 6 administrācijas darba mobilajām ierīcēm, kas paredzētas darbinieku un izglītojamo vecāku saziņai, lai netiktu izmantotas darbinieku personigās mobilās ierīces darba pienākumu veikšanai un darbinieku personīgo kontaktu neizpaušanai. EUR 165 mēnesīx12=1968</t>
  </si>
  <si>
    <t>Darbinieku pieredzes apmaiņas un izglītojoši saliedējošs  pasākums (atbilstoši SPII Koplīguma 2.9 punktam) SIA "Leks auto"</t>
  </si>
  <si>
    <t>EUR 45 OVP 20 darbiniekiem = EUR 900</t>
  </si>
  <si>
    <t>Ikgadējā veselības (U27 forma) pārbaude 52 x 20,00=EUR 1040</t>
  </si>
  <si>
    <t>50 darbinieka profesionālās pilnveides kursi un semināri  50xEUR 30=EUR 1500</t>
  </si>
  <si>
    <t> Bērnu tiesību aizsardzības 32 izglītības iestādes  (plānotais organizators LPMC)16xEUR 40=EUR 640</t>
  </si>
  <si>
    <t>MK GAISMA SIA (Dok.Nr.: 05- 3360 10.06.2025 2025-70 Par veļas mazgāšanu Vidēji  mēn. EUR 305,00x12 mēn.=EUR 4500 gadā</t>
  </si>
  <si>
    <t>Culligan Latvia SIA (Dok.Nr.: 31/04380560 31.07.2025  Par ūdeni) SPII "PIEJŪRA" izglītojamajiem. 12 mēnešos ir EUR 988,32 + PVN=1180.</t>
  </si>
  <si>
    <t>SIA "CareLat" pakalpojuma apmaksu 58 koda bērnam - pie 100% apmeklējuma: 20dd*8h*11 mēn=1780h*10EUR/h=EUR 17800</t>
  </si>
  <si>
    <t>ELIIS īguma reģ.Nr.JUR2024-08/804 (spēkā no 01.09.2024 līdz 31.08.2026) 3.2.punkts Mēneša maksu par Pakalpojumu veido abonēšanas maksa EUR 25,00 (divdesmit pieci eiro) bez PVN vienai pirmsskolai, 212 izglītojamajiem un jūlijā mēnesī vidēji 68 CPII izglītojamajiem. Vidēji 107.00*12=1284.00</t>
  </si>
  <si>
    <t>Kārtridzu/toneru maiņa (IT nodaļas aprēķins 1920 EUR ar PVN) 523.93*3+261.95=1833.75</t>
  </si>
  <si>
    <t>18 Krēsli  ENT023 Balodīšu skolas grupas 5-6 gadīgajiem bērniem (H35cm) (SIA "Lineāls.lv). 20*EUR *64=EUR 1280</t>
  </si>
  <si>
    <t>Bērnudārza SKOLAS GALDS. REG. AUGSTUMA, DAŽĀDI PLATUMI, ENT010 Balodīšu skolas grupas 5-6 gadīgajiem bērniem (SIA "Lineāls.lv).5*EUR 240.38.00=EUR 320</t>
  </si>
  <si>
    <t>Gludināmais dēlis tvaika gludeklim Brabantia, B, 124x38 cm, SIA "Depo"  EUR 61.00</t>
  </si>
  <si>
    <t>Gludeklis ar tvaika ģeneratoru SV8062 Tefal 2800W/1.8l/6.8bar.SIA "Depo"  EUR 139</t>
  </si>
  <si>
    <t>Gultasveļas komplekts Cīrulīšu (40 gab.),Rubenīšu (40 gab), Vālodzīšu (36 gab.), SIA "URGA"  EUR 12.60*116=Egrupām UR 1459.75</t>
  </si>
  <si>
    <t>LED apgaismojums Sporta zālē lielpasākumu nodrošināšanai 2*EUR 486=EUR 972</t>
  </si>
  <si>
    <t>Mikrofons ausu un rokas Shure BLX1288/P31 Combo K3E 2*EUR 665=EUR 1330</t>
  </si>
  <si>
    <t>Mikrofons rokas Shure BLX24/Beta 58 K3E EUR 437</t>
  </si>
  <si>
    <t>Statīvs apgaismojumam/tumbai K&amp;M 21435 2*66 EUR =EUR 132</t>
  </si>
  <si>
    <t xml:space="preserve">Svētku kliņģeri: izlaidums, gadskārtu svētki, 5 gadu jubileja,  pieredzes semināri, u.c. EUR 250.00. SiA Sarecēns </t>
  </si>
  <si>
    <t>2026. gada Izlaidumamam: 76 bērniem un 32 darbiniekiem piemiņas grāmatas/albūmi EUR 5.5 x108=EUR 594</t>
  </si>
  <si>
    <t>Reprezentācijas materiāli EUR 50</t>
  </si>
  <si>
    <t xml:space="preserve">Saimniecības preces 11 grupas telpu un āra rotaļlaukumu un vides uzturēšanai kārtībā (Depo) (mantu grozi, slotas,šaufeles,lāpstas, lupatiņas, švammes, atkritumu maisi, u.c.) EUR 90 (EUR 8 mēnesī) x11 grupas=EUR 990 </t>
  </si>
  <si>
    <t>Dekorēšanas priekšmeti pasākumiem (sveces, drapērijas, u.c). 11 grupām un koptelpām 14* EUR 40 = EUR 560</t>
  </si>
  <si>
    <t>Mācību līdzekļu un materiālu organizatori (plastmasas kastes,dekoratīvie kašpo, vāzes, paplātes,u.c. 11. grupām un koptelpām EUR 55*14=EUR 770</t>
  </si>
  <si>
    <t>Dekoratīvo augu stādi 14 dekoratīvajiem āra traukiem (84 gab *EUR 2.40= 201.60) un 3 dobēm (~45*EUR 2.5= EUR 113) teritorijas apzaļumošanai  EUR 314.60</t>
  </si>
  <si>
    <t>Paklājs Mūzikas zālei un Sajūtu telpā 2*49.99=100</t>
  </si>
  <si>
    <t>Telpaugi kāpņu telpu apzaļumošanai 15* EUR 12=EUR 180</t>
  </si>
  <si>
    <t>Kūdras podiņu, sējamo kasešu, diedzējamo paplāšu iegāde EUR 20x11gr.= EUR220</t>
  </si>
  <si>
    <t>Mācību materiāli/ izejmateriāli mūzikas jomas pedagogiem t.sk. audioieraksti (dziesmas bērniem, dažādu instrumentu spēles
paraugi, latviešu tautas, cittautu un literārās pasakas, dzejoļi, lugas, u. c.); videoieraksti (bērnu izrādes, tautasdejas, mūsdienu dejas, u.c.) EUR 460</t>
  </si>
  <si>
    <t>Mācību materiāli/ izejmateriāli sporta jomas pedagogiem: Sensoro bumbu komplekts, vingrošanas bumbas lielas un mazas, 20 hanteļes (0,5 kg), vingrošanas riņķi (divi dažādi lielumi, pa 20 no katra lieluma)=EUR 380</t>
  </si>
  <si>
    <t xml:space="preserve">Mācību materiāli/ izejmateriāli atbalsta personālam - diviem logopēdiem 4*150- EUR 600    </t>
  </si>
  <si>
    <t>Mācību materiāli/ izejmateriāli atbalsta personālam:spec.ped., psigologs , Mājdzīvnieki, fermas dzīvnieki- smilšu terapijas figūras, Pasaules apskates objekti - smilšu terapijas figūras, Celtniecības transports -smilšu terapijas figūras, magnētiekie konstruktori  EUR 300</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</si>
  <si>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140.00x11 grupām= EUR 1540</t>
  </si>
  <si>
    <t>"Anna un Leons eksperimentē komplekts" mācību līdzeklis Dabaszinības jomas nodarbībām,  Apgāds "Lielvārds" EUR 649</t>
  </si>
  <si>
    <t>"Anna un Leons eksperimentē ar gaismu un skaņu" mācību līdzeklis Dabaszinības jomas nodarbībām Apgāds "Lielvārds" EUR 245</t>
  </si>
  <si>
    <t>Anna un Leons eksperimentē ar elektrību" mācību līdzeklis Dabaszinības jomas nodarbībām Apgāds "Lielvārds" EUR 200</t>
  </si>
  <si>
    <t>Anna un Leons eksperimentē ar ūdeni un gaisu" mācību līdzeklis Dabaszinības jomas nodarbībām Apgāds "Lielvārds" EUR 245</t>
  </si>
  <si>
    <t>"Anna un Leons eksperimentē dabā un apkārtnē" mācību līdzeklis Dabaszinības jomas nodarbībām Apgāds "Lielvārds" EUR 260</t>
  </si>
  <si>
    <t>Anna un Leons eksperimentē ar slīpo plakni, trīšiem un magnētiem" mācību līdzeklis Dabaszinības jomas nodarbībām Apgāds "Lielvārds" EUR 270</t>
  </si>
  <si>
    <t>Individuālajam darbam ar bērniem ar MG un MT kinētiskās smiltis (5kg) 11 grupām, 3 atbalsta personāka kabinetiem EUR 40x15=EUR 600</t>
  </si>
  <si>
    <t>Datora tumbas skaņas nodrošināšanai 5-6 gadīgo bērnu grupās 4*EUR 48=190</t>
  </si>
  <si>
    <t>Šis ir EKK 2312 nevis 5238</t>
  </si>
  <si>
    <t>Āra sporta laukuma līdzsvara baļķis SIA Jūrmalas "Mežaparki" EUR 127</t>
  </si>
  <si>
    <t>Āra sporta laukuma kāpšanas tīkli WRK69 SIA Jūrmalas "Mežaparki" EUR 1494</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</si>
  <si>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</si>
  <si>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</si>
  <si>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</si>
  <si>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</si>
  <si>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Āra koka namiņi 1.6.-3 gadīgo bērnu rotaļlaukuma labiekārtošanai. 2*EUR1850=EUR 3700</t>
  </si>
  <si>
    <t>EUR 81 no EKK 2314 uz EKK 2390 (EKK korekcija)</t>
  </si>
  <si>
    <t>Apdrošināšanas kompensācijas</t>
  </si>
  <si>
    <t>Briļļu kompensācija. Vidēji 25 darbinieki/ gadā briļļu kompensācija 25*200</t>
  </si>
  <si>
    <t>Samazināts uz 12 darbiniekiem</t>
  </si>
  <si>
    <t>LMT  EUR 51*12, 234*12 ( būs telefoni 17 grupās  un medmāsai)</t>
  </si>
  <si>
    <t>provizorisās izmaksas par vienu telefonu 13 eiro mēnesī+iepreikšējā summa</t>
  </si>
  <si>
    <t xml:space="preserve">Saskaņā ar I.Jankovska prognozi </t>
  </si>
  <si>
    <t>Pedagpogu pieredzes apmaiņas braucieniem</t>
  </si>
  <si>
    <t>pārcelts uz EKK 2249</t>
  </si>
  <si>
    <t>asistentu pakalpijumu apmaksai (160h*11 mēn*10eiro)</t>
  </si>
  <si>
    <t xml:space="preserve">Kārtridžu uzpildīšana </t>
  </si>
  <si>
    <t>Pirms tam bija EKK 2239</t>
  </si>
  <si>
    <t xml:space="preserve">ELIIS -pirmsskolas izglītības iestāžu mācību darba organizēšanai. (SIA „Edukas Latvia”) </t>
  </si>
  <si>
    <t>SIA Lielvārds,mācību vadības platforma "Soma"</t>
  </si>
  <si>
    <t>pēc izpildes</t>
  </si>
  <si>
    <t>17grupas*150(inventāra atjaunošana) invent. nodroš. =17 grupas*150, atbalsta personāla kabinetu inventāra atjaunošana 4 kabineti *250</t>
  </si>
  <si>
    <t>galda lampas un griestu lampas ( 5 GRUPĀS)</t>
  </si>
  <si>
    <t>Rotaļlietu plaukti un mēbeles grupu labiekārtošanai (7., 5.,10.,11.,12.,13.gr)</t>
  </si>
  <si>
    <t>BĒRNU krēsli 5. grupā ( krēsli 24*32=768)</t>
  </si>
  <si>
    <t>Telefoni 17 grupām un medmāsai</t>
  </si>
  <si>
    <t>paklāji (trīs grupās un logopēdam)</t>
  </si>
  <si>
    <t>apaļi, saliekami galdi pasākumu organizēšanai (8gb)</t>
  </si>
  <si>
    <t>laminatori grupu vajadzībām(5gb)</t>
  </si>
  <si>
    <t>Aizkaru stanga multihalles sadadalīšanai darbības zonās</t>
  </si>
  <si>
    <t>Ziedu iegāde</t>
  </si>
  <si>
    <t>"Ādažu aptieka". Plāno, ka apmēram EUR 60*11mēneši</t>
  </si>
  <si>
    <t>žalūzijas (3 GRUPĀS)</t>
  </si>
  <si>
    <t>FOLIJA SEDZIŅAS (2EIRO*80 darbinieki) Drošībai, ja nepieciešams evakuēties pusdienas laikā un no baseina)</t>
  </si>
  <si>
    <t>17grupas*200(saimniecības preču atjaunošana- trauki,uzglabāšanas kastes, katli, utt) =17 grupas*200+5%cenu pieaugums</t>
  </si>
  <si>
    <t xml:space="preserve">SIA"DEPO DIY" dažādas preces grupu vajadzībām  (17gr.×120eur). </t>
  </si>
  <si>
    <t>drošības vestes 5 grupu vajadzībām- 120gb, ar apdruku</t>
  </si>
  <si>
    <t>palagi ar gumiju 2 grupas,40gb</t>
  </si>
  <si>
    <t xml:space="preserve">bērnu priekšauti 60gb </t>
  </si>
  <si>
    <t>priekšauti skolotāju palīgiem ar apdruku (25gb)</t>
  </si>
  <si>
    <t>balti galdauti ( 35gb grupās un personālam)</t>
  </si>
  <si>
    <t>Gultasveļu komplektu iegādei 2 grupiņu vajadzībām.</t>
  </si>
  <si>
    <t>Mācību materiāli/ izejmateriāli mācību procesa nodrošinājumam:  SIA "Zvaigzne ABC" ',  grāmatas,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x376 izglītojamajiem 17  grupās:  EUR 827,2 x12 mēn=EUR 9926</t>
  </si>
  <si>
    <t>Micrososft office licences</t>
  </si>
  <si>
    <t>Interaktīvās tāfeles 3 grupās, ar statīvu</t>
  </si>
  <si>
    <t xml:space="preserve"> Sienas skapis (4.un 10.grupās) inventāra glabāšanai</t>
  </si>
  <si>
    <t>Saskaņā ar FK 17.09. protokollēmumu, nolemts nepieciešmaos līdzekļus PII "Strautiņš" jumta daļas remontam EUR 17'324 apmērā novirzīt no nesadalītā konta atlikuma.</t>
  </si>
  <si>
    <t>Studiju maksas kompensācija EUR 3 000 x 1 darb. + 1 vakances (psihologs)</t>
  </si>
  <si>
    <t>Briļļu kompensācija 200,00 EUR-14 darbiniekiem</t>
  </si>
  <si>
    <t>DARBA  GADI 15,20,25,30,35 - 2 darbinieks * 300 EUR</t>
  </si>
  <si>
    <t> 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+400.00 EUR</t>
  </si>
  <si>
    <t>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+ 200.00 EUR</t>
  </si>
  <si>
    <t xml:space="preserve">2026.g.-Obligātā veselības pārbaude uz vietas  - 20 cilvēkiem 50,00 Eur*20=1 000,00 EUR. </t>
  </si>
  <si>
    <t>Projekts "Līderis manī" ieviešana vienā (pirmajā) gada- mācības ar VITAE lektoriem par visiem 7 paradumiem visam kolektīvam, dalība visos LiM prganizētajos pasākumos, mentoru sagatavošana, pieeja visiem LiM materiāliem.</t>
  </si>
  <si>
    <t>Tālāk katru gadu līguma turpinājums ar summām (atkarīga no izglītojamo skaita iestādē līdz 250 izglītojamiem-195 eur +PVN. Šajā summā ir iekļauta mentoru sagatavošana, pieeja visiem LiM materiāliem, dalība visos LiM organizētajos pasākumos. Katru gadu līgums tiek pagarināts ar to pašu sunmu, kas ir atkarīga no bērnu skaita.</t>
  </si>
  <si>
    <t>Mācību vadības platformas "Soma" abonēšana ar SIA Lielvārds (mācību grāmatas un citus mācību izdevumus digitālā formātā). Ligums JUR.2024-08/815 Summa: 590,00 EUR ar PVN Līgums līdz 31.12.2025.</t>
  </si>
  <si>
    <t xml:space="preserve">Speciālas programmas licencei, plānots licenzēt programmu, kods 56- speciālās izglītības programmas izglītojamiem ar mācīšanās traucējumiem; </t>
  </si>
  <si>
    <t>Izglītoša koncert programma bērniem</t>
  </si>
  <si>
    <t>CKS prāsīja plānot no Kadagas PII "Mežavēji" budžeta, mums tagad ir 6 gabali</t>
  </si>
  <si>
    <t>Veselibas apdrošināšana 200x50=10 000,00 EUR</t>
  </si>
  <si>
    <t>Ieliku kā aprēkinā pie komentāra</t>
  </si>
  <si>
    <t>Veļas mazgāšana Līgums JUR 2025-04/345 no 22.04.2025. līdz 22.12.2026. SIA MK GAISMA</t>
  </si>
  <si>
    <t xml:space="preserve">LĪGUMS PAR TĪMEKĻA PROGRAMMAS EDURIO IZMANTOŠANU Sabiedrības līguma Nr. L202409-13 Klienta līguma Nr. JUR 2024-10/1017
 (fiksētās maksas par katru Izglītības iestādi - 103 EUR (+ PVN)= 124,63 EUR+1,03 EUR reizināts ar kopējo pirmsskolēnu skaitu Izglītības iestādēs 200 berni (+PVN)=250,00 EUR; Kopā: 375,00 EUR </t>
  </si>
  <si>
    <t xml:space="preserve">Inventārs peldētapmācībai EUR 200,00 </t>
  </si>
  <si>
    <t>Bērnu kresli 150 gabX 30.00 EUR= 4 500,00 EUR (120 gab.-ēdamzālei + 30 gab. 5.gr.).</t>
  </si>
  <si>
    <t xml:space="preserve">Puķu podi āra </t>
  </si>
  <si>
    <t xml:space="preserve">Ratiņi āra sporta aktivitāšu nodrošināšanai  </t>
  </si>
  <si>
    <t>Mīkstie kluči</t>
  </si>
  <si>
    <t xml:space="preserve">Pārvietojamie stendi 604,00 EUR  </t>
  </si>
  <si>
    <t>9 grupai plaukts 112,00 EUR, plaukts-skapis 223,00 EUR  sekcija 247,00 EUR</t>
  </si>
  <si>
    <t>Ziedi un to izstrādājumi  SIA Pommpons JUR 2025-03/169 no 08.03.2025.-08.11.2026. uz 20.men. Summa plānota 482,00 EUR bez PVN</t>
  </si>
  <si>
    <t>Partika (kafija, tēja, min.ūdens, konfektes, cukurs, cepumi ) Līgums Nr.Jur. 2025-03/186 ELVI uz 18.men. Kadagas PII summa 1530,00 EUR ar PVN</t>
  </si>
  <si>
    <t>Konditoreja Saracēns. Līgums JUR 2025-02/150  12.men.</t>
  </si>
  <si>
    <t>Izlaidumam  35 bērniem lineāli, personalizeti  par 6,00 EUR= 210,00 EUR</t>
  </si>
  <si>
    <t>Inventārs sportam (bumbas, rinķi)</t>
  </si>
  <si>
    <t>Dažadas preces (atslēgas sagatavošana)</t>
  </si>
  <si>
    <t>Tabletes un kapučinātora līdzeklis (tīrīt kafijas aparatu)</t>
  </si>
  <si>
    <t>2.grupai - dvieļi 21 gab. Summa: 51,00 EUR ar PVN+ segas (vilna ar līnu) 5.gab. 65,00 EUR ar PVN. Kopā: 116,00 EUR</t>
  </si>
  <si>
    <t>Jaunam gultam- matracis ar sastāvu: porolons  + plānais kokvilnas pārvalks . Par 4 komplektiem ar PVN 856,00-EUR.</t>
  </si>
  <si>
    <t>9 grupām spēles (galda, didaktiskas 9*EUR 300= 3 600 +400 psihologam, logopedam, spec.pedagogam)=3 100,00 EUR</t>
  </si>
  <si>
    <t xml:space="preserve">9.grupai 4 bērnu gultas komplekti ar galdu un plauktu sistēmu (priedes koks)  ar PVN 5 356,00-EUR.+ montaža 600,00 EUR Kopā: 5 956,00 EUR </t>
  </si>
  <si>
    <t xml:space="preserve">Skapju komplekts ar antresolu + skapitis 1 stavā gaitenos </t>
  </si>
  <si>
    <t>Aprikojums āra (šupoles+kalniņš) 1.grupai</t>
  </si>
  <si>
    <t>Baseina ūdens vingrošnas vajadzībām televizora un programmas noma (EUR 300/ mēn) EUR 2'700</t>
  </si>
  <si>
    <t>Iespēja uzlikt programmu un vingrot līdzi.</t>
  </si>
  <si>
    <t>2 gab. x160 stacionārie fēni, meiteņu biezo matu žāvēšanai + parastie fēni</t>
  </si>
  <si>
    <t>Pludmales volejbola laukuma norobežojošā sēta.</t>
  </si>
  <si>
    <t>Šis ir EKK 2312 nevis 5239</t>
  </si>
  <si>
    <t>Sporta iventāra iegāde/sacensību rīkošanai/ 3 basketbola bumbas, 3 strītbola bumbas, 3 pludmales volejbola bumbas. 5 laukumu nodrošināšana ar inventāru, Tīkls 200eu, līnijas 100eur antenas 40eur.</t>
  </si>
  <si>
    <t>EUR 400 no EKK 1147 uz EKK 1150 (EKK korekcija)</t>
  </si>
  <si>
    <t xml:space="preserve">Atalgojums </t>
  </si>
  <si>
    <t>EUR 1'000 no EKK 2223 uz EKK 2512 (EKK korekcija PVN nomaksai)</t>
  </si>
  <si>
    <t>EUR 1'400 no EKK 2223 uz EKK 2512 (EKK korekcija PVN nomaksai)</t>
  </si>
  <si>
    <t>DARBA  GADI 15,20,25,30,35_2025 - 16 darbinieki * 300 EUR</t>
  </si>
  <si>
    <t>Tiks slēgts jauns līgums, summas tiks precizētas</t>
  </si>
  <si>
    <t>Skolas akreditācija IKVD</t>
  </si>
  <si>
    <t>skolēnu skaita palielināšanās, biļešu sadārdzinājums</t>
  </si>
  <si>
    <t>Transporta pakalpojumi 2.-4.kl.korim uz Mazajiem dziesmusvētkiem Mežaparka estrādē</t>
  </si>
  <si>
    <t>Pozīcijā izpilde &lt;70%, iespējams jāsamazina.</t>
  </si>
  <si>
    <t>230 x 25,00</t>
  </si>
  <si>
    <t>20 darb.</t>
  </si>
  <si>
    <t>Pirmās palīdzības kursi</t>
  </si>
  <si>
    <t>Supervīzija atbalsta komandai</t>
  </si>
  <si>
    <t>Kursi atbalsta komandai</t>
  </si>
  <si>
    <t xml:space="preserve">Skolas vārds profesionālās pilnveides lekciju abonaments </t>
  </si>
  <si>
    <t>Oskara Kaulēna praktiska nodarbība 9Gagne mācību notikumi (6h)</t>
  </si>
  <si>
    <t xml:space="preserve">Mācību procesa individualizācija, diferenciācija  un personalizācija praksē. Rolands Ozols </t>
  </si>
  <si>
    <t>Nodarbību cikls (februāris un augusts, 6h) - Kas ir iekļaujoša klase?  Elita Šneidere</t>
  </si>
  <si>
    <t xml:space="preserve">Klasvadības paņēmieni Linda Bajarūne </t>
  </si>
  <si>
    <t>Balvu fonds E-Faktoram un Eiropas dienām (interešu - Eiropas klubs (Pārcelts uz EKK 2314)</t>
  </si>
  <si>
    <t xml:space="preserve">Bērnu, jauniešu un vecāku žurijas pasakuma noslēgums (Pārcelts uz EKK 2314) </t>
  </si>
  <si>
    <t>Skolas noformēšanai uz svētkiem (Pārcelts uz EKK 2314)</t>
  </si>
  <si>
    <t>Naktsmītnes Liepājā 23-24.maijā 24 dejotājiem</t>
  </si>
  <si>
    <t>Skolas 40. gadu salidojums</t>
  </si>
  <si>
    <t>Rūtas 30 gadu jubileja</t>
  </si>
  <si>
    <t>Skolas 40 gadu salidojums</t>
  </si>
  <si>
    <t>Instrumentu remonts</t>
  </si>
  <si>
    <t>~ 230 darbinieki</t>
  </si>
  <si>
    <t>Pret izpildi ļoti liels plāns?</t>
  </si>
  <si>
    <t>Office 355 A3 AddOn to OffProPlus 200 SKOLOTĀJI UN VISI SKOLĒNI. (Lietotāju skaits audzis)</t>
  </si>
  <si>
    <t>Šis jau ir EKK 7210</t>
  </si>
  <si>
    <t>CAPS  RTU plaģiāta kontroles sistēma</t>
  </si>
  <si>
    <t>visaskola.lv</t>
  </si>
  <si>
    <t>Datorium pakalpojums AI mācību stundām visi skolotaji</t>
  </si>
  <si>
    <t>Iekārtu programmatūras apkalpošanas pakalpojuma ikmēneša maksa UAB “PayTicket” Latvijas filiāle (250,00 eur x 12)</t>
  </si>
  <si>
    <t>3.6.	Papildus maksai par Pārvadājumu, Pasūtītājs maksā Izpildītājam ikmēneša maksu par Pakalpojumu  EUR 500,- (pieci simti euro) bez pievienotās vērtības nodokļa. Paklpojumus izmanto ĀVS, ĀVS sākumskola, CVS, ĀBVS un  Sociālais dienests</t>
  </si>
  <si>
    <t>Milzīgs pieaugums!</t>
  </si>
  <si>
    <t>Skolēnu galdi (A-103) 19 gab</t>
  </si>
  <si>
    <t>Skolēnu krēsli (A103) 38 gab</t>
  </si>
  <si>
    <t>Krēsli skolēniem 216.kab 32 gab</t>
  </si>
  <si>
    <t>Krēsli skolēniem 223.kab 32 gab</t>
  </si>
  <si>
    <t>Krēsli skolēniem 219. kab 16 gab</t>
  </si>
  <si>
    <t>Skolēnu galdi (B-106) 19 gab</t>
  </si>
  <si>
    <t>Skolēnu krēsli (B-106) 38 gab</t>
  </si>
  <si>
    <t>Kopīgām</t>
  </si>
  <si>
    <t>Tāme pielikumā</t>
  </si>
  <si>
    <t>Olimpiāžu vērtēšanas komisijas vajadzībām</t>
  </si>
  <si>
    <t>Skolas noformēšana uz svētkiem</t>
  </si>
  <si>
    <t>Rūtas 30. gadu jubileja (nepieciešamās summas pārsniegs noslēgto līgumu apjomus (ziedi, kliņģeri, utt)</t>
  </si>
  <si>
    <t>Skolas 40. gadu salidojums (nepieciešamās summas pārsniegs noslēgto līgumu apjomus (ziedi, kliņģeri, utt)</t>
  </si>
  <si>
    <t>Tāme: Rūtas 30. gadu jubileja</t>
  </si>
  <si>
    <t>Tāme: Skolas 40. gadu salidojums</t>
  </si>
  <si>
    <t>Vienreizējie cimdi ķīmijas stundām</t>
  </si>
  <si>
    <t>Skaidu nosūcēja lokanā caurule</t>
  </si>
  <si>
    <t>Obligātā veselības pārbaude (ik pēc 3gadiem atkārtoti) 30 darb*40eur=1200 eur</t>
  </si>
  <si>
    <t>ACCA Bērnu aizsardzības koncertam</t>
  </si>
  <si>
    <t>Darba halāti (dizains un tehnoloģijas) 16*31</t>
  </si>
  <si>
    <t>Darba halāti (ķīmija) 30*43.00</t>
  </si>
  <si>
    <t>T krekli 2.-4.kl. korim 120*6</t>
  </si>
  <si>
    <t>Deju kolektīvam "Rūta"</t>
  </si>
  <si>
    <t>Izšūtās auduma apkaklītes un aproces Alsungas blūzēm</t>
  </si>
  <si>
    <t>Krāsaini auduma lakatiņi</t>
  </si>
  <si>
    <t>Latgales austās celu jostas</t>
  </si>
  <si>
    <t>Puišu Kurzemes žakarda veste</t>
  </si>
  <si>
    <t>Kaltās Pūces saktiņas</t>
  </si>
  <si>
    <t>Latgales puišu izšūtie krekli</t>
  </si>
  <si>
    <t>Latgales gludās saktas</t>
  </si>
  <si>
    <t>Vidzemes austās jostas</t>
  </si>
  <si>
    <t>Puišiem austās auduma pusbikses</t>
  </si>
  <si>
    <t>Puišiem pusgarās vilnas zeķes</t>
  </si>
  <si>
    <t>Puišiem tumšās auduma bikses</t>
  </si>
  <si>
    <t>Izšūtās auduma apkaklītes Vidzemes blūzēm</t>
  </si>
  <si>
    <t>Krāsainie auduma lakatiņi</t>
  </si>
  <si>
    <t>Rūta 5-6</t>
  </si>
  <si>
    <t>Rūta 7-8</t>
  </si>
  <si>
    <t>Mācību materiāli meiteņu dizains un tehnoloģijas meitenes</t>
  </si>
  <si>
    <t>Mācību materiāli interešu izglīītības šautriņas</t>
  </si>
  <si>
    <t>Mācību materiāli interešu izglīītības vingrošana</t>
  </si>
  <si>
    <t>Mācību līdzekļi datorikas katedrām</t>
  </si>
  <si>
    <t>Ineteraktīvie displeji (216, 218, 219, 224, 331, C-206, A-103, A-104, C-202) 9 gab.</t>
  </si>
  <si>
    <t>Priekšlasītājs Bruno un balss sintezators Oskars</t>
  </si>
  <si>
    <t>Atbalsta komanda</t>
  </si>
  <si>
    <t>Dokstacijas ar displaylink atbalstu mācību klasēs IZM portatīvo datoru izmantošanai 80 gab. x 200 (ĀVS abās ēkās)</t>
  </si>
  <si>
    <t>Datoru uzlādes skapji, ja IZM nepiešķir!</t>
  </si>
  <si>
    <t>Šķidrā slāpekļa djuārs 20 l</t>
  </si>
  <si>
    <t>Darbagalds COMBO, ar instrumentu paneli un apgaismojumu, 1840x775x1530 mm</t>
  </si>
  <si>
    <t>Šis turpmāk zem EKK 2249</t>
  </si>
  <si>
    <t>Šo izskatās, ka pērk skola</t>
  </si>
  <si>
    <t>EUR 1'000 no EKK 1221 uz EKK 1228 (EKK korekcija)</t>
  </si>
  <si>
    <t>EUR 1'000 no EKK 2363 uz EKK 2512 (EKK korekcijas saņemtā PVN atmaksai)</t>
  </si>
  <si>
    <t>Saskaņā ar protokollēmumu EUR 37'837 no ēdināšanas pabalsta 5.-9.klašu skolēniem (pie Soc. Dienesta 1010/EKK6423) un EUR 35'631 no nesadalītā konta atlikuma uz ĀSS brīvpusdienu līdzfinansējuma nodrošināšanai.</t>
  </si>
  <si>
    <t>CKS aprēķins 53379</t>
  </si>
  <si>
    <t>Ielikts - 2'000 EUR</t>
  </si>
  <si>
    <t>Jābeidzas 2025.gadā</t>
  </si>
  <si>
    <t>EUR 660 no EKK 2239 (Vējupītes festivāls) uz EKK 2312 inventāra iegādei.</t>
  </si>
  <si>
    <t>EUR 450 no EKK 2239 uz EKK 2233 transporta izdevumu segšanai florbola komandai.</t>
  </si>
  <si>
    <t>EUR 150 no EKK 2322 uz EKK 2341 - baseina aptieciņas un basketbola komandas medicīnas somas papildināšanai.</t>
  </si>
  <si>
    <t>Info I.Pērkone</t>
  </si>
  <si>
    <t>I.Pelcmane sniegs info novembra beigās</t>
  </si>
  <si>
    <t>EUR 200 no EKK 2314 uz EKK 2350 (EKK korekcija)</t>
  </si>
  <si>
    <t>Pašvaldības izmaksas nodarbinātībā 15-20 gadiem:</t>
  </si>
  <si>
    <t>Valsts atbalsts (15-20 gadiem) sadarbībā ar NVA - jāparedz budžetā:</t>
  </si>
  <si>
    <t>Pašvaldības izmaksas (13-15 gadiem nodarbinātībā)</t>
  </si>
  <si>
    <t>Tāme Nr.4 Jauniešu domes budžets</t>
  </si>
  <si>
    <t xml:space="preserve">Tāme Nr.8. Dalība novada pasākumos (Gaujas svētki, Nēģu svētki) </t>
  </si>
  <si>
    <t>Tāme Nr.10. 4 āra kameru ierīkošana ĀDAŽU BJC</t>
  </si>
  <si>
    <r>
      <t xml:space="preserve">Darba ar jaunatni aktivitāšu plāna izdevumi,
Tāme Nr. 5 (Kopā: </t>
    </r>
    <r>
      <rPr>
        <b/>
        <i/>
        <sz val="8"/>
        <color theme="1"/>
        <rFont val="Arial"/>
        <family val="2"/>
      </rPr>
      <t>EUR 6'435</t>
    </r>
    <r>
      <rPr>
        <i/>
        <sz val="8"/>
        <color theme="1"/>
        <rFont val="Arial"/>
        <family val="2"/>
      </rPr>
      <t xml:space="preserve"> sadalīti EUR 3'400 EKK 2239 (2231), EUR 2'435 EKK 2314, EUR 600 EKK 2311)</t>
    </r>
  </si>
  <si>
    <t>Tāme Nr.3 Jauniešu dalība Starptautiskās jaunatnes dienas festivālā augustā (Kopā: EUR 1'840 sadalīti EUR 300 EKK 2239 (2231), EUR 1'540 EKK 2233)</t>
  </si>
  <si>
    <t xml:space="preserve">Tāme Nr.9. Brīvprātīgā darba veicēju un darba vadītāju godināšanas </t>
  </si>
  <si>
    <t>Tāme Nr.2 Materiāltehniskās bāzes nodrošinājums (Kopā: EUR 2'465 sadalīti EUR 1'180 EKK 2312, EUR 520 EKK 2314, EUR 655 EKK 2350, EUR 110 EKK 2239)</t>
  </si>
  <si>
    <t>Pagaidām visa summa zem EKK 5238!!</t>
  </si>
  <si>
    <t>Tāme Nr.10., 11. Video novērošanas kameras iekštelpās un ārā</t>
  </si>
  <si>
    <t xml:space="preserve">Lielākais sadardzinājums: </t>
  </si>
  <si>
    <t>1. Skolēnu vasaras nodarbinātība (atalgojums)</t>
  </si>
  <si>
    <t xml:space="preserve">2. Nācis klāt bērnu un jauniešu centrs (piemēram, interneta uzturēšana, videokameru ierīkošana, BJC Ādaži uzturēšana, </t>
  </si>
  <si>
    <t>aktivitāšu nodrošināšana utt)</t>
  </si>
  <si>
    <t>Faktiskā izpilde uz 16.10.2025. stipri atšķiras.</t>
  </si>
  <si>
    <t>Jaunatnes jomā liela daļa finansējuma tiek tērēta gada noslēgumā (piemēram, skolēnu vasaras nodarbinātības izdevumi noslēdzas spetembra otrajā pusē,</t>
  </si>
  <si>
    <t>kad DD visinodokļi nomaksāti., šobrīd vēl 6 jauniešu inciatīvu projekti realizācijas posmā apmēram 3000Eur)</t>
  </si>
  <si>
    <t>Apdrošināšanas polises iegādes kompensācija</t>
  </si>
  <si>
    <t>Briļļu kompensācija EUR 200</t>
  </si>
  <si>
    <t>Apaļi darba gadi EUR 300</t>
  </si>
  <si>
    <t>DARBA  GADI 15,20,25,30,35 - 7 darbinieki * 300 EUR</t>
  </si>
  <si>
    <t>EUR 8'980 no EKK 2239 uz EKK 2232 (EKK korekcija iekšējais audits būvvaldē)</t>
  </si>
  <si>
    <t xml:space="preserve">Saskaņā ar koplīgumu rezreve briļļu iegādei </t>
  </si>
  <si>
    <t>DARBA  GADI 15,20,25,30,35_2025 - 1 darbinie2 * 300 EUR</t>
  </si>
  <si>
    <t>Komandējuma nauda Kauņa 02.06.-03.06.</t>
  </si>
  <si>
    <t>Administrācijas mob. telefonu apmaksa EUR 9.62/mēn</t>
  </si>
  <si>
    <t>līgumā iekļautā summa</t>
  </si>
  <si>
    <t>Konkursi, koncerti, skates ---&gt;  Alojā, Rīgā, Ogrē, Cēsīs, Viļņā, Daugavpilī, Rojā, Salacgrīvā, Jelgavā, Iecavā, Jūrmalā, u.c. Vietu skaits atkarīgs no dalībnieku skaita attiecīgajā pasākumā (1-50) + transports uz nometnēm</t>
  </si>
  <si>
    <t>Sanitārā grāmatiņa (25Eur*85 darbinieki)</t>
  </si>
  <si>
    <t>OVP (50Eur*33 darbinieki)</t>
  </si>
  <si>
    <t xml:space="preserve">3 nometnes (māksla, mūzika, deja) - 130 audzēkņi x EUR 100.00 - pakalpojumu cenas (ēdināšana, naktsmītnes, inspekciju atzinumi) katru gadu pieaug.  </t>
  </si>
  <si>
    <t>Akreditācijas izdevumi</t>
  </si>
  <si>
    <t>Summa tika atgriezta 2024. gada budžeta apjomā. 2025. gadā norisinājās XIII Latvijas Skolu jaunatnes dziesmu un deju svētki, tādēļ nometnes netika organizētas. Savukārt 2026. gadā ir jāparedz attiecīgie izdevumi, jo plānots rīkot nometnes visās skolas nodaļās.</t>
  </si>
  <si>
    <t>Pamatojoties uz MK 2023.gada 2.maija noteikumiem Nr.213 "Izglītības kvalitātes valsts dienesta maksas pakalpojumu cenrādis"  --&gt; 2295,77Eur; 385,60*12 = 4627,20Eur</t>
  </si>
  <si>
    <t>Vokālās mūzikas un dejas festivāls</t>
  </si>
  <si>
    <t xml:space="preserve">Meistarklases ĀNMS </t>
  </si>
  <si>
    <t xml:space="preserve">Pūšaminstrumentu un stīgu instrumentu remonts, skaņošana. </t>
  </si>
  <si>
    <t>Datortehnikas un printeru remonts/apkope (2025.gadā 88 datori +  21 printeri)</t>
  </si>
  <si>
    <t>Dažādu iekārtu (stikla krāsns, māla krāsns, elektrotehnika u.c.) remonts</t>
  </si>
  <si>
    <t>Saskaņā ar koplīgumu EUR 200 brillēm/apdrošināšanai =&gt;85*200 Samazinājums dēļ faktiskās izpildes. Ir skolotāji, kas strādā divās darba vietās un neizvēlas pašvaldības apdrošināšanu.</t>
  </si>
  <si>
    <t>Samazinājums dēļ faktiskās izpildes. Ir skolotāji, kas strādā divās darba vietās un neizvēlas pašvaldības apdrošināšanu.</t>
  </si>
  <si>
    <t xml:space="preserve">Adobe CC paka (1 gabx490 EUR/gadā;  Adobe Illustrator (11gabx210 EUR/gadā) + Photoshop CC (11gabx210 EUR/gadā)  licences, mācība priekšmeta datordizains nodrošināšanai </t>
  </si>
  <si>
    <t>Printeru un kopētāja kārtridži.2025. gadā 21 printeris. Palielinājies skaits +5</t>
  </si>
  <si>
    <t>Mūz. Instrumentiem - tumbas un iekārtas</t>
  </si>
  <si>
    <t xml:space="preserve">Tradicionālās kokles, 3gb * 340Eur </t>
  </si>
  <si>
    <t>Grafiskās planšetes 3gb</t>
  </si>
  <si>
    <t>Flauta</t>
  </si>
  <si>
    <t>Meinl Cocktail Cajon Kit w. Pickup - kahons</t>
  </si>
  <si>
    <t>Ziedi (2025g. līgumā EUR 1833,15, Līgums līdz 08.11.2026., šobrīd līguma atlikums  ~ 1430 EUR).</t>
  </si>
  <si>
    <t>Konditoreja (2025g. līgumā EUR 600, Līgums līdz 03.03.2025., šobrīd līguma atlikums  ~ 339,09 EUR).</t>
  </si>
  <si>
    <t>Elvi līgums</t>
  </si>
  <si>
    <t xml:space="preserve"> Kurši, Depo.(2025g. līgumā EUR 4000, Līgums divās pozīcijās EKK2370 un EKK 2350 līdz 11.09.2026., šobrīd līguma atlikums  ~ 381,00 EUR).</t>
  </si>
  <si>
    <t>Kameras skolas teritorijā 4gb*300Eur un skolā 6gb*200Eur</t>
  </si>
  <si>
    <t>Drošības jautājujms. Vēlamies nomainīt 4 āra 2 iekštelpu kameras, jo vairs nepilda savas funkcijas. Kā arī papildus uzstādīt 4 iekštelpu kameras.</t>
  </si>
  <si>
    <t>Koncerttērpi koklētājiem (6 gb * 280 Eur)</t>
  </si>
  <si>
    <t>Koncerttērpi dejotājiem (B.Miķelsonei) (20 gb * 30 Eur)</t>
  </si>
  <si>
    <t>Koncerttērpi dejotājiem (L.Jasmane) (20*28,5Eur)</t>
  </si>
  <si>
    <t>Koncerttērpi dejotājiem (L.Jasmane) (38*56,5 Eur)</t>
  </si>
  <si>
    <t>SIA „Baltijas Banknote” apliecības par profesionālās ievirzes izglītību + vāciņi</t>
  </si>
  <si>
    <t xml:space="preserve">SIA "Kalifeks" </t>
  </si>
  <si>
    <t xml:space="preserve"> Kurši, Depo.(2025g. līgumā EUR 4000, Līgums divās pozīcijās EKK2370 un EKK 2350 līdz 11.09.2026., šobrīd līguma atlikums  ~ 757,00 EUR).</t>
  </si>
  <si>
    <t xml:space="preserve"> Partita 2026.gadam</t>
  </si>
  <si>
    <t>Sublimācijas printeris Epson L18050</t>
  </si>
  <si>
    <t xml:space="preserve">Dizainu pamatu/ teksita tehnikas un mediju pamatu apguvei. Jaunas apdrukas tehnikas iepazīšanai. </t>
  </si>
  <si>
    <t>Bambu Lab P1S 3D Printer</t>
  </si>
  <si>
    <t>Dizainu pamatu un mediju pamatu apguvei.</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</si>
  <si>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</si>
  <si>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</si>
  <si>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Stacionārie datori audzēkņiem - Datorklasē, datorgrafikas nodrošināšanai. 9gb (1gb * 1200)</t>
  </si>
  <si>
    <t>Jauni stacionārie datori audzēkņiem. Šobrīd Carnikavas mācību punkta datorklasē kopā ir 9  datori. No kuriem 6 datori tehniski vairs neatbilst mūsdienu prasībām un neatbalsta Windows 11 operētājsistēmu atjauninājumus. 3 no šiem ir portatīvie datori, kas apgrūtina mācību procesu datorgrafikā. Nomainot šos trīs portatīvos datorus uz stacionārajiem datoriem, ĀNMS iegūst 3 datorus, ko iedot pedagogiem veco datoru vietā.</t>
  </si>
  <si>
    <t>Jauni portatīvie datori pedagogiem. Kopumā ĀNMS ir 26 datori, kuri tehniski vairs neatbilst mūsdienu prasībām, šie datori jau pirms 3 gadiem ir uzlaboti ar IT nodaļas palīdzību, taču šobrīd papildu uzlabojumus vairs nav iespējams veikt. Turklāt esošie datori neatbalsta Windows 11 operētājsistēmu, ko Microsoft noteicis kā standartu turpmākajai programmatūras attīstībai un drošības atjauninājumiem. Pārorganizējot datorklases, ir aprēķināts, ka skolai būtu nepieciešami 16 jauni portatīvie datori pedagogiem.</t>
  </si>
  <si>
    <t>Buffet Crampon Prodige Bb klarnete</t>
  </si>
  <si>
    <t>Yamaha CLP-845 PE digitālās klavieres</t>
  </si>
  <si>
    <t>Koncertkokle</t>
  </si>
  <si>
    <t>Liektais soprāna saksofons  2gb</t>
  </si>
  <si>
    <t>Akustiskā sistēmas komplekts āra pasākumiem</t>
  </si>
  <si>
    <t>Nepieciešama akustikas sistēma sakarā ar to, ka ĀNMS nav lielas koncertzāles. Nodrošinot āra pasākumus (kā piem., Zinību diena, atvērto durvju diena, Gaujas mozaīka, konkursa apbalvošanas pasākumi, u.c) nespējam ar esošo tehniku nodrošināt kvalitatīvu apskaņošanu.</t>
  </si>
  <si>
    <t>Jau 2 gadus invenstīcijās netika atbalstīts. Šobrīd tērējam skaņošanai un remontdarbiem "mirušā" instrumentā.</t>
  </si>
  <si>
    <t>EUR 200 no EKK 1210 uz EKK 1228 (EKK korekcija)</t>
  </si>
  <si>
    <t xml:space="preserve">Florbola nometne. Saskaņā ar MK 981 noteikumiem uz katriem 10 bērniem jābūt 1 pavadošai personai. </t>
  </si>
  <si>
    <t xml:space="preserve">Apaļi darba gadi </t>
  </si>
  <si>
    <t>3 darbiniekiem</t>
  </si>
  <si>
    <t>Šis uz EKK 1228</t>
  </si>
  <si>
    <t xml:space="preserve">Lūgums nesamazināt 2026.g transporta pakalpojumu maksas, jo 2025. g atkal iznāca ietaupīt ( dalība LČ finālturnīrā volejbols un florbols, kopā vismaz 30 braucieni uz izbraukuma spēlēm, arī džudo un v/a  ietaupīja, jo izmantoja personīgo transportu) . Ja kaut kas tiek samazināts - visticamāk, ka nepietiks nosegt visas izmaksas. </t>
  </si>
  <si>
    <t xml:space="preserve">Pirmās palīdzības kursi, padziļinātie bērnu tiesību aizsardzības kursi, nometņu vadītāju kursi </t>
  </si>
  <si>
    <t xml:space="preserve">Lūgums nesamazināt 2026.g dalības maksas, jo 2025. g atkal iznāca ietaupīt ( dalība LČ finālturnīrā volejbols, un florbols) . Ja kaut kas tiek samazināts - visticamāk, ka nepietiks nosegt visas izmaksas. </t>
  </si>
  <si>
    <t>Plānoti  73 izglītojamie, kuri sasnieguši 18 gadus un vecāki, kuriem jāapmaksā Sporta medicīnas centra pakalpojums par 80 euro</t>
  </si>
  <si>
    <t>Darbinieku veselības apdrošināšana - 27 darbinieki</t>
  </si>
  <si>
    <t xml:space="preserve">Nepieciešams papildināt inventāru - vingrošanas solus-, ko lietos arī vidusskola un sporta centra apmeklētāji. (Katrai no 8 nodaļām paredzēts 1500 euro)  </t>
  </si>
  <si>
    <t>Biroja galdi, krēsli apmeklētajiem, plaukti treneru ģērbtuvē, pakaramie virsdrēbēm.</t>
  </si>
  <si>
    <t xml:space="preserve">Sporta skolas administrācijas telpā nepieciešami uzlabojumi, trūkst krēsli, lai nodrošinātu vec saplces un ped. Sēdes. Treneru ģērbtuvē nepieciešami plaukti un pakaramie, lai varētu atbrīvot vietu no soliem. VFS zāle jāaprīko ar plauktiem inventāra novietošanai, jāiegādājās arī folija segas </t>
  </si>
  <si>
    <t>Stikla vitrīnas sporta kausu izstādīšanai - EUR 1'586 no EKK 2312 uz EKK 5239 (EKK korekcija, jo klasificējas kā PL)</t>
  </si>
  <si>
    <t>Balvas kļuvušas dārgākas, tādēl pievienots 1000euro</t>
  </si>
  <si>
    <t>Balvas - Papildus 1000 euro - Balvas kļuvušas dārgākas</t>
  </si>
  <si>
    <t>Pievienoti 200euro, jo papildus jānodrošina pirmās palīdzības aptieciņas, kuras seko līdz trenerim uz nodarbību vietām (klāt nākusi ĀBVS, PII Strautiņš, Carnikavas vsk)</t>
  </si>
  <si>
    <t>Mācību gada laikā iegādājmies papildus sīko inventāru, ja rodas tāda nepieciešamība. Šogad papildus klāt nākusi ĀBVS, PII Strautiņš, Carnikavas vsk, kur treneri nodrošina mācību procesu</t>
  </si>
  <si>
    <t>IZM Līgums ar citu dok. izgatavotāju, cenas augušas par 1,5x</t>
  </si>
  <si>
    <t>Datorprogrammu licenču iegāde</t>
  </si>
  <si>
    <t xml:space="preserve">Datori 2 gb  </t>
  </si>
  <si>
    <t xml:space="preserve">Nepieciešami jauni datori treneriem - amatu pildīšanas nodrošināšanai. </t>
  </si>
  <si>
    <t xml:space="preserve">VFS zāles iekārtošana </t>
  </si>
  <si>
    <t>Sporta skola papildus prasīs 2 vakances - metodiķis un fizioterapeits. Ja šīs vakances tiek apstiprinātas, nepieciešams:
1) EUR 250 Biroja galds;
2) EUR 3'200 datori 2gb;
3) EUR 1'500 medicīnas kušete;
4) ~ EUR 3'000 plaukti inventāram.</t>
  </si>
  <si>
    <t>Naudas balvas popularizējot novada vārdu koru Svētkos Mežaparkā</t>
  </si>
  <si>
    <t>Dziesmu svētku budžets, kurā iekļautas visas kultūras jomas skates un konkursi, kas saistīti ar Dziesmu un deju svētku tradīcijām, lai būtu vieglāk koordinēt plānošanu.</t>
  </si>
  <si>
    <t>Uzņēmuma līgums - žūrijas, diriģentu locekļiem, Tāme Nr.1 un Nr.3 un Nr.4 un Nr.5</t>
  </si>
  <si>
    <t>Uzņēmuma līgums - video, foto, Tāme Nr.1 un Nr.2 un Nr.4 un Nr.5 un Nr.6</t>
  </si>
  <si>
    <t>Transporta pakalpojumi kolektīvu dalībai Svētkos Mežaparkā Tāme Nr. 2</t>
  </si>
  <si>
    <t>Transporta pakalpojumi uz otrās kārtas skatēm  Tāme Nr. 4</t>
  </si>
  <si>
    <t>Provizorisks aprēķins</t>
  </si>
  <si>
    <t>Izdevumi par dalībnieku ēdināšanu kora Svētkos Mežaparkā  Tāme Nr. 2</t>
  </si>
  <si>
    <t>Novada kārtas konkursu nodrošinājums (ziedi, ūdens, diplomi), Tāme Nr.1.un Nr. 2 un Nr.3 un Nr.4 un Nr.5 un Nr.6</t>
  </si>
  <si>
    <t>Novada dalībniekiem vienreizējie lietusmēteļi Tāme Nr.2</t>
  </si>
  <si>
    <t>novada kolektīvu sēžamspilveni Svētkos - vienots novada tēls</t>
  </si>
  <si>
    <t>Atbalsta pasākumi pilngadību sasniegušam bērnam</t>
  </si>
  <si>
    <t>Koplīguma dāvana darbiniekiem (likuma ietvaros) EUR 20*15</t>
  </si>
  <si>
    <t>2 darbinieces, par kurām maksājam - 437,50 euro ceturksnī par 1 pers.</t>
  </si>
  <si>
    <t>Izpilde nav sasniegta, jo mainījās SD vadītājs, nav vēl noslēgts līgums ar jauno vadītāju</t>
  </si>
  <si>
    <t>Briļļu iegāde pēc koplīguma - EUR 200*10</t>
  </si>
  <si>
    <t>Pieaug tendence izmantot ES piedāvātos seminārus un konferences</t>
  </si>
  <si>
    <t>Plānots iesaistīties projektos</t>
  </si>
  <si>
    <t>rēķinu izmaksas katru mēnesi nedaudz mainās</t>
  </si>
  <si>
    <t>Vidēji mēnesī summa pieaugusi līdz 280 eiro</t>
  </si>
  <si>
    <t>Līgums par optiskā kabeļa apkalpošanu (mēnesī EUR 242*12 mēn) Ādaži</t>
  </si>
  <si>
    <t>vidēji mēn. 257,50 euro</t>
  </si>
  <si>
    <t>sept.jau pietrūka</t>
  </si>
  <si>
    <t>vidēji 37,3 euro mēn.</t>
  </si>
  <si>
    <t>vidēji mēnesī 167 euro</t>
  </si>
  <si>
    <t>2026.gadā prov.5 cilv.būs jāiet OVP</t>
  </si>
  <si>
    <t>Balstoties uz MK noteikumiem. (EUR 40). OVP</t>
  </si>
  <si>
    <t>vismaz 2 SD psih.konsultēšana - 1000 eiro, BTA apmāc.10 darb.- 1000 eiro, superv. 8400 eiro - 30% atpakaļ no LM - 3'000 EUR</t>
  </si>
  <si>
    <t>10 eiro pa 1 aparātu- apkope</t>
  </si>
  <si>
    <t>EUR 354 no EKK 2235 uz EKK 2234 (EKK korekcija OVP)</t>
  </si>
  <si>
    <t xml:space="preserve">Aprūpes plānošanas sistēmas APSis, kas ievērojami paātrinās klientu izvērtēšanas procesu un datu saglabāšanu sistēmā.435,6*12. </t>
  </si>
  <si>
    <t>pēc līguma</t>
  </si>
  <si>
    <t>izpilde lielāka, atstāt šo pašu summu</t>
  </si>
  <si>
    <t>Papīrs iziet ļoti daudz - līgumi, lēmumi</t>
  </si>
  <si>
    <t xml:space="preserve">Datorkrēsli 3 gab. 210*3, kāju paliknis 66 </t>
  </si>
  <si>
    <t>Printeris-1 darbiniekam</t>
  </si>
  <si>
    <t>Depo cenas (EIS ļoti dārgi)</t>
  </si>
  <si>
    <t>Stāvgalds 1 darbiniekam-OVP ieraksts</t>
  </si>
  <si>
    <t>žurnāla galdiņš psihologa kab.Carnikava</t>
  </si>
  <si>
    <t>EIS</t>
  </si>
  <si>
    <t>represēto ziedi iekontēti citā EKK</t>
  </si>
  <si>
    <t>samazināts par 30%</t>
  </si>
  <si>
    <t>Uz šo brīdi no depo iztērēti 250 euro, būs vēl izmaksas klientu Ziemassv.pasākumam, līgums līdz 2026.gada sept.</t>
  </si>
  <si>
    <t>Pēc grozītā nolikuma, ja kopā ar budžetu tiks apstiprināts</t>
  </si>
  <si>
    <t>Ādažu novada domes 2023. gada 24. maija ,,Iniciatīvas projektu finansēšanas kārtība Ādažu novada pašvaldībā'' EUR 19'000.</t>
  </si>
  <si>
    <t>Nāk ar čekiem, šāda summa ir plānota, balstoties uz 2025.gada faktu un, ņemot vērā prognozi. 2025.gadā Trūcīgo līmenis pirmajai personai mājsaimniecībā nepārsniedz 425 EUR  (katra nākamā persona 298 EUR )Maznodrošināto līmenis pirmajai personai mājsaimniecībā nepārsniedz 680 EUR (katra nākamā persona 476 EUR)</t>
  </si>
  <si>
    <t>izpilde atbilst</t>
  </si>
  <si>
    <t>paredzēts tikai 7 pers. (Ir arī neparedzēto gadījumu rezerve)</t>
  </si>
  <si>
    <t>MK noteikumi - Pabalsts patstāvīgas dzīves uzsākšanai 340 euro, personām ar invaliditāti kopš bērnības 510 euro. Pabalsts ikmēneša izdevumiem bārenim - mācību iestādes audzēknim  187 euro mēnesī, personām ar invaliditāti  kopš bērnības 255 euro mēnesī.  Vienreizējs pabalsts sadzīves priekšmetu un mīkstā inventāra iegādei  1445 euro, katru mēnesi Mājokļa pabalsts.</t>
  </si>
  <si>
    <t xml:space="preserve"> SN 2025.gadā Par pašvaldības pabalstiem aizbildņiem un audžuģimenēm. Pabalsts viena bērna uzturam audžuģimenē mēnesī ir – 530 euro, Pabalsts viena bērna uzturam pie aizbildņa mēnesī ir – 275 euro; ikgadējs pab.audžuģim.min.alga - 780 euro</t>
  </si>
  <si>
    <t>samazinu līdz 10 000, jo no šī EKK sept.tika pārvirzīti 20000 uz EKK 6419. Jāatstāj nauda, jo ceļas trūcīga statusa līmenis.</t>
  </si>
  <si>
    <t>30% mērķdotācija no LM</t>
  </si>
  <si>
    <t>Valsts noteiktais: Garantētā minimālā ienākuma pabalsti paaugstināsies uz 187 EUR pirmajai personai un uz 131 EUR nākamajām personām</t>
  </si>
  <si>
    <t>30% dotācija no LM 10'000 EUR</t>
  </si>
  <si>
    <t>šo pozīciju nevar precīzi prognozēt un ņemot vērā LM koeficientus, var pieaugt klientu skaits</t>
  </si>
  <si>
    <t xml:space="preserve">30% mērķdotācija no LM </t>
  </si>
  <si>
    <t>esošo klientu skaits, 2025,gada izpilde + 2 personas klāt rezervei</t>
  </si>
  <si>
    <t>samazinam par 30%</t>
  </si>
  <si>
    <t>Kl.skaits 2026.gadā var pieaug, jo pieaug maznodr.līm.</t>
  </si>
  <si>
    <t>2026.gadā jāslēdz līgums 4,20 euro viena porcija*123dd*50 porcijas</t>
  </si>
  <si>
    <t>svarīgi atstāt, jo krīzes nav paredzamas</t>
  </si>
  <si>
    <t>samazināts</t>
  </si>
  <si>
    <t>No pašvaldības - bāriņtiesas lēmumu izpildīšana, vardarbība ģimenē utml. Viena bērna izņemšana 75 EUR dienā. Soc.rehabilitācijas mērķu sasniegšanai trūc., maznodr.</t>
  </si>
  <si>
    <t>nav paredzams, kad bērns tiek izņemts no ģimenes un ievietots krīzes centrā, nauda nepieciešama</t>
  </si>
  <si>
    <t>izpilde 2025.gadā jau pārsniedz, bet bija paredzēta nauda arī citā kodā 500 eiro, kur izņēmu ārā</t>
  </si>
  <si>
    <t>SN par mājokļa pielāgošanu personām ar invaliditāti un kustību traucējumiem 2 personām gadā par 10 000</t>
  </si>
  <si>
    <t>2 personas ar iesniegumiem, ir SN, kas nosaka apmaksāt 2 cilvēkiem</t>
  </si>
  <si>
    <t>izpilde sakrīt ar plānoto, ziemas mēnešos būs lielāki izdevumi</t>
  </si>
  <si>
    <t>izdevumi nodaļā 1010.1.</t>
  </si>
  <si>
    <t>ieņēmumi nodaļā 1010.1.</t>
  </si>
  <si>
    <t>Pansionāti. Jauni SN par līdzmaksājumu 400 EUR apmērā, ja ievieto klienta izvēlētā iestādē. Šobrīd 5 personas saņem, jāparedz vēl vismaz 3, jo ir interese.</t>
  </si>
  <si>
    <t>Pielikums Nr.1</t>
  </si>
  <si>
    <t>Rezerve, jo palielinās pansionātos ievietoto skaits (2 pers.vidēja izcenojuma pansionātā) un cenas 5% pieaugums</t>
  </si>
  <si>
    <t>Dienas aprūpes centri citā pašvaldībā - 3 klienti +1 persona rezerve lētākajā DAC- Pielikums Nr 1</t>
  </si>
  <si>
    <t>Mērķdotācija no LM  14 170,4 gadā, Pielikums Nr.1</t>
  </si>
  <si>
    <t>Draudze " Zilais krusts" īslaicīgas nakts patversmes vai Sarkanais Krusts 5,50EUR šobrīd ir līgums par 1 klientu. PINS 17 EUR par 1 klientu dienā - šobrīd 2 siev., 1 persona rezerve-vīr. patv.- euro 2007,50. Pielikums Nr 1</t>
  </si>
  <si>
    <t>Grupu dzīvokļi Mālpils 31.75 EUR Balvi 18,03 EUR dienā, plus 1 vieta rezervē lētākajā vietā Pielikums Nr.1</t>
  </si>
  <si>
    <t xml:space="preserve">Atelpas brīža pakalpojums, jāpiešķi pēc SN bērniem ar invaliditāti un kopšanas indikācijām un  I gr invalīdiem, vienam klientam 5700 euro= 190 euro 1 diena*30 dienas </t>
  </si>
  <si>
    <t>jāparedz 5 personām</t>
  </si>
  <si>
    <t>SN ģimenes asistenta pakalpojums 2025.gadā h 13,50. Pakalpojums paredz darbu ar ģimeni arī vakaros un brīvdienās,kad nestrādā SD. 2024.gadā saņēma 18 ģim., vidēji 16h mēnesī, kas izmaksā 222 euro 1 ģimenei. 2025.gadā 12 ģim. 16h*18 ģim.*13,5*12=46 656</t>
  </si>
  <si>
    <t>Sociālās rehabilitācijas progr.pēc SN - BEA, CAP, mentora pak. bērniem ar uzvedības un atkarības probl.</t>
  </si>
  <si>
    <t>Jauna aile - 3500 euro pēc tirgus cenas (CAP, BEA), mentors no 2026.gada obligāts - Mentori Latvija pirmreizējs pak. 382 euro (ar visām apmācībām), pēc tam mēnesī ap 222 euro. Likme ir 16 euro/h, mēnesī apmēram 12 h uz vienu klientu + 30 eiro kabatas nauda - 2 bērniem, kbt terapija 1 jaunietei 1400 euro, 1600 euro nometnes riska bērniem</t>
  </si>
  <si>
    <t>Uz šo brīdi iztērēts 1168 euro, vēl 3 mēn.</t>
  </si>
  <si>
    <t xml:space="preserve">Atbalsta pasākumi - materiāli nodarbībām, atbalsta grupu lektori. </t>
  </si>
  <si>
    <t>Specializētais transports līdz 300 euro uz personu</t>
  </si>
  <si>
    <t>SN Vasaras nometne bērniem invalīdiem-pēc jaunajiem SN vari izņemt bez summas ierobežojuma</t>
  </si>
  <si>
    <t xml:space="preserve"> SN Par pabalstu apbedīšanai 100EUR, ja nav no VSAA -500 EUR</t>
  </si>
  <si>
    <t>aprēķināts pēc reālās izpildes</t>
  </si>
  <si>
    <t>109*100euro</t>
  </si>
  <si>
    <t>SN Pensionāru sveikšana apaļās jubilejās (puķes, kartiņa). 2025.gadā ~ 560 cilvēki*20=11200 EUR 2*300  100gadniekI  3* 101 gadnieki 560 *Kartiņa + pasta izdevumi=1200</t>
  </si>
  <si>
    <t>708 pers.*20; 1 pers.-300euro, 4 pers.*100 eiro</t>
  </si>
  <si>
    <t>Servisa suņa pakalpojums 2 suņi</t>
  </si>
  <si>
    <t>Pabalsts bērniem invalīdiem reh.pakalpojumiem līdz 1500 euro gadā, paredzot, ka atnāk 80% no bērniem (88 bērni): 132 000 euro - nometnes 3000 euro = 129 000</t>
  </si>
  <si>
    <t>Pabalsts bērniem ar ped.med kom. un ārsta izziņu par pakalpojumiem (logopēds, montesori 107 EUR mēnesī )</t>
  </si>
  <si>
    <t>prognoze - 20 iesn.mēnesī*107*12</t>
  </si>
  <si>
    <t>iet pēc izpildes</t>
  </si>
  <si>
    <t>samazināts par 50%</t>
  </si>
  <si>
    <t>Pabalsts represētajiem 150 EUR gadā - 63 personas.</t>
  </si>
  <si>
    <t>(8 pers.*30, 3 pers.*15)*12=3420</t>
  </si>
  <si>
    <t xml:space="preserve"> SN Par braukšanas maksas atvieglojumiem sabiedriskajā transportā 10 braucieni/mēnesī Ādažu teritorijā. </t>
  </si>
  <si>
    <r>
      <rPr>
        <i/>
        <sz val="8"/>
        <rFont val="Arial"/>
        <family val="2"/>
        <charset val="186"/>
      </rPr>
      <t>Izpilde 8 mēn. EUR 6281/8*12=9421*30%(paredzams cenu pieaugums)=12 247</t>
    </r>
    <r>
      <rPr>
        <i/>
        <sz val="8"/>
        <color rgb="FFFF0000"/>
        <rFont val="Arial"/>
        <family val="2"/>
        <charset val="186"/>
      </rPr>
      <t>+ 1800 euro (prognozēta ikmēmenša maksa sistēmai 150 euro mēn.*12 mēn.) (Sabiedriskā autobusa līgumā ielikti 500 eiro mēn. kopā ar skolēnu e-taloniem  programmas uzturēšanai- kurš maksās??? - skola? Dalīsim?</t>
    </r>
  </si>
  <si>
    <t>izpildei vajag vairāk nekā paredzēts 2025.</t>
  </si>
  <si>
    <t>Ziemassvētku pabalsts 25 EUR ,400 personas *25=10000 (Soc. neaizsargātās grupas)</t>
  </si>
  <si>
    <t>Pabalsts par ēdināšanu 5.-9. klase 1000 bērni 9 mēneši gadā</t>
  </si>
  <si>
    <t>nav zināms, vai būs brīvpusdienas, jāparedz 20 euro 9 mēn. katram bērnam</t>
  </si>
  <si>
    <t>Aprūpes mājās pakalpojumam bērniem MD (50%)</t>
  </si>
  <si>
    <t>Finansējums paredzēts 4 bāreņiem. Mērķdotācija no LM 100% apmērā</t>
  </si>
  <si>
    <t>Projekts "Labklājības nozares un pašvaldību sociālās sfēras platformas "DigiSoc" izstrāde un ieviešana 3 personas, 4 mēn.*306,75 (lēmums, sadarb.līgums)</t>
  </si>
  <si>
    <t>Darba devēja soc.nod. Maksā no pašvaldības budžeta</t>
  </si>
  <si>
    <t>EUR 3500 no EKK 6421 uz EKK 6411 (EKK korekcija asistenta pakalpojumu apmaksa)</t>
  </si>
  <si>
    <t>Algu sadaļa 600585 euro (EKK1150+EKK 1210) Pielikums</t>
  </si>
  <si>
    <t>asistentu transports, kas iet caur atalgojumu, neapliekās ar nod., nāks klāt jauni klienti šai pozīcijai</t>
  </si>
  <si>
    <t>administr.izd.</t>
  </si>
  <si>
    <t>Venden ūdens, ēdināšana</t>
  </si>
  <si>
    <t>Monitori 4 gab. (400*4)</t>
  </si>
  <si>
    <t>klaviatūra 4 gab. (75*4)+pvn</t>
  </si>
  <si>
    <t>Portatīvais dators 3 gab., telefoni 2 gab.</t>
  </si>
  <si>
    <t>2 personas, no EKK2322 uz EKK6292</t>
  </si>
  <si>
    <t>algas uz rēķina - šobrīd 2 personas 13728+5%pieaugums (stundas likme, ja nu vēl kāds pienāk klāt)</t>
  </si>
  <si>
    <t>1010.2 Aprūpētāju pakalpojums</t>
  </si>
  <si>
    <t>Maksā CKS</t>
  </si>
  <si>
    <t xml:space="preserve">nav zināma noslodze 2026.gadā, atstāt šo pašu </t>
  </si>
  <si>
    <t>ar statusu skolas piederumiem, katram bērnam 60 euro</t>
  </si>
  <si>
    <t>šeit būtu kontējams psihologs, ukraiņu bērni saņem</t>
  </si>
  <si>
    <t>Piedalīšanās būvniecības ieceres publiskās apspriedēs, citos domes un pašvaldības rīkotos arpus darba laika pasākumos</t>
  </si>
  <si>
    <r>
      <t xml:space="preserve">Samazināts uz pusi, jo reālā izpilde maza </t>
    </r>
    <r>
      <rPr>
        <i/>
        <sz val="8"/>
        <color rgb="FF0070C0"/>
        <rFont val="Arial"/>
        <family val="2"/>
        <charset val="186"/>
      </rPr>
      <t>Atbalstāms</t>
    </r>
  </si>
  <si>
    <t>Laila: 3 darbiniekiem 2026.gadā</t>
  </si>
  <si>
    <r>
      <t xml:space="preserve">Izskatās, ka šo var samazināt! </t>
    </r>
    <r>
      <rPr>
        <i/>
        <sz val="8"/>
        <color rgb="FF0070C0"/>
        <rFont val="Arial"/>
        <family val="2"/>
        <charset val="186"/>
      </rPr>
      <t>Var samazināt uz 750 EUR</t>
    </r>
  </si>
  <si>
    <r>
      <t xml:space="preserve">Kāds šim pamatojums?? </t>
    </r>
    <r>
      <rPr>
        <i/>
        <sz val="8"/>
        <color rgb="FF0070C0"/>
        <rFont val="Arial"/>
        <family val="2"/>
        <charset val="186"/>
      </rPr>
      <t>Atbilstoši normatīvajiem aktiem (Arhīvu likumam, Ministru kabineta noteikumiem par dokumentu un arhīvu pārvaldību) iestādei ir pienākums nodrošināt savu dokumentu uzskaiti, saglabāšanu un, noteiktā termiņā, to nodošanu valsts arhīvam. Līdzīgi darbus veic pašvaldība.</t>
    </r>
  </si>
  <si>
    <r>
      <t xml:space="preserve">Te jāliek darbinieku apdrošināšana - cik darbinieki izmanto? Atņemti 400 par 2 darbiniekiem, kas pērk citur (EKK 1227). </t>
    </r>
    <r>
      <rPr>
        <i/>
        <sz val="8"/>
        <color rgb="FF0070C0"/>
        <rFont val="Arial"/>
        <family val="2"/>
        <charset val="186"/>
      </rPr>
      <t>7 darbinieki izmanto pašvaldības apdrošināšanu</t>
    </r>
  </si>
  <si>
    <r>
      <t xml:space="preserve">Nav iegādāti 2025.gadā. </t>
    </r>
    <r>
      <rPr>
        <i/>
        <sz val="8"/>
        <color rgb="FF0070C0"/>
        <rFont val="Arial"/>
        <family val="2"/>
        <charset val="186"/>
      </rPr>
      <t>Paredzēts 2026.gadā</t>
    </r>
  </si>
  <si>
    <r>
      <t xml:space="preserve">Šo var samazināt. </t>
    </r>
    <r>
      <rPr>
        <i/>
        <sz val="8"/>
        <color rgb="FF0070C0"/>
        <rFont val="Arial"/>
        <family val="2"/>
        <charset val="186"/>
      </rPr>
      <t>Var samazināt uz 250 EUR</t>
    </r>
  </si>
  <si>
    <r>
      <t>lietus mēteļi, aizsargķiveres</t>
    </r>
    <r>
      <rPr>
        <i/>
        <sz val="8"/>
        <color rgb="FF0070C0"/>
        <rFont val="Arial"/>
        <family val="2"/>
        <charset val="186"/>
      </rPr>
      <t xml:space="preserve"> Plānots 2026..gadā.</t>
    </r>
  </si>
  <si>
    <t>Skolēnu galdi un krēsli (divvietīgs galds un divi krēsli 420,00) vienam stāvam (2026.) (5 kabineti)</t>
  </si>
  <si>
    <t>Pārcelts no bāzes uz investīcijām</t>
  </si>
  <si>
    <t>LMT ( 3 pieslēgumi)</t>
  </si>
  <si>
    <t xml:space="preserve">LMT (10 pagarinātās grupas skolotājām) </t>
  </si>
  <si>
    <t>Būs jauns līgums, summas jāprecizē</t>
  </si>
  <si>
    <t>Autobuss uz Pasaules Džudo dienu kausu (oktobris)</t>
  </si>
  <si>
    <t>Džudo</t>
  </si>
  <si>
    <t>Brauciens uz Skolu kausu (orientēšanos)</t>
  </si>
  <si>
    <t>Orientēšanās Skolu kauss</t>
  </si>
  <si>
    <t>Sporta un laikmetīgās dejas, Braucieni uz konkursiem, deju skatēm</t>
  </si>
  <si>
    <t>Tautas dejas Taiga</t>
  </si>
  <si>
    <t>Ļoti liels pieaugums pret izpildi</t>
  </si>
  <si>
    <t>Druka utml. Pakalpojumi (dienasgrāmatas)</t>
  </si>
  <si>
    <t>uz 2264</t>
  </si>
  <si>
    <t>Uz 2314</t>
  </si>
  <si>
    <t>Digitālā druka</t>
  </si>
  <si>
    <t>no 2239</t>
  </si>
  <si>
    <t>Brīvā laika gaitenis</t>
  </si>
  <si>
    <t>Skatīt pielikumā (0950_0981_Inventars)</t>
  </si>
  <si>
    <t>Skolas noformēšanas izdevumi</t>
  </si>
  <si>
    <t>Pulciņu koncertu un iekšējo sacensību dalībnieku sveikšana</t>
  </si>
  <si>
    <t>Koka figūras (lāzergrieztas)</t>
  </si>
  <si>
    <t>Izlaidums 4.klasēm (skolotājām - Paldies!)</t>
  </si>
  <si>
    <t>No 2239</t>
  </si>
  <si>
    <t>Dejas, koris, vieglatlētika</t>
  </si>
  <si>
    <t xml:space="preserve">Higiēnas preces, mazgāšanas līdzekļi. </t>
  </si>
  <si>
    <t>Folijas segas</t>
  </si>
  <si>
    <t>Komplekts - bikses un krekliņš 28 gab</t>
  </si>
  <si>
    <t>Aksesuāri 28 gab</t>
  </si>
  <si>
    <t>Cepure ar nagu 20 gab</t>
  </si>
  <si>
    <t>Priekšauti Liepupe 20 gab</t>
  </si>
  <si>
    <t>Matauklas Liepupe 20 gab</t>
  </si>
  <si>
    <t>Alsungas aproces izšūtas 20 gab</t>
  </si>
  <si>
    <t>Alsungas zeķes 20 gab</t>
  </si>
  <si>
    <t>Galvas lakatiņš 20 gab</t>
  </si>
  <si>
    <t>Mācību materiāli sākumskolai (latviešu valodas katedra)</t>
  </si>
  <si>
    <t>Mācību materiāli sākumskolai (matemātikas katedra)</t>
  </si>
  <si>
    <t>Mācību materiāli sākumskolai (angļu valodas katedra)</t>
  </si>
  <si>
    <t>Mācību materiāli sākumskolai (dabaszinību katedra)</t>
  </si>
  <si>
    <t>Mācību materiāli sākumskolai (interešu kopā)</t>
  </si>
  <si>
    <t>Mācību materiāli sākumskolai (interešu dabaszinības)</t>
  </si>
  <si>
    <t>Mācību materiāli sākumskolai (interešu droni)</t>
  </si>
  <si>
    <t>Mācību materiāli sākumskolai (interešu einšteins)</t>
  </si>
  <si>
    <t>Mācību materiāli sākumskolai (interešu mode)</t>
  </si>
  <si>
    <t>Mācību materiāli sākumskolai (interešu rokdarbi)</t>
  </si>
  <si>
    <t>Mācību materiāli sākumskolai (interešu mandalas)</t>
  </si>
  <si>
    <t>Mācību materiāli sākumskolai (interešu pavārs)</t>
  </si>
  <si>
    <t>Samazināts par 10% 7000.00</t>
  </si>
  <si>
    <t>Saņemtā PVN atmaksa valstij</t>
  </si>
  <si>
    <t>Darba stacija (dators+monitors+programmatūra) (komplekts 1200 EUR) 5 gab.</t>
  </si>
  <si>
    <t>Eksperimentu komplekts sākumskolā Magnēti (dabaszinības)</t>
  </si>
  <si>
    <t>Baktericīdā lampa (mediķi)</t>
  </si>
  <si>
    <t>SPORTident School and Training Set, with 30 SI-Card8 (komplekts ar stacijām, identiem, lasītāju un printeri) orientēšanās</t>
  </si>
  <si>
    <t>Pārvietojams piezīmju dēlis - izstādēm</t>
  </si>
  <si>
    <t>Skapis CASPER6 atvilktnes, 12 nodalījumi, balts</t>
  </si>
  <si>
    <t>Sols sēdēšanai - Sols VARIETY
3-vietīgs, audums Pod CS, antracīts</t>
  </si>
  <si>
    <t xml:space="preserve">Triju sēdvietu krēsli </t>
  </si>
  <si>
    <t>Noliktavu plaukti</t>
  </si>
  <si>
    <t>Motorizētas žalūzijas aulas logiem</t>
  </si>
  <si>
    <t>ar Datorsistēmu un datortīklu administratoru</t>
  </si>
  <si>
    <t>Iniciatīvas</t>
  </si>
  <si>
    <t>Transporta kompensācija pedagogiem</t>
  </si>
  <si>
    <t>Telefona pakalpojumi - 11 mobīlie tālruņi (6 vietnieki, medmāsa, 2 lietvedes, 1 sociālais pedagogs, 1 dežuranti)</t>
  </si>
  <si>
    <t>Klāt lietvede un divi vietnieki (0,4 slodzes kopā), kam daudz jākomunicē ar vecākiem</t>
  </si>
  <si>
    <t>Ielikts pie projekta, kā pašvaldības līdzfinansējums</t>
  </si>
  <si>
    <t>Carnikavas vidusskolas goda balva</t>
  </si>
  <si>
    <t>Palielinās skolēnu skaits, kā arī biļešu cenas</t>
  </si>
  <si>
    <t>Pāris reizes bija jāizmanto autobuss uz baseinu, jo CKS transportam bija apkope</t>
  </si>
  <si>
    <t>Plānots, ka palielināsies klašu skaits no 36 līdz 42</t>
  </si>
  <si>
    <t>Ir cerība, ka daļu kursus nosegs Pedagogu profesionālās pilnveides projekts</t>
  </si>
  <si>
    <t>Līgums ar Iespējamo misiju par fizikas skolotāja apmācību un direktora dalību Direktora klubā</t>
  </si>
  <si>
    <t>Vispārējās izglītības iestādes akreditācija</t>
  </si>
  <si>
    <t>CPS akreditācija bija 03.-09.2020., derīga 6 gadus</t>
  </si>
  <si>
    <t>Direktora akreditācija bija 2022./2023. m.g.</t>
  </si>
  <si>
    <t>Divu daudzfunkcionālo printeru apkope pie 600 000 eksemplāriem</t>
  </si>
  <si>
    <t>Veselības apdrošināšana (75 darb.x200)</t>
  </si>
  <si>
    <t>Bija 70 darbiniekiem rēķināts</t>
  </si>
  <si>
    <t>Cenas pieaugums (atbilstoši skolēnu skaitam 100 euro / mēn)</t>
  </si>
  <si>
    <t>Cenas pieaugums un jauna veida līgumi, tāpēc jāabonē līdz 07.2026. un pēc tam 2026./2027.m.g.</t>
  </si>
  <si>
    <t>MS Office licences</t>
  </si>
  <si>
    <t>Aptaujas var veidot ar bezmaksas rīkiem un analizēt tās ar MI iespējām</t>
  </si>
  <si>
    <t>EIS ir iespēja iegādāties nedaudz lētāk - par 2000 euro vienu komplektu abiem printeriem (līdz šim bija 2400 euro)</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</si>
  <si>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</si>
  <si>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</si>
  <si>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</si>
  <si>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</si>
  <si>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0982_tames (Tāme Nr.3)</t>
  </si>
  <si>
    <t>0982_tames (Tāme Nr.2)</t>
  </si>
  <si>
    <t>Palielinās skolēnu skaits</t>
  </si>
  <si>
    <t>11. klašu un 12. klašu skolēni izstādās ZPD</t>
  </si>
  <si>
    <t>Meiteņu tautas tērpu komplekts (brunči un ņieburs) 1.-3. klašu dejotājām (1.komplekta cena 200 euro)</t>
  </si>
  <si>
    <t>1.-3.klašu kolektīvā ir 68 dejotāji (18 zēni un 50 meitenes)</t>
  </si>
  <si>
    <t>Zēnu tautas tērpu komplekts (bikses un veste) 1.-3. klašu dejotājiem (1.komplekta cena 150 euro)</t>
  </si>
  <si>
    <t xml:space="preserve">2025/2026. m.g. 2. semestris 1.-4. klašu izglītojamajiem </t>
  </si>
  <si>
    <t xml:space="preserve">2026./2027. m.g. 1. semestris 1.-4. klašu izglītojamajiem </t>
  </si>
  <si>
    <t>0982_tames (Tāme Nr.1)</t>
  </si>
  <si>
    <t>STEM aprīkojums plānots Eiropas projekta ietvaros. Vai šis projekta 09827 ietvaros?</t>
  </si>
  <si>
    <t>pārcelts uz EKK 2250</t>
  </si>
  <si>
    <t>Interaktīvie ekrāni vai datori (nolietoto un bojāto nomaiņai)</t>
  </si>
  <si>
    <t>Visticamākais, ka interaktīvie ekrāni tiks iegādāti Eiropas projekta ietvaros un saņemti no IZM</t>
  </si>
  <si>
    <t>Trīs mobilo tālruņu iegāde (2 vietnieki, lietvede)</t>
  </si>
  <si>
    <t>Divu speciālo klašu un sensorās telpas izveide</t>
  </si>
  <si>
    <t>Laboratorijas pārveide par klasi</t>
  </si>
  <si>
    <t>Bibliotēkas pārveide par klasi</t>
  </si>
  <si>
    <t>Bibliotēkas izveide multizālē</t>
  </si>
  <si>
    <t>Papildus ventilācijas nosūces kapes kabinetos (250, 346.)</t>
  </si>
  <si>
    <t>10 euro par skolēnu uz 01.09.2025.</t>
  </si>
  <si>
    <t>Erasmus+ projekts Nr. 2025-1-LV01-KA121-SCH-000334051</t>
  </si>
  <si>
    <t>11.06.2025. saņemts 80% finansējums (35 553.60 euro)</t>
  </si>
  <si>
    <t>24.07.2025. ĀND lēmums Nr. 296</t>
  </si>
  <si>
    <t>Pašvaldības līdzfinansējums?</t>
  </si>
  <si>
    <t>NPJR-2025/10369 “Mens sana in corpore sano”</t>
  </si>
  <si>
    <t>24.06.2025. saņemts 80% finansējums (17 072.00 euro)</t>
  </si>
  <si>
    <t>Nordplus Junior projekts NPJR-2025/10369 “Mens sana in corpore sano”.</t>
  </si>
  <si>
    <t>24.07.2025. ĀND lēmums Nr. 295</t>
  </si>
  <si>
    <t>Īpašumu apsaimniekošanas nodaļa</t>
  </si>
  <si>
    <t>Elektroenerģijas izmaksu pieaugums (16 689 eur)</t>
  </si>
  <si>
    <t>Pļaujmašīna jaunajam traktoram (8000 eur)</t>
  </si>
  <si>
    <t>Tehniskā apsekošana (4000 eur) 
Rotaļu laukumu inspekcija (2500 eur)</t>
  </si>
  <si>
    <t>Rotaļu laukumu inspekcija (3000 eur), 
LED lampas (6000 eur) 
materiāli santehnikas remontam (5000 eur)</t>
  </si>
  <si>
    <t>EUR 2'000 no EKK 2363 uz EKK 2512 (EKK korekcijas saņemtā PVN atmaksai)</t>
  </si>
  <si>
    <t>Energosertifikācija</t>
  </si>
  <si>
    <t>Ventilācijas apkope</t>
  </si>
  <si>
    <t>Paklāju noma</t>
  </si>
  <si>
    <t>Siltummezgla uzturēšanas darbi</t>
  </si>
  <si>
    <t>Hidromeliorācijas uzturēšana</t>
  </si>
  <si>
    <t>Septiņu sūkņu staciju profilaktiskā apkope (15 000 eur)</t>
  </si>
  <si>
    <t>Jauna traktortehnika - noma</t>
  </si>
  <si>
    <t>CKS Labiekārtošana/ Tehniskais nodrošinājums/ Īpašumu apsaimniekošana</t>
  </si>
  <si>
    <t>Grāvju tīrītājs-zāles smalcinātājs 10 m garums) Pirmā iemaksa- esošā agregāta nodošana kā pirmā iemaksa (vērtība 11 000 eur)</t>
  </si>
  <si>
    <t>Kaisītājs SAMAZ 400</t>
  </si>
  <si>
    <t>Transportlīdzekļa MB UNIMOG U20 ar sniega lāpstu un kaisītāju</t>
  </si>
  <si>
    <t>Transportlīdzekļa MB UNIMOG remonts</t>
  </si>
  <si>
    <t>Ielas apgaismojuma izbūve un projektēšana Attekas Ādažos (pārcelt kā pirmo)</t>
  </si>
  <si>
    <t>TN Ozolaine fasādes remonts</t>
  </si>
  <si>
    <t>CKS Hidromeliorācijas uzturēšana</t>
  </si>
  <si>
    <t>Mangaļu SS pārbūve (būvprojekts) jāpārceļ no 2025. gada.</t>
  </si>
  <si>
    <r>
      <t xml:space="preserve">Laveru sūkņu stacijas pārbūve (dalīts finansējums </t>
    </r>
    <r>
      <rPr>
        <b/>
        <i/>
        <sz val="8"/>
        <rFont val="Arial"/>
        <family val="2"/>
        <charset val="186"/>
      </rPr>
      <t>111 646 eur no DRN</t>
    </r>
    <r>
      <rPr>
        <i/>
        <sz val="8"/>
        <rFont val="Arial"/>
        <family val="2"/>
      </rPr>
      <t xml:space="preserve">, 63 854 eur no dotācijas) Domes lēmums nr.354, 11.09.2024, t.sk. </t>
    </r>
    <r>
      <rPr>
        <b/>
        <i/>
        <sz val="8"/>
        <rFont val="Arial"/>
        <family val="2"/>
        <charset val="186"/>
      </rPr>
      <t>270 000 eur ELFLA līdzfinansējums</t>
    </r>
    <r>
      <rPr>
        <i/>
        <sz val="8"/>
        <rFont val="Arial"/>
        <family val="2"/>
      </rPr>
      <t xml:space="preserve"> (2024./2025. gadā plānota būvprojekta izstrāde 60 500 eur), (</t>
    </r>
    <r>
      <rPr>
        <b/>
        <i/>
        <sz val="8"/>
        <rFont val="Arial"/>
        <family val="2"/>
        <charset val="186"/>
      </rPr>
      <t>304 750 eur pašvaldības finansējums no dabas resursu nodokļa atlikuma un 2025. un 2026. gada ieņēmumiem</t>
    </r>
    <r>
      <rPr>
        <i/>
        <sz val="8"/>
        <rFont val="Arial"/>
        <family val="2"/>
      </rPr>
      <t>), kopējās plānotās izmaksas 635 250 eur. 2025. gada izmaksas 175 500 eur, 2026. gada izmaksas 459 750 eur, tsk. LAD finansējums. Izmaksas precizēsies pēc iepirkumu rezultātiem. Domes lēmums 30.01.2025, būvprojekta izstrāde 72 721 eur, būvniecība 292 529 eur 25. un 26. gada DRN</t>
    </r>
  </si>
  <si>
    <t>Attekas ielas turpinājums 0,5km (projekts)</t>
  </si>
  <si>
    <t>Skolas iela 0.77km, Ādaži, Ādaži Gājēju ietve, bruģis, satiksmes organizācija</t>
  </si>
  <si>
    <t>Depo iela 0,185km, Ādaži, dubultā virsma</t>
  </si>
  <si>
    <t>Bērzu iela 0.29km, Ādaži, dubultā virsma</t>
  </si>
  <si>
    <t>Pļavu iela 0.46km, Ādaži, dubultā virsma</t>
  </si>
  <si>
    <t>Ķiršu ielas pārbūve 0.17km (ir būvprojekts)</t>
  </si>
  <si>
    <t>L. Azarovas tilta pārbūve uz caurteku jāprojektē</t>
  </si>
  <si>
    <t>Jaunas deformācijas šuves izbūve tiltam pāri Gauju, Ādažos (atbilstoši tiltu inspekcijas norādījumiem+ aizsargbarjeru atjaunošana)</t>
  </si>
  <si>
    <t>Zaraines ielas grants seguma ieklāšana</t>
  </si>
  <si>
    <t>Esošā žoga demontāža, jauna izbūve-paneļu nomaiņa (virtuves piegādes zonā)</t>
  </si>
  <si>
    <t>Āra lifta izbūve pie A korpusa (projektēšana)</t>
  </si>
  <si>
    <t>D korp. būvproj.izstrāde -US Arhitekti, sporta centra siltināšana būvproj izstrāde (noslēgti līgumi ar CKS)</t>
  </si>
  <si>
    <t xml:space="preserve">0490 </t>
  </si>
  <si>
    <t>RPR un VARAM konkurss "Remigrācijas atbalsta pasākums – uzņēmējdarbības atbalsts" -  pasākums Ā7.1.2.3. ĀNP 26.10.2023. lēmums Nr. 412.</t>
  </si>
  <si>
    <t>2 tribīnes. Nepieciešamas vismaz 4 tribīnes. Futbola, vieglatlētikas sacensību laikā, skatītājiem nav sēdvietu. Var izmantot arī citos pasākumos skatītāju vietu nodrošināšanai.</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</si>
  <si>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</si>
  <si>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</si>
  <si>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</si>
  <si>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</si>
  <si>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 xml:space="preserve">0902 </t>
  </si>
  <si>
    <t>Siguļu PII "Piejūra"</t>
  </si>
  <si>
    <t>Rotaļu iekārtas</t>
  </si>
  <si>
    <t>Būvprojekta izstrāde inženierkomunikāciju pārbūvei PII "Strautiņš" Pirmā iela 26A, Ādaži</t>
  </si>
  <si>
    <t xml:space="preserve">Centrālās bērnudārza ēkas apmetuma fasādes  krāsošana. </t>
  </si>
  <si>
    <t xml:space="preserve">Āra laukumu seguma nomaiņa (pie 6 smilšu kastēm) Koka seguma demontāža, pamatnes sagatavošana, ģeotekstila ieklāšana un smilšu piebēršana. </t>
  </si>
  <si>
    <t xml:space="preserve">Skolēnu vasaras nodarbinātība - darba samaksa, (15-20 gadi) Tāme 0930.2 Nr.1 </t>
  </si>
  <si>
    <t xml:space="preserve">Skolēnu vasaras nodarbinātība - darba samaksa, (13-15 gadi) Tāme 0930.2 Nr.1 </t>
  </si>
  <si>
    <t xml:space="preserve"> Video novērošanas kameras iekštelpās un ārā. Tāme 0930.2 Nr.10., 11.</t>
  </si>
  <si>
    <t>Mīkstais inventārs Deju kolektīvam "Rūta"</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</si>
  <si>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</si>
  <si>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</si>
  <si>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</si>
  <si>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Ādažu vidusskolas investīciju projekts. Paskaidrojuma raksta izstrāde</t>
  </si>
  <si>
    <t>Ādažu vidusskolas investīciju projekts. Telpu atjaunošana</t>
  </si>
  <si>
    <t>Āra lifta izbūvei Ādažu vidusskolai, autoruzraudzība</t>
  </si>
  <si>
    <t>Āra lifta izbūvei Ādažu vidusskolai, būvuzraudzība</t>
  </si>
  <si>
    <t>Video novērošana pa skolas perimetru ar uzstādīšanu</t>
  </si>
  <si>
    <t>Traktortehnikas iegāde (Raideris - pļaušana, sniega tīrīšana)</t>
  </si>
  <si>
    <t>A korpuss. Iekštelpas. Gaiteņu un klašu remonts. 1. līdz 3.stāvs Aprēķinus veic "Marčuks". Paredzēt finanšu līdzekļus, ja netiek saņemts CFLA finansējums</t>
  </si>
  <si>
    <t>summa tiks precizēta</t>
  </si>
  <si>
    <t>Iekārtas 12000,-. Projekts un uzstādīšana 18000,-. Pašlaik skolai perimetra uzraudzībai ir 1! kamera.</t>
  </si>
  <si>
    <t>Esošais Raideris stipri nolietots (Patstāvīgi tiek lietots, kopš 2017.gada - gan ziemā, gan vasarā)</t>
  </si>
  <si>
    <t>Deju tērpi Rūta</t>
  </si>
  <si>
    <t>Soliņu virsmu nomaiņa pie galvenās skolas ieejas</t>
  </si>
  <si>
    <t>Žoga uzstādīšana skolas priekšpusē</t>
  </si>
  <si>
    <t xml:space="preserve">Deju tērpi </t>
  </si>
  <si>
    <t>Ādažu tirgus laukuma nojumes 10 gb. x 5000 eur</t>
  </si>
  <si>
    <t>CKS Labiekārtošana_Carnikava</t>
  </si>
  <si>
    <t>Ielas apgaismojuma izbūve un projektēšana Baltezera iela  (2.6 km)</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</si>
  <si>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</si>
  <si>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</si>
  <si>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</si>
  <si>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</si>
  <si>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</si>
  <si>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</si>
  <si>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Buss, operatīvais līzings (pirmā iemaksa 5000 eur + 6 mēn noma)</t>
  </si>
  <si>
    <t>CKS/ DRN</t>
  </si>
  <si>
    <t>Ēkas nojaukšana Pirmā iela 44b (garāžas nojaukšana ielu savienojuma izbūvei starp Pirmo un Attekas ielu)</t>
  </si>
  <si>
    <t>Jauna siltummezgla un siltumtrases izbūve, Gaujas iela 16, Ādaži</t>
  </si>
  <si>
    <t>Carnikavas kapsētas paplašināšana - būvprojekta izstrāde</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</si>
  <si>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</si>
  <si>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</si>
  <si>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</si>
  <si>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</si>
  <si>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</si>
  <si>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</si>
  <si>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</si>
  <si>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</si>
  <si>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</si>
  <si>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Būvprojekta izstrāde, Gaujas iela 16</t>
  </si>
  <si>
    <t>Rotaļu iekārtas uzstādīšana Upmalās (šķēršļu trase, namiņš ar slidkalniņu, šūpoles)</t>
  </si>
  <si>
    <t>CKS Hidromeliorācija</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</si>
  <si>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</si>
  <si>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</si>
  <si>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Stapriņu grāvja pārbūves būvprojekta izstrāde (garums 5,822km)</t>
  </si>
  <si>
    <t>Kalngalē (2 gab.) uz Ērgļu ielas, Āpšu un Mežciema ielas krustojumā, Garciems (1.gab.). Šajā gadā bija nepieciešams pārbūvēt jau trīs caurtekas.</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</si>
  <si>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</si>
  <si>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 xml:space="preserve">Būvprojekts būs derīgs 5 gadus līdz tam pēc manam domām būtu jābūt kādai ES fonda atbalstam. Šis grāvis ar caurtekām ir sliktā stāvoklī. Grāvim ir pasvaldības nozīmes statuss.  </t>
  </si>
  <si>
    <t>2026 / 2025, EUR</t>
  </si>
  <si>
    <t>2026 / 2025, %</t>
  </si>
  <si>
    <t>LEADER Projekts "Blusu" kroga atjaunošana 1.kārta</t>
  </si>
  <si>
    <t>Publiskās ārtelpas izveide Gaujas ielā 31 Ādažos (ĀNP 23.11.2023. lēmums Nr. 451 un ĀNP 29.08.2024. lēmums Nr. 349. AP pasākums Ā5.1.1.5. )</t>
  </si>
  <si>
    <t>LEADER Projekts "Sporta laukuma ierīkošana Garciemā"</t>
  </si>
  <si>
    <t>LEADER Projekts "Veloapkopes stenda ierīkošana Kadagā un Garkalnē"</t>
  </si>
  <si>
    <t>LEADER Projekts "Garezeru apkārtnes biotopu saudzēšana veicinot koncentrētu gājēju plūsmas vadīšanu ar mērķi mazināt augsnes degradāciju"</t>
  </si>
  <si>
    <t>LEADER Projekts "Carnikavas novadpētniecības centra Saimes mājas ekspozīcijas pamatnes atjaunošana"</t>
  </si>
  <si>
    <t>LEADER Projekts "Bērnu un jauniešu centra izveide Ādažos"</t>
  </si>
  <si>
    <t>Projekts “Infrastruktūras uzlabošana uzņēmējdarbības attīstībai Ādažos 1. kārta” ĀNP 25.04.2024. lēmums Nr. 164. AP pasākums Ā7.1.1.1.2. RPR 30.05.2024. lēmums Nr.7</t>
  </si>
  <si>
    <t>0631.4.x.</t>
  </si>
  <si>
    <t xml:space="preserve">Projekts “Infrastruktūras uzlabošana uzņēmējdarbības attīstībai Ādažos 2. un 3. kārta” </t>
  </si>
  <si>
    <t>Krastupes ielas projekts - ERAF Projekts "Pielāgošanās klimata pārmaiņām Ādažu novada Podniekos "</t>
  </si>
  <si>
    <t>Netiek plānots aizņēmums šai daļai</t>
  </si>
  <si>
    <t>0631.2.1</t>
  </si>
  <si>
    <t>Krastupes ielas projekts - ārpusprojekta aktivitātes</t>
  </si>
  <si>
    <t>0632.6.1</t>
  </si>
  <si>
    <t>LIFE BauhausingEurope pieejas piemērošana sabiedrisko ēku pārveidošanai (Valsts dotācija)</t>
  </si>
  <si>
    <t>EKII projekts - Ādažu policijas ēkas atjaunošana</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</si>
  <si>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</si>
  <si>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</si>
  <si>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</si>
  <si>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</si>
  <si>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</si>
  <si>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</si>
  <si>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</si>
  <si>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</si>
  <si>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Ādažu vidusskolas ēkas D korpusa fasādes atjaunošana.</t>
  </si>
  <si>
    <t>STEM un pilsoniskās līdzdalības norises plašākai izglītības pieredzei un karjeras izvēlei (Ādažu vidusskola)</t>
  </si>
  <si>
    <t>STEM un pilsoniskās līdzdalības norises plašākai izglītības pieredzei un karjeras izvēlei (Ādažu vidusskolas PII)</t>
  </si>
  <si>
    <t>STEM un pilsoniskās līdzdalības norises plašākai izglītības pieredzei un karjeras izvēlei (Carnikavas vidusskola)</t>
  </si>
  <si>
    <t>STEM un pilsoniskās līdzdalības norises plašākai izglītības pieredzei un karjeras izvēlei (PII Riekstiņš)</t>
  </si>
  <si>
    <t>STEM un pilsoniskās līdzdalības norises plašākai izglītības pieredzei un karjeras izvēlei (PII Strautiņš)</t>
  </si>
  <si>
    <t>ĀVS PII</t>
  </si>
  <si>
    <t>STEM un pilsoniskās līdzdalības norises plašākai izglītības pieredzei un karjeras izvēlei (PII Mežavēji)</t>
  </si>
  <si>
    <t>PII Mežavēji</t>
  </si>
  <si>
    <t>STEM un pilsoniskās līdzdalības norises plašākai izglītības pieredzei un karjeras izvēlei (PII Piejūra)</t>
  </si>
  <si>
    <t>Priekšfinansējums EUR 88 884, tiks atskaitīts 2027.g.</t>
  </si>
  <si>
    <t>Dubultā virsma - Ceriņu iela 0.3km, Garkalne</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</si>
  <si>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</si>
  <si>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</si>
  <si>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</si>
  <si>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</si>
  <si>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</si>
  <si>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t>Dzirnupes ielas tilta pārbūve I kārta, MRG būve, Nr.02-20.1/25/167</t>
  </si>
  <si>
    <t>Dzirnupes ielas tilta pārbūve autoruzraudzība</t>
  </si>
  <si>
    <t>Pirmās ielas  II kārta ietve (0,2km) + stāvvietas +brauktuve 0,05km (ir būvprojekts)</t>
  </si>
  <si>
    <t>Pirmās ielas III kārta ietve 0.12km + brauktuve 0.13km, līdz Ziedu ielai (ir būvprojekts)</t>
  </si>
  <si>
    <t>Gaujas dambja virskārtas uzlabošana (turpināt no Smilgas ielas uz centra pusi)</t>
  </si>
  <si>
    <t>Elīzes ielas posma pārbūve ar asfalta segumu posmā no Kadagas ceļa līdz plānotajai Lindas ielai (būvprojekts + izbūve)</t>
  </si>
  <si>
    <t>Gājēju pāreja pie Podnieku ielas, Dailas ciemats (Gredzenu iela) + ietves izbūve no Jēkaba ielas Līdz Rudzupuķu ielai</t>
  </si>
  <si>
    <t>Vēju iela 0,55km, Ādaži, braucamās daļas pārbūve (iedzīvotāju līdzfinansējums)</t>
  </si>
  <si>
    <t>Projektēšana - Draudzības iela posmā no Podnieku ielas līdz Dzirnavu ielai</t>
  </si>
  <si>
    <t>Atbilstoši Ceļu programma 2025</t>
  </si>
  <si>
    <t>Noslēgts būvdarbu līgums (būvdarbi uzsākti) precīzs termiņš atkarīgs no laika apstākļiem, kad beigsies tehnoloģiskais pārtraukums</t>
  </si>
  <si>
    <t>Noslēgts līgums par būvprojekta izstrādi. Vērtējums ir sliktā tehniskā stāvokli.  Tiltam uzstādītas masas ierobežojuma ceļa zīmes 20 T.</t>
  </si>
  <si>
    <t>Nepieciešams pabeigt Pirmās ielas labiekārtošanu pie PII Strautiņš.</t>
  </si>
  <si>
    <t>Domes lēmums 23.11.2023</t>
  </si>
  <si>
    <t>Slikts tehniskais stāvoklis, kas apgrūtina gājēju pārvietošanos</t>
  </si>
  <si>
    <t>Ja tiek realizēts zemas īres dzīvokļu projekts</t>
  </si>
  <si>
    <t>Iedzīvotāju iesniegums ar 88 parakstiem. Bīstami gājējiem šķērsot Podnieka ielu.</t>
  </si>
  <si>
    <t>Domē ir saņemts iesniegums par līdzfinansējuma piekrišanu no iedzīvotājiem. Sākotnēji Vēju ielai tiks izstrādāts ZIP.</t>
  </si>
  <si>
    <t xml:space="preserve">pārcelts no 2025. gada inv.plāna </t>
  </si>
  <si>
    <t>Mežaparka ceļs II kārta no Iļķenes ceļa līdz Smilšu ielai 2,1km (ir būvprojekts)</t>
  </si>
  <si>
    <t>Kompensācija par auto nolietojumu</t>
  </si>
  <si>
    <t>Jāparedz arī UPS remonta darbi.</t>
  </si>
  <si>
    <t>Ārpakalpojums jaunu bezvadu tīklu antenu uzstādīšanai vietās kur ITN darbinieki nevar piekļūt (pārāk augstu!) -Kameras un tīkla aktīvā aparatūra uz EKK2312</t>
  </si>
  <si>
    <t>Papildus 50 lic. PII piešķirtie datori no IzM, kopā 450 lic.</t>
  </si>
  <si>
    <t>MS Office 365 lic. skaits nemainās</t>
  </si>
  <si>
    <t>SIA "ZZ Dats" vēstule Nr. 1.7/25/368-N Par Vienotās pašvaldības sistēmas uzturēšanu 2026.gadam.</t>
  </si>
  <si>
    <t>Bezvadu tīkla aktīvā aparatūra. Tīkla aktīvā aparatūra, kas nodrošina komutāciju un patstāvīgo spriegumu citām tīklā ieslēgtām iekārtām (PoE)</t>
  </si>
  <si>
    <t>Monitori (ar web kameru un ar/bez iebūvētu portu paplašinātāju), bezvadu klaviatūra ar peli, un printeri</t>
  </si>
  <si>
    <t>Ādažu pilsētā esošo 23.gab. videonovērošanas kameru nomaiņa ar stiprinājumiem</t>
  </si>
  <si>
    <t>Esošajām UPS iekārtā jāmaina baterijas</t>
  </si>
  <si>
    <t>Paredzēt jauna Mac Book pro v5 iegādi ātrākai videomateriālu renderēšanai</t>
  </si>
  <si>
    <t>AN un CN administratīvajās ēkās galveno maršrutētāju nomaiņa uz MikroTik CCR2116-12G-4S+</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</si>
  <si>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</si>
  <si>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Nepieciešams izpilddirektora komentārs!</t>
  </si>
  <si>
    <t>e-pastā daudz komentāru!</t>
  </si>
  <si>
    <t xml:space="preserve">Ādažu novada domes 2023. gada 24. maija ,,Iniciatīvas projektu finansēšanas kārtība Ādažu novada pašvaldībā'' </t>
  </si>
  <si>
    <t>Ādažu Bērnu un jaunatnes sporta skola</t>
  </si>
  <si>
    <t xml:space="preserve">1014.3 </t>
  </si>
  <si>
    <t>Deinstitucionalizācija SAM 9.3.1.1./Dienas aprūpes un rehabilitācijas centrs "Ādažu Ūdensroze"</t>
  </si>
  <si>
    <t>EUR 9'000 no EKK 1228 uz EKK 2247 (apdrošināšanas prēmija)</t>
  </si>
  <si>
    <t>Briļļu  vai apdrošināšanas polišu (EKK 1227)iegāde, pēc koplīguma -EUR 200*50=10'000.( EUR 1000 EKK 1227 (apdrošināšanas kompensācijas)</t>
  </si>
  <si>
    <t xml:space="preserve">Latvijas pasts - vēstuļu izsūtīšana (elektroniski nenosūtītie NĪN paziņojumi, atkārtoti aprēķini pēc deklarēto īpaš. un personu izmaiņām, brīdinājumi, izpildrīkojumi, cita inf.par īpašumiem, tiesiskajiem valdītājiem un lietotājiem, atb.uz jautājumiem) 3000*2.30=6900, ierakstītas vēstules 100*4.35=310, ārzemes 100*5=500 </t>
  </si>
  <si>
    <t>pēc tehniskās specifikācijas (līgums vēl nav) uz 2 gadiem, max summa 12 mēnešos - EUR 15'000*1,21=18'150 (NĪN paziņojumu sūtīšana)+10% ja līgumā paredz tarifa pieaugumu</t>
  </si>
  <si>
    <t xml:space="preserve">LMT (~ 435*12) - </t>
  </si>
  <si>
    <t>Latvijas Praktiskās Šaušanas Centrs SIA Par Satelit interneta abonēšanu EUR 121/mēn</t>
  </si>
  <si>
    <t>Grāmatvedība. Uz domi attiecas EUR 9000+PVN=10890 (gala maksājums par 2025.g. un paredzot avansu 50% par 2026.g. jaunajam iepirkumam balstoties uz iepriekšējā gada budžetu, bet paredzu kad tik lēts pakalpojums nebūs pieejams)</t>
  </si>
  <si>
    <t>SEB banka un Swedbanka - 12 mēn.*5 katrai Pārējās komisijas maksas EUR 500/gadā katrai bankai</t>
  </si>
  <si>
    <t>A.Snigireva neko citu nevar ielikt, kā tikai pēc tehniskās specifikācijas un pasta tarifiem, jo iepirkums vēl nav noticis, cerot ka pakalpojums no decembra būs pieejams EIS, ja nē tad Everita ātri rīkos iepirkumu.</t>
  </si>
  <si>
    <t>Sporta centra POS uz sporta daļas budžetu.</t>
  </si>
  <si>
    <t>Internetbankas apkalpošanas maksa EUR 12,81*12m</t>
  </si>
  <si>
    <t xml:space="preserve">Skaidras naudas maksājumu pieņemšana par Ādažu novada domes  izrakstītiem rēķiniem Maxima 0,59 euru x 150 iemaksas gadā </t>
  </si>
  <si>
    <t>Grāmatvedība 2025.gadā bija  divi gadījumi par summu 70.39 un 120 kopā 190.39 euro</t>
  </si>
  <si>
    <t xml:space="preserve">Grāmatvedība (pārcelts uz GRN lielais printers uzpildīšana 1 reize gadā (krāsas - Kyocera TK-8365K (1T02YP0NL0) Toner Cartridge, Black 1.gab., Kyocera TK-8365C (1T02YPCNL0) Toner Cartridge, Cyan 1.gab., Kyocera TK-8365M (1T02YPBNL0) Toner Cartridge, Magenta 1.gab., Kyocera TK-8365Y (1T02YPANL0) Toner Cartridge, Yellow 1.gab)) </t>
  </si>
  <si>
    <t>Kāju paliktnis 5*84=420</t>
  </si>
  <si>
    <t>Grāmatvedība https://www.ajprodukti.lv/birojs-sapulcu-telpa/piederumi-birojiem-un-sapulcu-telpam/ergonomisks-aprikojums/kaju-balsti/kaju-balsts-2386-2384</t>
  </si>
  <si>
    <t>Grāmatvedība. Parādnieku skaits kuriem maksāšanas termiņš kavēts 6 mēnešus</t>
  </si>
  <si>
    <t>Summa pārceļas uz 2026.gadu, bet ielikta nodaļā 0930.2</t>
  </si>
  <si>
    <t>Summa pārceļas uz 2026.gadu, bet pārlikta no nodaļas 0930 uz 0930.20930.2</t>
  </si>
  <si>
    <t>TET optikas pieslēguma ierīkošanai jauniešu centrā Gaujas ielā 25B.</t>
  </si>
  <si>
    <t>Jubilejas 5x300 EUR (darba gadi)</t>
  </si>
  <si>
    <t>30% piemaksa nodaļas darbiniekiem 2023., plānojumu izstrādājam paši FIN KOM prezentācijā bija 30 000 eiro gadā,  jo atņēmu atvaļinājuma un aizvietošanas mēnešus (precizēts: piemaksa 20% 7 darb. 6 mēn.)</t>
  </si>
  <si>
    <t>teritorijas plānotājs ~ max EUR 57 (80l)</t>
  </si>
  <si>
    <t>14 darbinieki</t>
  </si>
  <si>
    <t xml:space="preserve">Pārējo darbinieku mēneša amatalga. </t>
  </si>
  <si>
    <t>0982_tames Tāme Nr.4</t>
  </si>
  <si>
    <t>14'000 (35 euro uz skolēnu 01.09.2025.)</t>
  </si>
  <si>
    <t>Mērķdotācijai pedagogiem (t.sk. administrācijai, atbalsta personālam) (01.01.-31.12.2026.)</t>
  </si>
  <si>
    <t>Kopā ar interešu izglītības mērķdotāciju</t>
  </si>
  <si>
    <t>Viss nodaļā 09821</t>
  </si>
  <si>
    <t>Kompensācija par ceļa izdevumiem audzinātājām EUR 2033,45x10mēn.; auklītēm 1557,24x11mēn.</t>
  </si>
  <si>
    <t>Balstoties uz MK noteikumiem -OVP 2026.gadā 18 darbiniekiem * EUR 50</t>
  </si>
  <si>
    <t>OVP 2026.gadam 2 darbiniekiem</t>
  </si>
  <si>
    <t>2026.gadā 4 darbinieki</t>
  </si>
  <si>
    <t>Laila: 5 darbiniekiem 2026.gadā</t>
  </si>
  <si>
    <t>Obligātā veselības pārbaude (50 EUR x 5 darbinieki (max 24 darbinieki)</t>
  </si>
  <si>
    <t>Darbinieku skaits, kuriem būs nepieciešama OVP 2026.gadā</t>
  </si>
  <si>
    <t>Šobrīd vienas meistarklases cena ir 300-500euro, mērķis katrai nodaļai vismaz 1 meistarklasi gadā</t>
  </si>
  <si>
    <t>Darbinieku jubilejas EKK 1228 nevis EKK 1148</t>
  </si>
  <si>
    <t>Šis būs vēl tikai 2026.g un tad vairs nē</t>
  </si>
  <si>
    <t>Psihologs (izdevumi 6419)</t>
  </si>
  <si>
    <t>DAC un grupu dzīvokļi (6419)</t>
  </si>
  <si>
    <t>Izdevumi nav nepieciešami.Mācību jomu koordinatori tiek maksāti no ESF projekta līdzekļiem</t>
  </si>
  <si>
    <t>Izglītības daļas darbinieki, pieredzes apmaiņas brauciens uz Liepāju kopā ar skolu direktoriem, Tāme Nr.7</t>
  </si>
  <si>
    <t>Pieredzes apmaiņas brauciens uz Rēzekni (Jauniešu dienas festivāls), Tāme Nr.7</t>
  </si>
  <si>
    <t>Komndējums visiem darbā ar jaunatni iesaistītajiem uz Starptautisko Jauniešu dienas 2026 festivālu Rēzeknē</t>
  </si>
  <si>
    <t>Transporta izdevumi direktoru, vadītāju pieredzes apmaiņas braucienam uz Liepāju Tāme nr.20</t>
  </si>
  <si>
    <t>Transporta izdevumi mācību jomuskolotāju   pieredzes apmaiņas braucieniem Tāme nr.20</t>
  </si>
  <si>
    <t>Obligātās veselības pārbaude 2026.gadā - 3 darbiniekiem</t>
  </si>
  <si>
    <t>Izdevumu palielinājums, vadoties pēc 2025.gada izpildes</t>
  </si>
  <si>
    <t>Nodaļas darbinieku profesinālā pilnveide un 2 saliedēšanās pasākumi gadā</t>
  </si>
  <si>
    <t>Darbnīcu nodrošinājums, pasākuma vadītājs, mūziķis</t>
  </si>
  <si>
    <t>Nav plānots papildināt</t>
  </si>
  <si>
    <t>Jāprecizē EKK</t>
  </si>
  <si>
    <t>ZZ dats  rindu uzskaite un deklarāciju pārbaude-Tāme nr 22</t>
  </si>
  <si>
    <t xml:space="preserve">28.09.2023.Domes  lēmums Nr.381; 2025.g.4.11.novembris IKSS lēmums, ēdināšanas izmaksas pieaugušas līdz 600 </t>
  </si>
  <si>
    <t>Nodrošinājums pedagoģiski medicīniskajai komisijai,Tāme Nr. 19</t>
  </si>
  <si>
    <t>Garderobes skapis, mitruma savācēji, trauki semināru organizēšanai</t>
  </si>
  <si>
    <t>Kliņģeris dārgāks??</t>
  </si>
  <si>
    <t>Aprēķini pēc iepriekšējā gada izmaksām</t>
  </si>
  <si>
    <t xml:space="preserve">Pasākumi digitālās kompetences pilnveidei Tāme Nr.11 </t>
  </si>
  <si>
    <t>Domes 26.09.2024. lēmums Nr.379</t>
  </si>
  <si>
    <t>5 monitori</t>
  </si>
  <si>
    <t xml:space="preserve">Pēc 2025.gada plāna un izpildes. ĀNP reģistrēto audzēkņu saraksts, kuri reģistrēti skolās ārpus novada-  484 </t>
  </si>
  <si>
    <t>Skatīt aprēķinus 0940</t>
  </si>
  <si>
    <t>Stipendijas studentiem, kas pēc augstskolas beigšanas strādās Ādažu izgl. Iestādēs.</t>
  </si>
  <si>
    <t>Ādažu pagasta apzaļumošanas izmaksu pieaugums (22 598 eur) Operatīvā līzinga izmaksu pieaugums (10 282 eur)</t>
  </si>
  <si>
    <t>Koku vainagu sakopšanas izmaksu pieaugums (20 600 eur) Carnikavas pagasta apzaļumošanas ārpakalpojums (25 900 eur)</t>
  </si>
  <si>
    <t>Rotaļu laukumu inspekcija (24 700 eur) Ēku un telpu remonta izmaksu pieaugums (58 000 eur)</t>
  </si>
  <si>
    <t>Atkritumu tarifa pieaugums Carnikavas pagastā (44 000 eur) atkritumu savākšanas akcijas (28 995 eur)</t>
  </si>
  <si>
    <t>Deratizācija</t>
  </si>
  <si>
    <t>Inventāra iegāde, t.sk. video novērošana (7'977 eur) 
ūdens un kanalizācijas izmaksu pieaugums (4'800 eur)
Baseina ventilācijas iekārtas remonts (26'000 eur)</t>
  </si>
  <si>
    <t>Ādažu vidusskolas investīciju projekts. Āra teritorijas labiekārtošana</t>
  </si>
  <si>
    <t>50% tiks maksāti 2025. gadā</t>
  </si>
  <si>
    <t>Metāla pandusa izbūve (L=12 m)</t>
  </si>
  <si>
    <t>Jāsaprot, kas no projekta, kas nē??!!!</t>
  </si>
  <si>
    <t>Apkures sistēmas uzlabošana</t>
  </si>
  <si>
    <t>pārcelts no 2025. gada neapgūtajām investīcijām</t>
  </si>
  <si>
    <t>0901 (CKS)</t>
  </si>
  <si>
    <t>Smilšu ielas pārbūve projekts</t>
  </si>
  <si>
    <t>CKS 0648</t>
  </si>
  <si>
    <t>Saskaņā ar personāla daļas failu.</t>
  </si>
  <si>
    <t>Jaunajiem aizņēmumiem apkalpošanas maksa tiek iekļauta pamatprocenta aprēķinā.</t>
  </si>
  <si>
    <t>Pārceļas uz 2026.gadu</t>
  </si>
  <si>
    <t xml:space="preserve">0110 </t>
  </si>
  <si>
    <t>Uzsākts 2025., maksājums būs 2026.gadā.</t>
  </si>
  <si>
    <t>Nav ielikts max stundu skaits, ņemot vērā faktisko izpildi.</t>
  </si>
  <si>
    <t>Ādažu sporta centra ēkas energoefektivitātes paaugstināšana būvdarbi</t>
  </si>
  <si>
    <t>Ādažu sporta centra ēkas energoefektivitātes paaugstināšana būvuzraudzība</t>
  </si>
  <si>
    <t>Ādažu sporta centra ēkas energoefektivitātes paaugstināšana autoruzraudzība</t>
  </si>
  <si>
    <t>"DigiSoc" izstrāde un ieviešana</t>
  </si>
  <si>
    <t>Atalgojums iecirkņu darbiniekiem vēlēšanās</t>
  </si>
  <si>
    <t>Atalgojums vēlēšanu komisijai pēc vēlēšanu laika</t>
  </si>
  <si>
    <t>Tēja/kafija iecirkņos (9 x 25 EUR)</t>
  </si>
  <si>
    <t>Atalgojums atbalsta personālam</t>
  </si>
  <si>
    <t xml:space="preserve">CVK finansējums </t>
  </si>
  <si>
    <t>Row Labels</t>
  </si>
  <si>
    <t>Grand Total</t>
  </si>
  <si>
    <t>(All)</t>
  </si>
  <si>
    <t>Tiek novirzīts projektu realizācijai</t>
  </si>
  <si>
    <t>Šis EKK 2312, jo zem EUR 500</t>
  </si>
  <si>
    <t>Izgaismota vide bērnu treniņiem un aktīvai atpūtai</t>
  </si>
  <si>
    <t>Mācīšanās dabā: Ādažu vidusskolas āra klases</t>
  </si>
  <si>
    <t>'Garkalne Strong'' sporta zāles uzlabojumi.</t>
  </si>
  <si>
    <t>Pludmales volejbola laukums Garkalnes ciemā</t>
  </si>
  <si>
    <t>Automatizētās ātruma mērierīces sistēmas ieviešana rada papildus izmaksas ikmēneša pakalpojumu maksā. Jaunajam auto šī opcija ir jau iekļauta līgumā</t>
  </si>
  <si>
    <t>EUR 2000 no EKK 1147 uz EKK 1142 un 2'000 uz EKK 1148 (EKK korekcija)</t>
  </si>
  <si>
    <t>2025.gadā EUR 4'500 no ekonomija uz neaizpildītajām vakancēm pārcelta uz projektu sagatavošanas izmaksām</t>
  </si>
  <si>
    <t>Nav vairs piemaksas rezerve par papildus darbiem</t>
  </si>
  <si>
    <t>1 portatīvais dators</t>
  </si>
  <si>
    <t>Pakāpeniski tiek pārcelts uz CKS</t>
  </si>
  <si>
    <t>Nav iekļauts bāzes aprēķinos, tiek novirzīts projektu realizācijai</t>
  </si>
  <si>
    <t>Nēģu svētki</t>
  </si>
  <si>
    <t>EUR 396 no EKK 5233 uz EKK 2400 - periodikas iegādei.</t>
  </si>
  <si>
    <t>Projektors un ekrāns, 2 jauni datori lasītājiem, periodikas plaukts</t>
  </si>
  <si>
    <t>Saliekamais konteiners inventāra glabāšanai SAAP "ZIBEŅOS" EUR 2'200</t>
  </si>
  <si>
    <t xml:space="preserve">Precizēts MD apjoms interešu izglītībai septembrim-decembrim </t>
  </si>
  <si>
    <t>Mazākumtautību valodas interešu izglītības apguvei.</t>
  </si>
  <si>
    <t>Tāmes 0940</t>
  </si>
  <si>
    <t>Līdzfinansējums privātajām PII (bez ĀBVS) un BUP sniedzējiem, Tāme 0940</t>
  </si>
  <si>
    <t>Pielikums Tāme_0940</t>
  </si>
  <si>
    <t>Šķiroto atkritumu savākšanas laukums Laivu ielā 12, Carnikavā būvuzraudzība un autoruzraudzība (pašvaldības finansējums)</t>
  </si>
  <si>
    <t>Brīvais konta atlikums uz 31.12.2025</t>
  </si>
  <si>
    <t>Iekšējā audita maksājuma summas pakalpojumu apmaksai. Centrālā pārvalde</t>
  </si>
  <si>
    <t>Atņemts pie EKK 2239</t>
  </si>
  <si>
    <t>Darba vietu aprīkošanas mēbeles, inventārs</t>
  </si>
  <si>
    <t>Jāpārrēķina 2026.gada 01.janvārī</t>
  </si>
  <si>
    <t>Rēķināts pēc formulas lx1.6x11x0.8</t>
  </si>
  <si>
    <t>BV vadītājs 150l*1,6*11</t>
  </si>
  <si>
    <t>BV vadītāja vietnieks 120l*1,6*11</t>
  </si>
  <si>
    <t>1 speciālists 100l*1.6*11</t>
  </si>
  <si>
    <t>4 speciālisti 70l*1,6*11</t>
  </si>
  <si>
    <t>1 speciālists 30L* 1,6*11</t>
  </si>
  <si>
    <t xml:space="preserve">Degviela vadītājai 34*10 </t>
  </si>
  <si>
    <t>Degviela vadītājs, vietnieks (SPN)</t>
  </si>
  <si>
    <t xml:space="preserve">100 L benzīna, braukājot fotografēt un filmēt, braukāt uz un no C. uz Ā. komitejām, domes sēdēm, 100L*1.6EUR </t>
  </si>
  <si>
    <t>Limits mēnesī 2 * 50 l*1,6*11</t>
  </si>
  <si>
    <t>Degviela - nodaļas vadītāja I.Pērkone - max 60 l mēnesī (2026.gadam plānots: 50 l x EUR 2,0 x 11 mēneši)</t>
  </si>
  <si>
    <t>Vadītājs 100l</t>
  </si>
  <si>
    <t>Vecākais teritorijas plānotājs - 2 darbinieki -  80 l</t>
  </si>
  <si>
    <t>Vecākais teritorijas plānotājs - 2 darbinieki -  60 l</t>
  </si>
  <si>
    <t>Vecākais jurists - 40 l</t>
  </si>
  <si>
    <t>Vadītājs 50 litri</t>
  </si>
  <si>
    <t>ŅĪ un zemes lietošanas speciālists 40 l</t>
  </si>
  <si>
    <t>ŅĪ un adresācijas speciālists 40 l</t>
  </si>
  <si>
    <t>ŅĪ speciālists 40 l</t>
  </si>
  <si>
    <t>Faktiskā izpilde (14.11.2025.)</t>
  </si>
  <si>
    <t>Pašvaldību savienība - procentuāli (0,13%) daļa no vērtētajiem ieņēmumiem (IIN). - pēc prognozes cipariem - 41'652'563*0.13%</t>
  </si>
  <si>
    <r>
      <t>EUR 8'980 no EKK 2239</t>
    </r>
    <r>
      <rPr>
        <b/>
        <i/>
        <sz val="8"/>
        <rFont val="Arial"/>
        <family val="2"/>
        <charset val="186"/>
      </rPr>
      <t xml:space="preserve"> uz EKK 2232</t>
    </r>
    <r>
      <rPr>
        <i/>
        <sz val="8"/>
        <rFont val="Arial"/>
        <family val="2"/>
        <charset val="186"/>
      </rPr>
      <t xml:space="preserve"> (EKK korekcija iekšējais audits būvvaldē)</t>
    </r>
  </si>
  <si>
    <t>Partnerības projekti</t>
  </si>
  <si>
    <t>Iniciatīvu projekts</t>
  </si>
  <si>
    <t>Projekts "Pedagogu profesionālā atbalsta sistēmas izveide"(netiešās izmaksas)</t>
  </si>
  <si>
    <t>Mērķēts profesionālais atbalsts vispārējās izglītības un profesionālās izglītības iestāžu pedagogiem pašvaldībās</t>
  </si>
  <si>
    <t>Salikts kā visiem pēc formulas lx1.6x11x0.7</t>
  </si>
  <si>
    <t>Rēķināts pēc formulas lx1.6x11x0.7</t>
  </si>
  <si>
    <t>Kursi, kurus vada uz līguma pamata, kas klasificējas EKK 1150</t>
  </si>
  <si>
    <t>Šāda summa kursiem EKK 1150</t>
  </si>
  <si>
    <t>Izdevumi, vadoties pēc 2025.gada izpildes un biļešu cenu pieaugumu. Tuvu 3'000/ mēnesī.</t>
  </si>
  <si>
    <t>Projekta “Pedagogu profesionālā atbalsta sistēmas izveide" priekšfinansējums</t>
  </si>
  <si>
    <t>Piemaksas par papildus darbu</t>
  </si>
  <si>
    <t xml:space="preserve">Zivju fonds  „Zivju resursu aizsardzības pasākumi Ādažu novada ūdenstilpēs”  </t>
  </si>
  <si>
    <r>
      <t xml:space="preserve">Zemes ierīcības projektu izstrāde un izdevumu apmaksa to izstrādei NĪ </t>
    </r>
    <r>
      <rPr>
        <i/>
        <strike/>
        <sz val="8"/>
        <rFont val="Arial"/>
        <family val="2"/>
        <charset val="186"/>
      </rPr>
      <t>Ziemeļu iela 23A un 25A, Lilaste, Carnikavas pag. (EUR 3000)</t>
    </r>
    <r>
      <rPr>
        <i/>
        <sz val="8"/>
        <rFont val="Arial"/>
        <family val="2"/>
      </rPr>
      <t xml:space="preserve"> un dzelzceļa staciju "Kalngale" un "Garupe" attīstībai (EUR 7500 x 2 = EUR 15000, domes 26.06.2025. lēmumi Nr. 260 un Nr.261)</t>
    </r>
  </si>
  <si>
    <t>2025.g. līmenī (minēto darbu izpilde pārcelta uz 2026.g.). Graustu nojaukšanai būtu jābūt pie CKS</t>
  </si>
  <si>
    <r>
      <t xml:space="preserve">2025.gadā nav iegādāts </t>
    </r>
    <r>
      <rPr>
        <i/>
        <sz val="8"/>
        <color rgb="FF0070C0"/>
        <rFont val="Arial"/>
        <family val="2"/>
        <charset val="186"/>
      </rPr>
      <t>Plānots 2026..gadā.</t>
    </r>
  </si>
  <si>
    <t>JIN klāt vajag 1200 euro Mežgarciemam</t>
  </si>
  <si>
    <t>Kopā ar novadnieka karti</t>
  </si>
  <si>
    <t>Koncertflīģelis</t>
  </si>
  <si>
    <t>Skolotāju godināšanas pasākums Tāme nr.2.</t>
  </si>
  <si>
    <t>2239, 2231 EKK</t>
  </si>
  <si>
    <t>Mūžizglītības rīcības plāna aktivitātes Tāme nr.23</t>
  </si>
  <si>
    <t>15x10 darbinieki</t>
  </si>
  <si>
    <t>Izglītības nodaļas vadītājai, izglītības spec, jaunatnes spec- 2X200 un 1-vaditajai- 400</t>
  </si>
  <si>
    <t>2 izgl. Nod. vad, 2- admin.spec, 1-kvalitātes ekspertam</t>
  </si>
  <si>
    <t xml:space="preserve"> Papildus pieliktas dāvanas no novada pirmsskolas absolventiem</t>
  </si>
  <si>
    <t xml:space="preserve">Ziedi izlaidumos, skolotāju godināšanas pasākumā, augusta konferencē, izcilnieka pasākumā, skolu jubilejās, </t>
  </si>
  <si>
    <t>Mācību jomu koordinatoru atalgojums. ( EUR 150/mēnesī, 1 darbinieks, 10 mēneši)</t>
  </si>
  <si>
    <t>Koplīguma dāvana darbiniekiem (likuma ietvaros) EUR 15*10 darb.</t>
  </si>
  <si>
    <t>Skolēnu apbalvošana par augstiem mācību sasniegumiem (balvu fonds), tāme Nr. 18</t>
  </si>
  <si>
    <t>Skolēnu apbalvošana par augstiem mācību sasniegumiem (apbalvošanas pasākums), Tāme Nr.18</t>
  </si>
  <si>
    <t>Inventārs nodaļai, darbiniekiem un semināriem, Tāme Nr. 24</t>
  </si>
  <si>
    <t>Inventārs Ped med komisijas darbam, tāme Nr.19</t>
  </si>
  <si>
    <t>Šis jau ir EKK 2314</t>
  </si>
  <si>
    <r>
      <rPr>
        <i/>
        <sz val="8"/>
        <color rgb="FFFF0000"/>
        <rFont val="Arial"/>
        <family val="2"/>
        <charset val="186"/>
      </rPr>
      <t>Šie 2x600 jau ir EKK 2235 uz EKK 2314 ??</t>
    </r>
    <r>
      <rPr>
        <i/>
        <sz val="8"/>
        <rFont val="Arial"/>
        <family val="2"/>
      </rPr>
      <t xml:space="preserve"> 28.09.2023. lēmums Nr.381; 2025.g.4.novembris IKSS lēmums, nepieciešama materiālā bāze programmai. </t>
    </r>
  </si>
  <si>
    <r>
      <rPr>
        <i/>
        <sz val="8"/>
        <color rgb="FFFF0000"/>
        <rFont val="Arial"/>
        <family val="2"/>
        <charset val="186"/>
      </rPr>
      <t xml:space="preserve">Pēc tāmes 836 eur, ja pa 2 EKK, tad pie 2390 samazināts?? </t>
    </r>
    <r>
      <rPr>
        <i/>
        <sz val="8"/>
        <rFont val="Arial"/>
        <family val="2"/>
      </rPr>
      <t>Pedagoģiski medicīniskajai komisijai</t>
    </r>
  </si>
  <si>
    <r>
      <rPr>
        <i/>
        <sz val="8"/>
        <color rgb="FFFF0000"/>
        <rFont val="Arial"/>
        <family val="2"/>
        <charset val="186"/>
      </rPr>
      <t xml:space="preserve">Pēc tāmes 836 eur, ja pa 2 EKK, tad pie 2390 samazināts?? </t>
    </r>
    <r>
      <rPr>
        <i/>
        <sz val="8"/>
        <rFont val="Arial"/>
        <family val="2"/>
      </rPr>
      <t>EKK 2312; EKK 2390</t>
    </r>
  </si>
  <si>
    <t>Stipendijas studentiem, kas pēc augstskolas beigšanas strādās Ādažu izgl. Iestādēs. Tāme Nr. 1</t>
  </si>
  <si>
    <r>
      <t xml:space="preserve"> Izdevumi Ped.med.1 Komisijas darbiniekam-uzņēmuma līgums.</t>
    </r>
    <r>
      <rPr>
        <i/>
        <sz val="8"/>
        <color rgb="FFFF0000"/>
        <rFont val="Arial"/>
        <family val="2"/>
        <charset val="186"/>
      </rPr>
      <t xml:space="preserve"> </t>
    </r>
  </si>
  <si>
    <r>
      <rPr>
        <i/>
        <sz val="8"/>
        <color rgb="FFFF0000"/>
        <rFont val="Arial"/>
        <family val="2"/>
        <charset val="186"/>
      </rPr>
      <t xml:space="preserve">Jāprecizē summa tāmē </t>
    </r>
    <r>
      <rPr>
        <i/>
        <sz val="8"/>
        <rFont val="Arial"/>
        <family val="2"/>
        <charset val="186"/>
      </rPr>
      <t>Saskaņā ar 26.09.2024 lēmumu Nr. 360</t>
    </r>
  </si>
  <si>
    <t>Projekta “Skola- kopienā" finansējums</t>
  </si>
  <si>
    <t>Par tik samazināts pie EKK 2235</t>
  </si>
  <si>
    <t>4 bāreņi (187*4*12mēn.) = 8976 euro, mājoklis 13 000 euro pēc 2025.gada izpildes</t>
  </si>
  <si>
    <r>
      <t>5 audžuģim - (5*530*12) =31800eur, 4 aizbildņi (275*4*12)=13200 euro,vienreizējais gadā audžu'ģim. (5*780)= 3900 euro, +1 bērns rezervē 7140 eur/</t>
    </r>
    <r>
      <rPr>
        <i/>
        <sz val="8"/>
        <color rgb="FFFF0000"/>
        <rFont val="Arial"/>
        <family val="2"/>
        <charset val="186"/>
      </rPr>
      <t xml:space="preserve"> (aizbildņus vajadzētu izdalīt atsevišķi un pārcelt uz uz brīvpr.iniciatīvu EKK 6423 - 13 200 eur)</t>
    </r>
    <r>
      <rPr>
        <i/>
        <sz val="8"/>
        <rFont val="Arial"/>
        <family val="2"/>
        <charset val="186"/>
      </rPr>
      <t xml:space="preserve"> Audžuģimenēm ir mērķdotācija no LM - bērni 0-6 gadi 1.77 euro dienā, 7-18 gadi 2.12 euro dienā - 2025.gada 8 mēnešos no LM saņemts EUR 1187,20 </t>
    </r>
  </si>
  <si>
    <t>aprēķināts pēc saņemtajiem rēķiniem, tikko beidzās cenu aptaujas, ceļas cena, nevarēsim par mazāku naudu visu apmaksāt</t>
  </si>
  <si>
    <r>
      <t xml:space="preserve"> SN Par aprūpes mājās pakalpojumu pieaugušajiem līgums ar Samariešiem, izlīdzinātais maksājums par klientu 270 EUR,</t>
    </r>
    <r>
      <rPr>
        <i/>
        <sz val="8"/>
        <color rgb="FFFF0000"/>
        <rFont val="Arial"/>
        <family val="2"/>
        <charset val="186"/>
      </rPr>
      <t xml:space="preserve"> jaunā cena no 2026.gada janv. 300 EUR.</t>
    </r>
  </si>
  <si>
    <r>
      <t>2025.gadā 8 mēn. iztērēts 47000 euro. Klientu skaits pieaudzis - 2024.gadā psih.pak.saņēma 134 personas (10-20x). 47 000/8 mēn.*12=70 500.</t>
    </r>
    <r>
      <rPr>
        <i/>
        <sz val="8"/>
        <color rgb="FFFF0000"/>
        <rFont val="Arial"/>
        <family val="2"/>
        <charset val="186"/>
      </rPr>
      <t xml:space="preserve"> Uz novembri izpilde 64 421 EUR.</t>
    </r>
  </si>
  <si>
    <r>
      <t xml:space="preserve">Uz šo kodu no budžeta EKK 6260  pārvirzīts papildus finansējums 20 000 euro un no EKK 6299  10 000 euro gan psih., gan ģim.asist.pak. 40 000 euro līgums no 15.03.2025. uz 2 gadiem. </t>
    </r>
    <r>
      <rPr>
        <i/>
        <sz val="8"/>
        <color rgb="FFFF0000"/>
        <rFont val="Arial"/>
        <family val="2"/>
        <charset val="186"/>
      </rPr>
      <t>Uz novembri iztērēts (par 8 mēn.) 31 000 euro. Nepieciešams papildus finansējums līgumam nāk.gadā. 31 000/8*12=46 500</t>
    </r>
  </si>
  <si>
    <r>
      <t>uz rēķinu pamata, samazināts, izpilde</t>
    </r>
    <r>
      <rPr>
        <i/>
        <sz val="8"/>
        <color rgb="FFFF0000"/>
        <rFont val="Arial"/>
        <family val="2"/>
        <charset val="186"/>
      </rPr>
      <t xml:space="preserve"> 5510 eiro uz novembri</t>
    </r>
  </si>
  <si>
    <r>
      <t xml:space="preserve">izpilde uz </t>
    </r>
    <r>
      <rPr>
        <i/>
        <sz val="8"/>
        <color rgb="FFFF0000"/>
        <rFont val="Arial"/>
        <family val="2"/>
        <charset val="186"/>
      </rPr>
      <t>novembri EUR 2894</t>
    </r>
  </si>
  <si>
    <t>domes sēde 27.11.2025.</t>
  </si>
  <si>
    <r>
      <t>Bērnu dzimšanas pabalsti saskaņā ar SN</t>
    </r>
    <r>
      <rPr>
        <i/>
        <sz val="8"/>
        <color rgb="FFFF0000"/>
        <rFont val="Arial"/>
        <family val="2"/>
        <charset val="186"/>
      </rPr>
      <t xml:space="preserve">,EUR 300 </t>
    </r>
    <r>
      <rPr>
        <i/>
        <sz val="8"/>
        <rFont val="Arial"/>
        <family val="2"/>
        <charset val="186"/>
      </rPr>
      <t xml:space="preserve">par bērnu. Plānots ~uz </t>
    </r>
    <r>
      <rPr>
        <i/>
        <sz val="8"/>
        <color rgb="FFFF0000"/>
        <rFont val="Arial"/>
        <family val="2"/>
        <charset val="186"/>
      </rPr>
      <t>200</t>
    </r>
    <r>
      <rPr>
        <i/>
        <sz val="8"/>
        <rFont val="Arial"/>
        <family val="2"/>
        <charset val="186"/>
      </rPr>
      <t xml:space="preserve"> bērniem.</t>
    </r>
  </si>
  <si>
    <r>
      <rPr>
        <b/>
        <i/>
        <sz val="8"/>
        <rFont val="Arial"/>
        <family val="2"/>
        <charset val="186"/>
      </rPr>
      <t>jauna sadaļa</t>
    </r>
    <r>
      <rPr>
        <i/>
        <sz val="8"/>
        <rFont val="Arial"/>
        <family val="2"/>
        <charset val="186"/>
      </rPr>
      <t xml:space="preserve"> -Bērni invalīdi līdz 1500 eiro gadā, jauni nosacījumi SN-samazināts līdz 100 000 eiro. Uz šo brīdi nevar balstīties uz izpildi, jo SN groz.stājās spēkā 03.07.2025. un vasaras periodā bērni neapmeklē nod., kā arī čekus var iesniegt 6 mēn.periodā. </t>
    </r>
    <r>
      <rPr>
        <i/>
        <sz val="8"/>
        <color rgb="FFFF0000"/>
        <rFont val="Arial"/>
        <family val="2"/>
        <charset val="186"/>
      </rPr>
      <t>Šobrīd izpilde nav tik liela, kā paredzēts, samazinu līdz 70 000 EUR</t>
    </r>
  </si>
  <si>
    <t>No kopējās summas, kas ir 102 743 euro, no LM mērķdotācijas ir 50%, kas sastāda 51371,5 euro</t>
  </si>
  <si>
    <r>
      <t xml:space="preserve">Atalgojums bērnu invalīdu aprūpētājiem, </t>
    </r>
    <r>
      <rPr>
        <i/>
        <sz val="8"/>
        <color rgb="FFFF0000"/>
        <rFont val="Arial"/>
        <family val="2"/>
        <charset val="186"/>
      </rPr>
      <t>1120 h mēn.*6,03</t>
    </r>
    <r>
      <rPr>
        <i/>
        <sz val="8"/>
        <rFont val="Arial"/>
        <family val="2"/>
      </rPr>
      <t xml:space="preserve"> euro h likme*12 mēn - nodokļi, kas ir EKK 1210</t>
    </r>
  </si>
  <si>
    <r>
      <t xml:space="preserve">Atalgojums bērnu invalīdu aprūpētājiem, </t>
    </r>
    <r>
      <rPr>
        <i/>
        <sz val="8"/>
        <color rgb="FFFF0000"/>
        <rFont val="Arial"/>
        <family val="2"/>
        <charset val="186"/>
      </rPr>
      <t xml:space="preserve">1120 h mēn.*6,03 </t>
    </r>
    <r>
      <rPr>
        <i/>
        <sz val="8"/>
        <rFont val="Arial"/>
        <family val="2"/>
      </rPr>
      <t>euro h likme*12 mēn - nodokļi, kas ir EKK 1210</t>
    </r>
  </si>
  <si>
    <r>
      <t xml:space="preserve">Atalgojums bērnu invalīdu aprūpētājiem, </t>
    </r>
    <r>
      <rPr>
        <i/>
        <sz val="8"/>
        <color rgb="FFFF0000"/>
        <rFont val="Arial"/>
        <family val="2"/>
        <charset val="186"/>
      </rPr>
      <t>300 h mēn.*6,03 euro h likme*12 mēn</t>
    </r>
  </si>
  <si>
    <r>
      <t xml:space="preserve">100% atmaksa - </t>
    </r>
    <r>
      <rPr>
        <i/>
        <sz val="8"/>
        <color rgb="FFFF0000"/>
        <rFont val="Arial"/>
        <family val="2"/>
        <charset val="186"/>
      </rPr>
      <t>izņēmu 6000, piemaksas nebūs)</t>
    </r>
  </si>
  <si>
    <r>
      <t xml:space="preserve">100% atmaksa - </t>
    </r>
    <r>
      <rPr>
        <i/>
        <sz val="8"/>
        <color rgb="FFFF0000"/>
        <rFont val="Arial"/>
        <family val="2"/>
        <charset val="186"/>
      </rPr>
      <t>izņēmu ārā 2000, piemaksas nebūs)</t>
    </r>
  </si>
  <si>
    <t>Sensoras telpas celtniecības darbi</t>
  </si>
  <si>
    <t>Sensoras telpas aprikojums</t>
  </si>
  <si>
    <t>Lai īstenotu šo projektu-  sensorās telpas izveide Kadagas PII “Mežavēji” mums nepieciešams saņemt saskaņošanu no Aizsardzības ministrijas, jo pagaidām ēka viņiem pieder. Jāizstrādā projekts par to arī jāmaksā.  </t>
  </si>
  <si>
    <r>
      <t>Kāpēc palielinājums? /</t>
    </r>
    <r>
      <rPr>
        <i/>
        <sz val="8"/>
        <color rgb="FF00B0F0"/>
        <rFont val="Arial"/>
        <family val="2"/>
      </rPr>
      <t>Iepirkuma līgumā paredzētā summa</t>
    </r>
  </si>
  <si>
    <t>SDK DĒKA un vieskolektīvu deju koncerts</t>
  </si>
  <si>
    <t xml:space="preserve">SDK DĒKA sievu jakas 12gab.x EUR 120, lakati 12gab.x EUR 15, vīru vestes 10gab.x EUR 140  </t>
  </si>
  <si>
    <t>Canon EOS fotokamera</t>
  </si>
  <si>
    <t>Šim nav liela rezerve??</t>
  </si>
  <si>
    <t>+ 9'000 Interaktīvās tāfeles 3 grupās, ar statīvu</t>
  </si>
  <si>
    <t>Skapju komplekts, bērnu gultas, 2 televizori</t>
  </si>
  <si>
    <t>Saskaņā ar personāla daļas failu. Pieaugums ceļa kompensācijām.</t>
  </si>
  <si>
    <t>Saskaņā ar personāla daļas failu. MD samazinājums</t>
  </si>
  <si>
    <t>+ 6'950 akreditācijas izdevumi;</t>
  </si>
  <si>
    <t>Datortehnikas nomaiņa, mūzikas instrumenti</t>
  </si>
  <si>
    <t>+ 7'000 inventārs;
+ 1'400 apdrošināšana;
+ 1'000 balvu cenu pieaugums</t>
  </si>
  <si>
    <t>CKS atalgojuma pieaugums citās nodaļās</t>
  </si>
  <si>
    <t>Saskaņā ar personāla daļas failu.  (pedagogiem 1 vakance mazāk - logopēds)</t>
  </si>
  <si>
    <t>2025.bija šeit!</t>
  </si>
  <si>
    <t>Dators I. Bērziņam, Punenova, Kēlere</t>
  </si>
  <si>
    <t>Mac Book Pro Max 4500 eur ar PVN (Audio video darbiem - nepieciešama jaunāka versija)</t>
  </si>
  <si>
    <t>AN un CN administratīvajās ēkās galvenajās serveru statnēs jaunas UPS iekārtas. 6 x 1'500 eur</t>
  </si>
  <si>
    <t>Interaktīvais ekrans datoram 2'500,00 EUR. 2.gab. 5'000,00 EUR.</t>
  </si>
  <si>
    <t>Planšete BASIK instruments psihologam 1 gab.-600 EUR;</t>
  </si>
  <si>
    <t>Televizori 2 gabali (pārvietojamie).</t>
  </si>
  <si>
    <t>2249</t>
  </si>
  <si>
    <t>Miera telpa</t>
  </si>
  <si>
    <t xml:space="preserve">Miera telpas izveide, iekārtojums </t>
  </si>
  <si>
    <t>2025./2026. mācību. gadā studējošs pedagogs 100% mācību maksas kompensācija  EUR 900*2 semestri =EUR 1800</t>
  </si>
  <si>
    <t>Optisko briļļu kompensācija 15*200=EUR 3000</t>
  </si>
  <si>
    <t>Pirmās palīdzības izglītības programmas praktiskā apguve (32 pedagogiem un 20 tehniskajiem darbiniekiem) (plānotais organizators FN serviss vai MCPP SIA) 51xEUR 25=EUR 1275</t>
  </si>
  <si>
    <t>E-žurnālu komplekts 12 mēn: "Metodiskie materiāli pirmsskolām" . Gada abonaments EUR 108.00</t>
  </si>
  <si>
    <t>Sociālās un pilsoniskās mācību jomas īstenošanai: Latvijas valsts, Ādažu novada karogs mastam (200x100 cm) 2xEUR 45=EUR 90</t>
  </si>
  <si>
    <t>Olimpiādes (skolas, ārpusskolas)</t>
  </si>
  <si>
    <t>Interaktīvais displejs 75 collas  mūzikas kabinetos 3 gab.</t>
  </si>
  <si>
    <t>Interaktīvais displejs 75 collas  2 gab. bojāto aizvietošanai un 024, 025 kabineti.</t>
  </si>
  <si>
    <t>Izglītības iestādes vadītāja profesionālās darbības vērtēšana</t>
  </si>
  <si>
    <t>SIA Izglītības Sistēmas # PEK-2-05-5011A; 01.09.2015.-nenoteikts. EUR 30+PVN=36,30/mēnesī. Maksājums reizi ceturksnī. (e-klase)</t>
  </si>
  <si>
    <t>Nodaļas vadītāja I.Pērkone - max EUR 33 mēn. (max 60 l mēnesī) (60l*100km/6l uz km*0.04*11m)</t>
  </si>
  <si>
    <t>Tehniskā projektu vadītāja I.Grīviņa - Dilāne, max EUR 22 mēn.  (max 40 l mēnesī) (40l*100km/6l uz km*0.04*11m * 0.85)</t>
  </si>
  <si>
    <t>Tehniskais projektu vadītājs A.Plūksna, max EUR 22 mēn.  (max 40 l mēnesī) (40l*100km/6l uz km*0.04*11m * 0.85)</t>
  </si>
  <si>
    <t>Tehniskā projektu vadītāja B.Grebņicka - Lujāne, max EUR 22 mēn. (max 40 l mēnesī) (40l*100km/6l uz km*0.04*11m * 0.85)</t>
  </si>
  <si>
    <t>Vecākā projektu vadītāja G.Dundure, max EUR 13,7 mēn.  (max 25 l mēnesī) (25l*100km/6l uz km*0.04*11m)</t>
  </si>
  <si>
    <t>Vecākā projektu vadītāja A.Dukāte, max EUR 13,7 mēn.  (max 25 l mēnesī) (25l*100km/6l uz km*0.04*11m)</t>
  </si>
  <si>
    <t>Vecākā projektu vadītāja  I.Vanka-Krilovska, max EUR 13,7 mēn.  (max 25 l mēnesī) (25l*100km/6l uz km*0.04*11m)</t>
  </si>
  <si>
    <t>Vecākā projektu vadītāja  S.Ruģēna, max EUR 13,7 mēn.  (max 25 l mēnesī) (25l*100km/6l uz km*0.04*11m)</t>
  </si>
  <si>
    <t>Projektu vadītājs A.Zariņš, max EUR 13,7 mēn.  (max 25 l mēnesī) (25l*100km/6l uz km*0.04*11m)</t>
  </si>
  <si>
    <t>Kopienu speciāliste M.Kiselevska, max EUR 22 mēn.  (max 40 l mēnesī) (40l*100km/6l uz km*0.04*11m * 0.85)</t>
  </si>
  <si>
    <t xml:space="preserve">Interneta pakalpojumi Cīruļu ielā 10. (Kadiķis), LMT plāns "Neierobežots internets" ikmēneša abonēšana 7.06 euro ar PVN mēnesī </t>
  </si>
  <si>
    <t>2 telefonu nomaiņa projektu vadītājiem</t>
  </si>
  <si>
    <t>Degviela - vecākā projektu vadītāja G.Dundure, max 25 l mēnesī (2026.gadam plānots: 10 l x EUR 2,0 x 12 mēneši = EUR 240)</t>
  </si>
  <si>
    <t>Degviela - vecākā projektu vadītāja A.Dukāte, max 25 l mēnesī (2026.gadam plānots: 10 l x EUR 2,0 x 12 mēneši = EUR 240)</t>
  </si>
  <si>
    <t>Degviela - vecākā projektu vadītāja I.Vanka-Krilovska, max 25 l mēnesī (2026.gadam plānots: 10 l x EUR 2,0 x 12 mēneši = EUR 240)</t>
  </si>
  <si>
    <t>Degviela - vecākā projektu vadītāja S.Ruģēna, max 25 l mēnesī (2026.gadam plānots: 10 l x EUR 2,0 x 12 mēneši = EUR 240)</t>
  </si>
  <si>
    <t>Degviela - projektu vadītājam A.Zariņam, max 25 l mēnesī (2026.gadam plānots: 10 l x EUR 2,0 x 12 mēneši = EUR 240)</t>
  </si>
  <si>
    <t>Degviela - kopienu speciāliste M.Kiselevska, max 40 l mēnesī (2026.gadam plānots: 30 l x EUR 2,0 x 12 mēneši = EUR 720)</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</si>
  <si>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</si>
  <si>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</si>
  <si>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+ 4'000 bērnu krēsliņi</t>
  </si>
  <si>
    <t>+ 1'558 elektroenerģija;
+ 1'500 veļas mazgāšana</t>
  </si>
  <si>
    <t>Vecais plūdu projekts - garantijas maksājuma atmaksa</t>
  </si>
  <si>
    <t>Konferenču monitors + parastais monitors (komplekts) 600 eur ar PVN x 3.gab. = 1800 eur ar PVN (Ilze, Atis, Ansis)</t>
  </si>
  <si>
    <t>Projektu nauda iet būvniecībai</t>
  </si>
  <si>
    <t xml:space="preserve">Būvprojekts jaunas pamatskolas izveidei Ādažu pilsētā. ĀNP 23.11.2023. lēmums Nr. 425, ĀNP 29.02.2024. lēmums Nr. 68. AP pasākumi Ā3.2.2.2. un Ā5.1.2.12. </t>
  </si>
  <si>
    <r>
      <t>Ielas apgaismojuma izbūve Tulpju, Liepu iela, Carnikava (600m)</t>
    </r>
    <r>
      <rPr>
        <b/>
        <sz val="9"/>
        <rFont val="Arial"/>
        <family val="2"/>
        <charset val="186"/>
      </rPr>
      <t xml:space="preserve"> ir būvprojekts</t>
    </r>
  </si>
  <si>
    <t>Projektēšana ~ EUR 19'000</t>
  </si>
  <si>
    <t>Pilns gads saimnieciskajiem darbiniekiem, kas 2025.gada sākumā tika pārcelti uz CKS un 1 sporta treneris</t>
  </si>
  <si>
    <t>Carnikavas trenažieru telts sienu atjaunošana</t>
  </si>
  <si>
    <t>Divas teltis, sabojāta saliedēšanas pasākumā + sieniņas šīm  teltīm</t>
  </si>
  <si>
    <t>Pasākuma apskaņošanas tumba</t>
  </si>
  <si>
    <t>Carnikavas skeitparka būvniecība</t>
  </si>
  <si>
    <t>Gada griezumā pārcelts investīcijām. Nenotika Jauniešu olimpiāde EUR 10'000</t>
  </si>
  <si>
    <t xml:space="preserve">+ Saņemtā PVN atmaksa, balstoties uz ieņēmumu plānu + EUR 2'000 </t>
  </si>
  <si>
    <t xml:space="preserve">Portatīvie datori ar programmatūru </t>
  </si>
  <si>
    <t>Interaktīvs displejs (75") ĀKC darba plānošanai, pasākumiem</t>
  </si>
  <si>
    <t>Piemiņas pasākumi, jāorganizē vismaz 6 pasākumi gada, viena pasākuma izmakasas - 500.00 EUR (Atceres pasākumi (25. marts, 14. februāris, 14.jūnijs, 4. decembris, 11. novembris, 18. novembris, pasākumi sadarbībā ar represēto biedrību), pavisam min. 6 pasākumi gadā (Lāčplēšu diena Ādažu un Carnikavas pagastos = 1000*2)</t>
  </si>
  <si>
    <t>2024 gadā no SIA "GRIF 93" nogādātās  laivas remonts, pacelšana</t>
  </si>
  <si>
    <t xml:space="preserve">Iepriekšēju pasākumu atdzimšana - Ugunskuru nakts piekrastē - 1000 EUR, Kopienas plostnieku pasākums Ādažos - 500 EUR, Vasarsvētku danču vakars NC - 1500 EUR, amatnieku pasākums CN pagalmā vasarā vai rudenī - 1000 EUR </t>
  </si>
  <si>
    <t>0841.4</t>
  </si>
  <si>
    <t>Tūrisma karšu iegāde</t>
  </si>
  <si>
    <t>* vēlamais konta atlikums vismaz 0.5% no bāzes izdevumiem</t>
  </si>
  <si>
    <t>PWC jaunās skolas FEA pētījuma maksājums</t>
  </si>
  <si>
    <t>Pašvaldības priekšfinansējums tiks atgūts  2026.g. beigās.</t>
  </si>
  <si>
    <r>
      <t xml:space="preserve">Sociālā mentora darba stundas atalgojums nepārsniedz 11,00 euro,  </t>
    </r>
    <r>
      <rPr>
        <i/>
        <sz val="8"/>
        <color rgb="FFFF0000"/>
        <rFont val="Arial"/>
        <family val="2"/>
        <charset val="186"/>
      </rPr>
      <t>11*3st*53 nedēļas</t>
    </r>
  </si>
  <si>
    <r>
      <t xml:space="preserve">Sociālā mentora darba stundas atalgojums nepārsniedz 11,00 euro,  </t>
    </r>
    <r>
      <rPr>
        <i/>
        <sz val="8"/>
        <color rgb="FFFF0000"/>
        <rFont val="Arial"/>
        <family val="2"/>
        <charset val="186"/>
      </rPr>
      <t xml:space="preserve">11*3st*53 nedēļas=1749 </t>
    </r>
    <r>
      <rPr>
        <i/>
        <strike/>
        <sz val="8"/>
        <color rgb="FFFF0000"/>
        <rFont val="Arial"/>
        <family val="2"/>
        <charset val="186"/>
      </rPr>
      <t>EUR</t>
    </r>
    <r>
      <rPr>
        <i/>
        <strike/>
        <sz val="8"/>
        <rFont val="Arial"/>
        <family val="2"/>
        <charset val="186"/>
      </rPr>
      <t xml:space="preserve">  EKK 1150 un EKK 1210 (no 1010/ EKK 6419 Ģimenes asistenta pakalp.)</t>
    </r>
  </si>
  <si>
    <r>
      <t xml:space="preserve">Biheiviorālās pārmaiņas motivējošu pasākumu izmaksas nepārsniedz 120 euro mēnesī    30*12 mēneši </t>
    </r>
    <r>
      <rPr>
        <i/>
        <strike/>
        <sz val="8"/>
        <rFont val="Arial"/>
        <family val="2"/>
        <charset val="186"/>
      </rPr>
      <t>EKK 6324 (no 1010/ EKK 6419 Ģimenes asistenta pakalp.)</t>
    </r>
  </si>
  <si>
    <r>
      <t xml:space="preserve">Pabalstu 3,29 euro dienā finanšu pratības apguvei   3.29 *121 = 398 euro mēn. </t>
    </r>
    <r>
      <rPr>
        <i/>
        <strike/>
        <sz val="8"/>
        <rFont val="Arial"/>
        <family val="2"/>
        <charset val="186"/>
      </rPr>
      <t>EKK 6255 (no 1010/ EKK 6419 Ģimenes asistenta pakalp.)</t>
    </r>
  </si>
  <si>
    <t>Patvertņu pielāgošana un aprīkošana civiliem aizsardzības mērķiem</t>
  </si>
  <si>
    <t>ĀNP 23.10.2025. lēmums Nr. 427 (2026.-2027.gads)</t>
  </si>
  <si>
    <t>2. OBLIGĀTĀS/ GADSKĀRTĒJĀS iniciatīvas</t>
  </si>
  <si>
    <t>Civilās aizsardzibas plāna izstrāde</t>
  </si>
  <si>
    <t>Stāvlaukuma ierīkošana pie Ādažu sporta centra.</t>
  </si>
  <si>
    <t>NAV DISKUTĒTS!</t>
  </si>
  <si>
    <t>TĀME NO SEPTEMBRA</t>
  </si>
  <si>
    <t xml:space="preserve">Invalīdu pacēlāju uzstādīšana Gaujas ielā 16, Ādažos </t>
  </si>
  <si>
    <t>Invalīdu pacēlāju uzstādīšana Carnikavas TN Ozolaine</t>
  </si>
  <si>
    <t>e-žurnālu “Pieredzes materiālu krātuve pirmsskolām”</t>
  </si>
  <si>
    <t>Laulību jubileju atzīmēšana (t.sk. dāvanas )
- muzik. Nofor. EUR 600
- dāvanas EUR 120
- uzkodas EUR 160
- ziedi EUR 80
- materiāli, dekorāc. EUR 40</t>
  </si>
  <si>
    <t>Darba uzteikums, algu un kompensācijas izmaksa 1am darbiniekam - max rezerve EUR 11'035</t>
  </si>
  <si>
    <t xml:space="preserve">Projekta “Digitālā darba ar jaunatni sistēmas attīstība pašvaldībā" </t>
  </si>
  <si>
    <t>Arī darbinieku - deputātu algas tiek grāmatotas EKK 1119 EUR 80'000 no EKK 1111 uz EKK 1119 
EUR 1'000 no EKK 1111 uz EKK 1142
EUR 15'000 no EKK 1111 uz EKK 1148 (EKK korekcijas)
EUR 6'000 no EKK 1111 uz EKK 1210 (EKK korekcijas)</t>
  </si>
  <si>
    <t xml:space="preserve">Arī darbinieku - deputātu algas tiek grāmatotas EKK 1119 EUR 80'000 no EKK 1111 uz EKK 1119 </t>
  </si>
  <si>
    <t>EUR 1'000 no EKK 1111 uz EKK 1142</t>
  </si>
  <si>
    <t>EUR 15'000 no EKK 1111 uz EKK 1148 (EKK korekcijas)</t>
  </si>
  <si>
    <t>EUR 6'000 no EKK 1111 uz EKK 1210 (EKK korekcijas)</t>
  </si>
  <si>
    <t>EUR 50'000 no EKK 1147 uz EKK 1148 (EKK korekcijas)
EUR 4'000 no EKK 1147 uz EKK 1221 (EKK korekcijas)</t>
  </si>
  <si>
    <t>EUR 50'000 no EKK 1147 uz EKK 1148 (EKK korekcijas)</t>
  </si>
  <si>
    <t>EUR 4'000 no EKK 1147 uz EKK 1221 (EKK korekcijas)</t>
  </si>
  <si>
    <t>EUR 100 no EKK 1119 uz EKK 1142 (EKK korekcijas)</t>
  </si>
  <si>
    <t>EUR 2'500 no EKK 1147 uz EKK 1148 (EKK korekcijas)</t>
  </si>
  <si>
    <t>EUR 1'400 no EKK 1221 uz EKK 1210 (EKK korekcijas)</t>
  </si>
  <si>
    <t>EUR 5'500 no EKK 1145 uz EKK 1119 (EKK korekcijas)</t>
  </si>
  <si>
    <t>EUR 1'700 no EKK 1145 uz EKK 1141 (EKK korekcijas)</t>
  </si>
  <si>
    <t>EUR 1'000 no EKK 1147 uz EKK 1142 (EKK korekcijas)</t>
  </si>
  <si>
    <t>EUR 30'000 no EKK 1147 uz EKK 1148 (EKK korekcijas)</t>
  </si>
  <si>
    <t>EUR 5'000 no EKK 1149 uz EKK 1210 (EKK korekcijas)</t>
  </si>
  <si>
    <t>EUR 2'000 no EKK 1142 uz EKK 1148 (EKK korekcijas)</t>
  </si>
  <si>
    <t>EUR 7'000 no EKK 1147 uz EKK 1148 (EKK korekcijas)</t>
  </si>
  <si>
    <t>EUR 10'000 no EKK 1119 uz EKK 1148 (EKK korekcijas)</t>
  </si>
  <si>
    <t>EUR 4'800 no EKK 3262 uz EKK 5238 portatīvo datoru iegādei darbinieku darba nodrošināšanai</t>
  </si>
  <si>
    <t>Samazināts locekļu skaits. Nav ielikts max stundu skaits, ņemot vērā faktisko izpildi.</t>
  </si>
  <si>
    <t xml:space="preserve">2026.gadā Saeimas vēlēšanas (finansējums no Valsts budžeta EUR 88'984 - atņemts, jo tā nav bāze) </t>
  </si>
  <si>
    <t>+ 4'000 Ādažu novada attīstības programmas un stratēģijas vides pārskata monitoringa izstrāde</t>
  </si>
  <si>
    <t>EUR 8'000 no EKK 1119 uz EKK 1148 (EKK korekcijas)</t>
  </si>
  <si>
    <t>EUR 2'500 no EKK 1119 uz EKK 1210 (EKK korekcijas)</t>
  </si>
  <si>
    <t>EUR 500 no EKK 1221 uz EKK 1210 (EKK korekcijas)</t>
  </si>
  <si>
    <t>EUR 100 no EKK 1119 uz EKK 1142 (EKK korekcijas)
EUR 500 no EKK 1119 uz EKK 1148 (EKK korekcijas)</t>
  </si>
  <si>
    <t>EUR 500 no EKK 1119 uz EKK 1148 (EKK korekcijas)</t>
  </si>
  <si>
    <t>EUR 700 no EKK 1119 uz EKK 1210 (EKK korekcijas)</t>
  </si>
  <si>
    <t>EUR 150 no EKK 1147 uz EKK 1148 (EKK korekcijas)</t>
  </si>
  <si>
    <t>EUR 1'700 no EKK 1221 uz EKK 1210 (EKK korekcijas)</t>
  </si>
  <si>
    <r>
      <t xml:space="preserve">Speciāli aprīkotas policijas automašīnas iegāde (atbilstoši opertīvā transporta statusam), līgums ar "Transporent" Nr. JUR 2025-05/588 (piecu gadu periods),- </t>
    </r>
    <r>
      <rPr>
        <i/>
        <strike/>
        <sz val="8"/>
        <rFont val="Arial"/>
        <family val="2"/>
        <charset val="186"/>
      </rPr>
      <t>pirmā iemaksa 8183 EUR</t>
    </r>
    <r>
      <rPr>
        <i/>
        <sz val="8"/>
        <rFont val="Arial"/>
        <family val="2"/>
        <charset val="186"/>
      </rPr>
      <t xml:space="preserve">, ikmēneša maksājums  1251,22 EUR </t>
    </r>
  </si>
  <si>
    <t>Darba stacija (dators+monitors+programmatūra) (komplekts 1200 EUR) + 10 veco nomaiņai</t>
  </si>
  <si>
    <t>Darba stacija (dators+monitors+programmatūra) (komplekts 1200 EUR) datorklase 17</t>
  </si>
  <si>
    <t>Zemesgabala nomas līgums ar Ausmu Beķeri 256,12x12=3073,44 (2015.g.), 2016. g. EUR 400; 2021. - EUR 459,80; 2025.g 477,90</t>
  </si>
  <si>
    <t xml:space="preserve">+ 15'015 Speciāli aprīkotās policijas automašīnas iegāde (atbilstoši opertīvā transporta statusam), līgums ar "Transporent" Nr. JUR 2025-05/588 (piecu gadu periods) - ikmēneša maksājums  1251,22 EUR </t>
  </si>
  <si>
    <t>Zemes ierīcības projektu izstrāde un izdevumu apmaksa to izstrādei NĪ dzelzceļa staciju "Kalngale" un "Garupe" attīstībai (EUR 7500 x 2 = EUR 15000, domes 26.06.2025. lēmumi Nr. 260 un Nr.261)</t>
  </si>
  <si>
    <t>EUR 63'000 Jaunas deformācijas šuves izbūve tiltam pāri Gaujai, Ādažos (atbilstoši tiltu inspekcijas norādījumiem+ aizsargbarjeru atjaunošana) - pārcelts no 2025.gada</t>
  </si>
  <si>
    <t xml:space="preserve">+ 3 datoru noamiņa un Interaktīvā displeja iegāde
+ 6'000 ĀKC skatuves kulišu un horizonta nomaiņa </t>
  </si>
  <si>
    <t>1) Atalgojums (13'443 eur)
2) Inventāra iegāde, t.sk. video novērošana (7'977 eur) 
3) ūdens un kanalizācijas izmaksu pieaugums (4'800 eur)
4) Baseina ventilācijas iekārtas remonts (26'000 eur).</t>
  </si>
  <si>
    <t>+1'000 Izglītības un sabiedrības informēšanas, kopienas atbalsta pasākumi 
+4'900 pasākumu organizēšana</t>
  </si>
  <si>
    <t>+ 1'500 mācību pakalpojumiem;
+ 1'500 Kancelejas preces, preces darbnīcām</t>
  </si>
  <si>
    <t>+ 2'800 telekomunikācijas pakalpojumiem (visās grupās telefoni);
+ 1'000 Pedagogu pieredzes apmaiņas braucieniem;
+ 5'000 asistentu pakalpojumu apmaksai;
+ 3'000 Mīkstais inventārs;
+ 2'000 Mācību līdzekļi</t>
  </si>
  <si>
    <t>+ 14'240 pakalpojuma apmaksu 58 koda bērnam;
+ 1'700 mācību līdzekļiem</t>
  </si>
  <si>
    <t>Atalgojuma pieaugums</t>
  </si>
  <si>
    <t>Projekta kopējās izmaksas</t>
  </si>
  <si>
    <t>Projekts beidzies, EUR 40 772.02 ienāks 2026.g.(priekšfinansējuma dzēšana)</t>
  </si>
  <si>
    <t>Pārvietojama gājēju/velobraucēju plūsmas skaitīšanas sistēmas iegāde (pārcelts no 2025.gada, līgums noslēgts)</t>
  </si>
  <si>
    <t>0340.1</t>
  </si>
  <si>
    <t>Jauno uzņēmēju konkurss (summa, kas piešķirta 2025.gadā, bet tiks izmaksāta 2026.gadā)</t>
  </si>
  <si>
    <t>Plānots prioritārais aizņēmums šīm visām ārprusprojekta aktivitātēm (15% pašv.fin./85% VK aizņēmums)</t>
  </si>
  <si>
    <t>https://likumi.lv/ta/id/365272</t>
  </si>
  <si>
    <t xml:space="preserve">1.Nekustamā īpašuma nodokļa prognozes noteikšanai nākamajam taksācijas gadam (mājoklim), ņem par pamatu nodokļa likmi 0.2% no nekustamā īpašuma nodokļa kadastrālās vērtības ( tā noteikts – MK noteikumos Nr.292 “Nekustamā īpašuma nodokļa ieņēmumu prognozes noteikšanas kārtība”). </t>
  </si>
  <si>
    <t>Prognozē netiek iekļautas garāžas, garāžu īpašnieku kooperatīvās sabiedrības garāžas.</t>
  </si>
  <si>
    <t>Prognozēto nodokļa apjomu samazina:</t>
  </si>
  <si>
    <t>1.      100%  - maksātnespējīgiem komersantiem, maksātnespējīgām fiziskām personām,</t>
  </si>
  <si>
    <t>2.      50%  - politiski represētām personām,</t>
  </si>
  <si>
    <t>3.      100%  - trūcīgajām un maznodrošinātām personām,</t>
  </si>
  <si>
    <t>4.      50% -  daudzbērnu ģimenēm.</t>
  </si>
  <si>
    <t>2. Daudz ēkas it īpaši Carnikavas pagastā, 2025.gadā tika nojauktas vai grausti sakārtoti un izņemti no VZD Kadastra reģistra datiem, līdz ar to prognoze 2026.gadam samazinājās. Otrs cēlonis – īpašnieku maiņa( piederēja SIA – likme 1.5%, atsavināšanas ceļā pārgāja privātai personai un uz likmi 0.2%.</t>
  </si>
  <si>
    <t>3.Rūpīgi tiek sekots SN 37/2021 “Par nekustamā īpašuma nodokļa atvieglojumu  piešķiršanu Ādažu novadā” un SN Nr.15/2021 ‘Par nekustamā īpašuma nodokli Ādažu novada pašvaldībā”, katru dienu tiek veikti pārrēķini.</t>
  </si>
  <si>
    <t>2 klēpjdatori un Stāvgalds - apspriežu telpā projektu izskatīšanai. 1.gab*650</t>
  </si>
  <si>
    <t>Pašvaldību budžeta dotācija biedrībām un nodibinājumiem  [EKK 3263]</t>
  </si>
  <si>
    <t>Vecštāles ceļa asfaltēšana (AM finansējums)</t>
  </si>
  <si>
    <t>AM finansējums</t>
  </si>
  <si>
    <t>ZZ dats rindu uzskaite un deklarāciju pārbaude-Tāme nr 22</t>
  </si>
  <si>
    <t>Vecie kritiskā stāvoklī</t>
  </si>
  <si>
    <t>Projekts "FIBA EuroBasket2025 - Latvijas basketbola nākotnei"</t>
  </si>
  <si>
    <t>Projekts "FIBA EuroBasket2025 - Latvijas basketbola nākotnei" - basketbola metienu treniņu mašīnas iegāde</t>
  </si>
  <si>
    <t>Projekts "FIBA EuroBasket2025 - Latvijas basketbola nākotnei" - basketbola bumbu iegāde</t>
  </si>
  <si>
    <t>L. Azarovas tilta pārbūve uz caurteku (ir projekts)</t>
  </si>
  <si>
    <t>Pēc IIN aprēķinātā summa (0.2% no pēdējo 3 gadu IIN+NĪN)</t>
  </si>
  <si>
    <t>Ēkas "Ligzda" telpu pielāgošana grupiņām</t>
  </si>
  <si>
    <t>DVS Namejs CITY atbalsta paka Sudrabs (konsultācijas) 3500 + PVN</t>
  </si>
  <si>
    <t>IIN pārpilde, kas novirzāma kredītu pamatsummas segšanai</t>
  </si>
  <si>
    <t>1200 euro gadā, kas ir NAMEJA sasaiste ar SD jauno sistēmu DigiSoc, kuru ievieš LM kopā ar pašvaldībām</t>
  </si>
  <si>
    <t>300 euro vajadzēs par testa vides ieviešanu</t>
  </si>
  <si>
    <t>MD apjoma pieaugums, samazinās transporta piemaksas, samazinās mācību maksas kompensācija</t>
  </si>
  <si>
    <t>kopējās līzinga izmaksas 87 000 eur (līgums uz 5 gadiem)</t>
  </si>
  <si>
    <t>kopējās līzinga izmaksas 25 000 eur (līgums uz 5 gadiem)</t>
  </si>
  <si>
    <t>Ielas apgaismojuma izbūve un projektēšana Kanāla iela Ādažos (no Podniekiem līdz Alderiem) (5 km)</t>
  </si>
  <si>
    <t xml:space="preserve">Ielu apgaismojuma projekta izstrāde un būvniecība posmā no dzelzceļa stacijas Gauja līdz ciemam Kāpas (Skautu iela) </t>
  </si>
  <si>
    <t>pārceļas no 2025. gada</t>
  </si>
  <si>
    <t xml:space="preserve">pārceļas no 2025. gada </t>
  </si>
  <si>
    <t>DRN EUR 127'925</t>
  </si>
  <si>
    <t>Baltezera kapsētas paplašināšana - būvprojekta izstrāde</t>
  </si>
  <si>
    <t>Ģeoekoloģiskā izpēte Baltezera kapsētas paplašināšanai</t>
  </si>
  <si>
    <t>garantija pārceļas uz 2026. gadu</t>
  </si>
  <si>
    <t>Projektēšana - Dadzīšu ielas pārbūve (būvniecības izmaksas 600 000 eur)</t>
  </si>
  <si>
    <t>Projektēšana - Gaujas iela 2,1 km posmā no Attekas ielas līdz Dadzīšu ielai (būvniecības izmaksas 1 750 000 eur)</t>
  </si>
  <si>
    <t>KA 01.01.2026. (CKS budžetā) EUR 81'343.02</t>
  </si>
  <si>
    <t xml:space="preserve">Āra lifta izbūve pie A korpusa (projektēšana) </t>
  </si>
  <si>
    <t>Āra lifta būvprojekta ekspertīze</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</si>
  <si>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</si>
  <si>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</si>
  <si>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</si>
  <si>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(Carnikavas vidusskola). Mācību vides uzlabošana un mācību procesa nodrošināšanai paredzētā aprīkojuma iegāde EUR 90'001</t>
  </si>
  <si>
    <t>Ādažu vidusskolas investīciju projekts. Teritorijas labiekārtošana EUR 28'692 + 650</t>
  </si>
  <si>
    <t>Infrastruktūras uzlabošana uzņēmējdarbības attīstībai Ādažu novadā (Laveru ceļš + Smilgu iela)</t>
  </si>
  <si>
    <t>2026.g. būvprojekta izstrāde</t>
  </si>
  <si>
    <t xml:space="preserve"> (būvniecība beidzas 2026.g. augustā).</t>
  </si>
  <si>
    <t>Priekšlikums</t>
  </si>
  <si>
    <t>koku stādīšanu Carnikavā, Vizbuļu ielā 20, 20A un 22 (P1 trase)</t>
  </si>
  <si>
    <t>Nav iekļauts budžetā. Ņemts vērā par koku stādīšanas vietām.</t>
  </si>
  <si>
    <t>Gājēju ceļš starp daudzīvojamām mājām Pasta ielas rajonā</t>
  </si>
  <si>
    <t>Tiks labots 2026.gadā uzturēšanas kārtībā.</t>
  </si>
  <si>
    <t xml:space="preserve">Gājēju drošības barjeru uzstādīšana no Gaujas tilta līdz Kadagai </t>
  </si>
  <si>
    <t>Netiek plānots.</t>
  </si>
  <si>
    <t>Digitālā ātruma tablo (radara) uzstādīšanu Kadagā, pie krustojuma ar Austrumu ielu</t>
  </si>
  <si>
    <t>Nav iekļauts budžetā. Ņemts vērā par iespējamo tablo vietu. Pie līdzekļu ekonomijas apsveram izvietot tablo.</t>
  </si>
  <si>
    <t>Kadagas ezera pludmales labiekārtošana un piekļuves ceļa izbūve</t>
  </si>
  <si>
    <t>Nav iekļauts budžetā. Tiks veikta biežāka apsekošana, lai uzlabotu vides sakoptību.</t>
  </si>
  <si>
    <t>Jaunas tirdzniecības vietas (paviljona) izbūve</t>
  </si>
  <si>
    <t>Iekļauts 2026.g.budžetā.</t>
  </si>
  <si>
    <t>Īstenot Carnikavas vidusskolas piebūves un jaunās Mākslu skolas/bibliotēkas ēkas projektēšanu.</t>
  </si>
  <si>
    <t>Nav attiecināms uz CKS.</t>
  </si>
  <si>
    <t>Pacelt izglītības iestāžu pedagogu algu līdz konkurētspējīgam Pierīgas līmenim, salāgojot ar pašvaldības budžetu.</t>
  </si>
  <si>
    <t>Izvērtēt apkures tarifu pamatotību Ādažu novadā, auditējot “Ādažu namsaimnieka” ieguldījumus siltumtrašu uzturēšanā.</t>
  </si>
  <si>
    <t>Izvērtēt atteikšanos no komersanta SIA “Balteneco” siltuma ražošanas pakalpojumiem, sniedzot šo pakalpojumu pašvaldības iestādei.</t>
  </si>
  <si>
    <t>Izpētīt saimnieciski izdevīgākos un tālredzīgākos variantus un ieviest “Novadnieku karti”.</t>
  </si>
  <si>
    <t>Palielināt līdzdalības budžetu par 50%.</t>
  </si>
  <si>
    <t>Palielināt novada senioru biedrībām iniciatīvu finansējumu par 5000 EUR, sadalot to proporcionāli biedrību biedru skaitam.</t>
  </si>
  <si>
    <t>Veikt polderu teritoriju visaptverošu izpēti, ietverot visas meliorācijas sistēmas izvērtējumu, kā arī risku analīzi kontekstā ar jaunas apbūves iecerēm šajās teritorijās, īpaši Garciema/Kalngales apkārtnē.</t>
  </si>
  <si>
    <t>Finansiāli motivējošas sistēmas ieviešana skolotājiem, kuri sagatavo skolēnus mācību olimpiādēm, lai atalgotu tos par sekmēm.</t>
  </si>
  <si>
    <t>Ieviest konkursus “Māmiņa - uzņēmēja”, “Gada uzņēmējs” un zīmolu “Radīts Ādažos”.</t>
  </si>
  <si>
    <t>Iekļaut budžetā finansējumu gadā divām “tīrmājas” utml. atkritumu apsaimniekošanas akcijām.</t>
  </si>
  <si>
    <t>Sakārtot Garupes taku uz jūru Garupes ielas galā. Aizstāt vecos betona plākšņu fragmentus ar koka celiņu, savienojot ar jau izbūvēto koka celiņu.</t>
  </si>
  <si>
    <t>Nav iekļauts 2026.gada budžetā</t>
  </si>
  <si>
    <t>Uzstādīt Brūkleņu ielā, Carnikavā apgaismes stabus, jo šo ielu intensīvi izmanto “Jūras krastu” un Garupes iedzīvotāji, lai nokļūtu ar velosipēdiem Carnikavā.</t>
  </si>
  <si>
    <t>Nav 2026.gada budžetā. Izvērtēsim saimnieciskā kārtā izbūvēt dažus apgaismes stabus no ietaupītajiem līdzekļiem.</t>
  </si>
  <si>
    <t>Veikt Ūbeļu ielas, Kalngalē apstrādi ar divkāršo virsmas segumu.</t>
  </si>
  <si>
    <t>Iekļauts 2026.g.budžetā būvprojekta izstrādi.</t>
  </si>
  <si>
    <t>Rekonstruēt Smilšu ielu, Carnikavā.</t>
  </si>
  <si>
    <t>Iekļauts 2026.gada budžetā.</t>
  </si>
  <si>
    <t>Izstrādāt projektu Jūras ielas, Carnikavā labiekārtošanai un pārveidošanai par gājēju ielu ar atpūtas elementiem (soliņi, utml.).</t>
  </si>
  <si>
    <t>Nodrošināt bērnu bezmaksas peldētapmācību pašvaldības pirmskolas izglītības iestādēs.</t>
  </si>
  <si>
    <t>Palielināt līdzfinansējumu daudzdzīvokļu māju siltināšanai un iekšpagalmu sakārtošanai par 50%.</t>
  </si>
  <si>
    <t>Izbūvēt skeitparku Carnikavā.</t>
  </si>
  <si>
    <t>Nodrošināt nepieciešamo finansējumu ciemu svētku norisei.</t>
  </si>
  <si>
    <t>Ieviest programmu, kas veicinātu skolēnu nodarbinātību vasarā - pašvaldība sedz algas izmaksas, uzņēmēji nodokļus.</t>
  </si>
  <si>
    <t>Panākt, sadarbībā ar “Latvijas valsts ceļi”, ātruma kontroles radara uzstādīšanu Garupē.</t>
  </si>
  <si>
    <t>Daļēji attiecināms uz CKS. Ir nosūtīts lūgums izvērtēt priekšlikumu.</t>
  </si>
  <si>
    <t>Rotaļiekārtu  un seguma maiņa (Skolas pusē) Zaķēnu, Ezīšu, Pelēnu, Gliemežu grupu laukumiņā</t>
  </si>
  <si>
    <t>Jauns traktors-140ZS,operatīvais līzings (pirma iemaksa 17 400 eiro +  nomas maksa 14 000 eur 10 mēnešos) uz 5 gadiem</t>
  </si>
  <si>
    <t>A/m ar kravas kasti - operatīvā noma, pirmā iemaksa 5'500 eur, noma 350 eur x 8 mēn. 5 gadi</t>
  </si>
  <si>
    <t>Projektēšana - Ūbeļu ielas pārbūve līdz Langaskrastu ielai Kalngalē 0.95 km (būvniecības izmaksas 1 000 000 eur)</t>
  </si>
  <si>
    <t>Smilšu iela 0.45 km pārbūve (notiek projektēšana) + 650'000 2027.gadā</t>
  </si>
  <si>
    <t>KOPĀ BĀZES IEŅĒMUMI:</t>
  </si>
  <si>
    <t>Saskaņā ar personāla daļas informāciju.</t>
  </si>
  <si>
    <t>+ 10'000 EUR Kiberdrošības iepirkums iekšējo normatīvo aktu izstrādei (EIS iepirkums).
+ 4'235 EUR DVS Namejs CITY atbalsta paka Sudrabs (konsultācijas) 
- 13'379 EUR Parāda apkalpošanas maksa</t>
  </si>
  <si>
    <t>Datori, darba vietu aprīkojums</t>
  </si>
  <si>
    <t>Lielāko daļu komisiju darbs netiek apmaksāts.</t>
  </si>
  <si>
    <t>+33'610 ZZ Dats
+18'670 inventārs un rezerves daļas</t>
  </si>
  <si>
    <t>+ 4'000 EUR 2025.gadā 4 speciālistu limita vietā bija ielikts tikai 1am
+ 1'500 EUR Arhīva aprakstīšana, nodošana glabāšanā Valsts arhīvā</t>
  </si>
  <si>
    <t>Dekoru iegāde</t>
  </si>
  <si>
    <t>Komunālās saimniecības izmaksas, kur līgumi noslēgti ar Domi</t>
  </si>
  <si>
    <t>Ādažu pagasta apzaļumošanas izmaksu pieaugums (22 598 eur) 
Operatīvā līzinga izmaksu pieaugums (10 282 eur)
Koku vainagu sakopšanas izmaksu pieaugums (20 600 eur) 
Rotaļu laukumu inspekcija (24 700 eur) Ēku un telpu remonta izmaksu pieaugums (58 000 eur)
Atkritumu tarifa pieaugums Carnikavas pagastā (44 000 eur) atkritumu savākšanas akcijas (28 995 eur)</t>
  </si>
  <si>
    <t>+ 1'000 transporta izdevumi;
+ 900 Ķīmiskās tīrīšanas pakalpojumi (tērpi, galdauti);
+ 1'000 Autortiesību maksa (AKKA/LA, LaiPA);
+ 2'000 saņemtā PVN atmaksa;
+ 1'300 Datorprogrammas</t>
  </si>
  <si>
    <t>+ 3'700 EUR 2026.gadā plānoti jauniešu deju kolektīvu svētki Liepājā, kur nepieciešams transports
+ 2'000 EUR Mēbeļu un griestu tīrīšana
- 2'500 inventāra iegāde</t>
  </si>
  <si>
    <t xml:space="preserve">PRIORITĀTE! Esošais projektors, kas iegādāts 2014.gadā ir morāli un fiziski novecojis un neatbalsta jaunāko filmu formātus, kas rada problēmas filmu demonstrēšanā. </t>
  </si>
  <si>
    <t>+ 8'470 EUR tūrisma aktivitātes
+ 1'000 EUR audiogida ieskaņošana</t>
  </si>
  <si>
    <t xml:space="preserve">+1'300 EUR Bukletu turētāji, glabāšanas sistēmas </t>
  </si>
  <si>
    <t>+ 1'500 EUR NAMEJA sasaiste ar SD jauno sistēmu DigiSoc, kuru ievieš LM kopā ar pašvaldībām
+ 1'000 EUR inventāra iegāde</t>
  </si>
  <si>
    <t>+ 30'655 pabalsti pilngadību sasniegušajiem bāreņiem
+ 7'000 Garantētā minimālā ienākuma pabalsts naudā
+ 5'000 atbalsts aprūpes vai kopšanas nodrošināšanai
+ 70'000 Samaksa par ilgstošas sociālās aprūpes pakalpojumiem
+ 49'000 sociālie pakalpojumiem saskaņā ar pašvaldību SN
+ 91'890 Izdevumi brīvprātīgo iniciatīvu izpildei</t>
  </si>
  <si>
    <t>2025.gadā liela rezerve</t>
  </si>
  <si>
    <t>Balstoties uz aprēķiniem</t>
  </si>
  <si>
    <t>Atalgojums viss kopā pie Ādažu vidusskolas</t>
  </si>
  <si>
    <t>- 10'584 (2025.gadā pēdējais apkures maksājums no skolas budžeta, turpmāk pie CKS);
+ 4'350 remonta un iestāžu un uzturēšanas materiāli;
+ 3'000 precēm iestādes sabiedrisko aktivitāšu īstenošanai;
+ 4'700 ēdināšanas izdevumi.</t>
  </si>
  <si>
    <t>+ 1'225 elektroenerģija;
+ 900 transporta pakalpojumi;
+ 3'000 mācību pakalpojumiem;
+ 2'640  izglītības iestādes akreditācija;
+ 5'500 mācību platformas www.soma.lv abonēšana;
+ 8'700 toneri, kārtridži;
- 14'766 inventārs;
+ 4'470 mācību materiāli;
- 16'716 ēdināšanas pakalpojumi</t>
  </si>
  <si>
    <t>+ 1'400 elektroenerģija; 
+ 2'000 transporta pakalpojumi;
+ 2'000 mācību pakalpojumiem;
+ 8'000 Sadarbības līgumu ar Rīgas Tehnisko Universitāti;
+ 21'000 Informācijas sistēmas uzturēšana;
+ 3'300 remonta un iestāžu un uzturēšanas materiāli;
+ 2'500 Mīkstais inventārs;
+ 11'380 Mācību līdzekļi un materiāli</t>
  </si>
  <si>
    <t>2 jaunas vakances</t>
  </si>
  <si>
    <t xml:space="preserve">2 datoru iegāde, VFS zāles iekārtošana </t>
  </si>
  <si>
    <t>+ 10'199 EUR Palielinājums skolēnu transporta kompensācijai</t>
  </si>
  <si>
    <t>Latvijas Skolu jaunatnes dziesmu un deju svētki (no 01.01.2025.)</t>
  </si>
  <si>
    <t>Transporta, ēdināšanas pakalpojumi, reprezentācijas preces kolektīvu dalībai Svētkos Mežaparkā</t>
  </si>
  <si>
    <t>BAZE_2026</t>
  </si>
  <si>
    <t>Investīcijas_2026</t>
  </si>
  <si>
    <r>
      <rPr>
        <b/>
        <sz val="11"/>
        <color theme="1"/>
        <rFont val="Times New Roman"/>
        <family val="1"/>
        <charset val="186"/>
      </rPr>
      <t>BAZE_2026</t>
    </r>
    <r>
      <rPr>
        <sz val="11"/>
        <color theme="1"/>
        <rFont val="Times New Roman"/>
        <family val="1"/>
        <charset val="186"/>
      </rPr>
      <t xml:space="preserve"> ir budžeta apkopojums, kur ir ietverti bāzes ieņēmumi un bāzes izdevumi.</t>
    </r>
  </si>
  <si>
    <r>
      <t xml:space="preserve">Ar </t>
    </r>
    <r>
      <rPr>
        <sz val="11"/>
        <color rgb="FF7030A0"/>
        <rFont val="Times New Roman"/>
        <family val="1"/>
        <charset val="186"/>
      </rPr>
      <t>violetu ir uzskaitītas pozīcijas</t>
    </r>
    <r>
      <rPr>
        <sz val="11"/>
        <color theme="1"/>
        <rFont val="Times New Roman"/>
        <family val="1"/>
        <charset val="186"/>
      </rPr>
      <t>, kas netiek iekļautas bāzē un tiek vērtēti atsevišķi Investīciju sadaļā (šeit parādās tikai informācijai)</t>
    </r>
  </si>
  <si>
    <t>Būs tikai ieņēmumi EUR 3'598 no EJZAF, kas paliek pašvaldībai (priekšfinansējuma atgriezšana)</t>
  </si>
  <si>
    <t>Būs tikai ieņēmumi EUR 7'200 no EJZAF, kas paliek pašvaldībai (priekšfinansējuma atgriezšana)</t>
  </si>
  <si>
    <t>DEPUTĀTU IEROSINĀJUMI</t>
  </si>
  <si>
    <t>Tehniskā apsekošana (4000 eur) Rotaļu laukumu inspekcija (2500 eur)</t>
  </si>
  <si>
    <t>Plānā nav iekļauta piemaksu rezerve</t>
  </si>
  <si>
    <t>Sabiedrības informēšana un izglītošana projekta "Šķiroto atkritumu savākšanas laukums Laivu ielā 12" ietvaros</t>
  </si>
  <si>
    <t>KA 31.12.2025.</t>
  </si>
  <si>
    <t>Pašvaldības izmaksas nodarbinātībā 15-20 gadiem (VSAOI)</t>
  </si>
  <si>
    <t>Valsts atbalsts (15-20 gadiem) sadarbībā ar NVA -  (VSAOI)</t>
  </si>
  <si>
    <t>Pašvaldības izmaksas (13-15 gadiem nodarbinātībā) (VSAOI)</t>
  </si>
  <si>
    <t>KA 31.12.2025. EUR 243'531</t>
  </si>
  <si>
    <t xml:space="preserve">Plānotie ieņēmumi 2026.gadā </t>
  </si>
  <si>
    <t>EUR 11'400 uz EKK 2515</t>
  </si>
  <si>
    <t>KA 31.12.  MT</t>
  </si>
  <si>
    <r>
      <t xml:space="preserve">EUCF finansējums energoresursu TEP izstrādei </t>
    </r>
    <r>
      <rPr>
        <b/>
        <i/>
        <sz val="8"/>
        <rFont val="Arial"/>
        <family val="2"/>
        <charset val="186"/>
      </rPr>
      <t>KA</t>
    </r>
  </si>
  <si>
    <t>Erasmus+ KA 31.12.2025. , kas pārceļas uz 2026.</t>
  </si>
  <si>
    <t>GMI Dzīvokļa pabalsti natūrā 30 % kompensē LM</t>
  </si>
  <si>
    <t>Nodrošinātajiem sociāliem pakalpojumiem dzīvesvietā. Dienas aprūpes centri citā pašvaldībā (EKK 6419).</t>
  </si>
  <si>
    <t>Nav ielikts pie MD</t>
  </si>
  <si>
    <t>Mežu dienu projekts (Pašvaldības finansējums)</t>
  </si>
  <si>
    <t>Mežu dienu projekts (Valsts finansējums)</t>
  </si>
  <si>
    <t>Krastupes ielas projekts - ārpusprojekta aktivitātes - pašvaldības finansējums</t>
  </si>
  <si>
    <t>Krastupes ielas projekts - ārpusprojekta aktivitātes - VK aizņēmums</t>
  </si>
  <si>
    <t>Ārfinansējums.</t>
  </si>
  <si>
    <t xml:space="preserve">Ārfinansējums - </t>
  </si>
  <si>
    <t>Projekts “Infrastruktūras uzlabošana uzņēmējdarbības attīstībai Ādažos” 1.kārta</t>
  </si>
  <si>
    <t>Projekts “Infrastruktūras uzlabošana uzņēmējdarbības attīstībai Ādažos” 2., 3.kārta</t>
  </si>
  <si>
    <t>2026.gada plānotais LAD finansējums</t>
  </si>
  <si>
    <t>Ārfinansējums</t>
  </si>
  <si>
    <t>Ārfinansējums - EUR 345'549
VK aizņēmums - EUR 8'588</t>
  </si>
  <si>
    <t>2.1.2.2.1.</t>
  </si>
  <si>
    <t>Pamatlīdzekļu izveidošana un nepabeigtā celtniec. Plūdi 1.k.</t>
  </si>
  <si>
    <t>Pēdējais maksājums no KA izņemtais AK aizņēmums</t>
  </si>
  <si>
    <t>Projekts “Bioloģiskās daudzveidības saglabāšana un antropogēnās slodzes mazināšana Natura2000 teritorijās Ādažu novadā” Ārfinansējums</t>
  </si>
  <si>
    <t>Projekts “Bioloģiskās daudzveidības saglabāšana un antropogēnās slodzes mazināšana Natura2000 teritorijās Ādažu novadā” Pašvaldības finansējums</t>
  </si>
  <si>
    <t>Multimodāls sabiedriskā transporta tīkls, 2. kārta” attīstot staciju “Kalngale" Pašvaldības finansējums</t>
  </si>
  <si>
    <t>Multimodāls sabiedriskā transporta tīkls, 2. kārta” attīstot staciju “Garupe" Pašvaldības finansējums</t>
  </si>
  <si>
    <t>Patvertņu pielāgošana un aprīkošana civiliem aizsardzības mērķiem Ārfinansējums</t>
  </si>
  <si>
    <t>Patvertņu pielāgošana un aprīkošana civiliem aizsardzības mērķiem. Pašvaldības finansējums</t>
  </si>
  <si>
    <t>LAD finansējums</t>
  </si>
  <si>
    <t>Jauna PII izbūve Podniekos - Aizņēmums.</t>
  </si>
  <si>
    <t xml:space="preserve"> "Bērnu un jauniešu centra izveide Ādažos". </t>
  </si>
  <si>
    <t>0905</t>
  </si>
  <si>
    <t>0905 ???</t>
  </si>
  <si>
    <t>0905 Izglītības iestāžu nodrošinājums pilnveidotā vispārējās izglītības satura kvalitatīvai ieviešanai Ādažu novadā</t>
  </si>
  <si>
    <r>
      <t xml:space="preserve">Izglītības iestāžu nodrošinājums pilnveidotā vispārējās izglītības satura kvalitatīvai ieviešanai Ādažu novadā </t>
    </r>
    <r>
      <rPr>
        <b/>
        <i/>
        <sz val="8"/>
        <rFont val="Arial"/>
        <family val="2"/>
        <charset val="186"/>
      </rPr>
      <t>Ārfinansējums</t>
    </r>
  </si>
  <si>
    <r>
      <t xml:space="preserve">Izglītības iestāžu nodrošinājums pilnveidotā vispārējās izglītības satura kvalitatīvai ieviešanai Ādažu novadā </t>
    </r>
    <r>
      <rPr>
        <b/>
        <i/>
        <sz val="8"/>
        <rFont val="Arial"/>
        <family val="2"/>
        <charset val="186"/>
      </rPr>
      <t>Pašvaldības finansējums</t>
    </r>
  </si>
  <si>
    <t>KA 31.12. Valsta daļa (0632.6.1)</t>
  </si>
  <si>
    <t>KA 31.12. ERAF (0632.6)</t>
  </si>
  <si>
    <r>
      <t xml:space="preserve">Izmaksas papildus KA 31.12. Valsta daļa (0632.6.1) </t>
    </r>
    <r>
      <rPr>
        <b/>
        <i/>
        <sz val="8"/>
        <rFont val="Arial"/>
        <family val="2"/>
        <charset val="186"/>
      </rPr>
      <t>VISS KA APJOMS</t>
    </r>
  </si>
  <si>
    <t>Izmaksas papildus KA 31.12. ERAF (0632.6)</t>
  </si>
  <si>
    <t>Veļas mašīna un (veļas žāvēšanas mašīna - šis zem EKK 5239) (koplietošanai)</t>
  </si>
  <si>
    <t>Veļas žāvēšanas mašīna (koplietošanai)</t>
  </si>
  <si>
    <t xml:space="preserve">CKS dotācija Laveru sūkņu stacijas projektēšanai. Kopsumma 2026.gadā 150'000. EUR </t>
  </si>
  <si>
    <t>CKS dotācija Atkritumu dalītās vākšanas laukums, Carnikavā</t>
  </si>
  <si>
    <t>Attiecināms uz atalgojumu</t>
  </si>
  <si>
    <t xml:space="preserve">Atbilstoši CAK lūgumam </t>
  </si>
  <si>
    <t>Koncertflīģelis - Dalība projektā</t>
  </si>
  <si>
    <t>Izdevumi par interneta nodrošināšanu</t>
  </si>
  <si>
    <t>KA, ko novirza  “Personu mobilitātes mācību nolūkos” Skolu izglītības sektora aktivitātē KA121 23. gada projekts</t>
  </si>
  <si>
    <r>
      <t xml:space="preserve">Pārceļas no 2025.gada. </t>
    </r>
    <r>
      <rPr>
        <b/>
        <sz val="8"/>
        <color rgb="FFFF0000"/>
        <rFont val="Arial"/>
        <family val="2"/>
        <charset val="186"/>
      </rPr>
      <t>Palielināta, pierēķinot PVN</t>
    </r>
  </si>
  <si>
    <t>KA 31.12. EUR 3'937 (EUR 3'185 EKK 1147; EUR 752 EKK 1210)</t>
  </si>
  <si>
    <t xml:space="preserve">EUR 2'193 Projekts pedagogu profesionālās kompetences pilnveidei </t>
  </si>
  <si>
    <t>Viss ir ārfinansējums</t>
  </si>
  <si>
    <t>Lāzera graveris un griezējs</t>
  </si>
  <si>
    <t>0902 (CKS)</t>
  </si>
  <si>
    <t xml:space="preserve"> Ādažu vidusskolas sākumskolas 1.-4. klašu viena skolēna pusdienu ēdināšana 1.pusgads</t>
  </si>
  <si>
    <t xml:space="preserve"> Ādažu vidusskolas sākumskolas 1.-4. klašu viena skolēna pusdienu ēdināšana 2.pusgads</t>
  </si>
  <si>
    <t>Ādažu vidusskolas sākumskolas 1.-4. klašu skolēnu pusdienu ēdināšana (valsts mērķdotācija) 1.pusgads</t>
  </si>
  <si>
    <t>Ādažu vidusskolas sākumskolas 1.-4. klašu skolēnu pusdienu ēdināšana (valsts mērķdotācija) 2.pusgads</t>
  </si>
  <si>
    <t>EUR 1'000 no EKK 1119 uz EKK 1147 (EKK korekcija)</t>
  </si>
  <si>
    <t>MD Janv - Augusts no EKK 1210 uz EKK 1221</t>
  </si>
  <si>
    <t>MD Sept - Dec no EKK 1210 uz EKK 1221</t>
  </si>
  <si>
    <t>EUR 1'000 uz EKK 1221</t>
  </si>
  <si>
    <t>EUR 947'155 no IIN klasificējas kā IIN dotācijas, kas jāatspoguļo valsts budžeta transfertu sadaļā (10.p.) 18.6.4.0.</t>
  </si>
  <si>
    <t>Kad pielēma, kurus projektus īstenos, tad palika rezerve 8279.23 EUR, kas tika atstāsta tsadārdzinājumiem.</t>
  </si>
  <si>
    <t>“QR koda  pay ticket” izmantošana skolēnu pārvadājumiem</t>
  </si>
  <si>
    <t>2026.g. EUR 78 269 (EUR 50'000 plānots, ka ies 2027.gadā (rezerve pie neparedzētajiem izdevumiem) pēc IIN aprēķinātā summa (0.2% no pēdējo 3 gadu IIN+NĪN) un no 2025.g. pārejošā summa EUR 44 980 + 8'279 sadārdzinājumu rezerve</t>
  </si>
  <si>
    <t>DVS Namejs CITY atbalsta paka Sudrabs (konsultācijas) 3600 + PVN</t>
  </si>
  <si>
    <r>
      <t xml:space="preserve">Deputātu sēžu zāles tehniskais nodrošinājums </t>
    </r>
    <r>
      <rPr>
        <b/>
        <sz val="9"/>
        <rFont val="Arial"/>
        <family val="2"/>
        <charset val="186"/>
      </rPr>
      <t>Carnikavā</t>
    </r>
  </si>
  <si>
    <r>
      <rPr>
        <i/>
        <sz val="8"/>
        <color rgb="FFFF0000"/>
        <rFont val="Arial"/>
        <family val="2"/>
        <charset val="186"/>
      </rPr>
      <t xml:space="preserve">Nevar paspēt realizēt!!  </t>
    </r>
    <r>
      <rPr>
        <i/>
        <sz val="8"/>
        <rFont val="Arial"/>
        <family val="2"/>
        <charset val="186"/>
      </rPr>
      <t>Projektēšana no pašv.fin., kamēr nav līgums par projektu.</t>
    </r>
  </si>
  <si>
    <t>"Novadnieka kartes" izstrāde</t>
  </si>
  <si>
    <t>Jauns!</t>
  </si>
  <si>
    <t>Izņemts!</t>
  </si>
  <si>
    <t>Izņemts</t>
  </si>
  <si>
    <t>SPN</t>
  </si>
  <si>
    <r>
      <t xml:space="preserve">Ziedu ielas pārbūve (Ķiršu ielas V kārta) (ir būvprojekts) 560m. </t>
    </r>
    <r>
      <rPr>
        <i/>
        <sz val="8"/>
        <color rgb="FFFF0000"/>
        <rFont val="Arial"/>
        <family val="2"/>
        <charset val="186"/>
      </rPr>
      <t>Nevis pēc būvprojekta, bet dubultā virsmas apstrāde</t>
    </r>
  </si>
  <si>
    <t>Būvprojekts derīgs līdz 2027. gadam</t>
  </si>
  <si>
    <t>Palielināts par 10'000</t>
  </si>
  <si>
    <t>Svētku dekorāciju iegāde</t>
  </si>
  <si>
    <t>+2'000</t>
  </si>
  <si>
    <t xml:space="preserve">Sporta zāles projektēšana “Ūdensblusās” </t>
  </si>
  <si>
    <t xml:space="preserve">O.Vācieša skvēra projektēšana (papildu pilnveide) </t>
  </si>
  <si>
    <t xml:space="preserve">Latvijas karoga masta ierīkošana Ādažos (Gaujas ielas 2. lielajā aplī pie Gaujas 16) </t>
  </si>
  <si>
    <t xml:space="preserve">Suņu pastaigu laukuma ierīkošana </t>
  </si>
  <si>
    <t xml:space="preserve">Satiksmes drošības pilnveide (guļošie policisti) </t>
  </si>
  <si>
    <t xml:space="preserve">Gājēju celiņa seguma atjaunošana Ādažos (no tirgus laukuma līdz Pirmā iela 31) </t>
  </si>
  <si>
    <t xml:space="preserve">Apgaismojuma ierīkošana Gundegu ielā (Garupe) </t>
  </si>
  <si>
    <t xml:space="preserve">Kapitālsabiedrību audits </t>
  </si>
  <si>
    <t>Ķiršu ielas pārbūve 0.17km (ir būvprojekts) autoruzraudzība</t>
  </si>
  <si>
    <t>autoruzraudzība līgums ar Domi</t>
  </si>
  <si>
    <t>garantijas maksa</t>
  </si>
  <si>
    <t>Iepriekšējā budžeta versijā</t>
  </si>
  <si>
    <t>Domes sēžu zāles  IT aprīkojuma uzlabošana Carnikavā</t>
  </si>
  <si>
    <t xml:space="preserve">ITN un ADN </t>
  </si>
  <si>
    <t xml:space="preserve">Laveru/Smilgu uzņēmējdarbības projekts </t>
  </si>
  <si>
    <t>Piekrītam, jo līdz maijam (kad varētu noslēgties projektu pieteikumu pieņemšana augstas gatavības projektu konkursā) nepaspētu sagatavot būvprojektu ne Laveru ceļam, ne Smilgu ielai. Santa uz janvāra FK sēdi gatavo lēmumprojektu par 22.12.2025. lēmuma Nr. 552 atcelšanu. Ja būs iespēja vēlāk pieteikties citam konkursam, šīs ielas būs tās, kuras virzīsim.</t>
  </si>
  <si>
    <t>ĀNKC</t>
  </si>
  <si>
    <t>KC Ozolaine</t>
  </si>
  <si>
    <t>Gaujas svētkie</t>
  </si>
  <si>
    <t xml:space="preserve">SAN un CKS </t>
  </si>
  <si>
    <t xml:space="preserve">Novada mobilā aplikācija </t>
  </si>
  <si>
    <t xml:space="preserve">SAN un GRN </t>
  </si>
  <si>
    <t xml:space="preserve">“Novadnieka kartes” izstrāde </t>
  </si>
  <si>
    <t>SPII</t>
  </si>
  <si>
    <t xml:space="preserve">“Ligzdas” remonts “silītes” grupas uzņemšanai </t>
  </si>
  <si>
    <t xml:space="preserve">ĀPII inženierkomunikāciju pārbūves projektēšana </t>
  </si>
  <si>
    <t xml:space="preserve">CKS un APN </t>
  </si>
  <si>
    <t>Siltumtrases izbūve uz Gaujas 16 – mainīt uz 2. prioritāti, izskatīt fondu finansējumu</t>
  </si>
  <si>
    <t>APN nav zināma programma, kura šobrīd vai pārskatāmā nākotnē piedāvātu pašvaldībai iespēju pieteikties ES līdzfinansētu projektu īstenošanai pašvaldības ēku pieslēgšanai pie CSS. Programmā, kuras ietvaros bija plānots pieteikt un īstenot projektu ĀVS un Gaujas ielas 33A pieslēgšanai CSS (un ko deputāti noraidīja!), atbalsta saņēmējs var būt komersants, centralizētās siltumapgādes vai aukstumapgādes pakalpojuma sniedzējs, kurš sniedz siltumenerģijas vai aukstumenerģijas pārvades un sadales pakalpojumu vai ir centralizētās siltumenerģijas ražotājs, kas uz atbalsta pieteikuma iesniegšanas dienu ir reģistrēts Sabiedrisko pakalpojumu regulēšanas komisijas attiecīgās enerģijas ražotāju vai tirgotāju reģistros, vai ir licencēts siltumenerģijas vai aukstumenerģijas pārvades un sadales komersants. CKS nevar iesniegt projektu CSS izbūvei līdz Gaujas ielai 16, turklāt sistēmas ierīkošana šīs programmas ietvaros tik un tā nebūtu attiecināma.</t>
  </si>
  <si>
    <t xml:space="preserve">Ziedu ielas pārbūve – aizstāt ar dubultās virsmas apstrādi un apgaismojuma ierīkošanu </t>
  </si>
  <si>
    <t>Subsīdijas sporta atbalstam palielināt vēl par 10 000</t>
  </si>
  <si>
    <t xml:space="preserve">Svētku dekorāciju iegādei palielināt vēl par 20 000 </t>
  </si>
  <si>
    <t>APN labprāt saņemtu papildus līdzekļus svētku dekorāciju ierīkošanai Ādažu novadā. Tikai gribētu zināt, vai idejas iesniedzējiem ir paredzētas arī kādas konkrētas vietas / adrese / svētki, kur viņi vēlas šos līdzekļus novirzīt? Tas būtu jāzina pirms iepirkuma tehniskās specifikācijas izstrādes. Šie līdzekļi tiktu paredzēti ārpakalpojumam, nodrošinot dekorus pilsētā un ciemos, kur ir pašvaldības teritorija un ir, ko dekorēt</t>
  </si>
  <si>
    <t xml:space="preserve">GRN un JIN </t>
  </si>
  <si>
    <t>Baznīcām subsīdiju palielināt vēl par 2000</t>
  </si>
  <si>
    <t xml:space="preserve">SPN un CKS </t>
  </si>
  <si>
    <t xml:space="preserve">Sporta zāles projektēšana “Ūdensblusās” 50 000 </t>
  </si>
  <si>
    <t xml:space="preserve">Ūdensapgādes tīklu rekonstrukcija pie “Ūdensblusām” </t>
  </si>
  <si>
    <t xml:space="preserve">APN un CKS </t>
  </si>
  <si>
    <t xml:space="preserve">APN rīcībā nav pieejama sīkāka informācija par to, ko tieši ir iecerēts īstenot O.Vācieša skvēra teritorijā, bet, ņemot vērā pieredzi citu publisko ārtelpu teritoriju projektēšanai, iesakām projektēšanai paredzēt 70 000 euro. Vēršam uzmanību, ka šāds pasākums nav ietverts Attīstības programmā un APN ieskatā nebūtu īstenojams kā viens no prioritārākajiem projektiem. </t>
  </si>
  <si>
    <t>APN: Nav skaidrs, cik lielu karogu plānots ierīkot. Karoga masta ierīkošana būtu tikai kā būvniecība ar būvniecības ieceres dokumentācijas izstrādi (ja masts augstāks par 10 m, tad dokumentācija atbilstoši 2. vai 3. grupas izbūvei). Ideja par šāda karoga izveidi tika diskutēta pirms vairākiem gadiem. Ja nemaldāmies, tad Gaujas ielā 16 tā izbūvei bija ierobežojumi saistībā ar tajā teritorijā esošajām komunikācijām (tas būtu jāpārbauda). Iveta atrada iepirkumu izmaksas par karoga masta un apkārtējās teritorijas labiekārtošanas dokumentācijas izstrādi – 36 920-77 270 euro bez PVN (nevar konkretizēt – kas veido šīs izmaksas, jo detalizētāka informācija nebija pieejama). Vēršam uzmanību, ka šāds pasākums nav ietverts Attīstības programmā</t>
  </si>
  <si>
    <t xml:space="preserve">CKS un NĪN </t>
  </si>
  <si>
    <t>Attīstības programmā ir paredzēts, ka Ādažu novadā tiks izveidots suņu apmācību laukums, nekonkretizējot vietu. Vai ir zināms – kurā tieši adresē tas būtu jāierīko? Vēršam uzmanību, ka 20'000 euro varētu pietikt tikai nožogojuma ierīkošanai. Iekārtas būtu jāparedz līdzvērtīgi kā tas tiek plānots nelielam bērnu rotaļu laukumam (vismaz 2'500-30'000 euro), kas būtu jāskaita klāt 20'000 euro.</t>
  </si>
  <si>
    <t>Publiska sporta laukuma izveide Podniekos</t>
  </si>
  <si>
    <t>APN: Šis gan uz APN neattiecas, bet mums nav skaidrs – kurā tieši vietā to plānots attīstīt?</t>
  </si>
  <si>
    <t>Gājēju celiņa seguma atjaunošana Ādažos (no tirgus laukuma līdz Pirmā iela 31)</t>
  </si>
  <si>
    <t xml:space="preserve">Vides objekta ierīkošana Ādažos (piemineklis Cielēnam?) </t>
  </si>
  <si>
    <t>CNC un AP</t>
  </si>
  <si>
    <t>APN: Ar 25 000 euro nepietiek, lai īstenotu vides objektu oriģināldarbu kāda mākslinieka izpildījumā. Būtu ieteikums piešķirt finansējumu biedrībai, kas vēlas attīstīt šī pieminekļa ideju, lai tai ir nauda, par ko veikt pārrunas ar pretendentiem un sagatavot sākotnējo dokumentāciju. Jo būs nepieciešams sākotnējais projekts. Sarunu ceļā iespējams tiktu atrasts pretendents, kas par šādu summu radītu ideju un izstrādātu dokumentāciju, ko saskaņot Būvvaldē.</t>
  </si>
  <si>
    <t>APN: Šis gan uz APN neattiecas, bet vēršu uzmanību, ka šāda iela nav paredzēta Attīstības programmā. Paskatoties kartē, kur tā ir, mums nav skaidrs – kāpēc tā tiek virzīta kā prioritāte?</t>
  </si>
  <si>
    <t>25)	IJN (ĀPII, KPII, SPII, CPII)</t>
  </si>
  <si>
    <t xml:space="preserve">Bezmaksas peldēšanas nodarbības pirmsskolās </t>
  </si>
  <si>
    <t>KA 31.12. EUR 18'896</t>
  </si>
  <si>
    <t>KA 31.12. EUR 17'072</t>
  </si>
  <si>
    <t>Ieņēmumu samazinājums</t>
  </si>
  <si>
    <t>Piekrastes KA novirzāms uz brīvo</t>
  </si>
  <si>
    <t>Mazākumtautību valodas interešu izglītības apguvei. PPII "Valdorfskola". KA</t>
  </si>
  <si>
    <t>Mazākumtautību valodas interešu izglītības apguvei. PPII "Pasaku valstība". KA</t>
  </si>
  <si>
    <t>Mazākumtautību valodas interešu izglītības apguvei. PPII "Brīvā Austras skola". KA</t>
  </si>
  <si>
    <t>APN: Vēršu uzmanību, ka šāds pasākums nav iekļauts Attīstības programmā.
CKS: Būvprojekta izstrādes aplēse svārstās no 60 000 - 80 000 EUR. Mainās atkārībā no elektroapgādes projekta, stāvlaukuma projektēšanas nosacījumiem.</t>
  </si>
  <si>
    <t>CKS: Precizētā summa par ūdensapgādes un kanalizācijas tīklu izbūvi - Ūdensapgāde 90 000 EUR, Kanalizācija 100 000 EUR. Summā ietvertas izmaksas par būvprojektu, autoruzraudzību, būvuzraudzību un būvdarbiem.</t>
  </si>
  <si>
    <t>CKS: Izmaksas ieviešanai un 1 gada uzturēšanai veido aptuveni 75 000 EUR. Šie ir provizoriskie aprēķini. Glābēji un to aprīkojums ir viena no dārgākajām pozīcijām</t>
  </si>
  <si>
    <t>CKS: Gājēju ietves izbūve no tirgus laukuma līdz Pirmā iela 31, pie reizes nepieciešams no asfaltbetona izbūvēt laukumu, kur attrodas atkituma konteineri 30 000 EUR.</t>
  </si>
  <si>
    <t xml:space="preserve">Satiksmes drošības pilnveide </t>
  </si>
  <si>
    <t>Elektrības aizsargčaula veloceliņam</t>
  </si>
  <si>
    <t>Samazinājums, atceļot peldētapmācības pulciņu maksu</t>
  </si>
  <si>
    <t xml:space="preserve">Oficiālās pludmales iekārtošana Lilastē </t>
  </si>
  <si>
    <t xml:space="preserve">Izmaiņas veloceliņa projektā, “Dārznieku autobusa pieturas kabatas izveidei” </t>
  </si>
  <si>
    <t>Jauns! Samazināts</t>
  </si>
  <si>
    <t>Samazinājums atceļot peldbaseinu pakalpojumu apmaksu PPII</t>
  </si>
  <si>
    <t>Precizēta invest. summa oficiālās peldvietas ierīkošanai no EUR 65'000 uz 10'000</t>
  </si>
  <si>
    <t>Sākotnēji</t>
  </si>
  <si>
    <t>Precizēts</t>
  </si>
  <si>
    <t>Jauna darba galda virsma</t>
  </si>
  <si>
    <t>Priekšsēdētāja degviela (200l*1.6EUR*11*0.7)</t>
  </si>
  <si>
    <t xml:space="preserve">Priekšsēdētāja vietnieks  100 l*11*0.7 </t>
  </si>
  <si>
    <t xml:space="preserve">Izpilddirektors + vietnieks  180 l*11*0.7 </t>
  </si>
  <si>
    <t xml:space="preserve">Speciālā literatūra, ~ EUR 200 (civilprocess utml). </t>
  </si>
  <si>
    <t>Precizēts MD apjoms
EUR 56'826 (EKK 1119 EUR 45'979; EKK 1210 EUR 10847)</t>
  </si>
  <si>
    <t>Kafijas automāta remonts</t>
  </si>
  <si>
    <t>EUR 240 telefona iegādei.</t>
  </si>
  <si>
    <t xml:space="preserve">Valsts nodevas. Kad sods nomaksāts, atmaksa nāk kopējā kontā un netiek attiecināta pret iestādi, kas to uzlikusi. </t>
  </si>
  <si>
    <t>Basketbola komandas dalības maksa sacensībās LBL</t>
  </si>
  <si>
    <t xml:space="preserve">Publiska sporta laukuma izveide Podniekos </t>
  </si>
  <si>
    <t>“Ūdensblusas” tehniskā apsekošana</t>
  </si>
  <si>
    <t xml:space="preserve">Izdevumi tiesu izpildītājiem </t>
  </si>
  <si>
    <t xml:space="preserve">Monitora iegādei </t>
  </si>
  <si>
    <t>TEP sociāli tehniski ekonomiskā pamatojuma izstrāde</t>
  </si>
  <si>
    <t>2025.gada PVN maksājums</t>
  </si>
  <si>
    <t>+305, lai pilnībā atmaksātu 1u aizņēmumu (pieskaitīts "Bāzes" lapā)</t>
  </si>
  <si>
    <t>Stāvvietu apmaksai</t>
  </si>
  <si>
    <t>2025.gada PVN</t>
  </si>
  <si>
    <t xml:space="preserve">Tiltu uzturēšana (18 gab.), atbilstoši tiltu inspekcijas tāmēm. </t>
  </si>
  <si>
    <r>
      <t>Jaunas deformācijas šuves izbūve tiltam pāri Gauju, Ādažos (atbilstoši tiltu inspekcijas norādījumiem+ aizsargbarjeru atjaunošana).</t>
    </r>
    <r>
      <rPr>
        <i/>
        <sz val="8"/>
        <color theme="4"/>
        <rFont val="Arial"/>
        <family val="2"/>
        <charset val="186"/>
      </rPr>
      <t xml:space="preserve"> </t>
    </r>
  </si>
  <si>
    <t>Toneru uzpilde</t>
  </si>
  <si>
    <t>Komandējums pa Latviju EUR 50</t>
  </si>
  <si>
    <t>PVN nomaksai</t>
  </si>
  <si>
    <t>PVN apmaksa</t>
  </si>
  <si>
    <t>Mājas lapas "turisms.adazi.lv"pilnveidošanas darbi</t>
  </si>
  <si>
    <r>
      <t xml:space="preserve">1) PII Riekstiņš precizēts atalgojums logopēdam no 0,5 slodze uz 1
2) Jaunatnes nodaļa, ielikta TET apmaksa EUR 583
3) Līdzdal. budž. 2025.g. atlikums EUR 8'279 novirzīts 2026.g. rezervei
4) ĀBJSS precizēta MD +17'891 =&gt; pašvald. finans. Samazinājums
5) ĀVS sākumskolā nepieciešams veikt avārijas remontu apsardzes sistēmai - nedarbojas balss izziņošanas sistēma. EUR 5'085 - bāzes palielinājums.
6) EUR 200 jauna darba galda virsma Carnikavas bibliotēkā
</t>
    </r>
    <r>
      <rPr>
        <sz val="8"/>
        <color rgb="FFFF0000"/>
        <rFont val="Arial"/>
        <family val="2"/>
        <charset val="186"/>
      </rPr>
      <t>7) EUR 264 2025.gada PVN - Sabiedrisko attiecību nodaļa</t>
    </r>
    <r>
      <rPr>
        <sz val="8"/>
        <color theme="1"/>
        <rFont val="Arial"/>
        <family val="2"/>
        <charset val="186"/>
      </rPr>
      <t xml:space="preserve">
</t>
    </r>
    <r>
      <rPr>
        <sz val="8"/>
        <color rgb="FFFF0000"/>
        <rFont val="Arial"/>
        <family val="2"/>
        <charset val="186"/>
      </rPr>
      <t>8) EUR 8'000 Attīst. nodaļas tāmē nebija sasummēts 1 algu cipars + 798 EUR 2025.gada PVN</t>
    </r>
  </si>
  <si>
    <t>"Novadnieka kartes" aplikācijas izstrāde</t>
  </si>
  <si>
    <t>Mākslīgā intelekta rīka ieviešana</t>
  </si>
  <si>
    <t>Papildus reisu risinājumi</t>
  </si>
  <si>
    <t>Ādažu novada pašvaldības aizņēmumu un citu ilgtermiņa saistību pārskats</t>
  </si>
  <si>
    <t>Aizņēmumu pamatsummu un procentu atmaksa faktiskajiem un plānotajiem aizņēmumiem.</t>
  </si>
  <si>
    <t>A/C</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</si>
  <si>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</si>
  <si>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</si>
  <si>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</si>
  <si>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</si>
  <si>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</si>
  <si>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</si>
  <si>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</si>
  <si>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</si>
  <si>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</si>
  <si>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</si>
  <si>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</si>
  <si>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</si>
  <si>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</si>
  <si>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</si>
  <si>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</si>
  <si>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</si>
  <si>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</si>
  <si>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</si>
  <si>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</si>
  <si>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</si>
  <si>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</si>
  <si>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</si>
  <si>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</si>
  <si>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</si>
  <si>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</si>
  <si>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</si>
  <si>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</si>
  <si>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</si>
  <si>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</si>
  <si>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</si>
  <si>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</si>
  <si>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</si>
  <si>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</si>
  <si>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</si>
  <si>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</si>
  <si>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</si>
  <si>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</si>
  <si>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</si>
  <si>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</si>
  <si>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</si>
  <si>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</si>
  <si>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</si>
  <si>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</si>
  <si>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</si>
  <si>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</si>
  <si>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</si>
  <si>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</si>
  <si>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</si>
  <si>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</si>
  <si>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</si>
  <si>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</si>
  <si>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</si>
  <si>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</si>
  <si>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</si>
  <si>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</si>
  <si>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</si>
  <si>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</si>
  <si>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</si>
  <si>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</si>
  <si>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</si>
  <si>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</si>
  <si>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</si>
  <si>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</si>
  <si>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</si>
  <si>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</si>
  <si>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</si>
  <si>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</si>
  <si>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</si>
  <si>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</si>
  <si>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</si>
  <si>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</si>
  <si>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</si>
  <si>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</si>
  <si>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</si>
  <si>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</si>
  <si>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</si>
  <si>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</si>
  <si>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</si>
  <si>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</si>
  <si>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</si>
  <si>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</si>
  <si>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</si>
  <si>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</si>
  <si>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</si>
  <si>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</si>
  <si>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</si>
  <si>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</si>
  <si>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</si>
  <si>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</si>
  <si>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</si>
  <si>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</si>
  <si>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</si>
  <si>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</si>
  <si>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</si>
  <si>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</si>
  <si>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</si>
  <si>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</si>
  <si>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</si>
  <si>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</si>
  <si>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</si>
  <si>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</si>
  <si>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</si>
  <si>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</si>
  <si>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</si>
  <si>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</si>
  <si>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</si>
  <si>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</si>
  <si>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</si>
  <si>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</si>
  <si>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</si>
  <si>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</si>
  <si>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</si>
  <si>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</si>
  <si>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</si>
  <si>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</si>
  <si>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</si>
  <si>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</si>
  <si>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</si>
  <si>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</si>
  <si>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</si>
  <si>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</si>
  <si>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</si>
  <si>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</si>
  <si>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</si>
  <si>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</si>
  <si>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</si>
  <si>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</si>
  <si>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</si>
  <si>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</si>
  <si>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</si>
  <si>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</si>
  <si>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</si>
  <si>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</si>
  <si>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</si>
  <si>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</si>
  <si>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</si>
  <si>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</si>
  <si>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</si>
  <si>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</si>
  <si>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</si>
  <si>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</si>
  <si>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</si>
  <si>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</si>
  <si>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</si>
  <si>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</si>
  <si>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</si>
  <si>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</si>
  <si>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</si>
  <si>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</si>
  <si>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</si>
  <si>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</si>
  <si>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</si>
  <si>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</si>
  <si>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</si>
  <si>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</si>
  <si>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</si>
  <si>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</si>
  <si>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</si>
  <si>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</si>
  <si>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</si>
  <si>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</si>
  <si>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</si>
  <si>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</si>
  <si>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</si>
  <si>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</si>
  <si>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</si>
  <si>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</si>
  <si>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</si>
  <si>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</si>
  <si>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</si>
  <si>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</si>
  <si>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</si>
  <si>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</si>
  <si>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</si>
  <si>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</si>
  <si>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</si>
  <si>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</si>
  <si>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</si>
  <si>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</si>
  <si>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</si>
  <si>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</si>
  <si>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</si>
  <si>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</si>
  <si>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</si>
  <si>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</si>
  <si>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</si>
  <si>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</si>
  <si>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</si>
  <si>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</si>
  <si>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</si>
  <si>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</si>
  <si>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</si>
  <si>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</si>
  <si>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</si>
  <si>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</si>
  <si>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</si>
  <si>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</si>
  <si>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</si>
  <si>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</si>
  <si>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</si>
  <si>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</si>
  <si>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</si>
  <si>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</si>
  <si>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</si>
  <si>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</si>
  <si>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</si>
  <si>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</si>
  <si>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</si>
  <si>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</si>
  <si>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</si>
  <si>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</si>
  <si>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</si>
  <si>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</si>
  <si>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</si>
  <si>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</si>
  <si>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</si>
  <si>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</si>
  <si>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</si>
  <si>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</si>
  <si>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</si>
  <si>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</si>
  <si>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</si>
  <si>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</si>
  <si>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</si>
  <si>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</si>
  <si>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</si>
  <si>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</si>
  <si>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</si>
  <si>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</si>
  <si>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</si>
  <si>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</si>
  <si>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</si>
  <si>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</si>
  <si>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</si>
  <si>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</si>
  <si>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</si>
  <si>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</si>
  <si>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</si>
  <si>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</si>
  <si>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</si>
  <si>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</si>
  <si>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</si>
  <si>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</si>
  <si>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</si>
  <si>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</si>
  <si>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</si>
  <si>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</si>
  <si>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</si>
  <si>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</si>
  <si>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</si>
  <si>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</si>
  <si>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</si>
  <si>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</si>
  <si>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</si>
  <si>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</si>
  <si>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</si>
  <si>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</si>
  <si>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</si>
  <si>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</si>
  <si>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</si>
  <si>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</si>
  <si>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</si>
  <si>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</si>
  <si>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</si>
  <si>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</si>
  <si>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</si>
  <si>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</si>
  <si>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</si>
  <si>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</si>
  <si>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</si>
  <si>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</si>
  <si>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</si>
  <si>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</si>
  <si>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</si>
  <si>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</si>
  <si>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</si>
  <si>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</si>
  <si>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</si>
  <si>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</si>
  <si>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</si>
  <si>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</si>
  <si>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</si>
  <si>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</si>
  <si>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</si>
  <si>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</si>
  <si>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</si>
  <si>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</si>
  <si>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</si>
  <si>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</si>
  <si>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</si>
  <si>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</si>
  <si>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</si>
  <si>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</si>
  <si>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</si>
  <si>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</si>
  <si>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</si>
  <si>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</si>
  <si>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</si>
  <si>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</si>
  <si>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</si>
  <si>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</si>
  <si>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</si>
  <si>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</si>
  <si>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</si>
  <si>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</si>
  <si>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</si>
  <si>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</si>
  <si>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</si>
  <si>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</si>
  <si>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</si>
  <si>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</si>
  <si>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</si>
  <si>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</si>
  <si>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</si>
  <si>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</si>
  <si>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</si>
  <si>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</si>
  <si>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</si>
  <si>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</si>
  <si>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</si>
  <si>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</si>
  <si>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</si>
  <si>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</si>
  <si>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</si>
  <si>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</si>
  <si>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</si>
  <si>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</si>
  <si>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</si>
  <si>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</si>
  <si>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</si>
  <si>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</si>
  <si>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</si>
  <si>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</si>
  <si>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</si>
  <si>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</si>
  <si>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</si>
  <si>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</si>
  <si>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</si>
  <si>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</si>
  <si>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</si>
  <si>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</si>
  <si>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</si>
  <si>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</si>
  <si>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</si>
  <si>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</si>
  <si>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EKII projekts</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</si>
  <si>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</si>
  <si>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</si>
  <si>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</si>
  <si>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</si>
  <si>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</si>
  <si>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</si>
  <si>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</si>
  <si>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</si>
  <si>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</si>
  <si>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</si>
  <si>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</si>
  <si>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</si>
  <si>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</si>
  <si>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</si>
  <si>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</si>
  <si>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</si>
  <si>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</si>
  <si>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Plānots</t>
  </si>
  <si>
    <t>Krastupes iela</t>
  </si>
  <si>
    <t xml:space="preserve">Projekts “Infrastruktūras uzlabošana </t>
  </si>
  <si>
    <t>uzņēmējdarbības attīstībai Ādažos”</t>
  </si>
  <si>
    <t>Aizņēmumi kopā:</t>
  </si>
  <si>
    <t>VK atskaitē</t>
  </si>
  <si>
    <t>Citas ilgtermiņa saistības.</t>
  </si>
  <si>
    <t>Apkalpošanas maksa</t>
  </si>
  <si>
    <t>Saistību mērķis</t>
  </si>
  <si>
    <t>Līguma Nr.</t>
  </si>
  <si>
    <t>Trānčes Nr.</t>
  </si>
  <si>
    <t>Aizņēmuma summa</t>
  </si>
  <si>
    <t>2032 - 2053</t>
  </si>
  <si>
    <t>Kopsumma 2025 - 2053</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</si>
  <si>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</si>
  <si>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</si>
  <si>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</si>
  <si>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</si>
  <si>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</si>
  <si>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</si>
  <si>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</si>
  <si>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</si>
  <si>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</si>
  <si>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</si>
  <si>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</si>
  <si>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BEZ PLĀNOTAJIEM AIZŅĒMUMIEM</t>
  </si>
  <si>
    <t>Pamatsumma + %</t>
  </si>
  <si>
    <t>IIN ieņēmumu pārpilde 2025.g.</t>
  </si>
  <si>
    <t>% ietaupījums</t>
  </si>
  <si>
    <t>2026.g.</t>
  </si>
  <si>
    <t>ES Interreg Igaunijas - Latvijas projekts "Hiking Route Along the Baltic Sea Coastline in Latvia-Estonia"</t>
  </si>
  <si>
    <t>viss</t>
  </si>
  <si>
    <t>Aizvēju ielas Garciemā, dubultā virsmas apstrāde (2.daļa)</t>
  </si>
  <si>
    <t>1. maksājums</t>
  </si>
  <si>
    <t>Atlikums, ieskaitot EUR 928 (2026.gada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</si>
</sst>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_-* #,##0_-;\-* #,##0_-;_-* \-??_-;_-@_-"/>
    <numFmt numFmtId="170" formatCode="[$-426]General"/>
    <numFmt numFmtId="171" formatCode="[$-426]0%"/>
    <numFmt numFmtId="172" formatCode="&quot; &quot;#,##0.00&quot; &quot;;&quot;-&quot;#,##0.00&quot; &quot;;&quot; -&quot;#&quot; &quot;;&quot; &quot;@&quot; &quot;"/>
    <numFmt numFmtId="173" formatCode="#,##0_ ;\-#,##0\ "/>
    <numFmt numFmtId="174" formatCode="_-* #,##0\ _€_-;\-* #,##0\ _€_-;_-* &quot;-&quot;??\ _€_-;_-@_-"/>
    <numFmt numFmtId="175" formatCode="[&lt;=9999999]###\-####;\(###\)\ ###\-####"/>
    <numFmt numFmtId="176" formatCode="_-* #,##0.00\ [$EUR]_-;\-* #,##0.00\ [$EUR]_-;_-* &quot;-&quot;??\ [$EUR]_-;_-@_-"/>
    <numFmt numFmtId="177" formatCode="_-* #,##0.000_-;\-* #,##0.000_-;_-* &quot;-&quot;??_-;_-@_-"/>
    <numFmt numFmtId="178" formatCode="_(* #,##0_);_(* \(#,##0\);_(* &quot;-&quot;??_);_(@_)"/>
    <numFmt numFmtId="179" formatCode="_-* #,##0_-;\-* #,##0_-;_-* &quot;-&quot;??_-;_-@"/>
    <numFmt numFmtId="180" formatCode="#,##0_ ;[Red]\-#,##0\ "/>
    <numFmt numFmtId="181" formatCode="_-&quot;€&quot;* #,##0.00_-;\-&quot;€&quot;* #,##0.00_-;_-&quot;€&quot;* &quot;-&quot;??_-;_-@_-"/>
    <numFmt numFmtId="182" formatCode="&quot; &quot;#,##0.00&quot; &quot;;&quot;-&quot;#,##0.00&quot; &quot;;&quot; -&quot;00&quot; &quot;;&quot; &quot;@&quot; &quot;"/>
    <numFmt numFmtId="183" formatCode="&quot; &quot;#,##0&quot; &quot;;&quot;-&quot;#,##0&quot; &quot;;&quot; -&quot;00&quot; &quot;;&quot; &quot;@&quot; &quot;"/>
    <numFmt numFmtId="184" formatCode="_(* #,##0.00_);_(* \(#,##0.00\);_(* &quot;-&quot;??_);_(@_)"/>
    <numFmt numFmtId="185" formatCode="_-[$€-2]\ * #,##0.00_-;\-[$€-2]\ * #,##0.00_-;_-[$€-2]\ * &quot;-&quot;??_-;_-@_-"/>
  </numFmts>
  <fonts count="314">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0"/>
      <name val="Times New Roman"/>
      <family val="1"/>
      <charset val="186"/>
    </font>
    <font>
      <i/>
      <sz val="11"/>
      <name val="Times New Roman"/>
      <family val="1"/>
      <charset val="186"/>
    </font>
    <font>
      <b/>
      <i/>
      <sz val="11"/>
      <name val="Times New Roman"/>
      <family val="1"/>
      <charset val="186"/>
    </font>
    <font>
      <sz val="11"/>
      <color theme="1"/>
      <name val="Times New Roman"/>
      <family val="1"/>
      <charset val="186"/>
    </font>
    <font>
      <b/>
      <sz val="9"/>
      <color theme="1"/>
      <name val="Arial"/>
      <family val="2"/>
      <charset val="186"/>
    </font>
    <font>
      <sz val="9"/>
      <name val="Times New Roman"/>
      <family val="1"/>
      <charset val="186"/>
    </font>
    <font>
      <sz val="11"/>
      <name val="Calibri"/>
      <family val="2"/>
      <charset val="186"/>
      <scheme val="minor"/>
    </font>
    <font>
      <b/>
      <sz val="8"/>
      <name val="Times New Roman"/>
      <family val="1"/>
      <charset val="186"/>
    </font>
    <font>
      <sz val="8"/>
      <name val="Times New Roman"/>
      <family val="1"/>
      <charset val="186"/>
    </font>
    <font>
      <sz val="8"/>
      <color rgb="FFFF0000"/>
      <name val="Times New Roman"/>
      <family val="1"/>
      <charset val="186"/>
    </font>
    <font>
      <sz val="8"/>
      <color theme="3"/>
      <name val="Arial"/>
      <family val="2"/>
      <charset val="186"/>
    </font>
    <font>
      <b/>
      <sz val="8"/>
      <name val="Arial"/>
      <family val="2"/>
      <charset val="186"/>
    </font>
    <font>
      <sz val="8"/>
      <name val="Arial"/>
      <family val="2"/>
      <charset val="186"/>
    </font>
    <font>
      <sz val="8"/>
      <color rgb="FFC00000"/>
      <name val="Arial"/>
      <family val="2"/>
      <charset val="186"/>
    </font>
    <font>
      <b/>
      <sz val="8"/>
      <color rgb="FFFF0000"/>
      <name val="Arial"/>
      <family val="2"/>
      <charset val="186"/>
    </font>
    <font>
      <sz val="8"/>
      <color rgb="FFFF0000"/>
      <name val="Arial"/>
      <family val="2"/>
      <charset val="186"/>
    </font>
    <font>
      <sz val="8"/>
      <color indexed="10"/>
      <name val="Calibri"/>
      <family val="2"/>
      <charset val="186"/>
    </font>
    <font>
      <sz val="8"/>
      <color indexed="10"/>
      <name val="Tahoma"/>
      <family val="2"/>
      <charset val="186"/>
    </font>
    <font>
      <b/>
      <sz val="8"/>
      <color theme="1"/>
      <name val="Arial"/>
      <family val="2"/>
      <charset val="186"/>
    </font>
    <font>
      <sz val="8"/>
      <color indexed="56"/>
      <name val="Arial"/>
      <family val="2"/>
      <charset val="186"/>
    </font>
    <font>
      <sz val="8"/>
      <color theme="1"/>
      <name val="Arial"/>
      <family val="2"/>
      <charset val="186"/>
    </font>
    <font>
      <sz val="8"/>
      <color indexed="10"/>
      <name val="Arial"/>
      <family val="2"/>
      <charset val="186"/>
    </font>
    <font>
      <i/>
      <sz val="8"/>
      <name val="Arial"/>
      <family val="2"/>
      <charset val="186"/>
    </font>
    <font>
      <i/>
      <sz val="8"/>
      <color theme="1"/>
      <name val="Arial"/>
      <family val="2"/>
      <charset val="186"/>
    </font>
    <font>
      <i/>
      <sz val="8"/>
      <color indexed="56"/>
      <name val="Arial"/>
      <family val="2"/>
      <charset val="186"/>
    </font>
    <font>
      <i/>
      <sz val="8"/>
      <color rgb="FFFF0000"/>
      <name val="Arial"/>
      <family val="2"/>
      <charset val="186"/>
    </font>
    <font>
      <i/>
      <sz val="8"/>
      <color theme="3"/>
      <name val="Arial"/>
      <family val="2"/>
      <charset val="186"/>
    </font>
    <font>
      <b/>
      <i/>
      <sz val="8"/>
      <color indexed="10"/>
      <name val="Arial"/>
      <family val="2"/>
      <charset val="186"/>
    </font>
    <font>
      <i/>
      <sz val="8"/>
      <color indexed="10"/>
      <name val="Arial"/>
      <family val="2"/>
      <charset val="186"/>
    </font>
    <font>
      <i/>
      <sz val="8"/>
      <color rgb="FFC00000"/>
      <name val="Arial"/>
      <family val="2"/>
      <charset val="186"/>
    </font>
    <font>
      <b/>
      <i/>
      <sz val="8"/>
      <color rgb="FFFF0000"/>
      <name val="Arial"/>
      <family val="2"/>
      <charset val="186"/>
    </font>
    <font>
      <i/>
      <sz val="8"/>
      <name val="Arial"/>
      <family val="2"/>
    </font>
    <font>
      <i/>
      <sz val="8"/>
      <color indexed="18"/>
      <name val="Arial"/>
      <family val="2"/>
      <charset val="186"/>
    </font>
    <font>
      <sz val="8"/>
      <name val="Arial"/>
      <family val="2"/>
    </font>
    <font>
      <b/>
      <i/>
      <sz val="8"/>
      <name val="Arial"/>
      <family val="2"/>
      <charset val="186"/>
    </font>
    <font>
      <sz val="9"/>
      <color indexed="8"/>
      <name val="Arial"/>
      <family val="2"/>
      <charset val="186"/>
    </font>
    <font>
      <b/>
      <i/>
      <sz val="8"/>
      <color theme="1"/>
      <name val="Arial"/>
      <family val="2"/>
      <charset val="186"/>
    </font>
    <font>
      <b/>
      <i/>
      <sz val="8"/>
      <color rgb="FFC00000"/>
      <name val="Arial"/>
      <family val="2"/>
      <charset val="186"/>
    </font>
    <font>
      <i/>
      <sz val="8"/>
      <color rgb="FF000000"/>
      <name val="Arial"/>
      <family val="2"/>
      <charset val="186"/>
    </font>
    <font>
      <sz val="8"/>
      <color rgb="FF000000"/>
      <name val="Arial"/>
      <family val="2"/>
      <charset val="186"/>
    </font>
    <font>
      <sz val="9"/>
      <color theme="3"/>
      <name val="Arial"/>
      <family val="2"/>
      <charset val="186"/>
    </font>
    <font>
      <i/>
      <sz val="8"/>
      <color theme="4"/>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rgb="FFFF0000"/>
      <name val="Arial"/>
      <family val="2"/>
    </font>
    <font>
      <sz val="9"/>
      <color rgb="FFFF0000"/>
      <name val="Times New Roman"/>
      <family val="1"/>
      <charset val="186"/>
    </font>
    <font>
      <u/>
      <sz val="11"/>
      <color theme="10"/>
      <name val="Calibri"/>
      <family val="2"/>
      <charset val="186"/>
      <scheme val="minor"/>
    </font>
    <font>
      <sz val="9"/>
      <color rgb="FFC00000"/>
      <name val="Arial"/>
      <family val="2"/>
      <charset val="186"/>
    </font>
    <font>
      <b/>
      <sz val="8"/>
      <name val="Arial"/>
      <family val="2"/>
    </font>
    <font>
      <sz val="11"/>
      <color rgb="FF000000"/>
      <name val="Calibri"/>
      <family val="2"/>
    </font>
    <font>
      <i/>
      <sz val="8"/>
      <color theme="1"/>
      <name val="Arial"/>
      <family val="2"/>
    </font>
    <font>
      <b/>
      <sz val="10"/>
      <name val="Arial"/>
      <family val="2"/>
      <charset val="186"/>
    </font>
    <font>
      <b/>
      <sz val="9"/>
      <name val="Arial"/>
      <family val="2"/>
      <charset val="186"/>
    </font>
    <font>
      <sz val="10"/>
      <color theme="1"/>
      <name val="Arial"/>
      <family val="2"/>
      <charset val="186"/>
    </font>
    <font>
      <sz val="9"/>
      <name val="Arial"/>
      <family val="2"/>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i/>
      <sz val="8"/>
      <color rgb="FF000000"/>
      <name val="Arial"/>
      <family val="2"/>
    </font>
    <font>
      <b/>
      <sz val="11"/>
      <name val="Times New Roman"/>
      <family val="1"/>
    </font>
    <font>
      <i/>
      <sz val="8"/>
      <name val="Times New Roman"/>
      <family val="1"/>
      <charset val="186"/>
    </font>
    <font>
      <i/>
      <sz val="8"/>
      <color rgb="FF0070C0"/>
      <name val="Arial"/>
      <family val="2"/>
      <charset val="186"/>
    </font>
    <font>
      <i/>
      <sz val="9"/>
      <color theme="3"/>
      <name val="Arial"/>
      <family val="2"/>
      <charset val="186"/>
    </font>
    <font>
      <b/>
      <sz val="11"/>
      <color rgb="FFC00000"/>
      <name val="Times New Roman"/>
      <family val="1"/>
      <charset val="186"/>
    </font>
    <font>
      <b/>
      <i/>
      <sz val="11"/>
      <color theme="3"/>
      <name val="Times New Roman"/>
      <family val="1"/>
      <charset val="186"/>
    </font>
    <font>
      <i/>
      <sz val="11"/>
      <color rgb="FFFF0000"/>
      <name val="Times New Roman"/>
      <family val="1"/>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b/>
      <sz val="8"/>
      <color rgb="FFC00000"/>
      <name val="Times New Roman"/>
      <family val="1"/>
      <charset val="186"/>
    </font>
    <font>
      <sz val="11"/>
      <color rgb="FFC00000"/>
      <name val="Times New Roman"/>
      <family val="1"/>
      <charset val="186"/>
    </font>
    <font>
      <i/>
      <sz val="9"/>
      <color rgb="FFFF0000"/>
      <name val="Arial"/>
      <family val="2"/>
      <charset val="186"/>
    </font>
    <font>
      <sz val="9"/>
      <color theme="1"/>
      <name val="Calibri"/>
      <family val="2"/>
      <charset val="186"/>
      <scheme val="minor"/>
    </font>
    <font>
      <sz val="8"/>
      <color rgb="FFFF0000"/>
      <name val="Calibri"/>
      <family val="2"/>
      <charset val="186"/>
      <scheme val="minor"/>
    </font>
    <font>
      <sz val="8"/>
      <color theme="3"/>
      <name val="Times New Roman"/>
      <family val="1"/>
      <charset val="186"/>
    </font>
    <font>
      <sz val="11"/>
      <color theme="1"/>
      <name val="Arial"/>
      <family val="2"/>
      <charset val="186"/>
    </font>
    <font>
      <sz val="13"/>
      <name val="Times New Roman"/>
      <family val="1"/>
    </font>
    <font>
      <i/>
      <sz val="8"/>
      <color indexed="8"/>
      <name val="Arial"/>
      <family val="2"/>
      <charset val="186"/>
    </font>
    <font>
      <u/>
      <sz val="12"/>
      <color theme="10"/>
      <name val="Times New Roman"/>
      <family val="2"/>
      <charset val="186"/>
    </font>
    <font>
      <sz val="11"/>
      <color theme="1"/>
      <name val="Calibri"/>
      <family val="2"/>
      <scheme val="minor"/>
    </font>
    <font>
      <sz val="11"/>
      <name val="Calibri"/>
      <family val="2"/>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i/>
      <sz val="11"/>
      <color rgb="FFC00000"/>
      <name val="Times New Roman"/>
      <family val="1"/>
      <charset val="186"/>
    </font>
    <font>
      <b/>
      <i/>
      <sz val="11"/>
      <color rgb="FFC00000"/>
      <name val="Times New Roman"/>
      <family val="1"/>
      <charset val="186"/>
    </font>
    <font>
      <sz val="11"/>
      <color rgb="FF000000"/>
      <name val="Calibri"/>
      <family val="2"/>
      <charset val="186"/>
    </font>
    <font>
      <sz val="8"/>
      <color rgb="FF7030A0"/>
      <name val="Arial"/>
      <family val="2"/>
      <charset val="186"/>
    </font>
    <font>
      <sz val="8"/>
      <color indexed="56"/>
      <name val="Arial"/>
      <family val="2"/>
    </font>
    <font>
      <sz val="8"/>
      <color theme="9" tint="-0.499984740745262"/>
      <name val="Arial"/>
      <family val="2"/>
      <charset val="186"/>
    </font>
    <font>
      <i/>
      <sz val="8"/>
      <color theme="9" tint="-0.499984740745262"/>
      <name val="Arial"/>
      <family val="2"/>
      <charset val="186"/>
    </font>
    <font>
      <sz val="9"/>
      <color rgb="FF7030A0"/>
      <name val="Arial"/>
      <family val="2"/>
      <charset val="186"/>
    </font>
    <font>
      <sz val="8"/>
      <color rgb="FFFF0000"/>
      <name val="Arial"/>
      <family val="2"/>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i/>
      <sz val="11"/>
      <color rgb="FF7030A0"/>
      <name val="Times New Roman"/>
      <family val="1"/>
      <charset val="186"/>
    </font>
    <font>
      <b/>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color rgb="FFFF0000"/>
      <name val="Arial"/>
      <family val="2"/>
      <charset val="186"/>
    </font>
    <font>
      <sz val="11"/>
      <color rgb="FF9C5700"/>
      <name val="Calibri"/>
      <family val="2"/>
      <charset val="186"/>
      <scheme val="minor"/>
    </font>
    <font>
      <i/>
      <sz val="8"/>
      <name val="New"/>
      <charset val="186"/>
    </font>
    <font>
      <b/>
      <sz val="9"/>
      <color rgb="FFFF0000"/>
      <name val="Arial"/>
      <family val="2"/>
      <charset val="186"/>
    </font>
    <font>
      <u/>
      <sz val="11"/>
      <color theme="10"/>
      <name val="Calibri"/>
      <family val="2"/>
      <charset val="186"/>
    </font>
    <font>
      <b/>
      <sz val="18"/>
      <name val="Calibri"/>
      <family val="2"/>
      <scheme val="minor"/>
    </font>
    <font>
      <b/>
      <i/>
      <sz val="8"/>
      <name val="Arial"/>
      <family val="2"/>
    </font>
    <font>
      <sz val="6"/>
      <name val="Arial"/>
      <family val="2"/>
      <charset val="186"/>
    </font>
    <font>
      <sz val="10"/>
      <name val="Calibri"/>
      <family val="2"/>
      <charset val="186"/>
      <scheme val="minor"/>
    </font>
    <font>
      <i/>
      <sz val="8"/>
      <color rgb="FF44546A"/>
      <name val="Arial"/>
      <family val="2"/>
      <charset val="186"/>
    </font>
    <font>
      <sz val="9"/>
      <name val="Calibri"/>
      <family val="2"/>
      <charset val="186"/>
      <scheme val="minor"/>
    </font>
    <font>
      <sz val="8"/>
      <color theme="4" tint="-0.499984740745262"/>
      <name val="Arial"/>
      <family val="2"/>
      <charset val="186"/>
    </font>
    <font>
      <sz val="9"/>
      <color theme="4" tint="-0.499984740745262"/>
      <name val="Arial"/>
      <family val="2"/>
      <charset val="186"/>
    </font>
    <font>
      <sz val="9"/>
      <color theme="0"/>
      <name val="Arial"/>
      <family val="2"/>
      <charset val="186"/>
    </font>
    <font>
      <sz val="6"/>
      <color rgb="FFFF0000"/>
      <name val="Arial"/>
      <family val="2"/>
      <charset val="186"/>
    </font>
    <font>
      <sz val="28"/>
      <color theme="0" tint="-0.499984740745262"/>
      <name val="Calibri Light"/>
      <family val="2"/>
      <scheme val="major"/>
    </font>
    <font>
      <b/>
      <i/>
      <sz val="11"/>
      <name val="Calibri"/>
      <family val="2"/>
      <scheme val="minor"/>
    </font>
    <font>
      <i/>
      <sz val="11"/>
      <name val="Calibri"/>
      <family val="2"/>
      <scheme val="minor"/>
    </font>
    <font>
      <b/>
      <sz val="12"/>
      <color rgb="FFFF0000"/>
      <name val="Arial"/>
      <family val="2"/>
      <charset val="186"/>
    </font>
    <font>
      <i/>
      <sz val="8"/>
      <color theme="8"/>
      <name val="Arial"/>
      <family val="2"/>
      <charset val="186"/>
    </font>
    <font>
      <b/>
      <i/>
      <sz val="9"/>
      <name val="Arial"/>
      <family val="2"/>
      <charset val="186"/>
    </font>
    <font>
      <sz val="6"/>
      <color rgb="FF7030A0"/>
      <name val="Arial"/>
      <family val="2"/>
      <charset val="186"/>
    </font>
    <font>
      <b/>
      <sz val="9"/>
      <color theme="0"/>
      <name val="Arial"/>
      <family val="2"/>
      <charset val="186"/>
    </font>
    <font>
      <b/>
      <sz val="11"/>
      <color theme="1"/>
      <name val="Arial"/>
      <family val="2"/>
      <charset val="186"/>
    </font>
    <font>
      <i/>
      <sz val="9"/>
      <color theme="8"/>
      <name val="Arial"/>
      <family val="2"/>
      <charset val="186"/>
    </font>
    <font>
      <sz val="9"/>
      <color theme="8"/>
      <name val="Arial"/>
      <family val="2"/>
      <charset val="186"/>
    </font>
    <font>
      <i/>
      <sz val="9"/>
      <color theme="4"/>
      <name val="Arial"/>
      <family val="2"/>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b/>
      <sz val="11"/>
      <color theme="1"/>
      <name val="Times New Roman"/>
      <family val="1"/>
      <charset val="186"/>
    </font>
    <font>
      <sz val="11"/>
      <color rgb="FFFF0000"/>
      <name val="Calibri"/>
      <family val="2"/>
      <charset val="186"/>
    </font>
    <font>
      <b/>
      <i/>
      <sz val="9"/>
      <color theme="1"/>
      <name val="Arial"/>
      <family val="2"/>
      <charset val="186"/>
    </font>
    <font>
      <sz val="9"/>
      <color theme="1"/>
      <name val="Times New Roman"/>
      <family val="1"/>
      <charset val="186"/>
    </font>
    <font>
      <sz val="9"/>
      <color rgb="FFFF0000"/>
      <name val="Arial"/>
      <family val="2"/>
    </font>
    <font>
      <sz val="8"/>
      <color theme="8"/>
      <name val="Arial"/>
      <family val="2"/>
      <charset val="186"/>
    </font>
    <font>
      <b/>
      <i/>
      <sz val="9"/>
      <color rgb="FFFF0000"/>
      <name val="Arial"/>
      <family val="2"/>
      <charset val="186"/>
    </font>
    <font>
      <i/>
      <sz val="9"/>
      <name val="Arial"/>
      <family val="2"/>
      <charset val="186"/>
    </font>
    <font>
      <b/>
      <i/>
      <sz val="8"/>
      <color rgb="FFFF0000"/>
      <name val="Arial"/>
      <family val="2"/>
    </font>
    <font>
      <i/>
      <sz val="8"/>
      <color theme="8" tint="-0.249977111117893"/>
      <name val="Arial"/>
      <family val="2"/>
      <charset val="186"/>
    </font>
    <font>
      <sz val="11"/>
      <color rgb="FF8E267F"/>
      <name val="Times New Roman"/>
      <family val="1"/>
      <charset val="186"/>
    </font>
    <font>
      <sz val="11"/>
      <color rgb="FF000000"/>
      <name val="Calibri"/>
      <family val="2"/>
      <charset val="1"/>
    </font>
    <font>
      <b/>
      <sz val="8"/>
      <color theme="4"/>
      <name val="Times New Roman"/>
      <family val="1"/>
      <charset val="186"/>
    </font>
    <font>
      <sz val="8"/>
      <color theme="4"/>
      <name val="Times New Roman"/>
      <family val="1"/>
      <charset val="186"/>
    </font>
    <font>
      <sz val="8"/>
      <color theme="4"/>
      <name val="Arial"/>
      <family val="2"/>
      <charset val="186"/>
    </font>
    <font>
      <sz val="9"/>
      <color theme="4"/>
      <name val="Arial"/>
      <family val="2"/>
      <charset val="186"/>
    </font>
    <font>
      <b/>
      <i/>
      <strike/>
      <sz val="8"/>
      <name val="Arial"/>
      <family val="2"/>
    </font>
    <font>
      <i/>
      <sz val="8"/>
      <color theme="0" tint="-0.249977111117893"/>
      <name val="Arial"/>
      <family val="2"/>
    </font>
    <font>
      <sz val="11"/>
      <color rgb="FF000000"/>
      <name val="Arial"/>
      <family val="2"/>
      <charset val="186"/>
    </font>
    <font>
      <b/>
      <sz val="11"/>
      <name val="Calibri"/>
      <family val="2"/>
      <charset val="186"/>
      <scheme val="minor"/>
    </font>
    <font>
      <sz val="9"/>
      <color theme="5"/>
      <name val="Arial"/>
      <family val="2"/>
      <charset val="186"/>
    </font>
    <font>
      <i/>
      <sz val="10"/>
      <name val="Arial"/>
      <family val="2"/>
    </font>
    <font>
      <b/>
      <i/>
      <sz val="10"/>
      <name val="Arial"/>
      <family val="2"/>
    </font>
    <font>
      <sz val="11"/>
      <color rgb="FFED0000"/>
      <name val="Times New Roman"/>
      <family val="1"/>
      <charset val="186"/>
    </font>
    <font>
      <i/>
      <sz val="11"/>
      <color rgb="FFED0000"/>
      <name val="Times New Roman"/>
      <family val="1"/>
      <charset val="186"/>
    </font>
    <font>
      <sz val="9"/>
      <color rgb="FFED0000"/>
      <name val="Arial"/>
      <family val="2"/>
      <charset val="186"/>
    </font>
    <font>
      <b/>
      <sz val="11"/>
      <color rgb="FFED0000"/>
      <name val="Times New Roman"/>
      <family val="1"/>
      <charset val="186"/>
    </font>
    <font>
      <sz val="8"/>
      <color theme="1"/>
      <name val="Arial"/>
      <family val="2"/>
    </font>
    <font>
      <b/>
      <i/>
      <sz val="8"/>
      <color theme="1"/>
      <name val="Arial"/>
      <family val="2"/>
    </font>
    <font>
      <b/>
      <sz val="8"/>
      <color theme="1"/>
      <name val="Arial"/>
      <family val="2"/>
    </font>
    <font>
      <sz val="8"/>
      <color theme="9" tint="-0.249977111117893"/>
      <name val="Arial"/>
      <family val="2"/>
      <charset val="186"/>
    </font>
    <font>
      <i/>
      <sz val="8"/>
      <color theme="9" tint="-0.249977111117893"/>
      <name val="Arial"/>
      <family val="2"/>
      <charset val="186"/>
    </font>
    <font>
      <b/>
      <sz val="12"/>
      <name val="Times New Roman"/>
      <family val="1"/>
      <charset val="186"/>
    </font>
    <font>
      <u/>
      <sz val="9"/>
      <color rgb="FFFF0000"/>
      <name val="Arial"/>
      <family val="2"/>
      <charset val="186"/>
    </font>
    <font>
      <i/>
      <sz val="8"/>
      <color rgb="FFFF0000"/>
      <name val="New"/>
      <charset val="186"/>
    </font>
    <font>
      <b/>
      <i/>
      <sz val="11"/>
      <color rgb="FFFF0000"/>
      <name val="Times New Roman"/>
      <family val="1"/>
      <charset val="186"/>
    </font>
    <font>
      <b/>
      <sz val="9"/>
      <color theme="1"/>
      <name val="Calibri"/>
      <family val="2"/>
      <charset val="186"/>
      <scheme val="minor"/>
    </font>
    <font>
      <i/>
      <sz val="8"/>
      <color theme="0" tint="-0.249977111117893"/>
      <name val="Arial"/>
      <family val="2"/>
      <charset val="186"/>
    </font>
    <font>
      <u/>
      <sz val="11"/>
      <color theme="10"/>
      <name val="Calibri"/>
      <family val="2"/>
      <scheme val="minor"/>
    </font>
    <font>
      <i/>
      <sz val="10"/>
      <color theme="1"/>
      <name val="Arial"/>
      <family val="2"/>
    </font>
    <font>
      <b/>
      <i/>
      <sz val="10"/>
      <color theme="1"/>
      <name val="Arial"/>
      <family val="2"/>
    </font>
    <font>
      <sz val="10"/>
      <name val="Arial"/>
      <family val="2"/>
      <charset val="204"/>
    </font>
    <font>
      <i/>
      <strike/>
      <sz val="8"/>
      <name val="Arial"/>
      <family val="2"/>
    </font>
    <font>
      <i/>
      <sz val="9"/>
      <name val="Arial"/>
      <family val="2"/>
    </font>
    <font>
      <i/>
      <sz val="9"/>
      <color theme="1"/>
      <name val="Arial"/>
      <family val="2"/>
    </font>
    <font>
      <b/>
      <i/>
      <sz val="8"/>
      <color rgb="FF7030A0"/>
      <name val="Arial"/>
      <family val="2"/>
    </font>
    <font>
      <i/>
      <sz val="8"/>
      <color theme="5"/>
      <name val="Arial"/>
      <family val="2"/>
      <charset val="186"/>
    </font>
    <font>
      <i/>
      <sz val="8"/>
      <color rgb="FF7030A0"/>
      <name val="Arial"/>
      <family val="2"/>
    </font>
    <font>
      <sz val="8"/>
      <color theme="0" tint="-4.9989318521683403E-2"/>
      <name val="Arial"/>
      <family val="2"/>
    </font>
    <font>
      <i/>
      <strike/>
      <sz val="8"/>
      <name val="Arial"/>
      <family val="2"/>
      <charset val="186"/>
    </font>
    <font>
      <i/>
      <sz val="8"/>
      <color rgb="FF00B0F0"/>
      <name val="Arial"/>
      <family val="2"/>
    </font>
    <font>
      <i/>
      <sz val="9"/>
      <color theme="8" tint="-0.249977111117893"/>
      <name val="Arial"/>
      <family val="2"/>
      <charset val="186"/>
    </font>
    <font>
      <i/>
      <strike/>
      <sz val="8"/>
      <color rgb="FFFF0000"/>
      <name val="Arial"/>
      <family val="2"/>
      <charset val="186"/>
    </font>
    <font>
      <i/>
      <sz val="9"/>
      <color rgb="FF7030A0"/>
      <name val="Times New Roman"/>
      <family val="1"/>
      <charset val="186"/>
    </font>
    <font>
      <sz val="8"/>
      <color theme="4"/>
      <name val="Arial"/>
      <family val="2"/>
    </font>
    <font>
      <i/>
      <sz val="8"/>
      <color theme="4"/>
      <name val="Arial"/>
      <family val="2"/>
    </font>
    <font>
      <b/>
      <i/>
      <sz val="8"/>
      <color theme="4"/>
      <name val="Arial"/>
      <family val="2"/>
    </font>
    <font>
      <sz val="9"/>
      <color theme="4"/>
      <name val="Arial"/>
      <family val="2"/>
    </font>
    <font>
      <b/>
      <sz val="8"/>
      <color rgb="FF00B0F0"/>
      <name val="Arial"/>
      <family val="2"/>
      <charset val="186"/>
    </font>
    <font>
      <sz val="8"/>
      <color rgb="FF00B0F0"/>
      <name val="Arial"/>
      <family val="2"/>
      <charset val="186"/>
    </font>
    <font>
      <i/>
      <sz val="8"/>
      <color rgb="FF00B0F0"/>
      <name val="Arial"/>
      <family val="2"/>
      <charset val="186"/>
    </font>
    <font>
      <sz val="9"/>
      <color rgb="FF00B0F0"/>
      <name val="Arial"/>
      <family val="2"/>
      <charset val="186"/>
    </font>
    <font>
      <sz val="11"/>
      <color indexed="8"/>
      <name val="Calibri"/>
      <family val="2"/>
      <charset val="186"/>
      <scheme val="minor"/>
    </font>
    <font>
      <b/>
      <sz val="14"/>
      <color theme="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color indexed="8"/>
      <name val="Calibri"/>
      <family val="2"/>
      <charset val="186"/>
      <scheme val="minor"/>
    </font>
    <font>
      <b/>
      <sz val="10"/>
      <color indexed="8"/>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FF0000"/>
      <name val="Calibri"/>
      <family val="2"/>
      <charset val="186"/>
      <scheme val="minor"/>
    </font>
    <font>
      <sz val="10"/>
      <color rgb="FF7030A0"/>
      <name val="Calibri"/>
      <family val="2"/>
      <charset val="186"/>
      <scheme val="minor"/>
    </font>
    <font>
      <b/>
      <sz val="10"/>
      <color rgb="FFFF0000"/>
      <name val="Calibri"/>
      <family val="2"/>
      <charset val="186"/>
      <scheme val="minor"/>
    </font>
    <font>
      <b/>
      <sz val="10"/>
      <color theme="1"/>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
      <sz val="11"/>
      <color theme="5" tint="-0.499984740745262"/>
      <name val="Calibri"/>
      <family val="2"/>
      <charset val="186"/>
      <scheme val="minor"/>
    </font>
    <font>
      <b/>
      <sz val="11"/>
      <color theme="5" tint="-0.499984740745262"/>
      <name val="Calibri"/>
      <family val="2"/>
      <charset val="186"/>
      <scheme val="minor"/>
    </font>
    <font>
      <sz val="11"/>
      <color theme="4" tint="-0.249977111117893"/>
      <name val="Calibri"/>
      <family val="2"/>
      <charset val="186"/>
      <scheme val="minor"/>
    </font>
    <font>
      <b/>
      <sz val="11"/>
      <color theme="4" tint="-0.249977111117893"/>
      <name val="Calibri"/>
      <family val="2"/>
      <charset val="186"/>
      <scheme val="minor"/>
    </font>
    <font>
      <b/>
      <i/>
      <sz val="11"/>
      <color theme="4" tint="-0.249977111117893"/>
      <name val="Calibri"/>
      <family val="2"/>
      <charset val="186"/>
      <scheme val="minor"/>
    </font>
  </fonts>
  <fills count="85">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3" tint="0.59999389629810485"/>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indexed="42"/>
        <bgColor indexed="27"/>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CCFFCC"/>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rgb="FFCCFFCC"/>
        <bgColor rgb="FFCCFFCC"/>
      </patternFill>
    </fill>
    <fill>
      <patternFill patternType="solid">
        <fgColor indexed="55"/>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7" tint="0.79998168889431442"/>
        <bgColor rgb="FFCCFFCC"/>
      </patternFill>
    </fill>
    <fill>
      <patternFill patternType="solid">
        <fgColor theme="6" tint="0.79998168889431442"/>
        <bgColor indexed="64"/>
      </patternFill>
    </fill>
    <fill>
      <patternFill patternType="solid">
        <fgColor theme="6" tint="0.79995117038483843"/>
        <bgColor indexed="64"/>
      </patternFill>
    </fill>
    <fill>
      <patternFill patternType="solid">
        <fgColor rgb="FFBBF9C1"/>
        <bgColor indexed="64"/>
      </patternFill>
    </fill>
    <fill>
      <patternFill patternType="solid">
        <fgColor rgb="FFBBF7C1"/>
        <bgColor indexed="64"/>
      </patternFill>
    </fill>
    <fill>
      <patternFill patternType="solid">
        <fgColor theme="3" tint="0.79998168889431442"/>
        <bgColor indexed="64"/>
      </patternFill>
    </fill>
    <fill>
      <patternFill patternType="solid">
        <fgColor rgb="FFFF8B8B"/>
        <bgColor indexed="64"/>
      </patternFill>
    </fill>
    <fill>
      <patternFill patternType="solid">
        <fgColor rgb="FFFFF7E1"/>
        <bgColor indexed="64"/>
      </patternFill>
    </fill>
    <fill>
      <patternFill patternType="solid">
        <fgColor rgb="FF99FFCC"/>
        <bgColor indexed="64"/>
      </patternFill>
    </fill>
    <fill>
      <patternFill patternType="solid">
        <fgColor rgb="FFFFC1C1"/>
        <bgColor indexed="64"/>
      </patternFill>
    </fill>
    <fill>
      <patternFill patternType="solid">
        <fgColor rgb="FFFFCCCC"/>
        <bgColor indexed="64"/>
      </patternFill>
    </fill>
    <fill>
      <patternFill patternType="solid">
        <fgColor rgb="FF6CA644"/>
        <bgColor indexed="64"/>
      </patternFill>
    </fill>
    <fill>
      <patternFill patternType="solid">
        <fgColor rgb="FF0FE3F9"/>
        <bgColor indexed="64"/>
      </patternFill>
    </fill>
  </fills>
  <borders count="17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diagonal/>
    </border>
    <border>
      <left/>
      <right/>
      <top style="medium">
        <color indexed="64"/>
      </top>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style="medium">
        <color indexed="64"/>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style="thin">
        <color theme="0" tint="-0.499984740745262"/>
      </left>
      <right style="thin">
        <color theme="0" tint="-0.499984740745262"/>
      </right>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indexed="64"/>
      </top>
      <bottom style="thin">
        <color indexed="64"/>
      </bottom>
      <diagonal/>
    </border>
    <border>
      <left/>
      <right/>
      <top style="medium">
        <color indexed="64"/>
      </top>
      <bottom style="thin">
        <color theme="0" tint="-0.499984740745262"/>
      </bottom>
      <diagonal/>
    </border>
    <border>
      <left style="thin">
        <color theme="0" tint="-0.499984740745262"/>
      </left>
      <right/>
      <top style="thin">
        <color indexed="64"/>
      </top>
      <bottom style="double">
        <color indexed="64"/>
      </bottom>
      <diagonal/>
    </border>
    <border>
      <left style="thin">
        <color theme="0" tint="-0.499984740745262"/>
      </left>
      <right/>
      <top/>
      <bottom style="double">
        <color indexed="64"/>
      </bottom>
      <diagonal/>
    </border>
    <border>
      <left style="thin">
        <color auto="1"/>
      </left>
      <right style="thin">
        <color theme="0" tint="-0.499984740745262"/>
      </right>
      <top/>
      <bottom style="thin">
        <color indexed="64"/>
      </bottom>
      <diagonal/>
    </border>
    <border>
      <left style="thin">
        <color auto="1"/>
      </left>
      <right style="thin">
        <color theme="0" tint="-0.499984740745262"/>
      </right>
      <top style="thin">
        <color auto="1"/>
      </top>
      <bottom style="thin">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style="thin">
        <color theme="0" tint="-0.499984740745262"/>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style="medium">
        <color indexed="64"/>
      </left>
      <right style="thin">
        <color theme="0" tint="-0.499984740745262"/>
      </right>
      <top style="thin">
        <color theme="0" tint="-0.499984740745262"/>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59">
    <xf numFmtId="0" fontId="0" fillId="0" borderId="0"/>
    <xf numFmtId="43" fontId="67" fillId="0" borderId="0" applyFont="0" applyFill="0" applyBorder="0" applyAlignment="0" applyProtection="0"/>
    <xf numFmtId="9" fontId="67" fillId="0" borderId="0" applyFont="0" applyFill="0" applyBorder="0" applyAlignment="0" applyProtection="0"/>
    <xf numFmtId="0" fontId="60" fillId="0" borderId="0"/>
    <xf numFmtId="9" fontId="65" fillId="0" borderId="0" applyFont="0" applyFill="0" applyBorder="0" applyAlignment="0" applyProtection="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8" fillId="0" borderId="0" applyFont="0" applyFill="0" applyBorder="0" applyAlignment="0" applyProtection="0"/>
    <xf numFmtId="43" fontId="65" fillId="0" borderId="0" applyFont="0" applyFill="0" applyBorder="0" applyAlignment="0" applyProtection="0"/>
    <xf numFmtId="0" fontId="59" fillId="0" borderId="0"/>
    <xf numFmtId="9" fontId="68" fillId="0" borderId="0" applyFont="0" applyFill="0" applyBorder="0" applyAlignment="0" applyProtection="0"/>
    <xf numFmtId="43" fontId="65" fillId="0" borderId="0" applyFont="0" applyFill="0" applyBorder="0" applyAlignment="0" applyProtection="0"/>
    <xf numFmtId="0" fontId="65" fillId="0" borderId="0"/>
    <xf numFmtId="43" fontId="65" fillId="0" borderId="0" applyFont="0" applyFill="0" applyBorder="0" applyAlignment="0" applyProtection="0"/>
    <xf numFmtId="0" fontId="71" fillId="0" borderId="0"/>
    <xf numFmtId="43" fontId="67" fillId="0" borderId="0" applyFont="0" applyFill="0" applyBorder="0" applyAlignment="0" applyProtection="0"/>
    <xf numFmtId="43" fontId="65" fillId="0" borderId="0" applyFont="0" applyFill="0" applyBorder="0" applyAlignment="0" applyProtection="0"/>
    <xf numFmtId="166" fontId="67" fillId="0" borderId="0" applyFont="0" applyFill="0" applyBorder="0" applyAlignment="0" applyProtection="0"/>
    <xf numFmtId="43" fontId="65" fillId="0" borderId="0" applyFont="0" applyFill="0" applyBorder="0" applyAlignment="0" applyProtection="0"/>
    <xf numFmtId="43" fontId="106" fillId="0" borderId="0" applyFont="0" applyFill="0" applyBorder="0" applyAlignment="0" applyProtection="0"/>
    <xf numFmtId="43" fontId="59" fillId="0" borderId="0" applyFont="0" applyFill="0" applyBorder="0" applyAlignment="0" applyProtection="0"/>
    <xf numFmtId="43" fontId="65" fillId="0" borderId="0" applyFont="0" applyFill="0" applyBorder="0" applyAlignment="0" applyProtection="0"/>
    <xf numFmtId="0" fontId="59" fillId="0" borderId="0"/>
    <xf numFmtId="0" fontId="114" fillId="2" borderId="0" applyNumberFormat="0" applyBorder="0" applyAlignment="0" applyProtection="0"/>
    <xf numFmtId="0" fontId="68" fillId="0" borderId="0"/>
    <xf numFmtId="43"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0" fontId="58" fillId="0" borderId="0"/>
    <xf numFmtId="0" fontId="57" fillId="0" borderId="0"/>
    <xf numFmtId="9" fontId="57" fillId="0" borderId="0" applyFont="0" applyFill="0" applyBorder="0" applyAlignment="0" applyProtection="0"/>
    <xf numFmtId="0" fontId="57" fillId="0" borderId="0"/>
    <xf numFmtId="43" fontId="65" fillId="0" borderId="0" applyFont="0" applyFill="0" applyBorder="0" applyAlignment="0" applyProtection="0"/>
    <xf numFmtId="0" fontId="65" fillId="0" borderId="0"/>
    <xf numFmtId="0" fontId="65" fillId="0" borderId="0"/>
    <xf numFmtId="43" fontId="57" fillId="0" borderId="0" applyFont="0" applyFill="0" applyBorder="0" applyAlignment="0" applyProtection="0"/>
    <xf numFmtId="0" fontId="115" fillId="0" borderId="0"/>
    <xf numFmtId="0" fontId="121" fillId="0" borderId="0" applyNumberFormat="0" applyFill="0" applyBorder="0" applyAlignment="0" applyProtection="0"/>
    <xf numFmtId="0" fontId="68" fillId="0" borderId="0" applyNumberFormat="0" applyFill="0" applyBorder="0" applyAlignment="0" applyProtection="0"/>
    <xf numFmtId="0" fontId="56" fillId="0" borderId="0"/>
    <xf numFmtId="0" fontId="56" fillId="0" borderId="0"/>
    <xf numFmtId="0" fontId="65" fillId="0" borderId="0"/>
    <xf numFmtId="0" fontId="65" fillId="0" borderId="0"/>
    <xf numFmtId="0" fontId="68" fillId="0" borderId="0"/>
    <xf numFmtId="0" fontId="55" fillId="0" borderId="0"/>
    <xf numFmtId="43" fontId="55" fillId="0" borderId="0" applyFont="0" applyFill="0" applyBorder="0" applyAlignment="0" applyProtection="0"/>
    <xf numFmtId="43" fontId="67" fillId="0" borderId="0" applyFont="0" applyFill="0" applyBorder="0" applyAlignment="0" applyProtection="0"/>
    <xf numFmtId="0" fontId="68" fillId="0" borderId="0"/>
    <xf numFmtId="0" fontId="55" fillId="0" borderId="0"/>
    <xf numFmtId="0" fontId="133" fillId="0" borderId="0"/>
    <xf numFmtId="170" fontId="124" fillId="0" borderId="0"/>
    <xf numFmtId="0" fontId="54" fillId="0" borderId="0"/>
    <xf numFmtId="9" fontId="54" fillId="0" borderId="0" applyFont="0" applyFill="0" applyBorder="0" applyAlignment="0" applyProtection="0"/>
    <xf numFmtId="43" fontId="67" fillId="0" borderId="0" applyFont="0" applyFill="0" applyBorder="0" applyAlignment="0" applyProtection="0"/>
    <xf numFmtId="43" fontId="106" fillId="0" borderId="0" applyFont="0" applyFill="0" applyBorder="0" applyAlignment="0" applyProtection="0"/>
    <xf numFmtId="43" fontId="54" fillId="0" borderId="0" applyFont="0" applyFill="0" applyBorder="0" applyAlignment="0" applyProtection="0"/>
    <xf numFmtId="43" fontId="68" fillId="0" borderId="0" applyFont="0" applyFill="0" applyBorder="0" applyAlignment="0" applyProtection="0"/>
    <xf numFmtId="43" fontId="65" fillId="0" borderId="0" applyFont="0" applyFill="0" applyBorder="0" applyAlignment="0" applyProtection="0"/>
    <xf numFmtId="0" fontId="54" fillId="0" borderId="0"/>
    <xf numFmtId="43" fontId="54" fillId="0" borderId="0" applyFont="0" applyFill="0" applyBorder="0" applyAlignment="0" applyProtection="0"/>
    <xf numFmtId="0" fontId="53" fillId="0" borderId="0"/>
    <xf numFmtId="0" fontId="52" fillId="0" borderId="0"/>
    <xf numFmtId="0" fontId="51" fillId="0" borderId="0"/>
    <xf numFmtId="43" fontId="51" fillId="0" borderId="0" applyFont="0" applyFill="0" applyBorder="0" applyAlignment="0" applyProtection="0"/>
    <xf numFmtId="171" fontId="124" fillId="0" borderId="0" applyBorder="0" applyProtection="0"/>
    <xf numFmtId="172" fontId="124" fillId="0" borderId="0" applyBorder="0" applyProtection="0"/>
    <xf numFmtId="0" fontId="68" fillId="0" borderId="0"/>
    <xf numFmtId="0" fontId="50" fillId="0" borderId="0"/>
    <xf numFmtId="43" fontId="50" fillId="0" borderId="0" applyFont="0" applyFill="0" applyBorder="0" applyAlignment="0" applyProtection="0"/>
    <xf numFmtId="9" fontId="50" fillId="0" borderId="0" applyFont="0" applyFill="0" applyBorder="0" applyAlignment="0" applyProtection="0"/>
    <xf numFmtId="0" fontId="49" fillId="0" borderId="0"/>
    <xf numFmtId="43" fontId="49" fillId="0" borderId="0" applyFont="0" applyFill="0" applyBorder="0" applyAlignment="0" applyProtection="0"/>
    <xf numFmtId="0" fontId="145" fillId="0" borderId="0"/>
    <xf numFmtId="0" fontId="48" fillId="0" borderId="0"/>
    <xf numFmtId="43" fontId="48" fillId="0" borderId="0" applyFont="0" applyFill="0" applyBorder="0" applyAlignment="0" applyProtection="0"/>
    <xf numFmtId="165" fontId="48" fillId="0" borderId="0" applyFont="0" applyFill="0" applyBorder="0" applyAlignment="0" applyProtection="0"/>
    <xf numFmtId="9" fontId="48" fillId="0" borderId="0" applyFont="0" applyFill="0" applyBorder="0" applyAlignment="0" applyProtection="0"/>
    <xf numFmtId="43" fontId="67" fillId="0" borderId="0" applyFont="0" applyFill="0" applyBorder="0" applyAlignment="0" applyProtection="0"/>
    <xf numFmtId="0" fontId="47" fillId="0" borderId="0"/>
    <xf numFmtId="0" fontId="46" fillId="0" borderId="0"/>
    <xf numFmtId="0" fontId="45" fillId="0" borderId="0"/>
    <xf numFmtId="0" fontId="153" fillId="0" borderId="0" applyNumberFormat="0" applyProtection="0">
      <alignment vertical="top"/>
    </xf>
    <xf numFmtId="0" fontId="133" fillId="0" borderId="0"/>
    <xf numFmtId="43" fontId="45" fillId="0" borderId="0" applyFont="0" applyFill="0" applyBorder="0" applyAlignment="0" applyProtection="0"/>
    <xf numFmtId="0" fontId="45" fillId="0" borderId="0"/>
    <xf numFmtId="0" fontId="44" fillId="0" borderId="0"/>
    <xf numFmtId="0" fontId="43" fillId="0" borderId="0"/>
    <xf numFmtId="0" fontId="155" fillId="0" borderId="0" applyNumberFormat="0" applyFill="0" applyBorder="0" applyAlignment="0" applyProtection="0"/>
    <xf numFmtId="0" fontId="156" fillId="0" borderId="0"/>
    <xf numFmtId="0" fontId="42" fillId="0" borderId="0"/>
    <xf numFmtId="0" fontId="42" fillId="0" borderId="0"/>
    <xf numFmtId="9" fontId="68" fillId="0" borderId="0" applyFont="0" applyFill="0" applyBorder="0" applyAlignment="0" applyProtection="0"/>
    <xf numFmtId="0" fontId="41" fillId="0" borderId="0"/>
    <xf numFmtId="0" fontId="68" fillId="0" borderId="0"/>
    <xf numFmtId="43" fontId="68" fillId="0" borderId="0" applyFont="0" applyFill="0" applyBorder="0" applyAlignment="0" applyProtection="0"/>
    <xf numFmtId="43" fontId="41" fillId="0" borderId="0" applyFont="0" applyFill="0" applyBorder="0" applyAlignment="0" applyProtection="0"/>
    <xf numFmtId="0" fontId="67" fillId="0" borderId="0"/>
    <xf numFmtId="0" fontId="159" fillId="0" borderId="0" applyNumberFormat="0" applyFill="0" applyBorder="0" applyAlignment="0" applyProtection="0"/>
    <xf numFmtId="0" fontId="160" fillId="0" borderId="31" applyNumberFormat="0" applyFill="0" applyAlignment="0" applyProtection="0"/>
    <xf numFmtId="0" fontId="161" fillId="0" borderId="32" applyNumberFormat="0" applyFill="0" applyAlignment="0" applyProtection="0"/>
    <xf numFmtId="0" fontId="162" fillId="0" borderId="33" applyNumberFormat="0" applyFill="0" applyAlignment="0" applyProtection="0"/>
    <xf numFmtId="0" fontId="162" fillId="0" borderId="0" applyNumberFormat="0" applyFill="0" applyBorder="0" applyAlignment="0" applyProtection="0"/>
    <xf numFmtId="0" fontId="163" fillId="2" borderId="0" applyNumberFormat="0" applyBorder="0" applyAlignment="0" applyProtection="0"/>
    <xf numFmtId="0" fontId="164" fillId="37" borderId="0" applyNumberFormat="0" applyBorder="0" applyAlignment="0" applyProtection="0"/>
    <xf numFmtId="0" fontId="165" fillId="38" borderId="0" applyNumberFormat="0" applyBorder="0" applyAlignment="0" applyProtection="0"/>
    <xf numFmtId="0" fontId="166" fillId="39" borderId="34" applyNumberFormat="0" applyAlignment="0" applyProtection="0"/>
    <xf numFmtId="0" fontId="167" fillId="40" borderId="35" applyNumberFormat="0" applyAlignment="0" applyProtection="0"/>
    <xf numFmtId="0" fontId="168" fillId="40" borderId="34" applyNumberFormat="0" applyAlignment="0" applyProtection="0"/>
    <xf numFmtId="0" fontId="169" fillId="0" borderId="36" applyNumberFormat="0" applyFill="0" applyAlignment="0" applyProtection="0"/>
    <xf numFmtId="0" fontId="170" fillId="41" borderId="37" applyNumberFormat="0" applyAlignment="0" applyProtection="0"/>
    <xf numFmtId="0" fontId="61" fillId="0" borderId="0" applyNumberFormat="0" applyFill="0" applyBorder="0" applyAlignment="0" applyProtection="0"/>
    <xf numFmtId="0" fontId="171" fillId="0" borderId="0" applyNumberFormat="0" applyFill="0" applyBorder="0" applyAlignment="0" applyProtection="0"/>
    <xf numFmtId="0" fontId="118" fillId="0" borderId="39" applyNumberFormat="0" applyFill="0" applyAlignment="0" applyProtection="0"/>
    <xf numFmtId="0" fontId="172" fillId="43" borderId="0" applyNumberFormat="0" applyBorder="0" applyAlignment="0" applyProtection="0"/>
    <xf numFmtId="0" fontId="40" fillId="44" borderId="0" applyNumberFormat="0" applyBorder="0" applyAlignment="0" applyProtection="0"/>
    <xf numFmtId="0" fontId="40" fillId="45" borderId="0" applyNumberFormat="0" applyBorder="0" applyAlignment="0" applyProtection="0"/>
    <xf numFmtId="0" fontId="172" fillId="46" borderId="0" applyNumberFormat="0" applyBorder="0" applyAlignment="0" applyProtection="0"/>
    <xf numFmtId="0" fontId="172" fillId="47" borderId="0" applyNumberFormat="0" applyBorder="0" applyAlignment="0" applyProtection="0"/>
    <xf numFmtId="0" fontId="40" fillId="48" borderId="0" applyNumberFormat="0" applyBorder="0" applyAlignment="0" applyProtection="0"/>
    <xf numFmtId="0" fontId="40" fillId="49" borderId="0" applyNumberFormat="0" applyBorder="0" applyAlignment="0" applyProtection="0"/>
    <xf numFmtId="0" fontId="172" fillId="50" borderId="0" applyNumberFormat="0" applyBorder="0" applyAlignment="0" applyProtection="0"/>
    <xf numFmtId="0" fontId="172" fillId="51" borderId="0" applyNumberFormat="0" applyBorder="0" applyAlignment="0" applyProtection="0"/>
    <xf numFmtId="0" fontId="40" fillId="52" borderId="0" applyNumberFormat="0" applyBorder="0" applyAlignment="0" applyProtection="0"/>
    <xf numFmtId="0" fontId="40" fillId="53" borderId="0" applyNumberFormat="0" applyBorder="0" applyAlignment="0" applyProtection="0"/>
    <xf numFmtId="0" fontId="172" fillId="54" borderId="0" applyNumberFormat="0" applyBorder="0" applyAlignment="0" applyProtection="0"/>
    <xf numFmtId="0" fontId="172" fillId="55"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172" fillId="58" borderId="0" applyNumberFormat="0" applyBorder="0" applyAlignment="0" applyProtection="0"/>
    <xf numFmtId="0" fontId="172" fillId="59" borderId="0" applyNumberFormat="0" applyBorder="0" applyAlignment="0" applyProtection="0"/>
    <xf numFmtId="0" fontId="40" fillId="60" borderId="0" applyNumberFormat="0" applyBorder="0" applyAlignment="0" applyProtection="0"/>
    <xf numFmtId="0" fontId="40" fillId="61" borderId="0" applyNumberFormat="0" applyBorder="0" applyAlignment="0" applyProtection="0"/>
    <xf numFmtId="0" fontId="172" fillId="62" borderId="0" applyNumberFormat="0" applyBorder="0" applyAlignment="0" applyProtection="0"/>
    <xf numFmtId="0" fontId="172" fillId="63" borderId="0" applyNumberFormat="0" applyBorder="0" applyAlignment="0" applyProtection="0"/>
    <xf numFmtId="0" fontId="40" fillId="64" borderId="0" applyNumberFormat="0" applyBorder="0" applyAlignment="0" applyProtection="0"/>
    <xf numFmtId="0" fontId="40" fillId="65" borderId="0" applyNumberFormat="0" applyBorder="0" applyAlignment="0" applyProtection="0"/>
    <xf numFmtId="0" fontId="172" fillId="66" borderId="0" applyNumberFormat="0" applyBorder="0" applyAlignment="0" applyProtection="0"/>
    <xf numFmtId="0" fontId="40" fillId="0" borderId="0"/>
    <xf numFmtId="0" fontId="40" fillId="42" borderId="38" applyNumberFormat="0" applyFont="0" applyAlignment="0" applyProtection="0"/>
    <xf numFmtId="0" fontId="39" fillId="0" borderId="0"/>
    <xf numFmtId="43" fontId="39" fillId="0" borderId="0" applyFont="0" applyFill="0" applyBorder="0" applyAlignment="0" applyProtection="0"/>
    <xf numFmtId="43" fontId="156" fillId="0" borderId="0" applyFont="0" applyFill="0" applyBorder="0" applyAlignment="0" applyProtection="0"/>
    <xf numFmtId="0" fontId="38" fillId="0" borderId="0"/>
    <xf numFmtId="0" fontId="38" fillId="42" borderId="38" applyNumberFormat="0" applyFont="0" applyAlignment="0" applyProtection="0"/>
    <xf numFmtId="0" fontId="38" fillId="44"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88" fillId="0" borderId="0" pivotButton="1"/>
    <xf numFmtId="43" fontId="88" fillId="0" borderId="0" applyFont="0" applyFill="0" applyBorder="0" applyAlignment="0" applyProtection="0"/>
    <xf numFmtId="0" fontId="156" fillId="0" borderId="0"/>
    <xf numFmtId="0" fontId="152" fillId="0" borderId="0"/>
    <xf numFmtId="0" fontId="68" fillId="0" borderId="0"/>
    <xf numFmtId="43" fontId="68" fillId="0" borderId="0" applyFont="0" applyFill="0" applyBorder="0" applyAlignment="0" applyProtection="0"/>
    <xf numFmtId="0" fontId="37" fillId="0" borderId="0"/>
    <xf numFmtId="0" fontId="68" fillId="0" borderId="0" applyBorder="0"/>
    <xf numFmtId="0" fontId="37" fillId="0" borderId="0"/>
    <xf numFmtId="0" fontId="176" fillId="0" borderId="0"/>
    <xf numFmtId="0" fontId="67" fillId="0" borderId="0"/>
    <xf numFmtId="9" fontId="67" fillId="0" borderId="0" applyFont="0" applyFill="0" applyBorder="0" applyAlignment="0" applyProtection="0"/>
    <xf numFmtId="0" fontId="36" fillId="0" borderId="0"/>
    <xf numFmtId="0" fontId="187" fillId="0" borderId="0" applyNumberFormat="0" applyFill="0" applyBorder="0" applyAlignment="0" applyProtection="0"/>
    <xf numFmtId="0" fontId="35" fillId="0" borderId="0"/>
    <xf numFmtId="0" fontId="34" fillId="0" borderId="0"/>
    <xf numFmtId="0" fontId="196" fillId="38" borderId="0" applyNumberFormat="0" applyBorder="0" applyAlignment="0" applyProtection="0"/>
    <xf numFmtId="0" fontId="34" fillId="42" borderId="38" applyNumberFormat="0" applyFont="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2" borderId="0" applyNumberFormat="0" applyBorder="0" applyAlignment="0" applyProtection="0"/>
    <xf numFmtId="0" fontId="34" fillId="53" borderId="0" applyNumberFormat="0" applyBorder="0" applyAlignment="0" applyProtection="0"/>
    <xf numFmtId="0" fontId="34" fillId="54" borderId="0" applyNumberFormat="0" applyBorder="0" applyAlignment="0" applyProtection="0"/>
    <xf numFmtId="0" fontId="34" fillId="56" borderId="0" applyNumberFormat="0" applyBorder="0" applyAlignment="0" applyProtection="0"/>
    <xf numFmtId="0" fontId="34" fillId="57" borderId="0" applyNumberFormat="0" applyBorder="0" applyAlignment="0" applyProtection="0"/>
    <xf numFmtId="0" fontId="34" fillId="58" borderId="0" applyNumberFormat="0" applyBorder="0" applyAlignment="0" applyProtection="0"/>
    <xf numFmtId="0" fontId="34" fillId="60"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3" fillId="0" borderId="0"/>
    <xf numFmtId="0" fontId="199" fillId="0" borderId="0" applyNumberFormat="0" applyFill="0" applyBorder="0" applyAlignment="0" applyProtection="0">
      <alignment vertical="top"/>
      <protection locked="0"/>
    </xf>
    <xf numFmtId="0" fontId="32" fillId="0" borderId="0"/>
    <xf numFmtId="0" fontId="32" fillId="0" borderId="0"/>
    <xf numFmtId="0" fontId="31" fillId="0" borderId="0"/>
    <xf numFmtId="43" fontId="31" fillId="0" borderId="0" applyFont="0" applyFill="0" applyBorder="0" applyAlignment="0" applyProtection="0"/>
    <xf numFmtId="0" fontId="30" fillId="0" borderId="0"/>
    <xf numFmtId="0" fontId="30" fillId="0" borderId="0"/>
    <xf numFmtId="0" fontId="200" fillId="0" borderId="0">
      <alignment horizontal="left" wrapText="1"/>
    </xf>
    <xf numFmtId="0" fontId="210" fillId="0" borderId="0">
      <alignment horizontal="right"/>
    </xf>
    <xf numFmtId="0" fontId="157" fillId="0" borderId="0">
      <alignment horizontal="left" wrapText="1"/>
    </xf>
    <xf numFmtId="0" fontId="211" fillId="0" borderId="0">
      <alignment vertical="top" wrapText="1"/>
    </xf>
    <xf numFmtId="0" fontId="188" fillId="0" borderId="0">
      <alignment horizontal="right" indent="1"/>
    </xf>
    <xf numFmtId="14" fontId="157" fillId="0" borderId="0" applyFont="0" applyFill="0" applyBorder="0" applyAlignment="0" applyProtection="0">
      <alignment horizontal="left"/>
    </xf>
    <xf numFmtId="175" fontId="157" fillId="0" borderId="0" applyFont="0" applyFill="0" applyBorder="0" applyProtection="0">
      <alignment horizontal="left" vertical="top" wrapText="1"/>
    </xf>
    <xf numFmtId="0" fontId="188" fillId="0" borderId="0">
      <alignment horizontal="left" vertical="top"/>
    </xf>
    <xf numFmtId="0" fontId="212" fillId="0" borderId="0">
      <alignment horizontal="right" indent="1"/>
    </xf>
    <xf numFmtId="0" fontId="157" fillId="0" borderId="0">
      <alignment horizontal="left" vertical="top" wrapText="1"/>
    </xf>
    <xf numFmtId="176" fontId="157" fillId="0" borderId="0" applyFont="0" applyFill="0" applyBorder="0" applyProtection="0">
      <alignment horizontal="right"/>
    </xf>
    <xf numFmtId="0" fontId="188" fillId="0" borderId="0">
      <alignment horizontal="center" wrapText="1"/>
    </xf>
    <xf numFmtId="0" fontId="29" fillId="0" borderId="0"/>
    <xf numFmtId="43" fontId="29" fillId="0" borderId="0" applyFont="0" applyFill="0" applyBorder="0" applyAlignment="0" applyProtection="0"/>
    <xf numFmtId="0" fontId="28" fillId="0" borderId="0"/>
    <xf numFmtId="0" fontId="196" fillId="38" borderId="0" applyNumberFormat="0" applyBorder="0" applyAlignment="0" applyProtection="0"/>
    <xf numFmtId="0" fontId="28" fillId="42" borderId="38" applyNumberFormat="0" applyFont="0" applyAlignment="0" applyProtection="0"/>
    <xf numFmtId="0" fontId="28" fillId="44"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8" fillId="60"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8" fillId="64" borderId="0" applyNumberFormat="0" applyBorder="0" applyAlignment="0" applyProtection="0"/>
    <xf numFmtId="0" fontId="28" fillId="65" borderId="0" applyNumberFormat="0" applyBorder="0" applyAlignment="0" applyProtection="0"/>
    <xf numFmtId="0" fontId="28" fillId="66" borderId="0" applyNumberFormat="0" applyBorder="0" applyAlignment="0" applyProtection="0"/>
    <xf numFmtId="0" fontId="27" fillId="0" borderId="0"/>
    <xf numFmtId="0" fontId="27" fillId="0" borderId="0"/>
    <xf numFmtId="0" fontId="27" fillId="0" borderId="0"/>
    <xf numFmtId="181" fontId="67" fillId="0" borderId="0" applyFont="0" applyFill="0" applyBorder="0" applyAlignment="0" applyProtection="0"/>
    <xf numFmtId="0" fontId="26" fillId="0" borderId="0"/>
    <xf numFmtId="0" fontId="25" fillId="0" borderId="0"/>
    <xf numFmtId="0" fontId="24" fillId="0" borderId="0"/>
    <xf numFmtId="0" fontId="23" fillId="0" borderId="0"/>
    <xf numFmtId="0" fontId="22" fillId="0" borderId="0"/>
    <xf numFmtId="0" fontId="21" fillId="0" borderId="0"/>
    <xf numFmtId="43" fontId="21" fillId="0" borderId="0" applyFont="0" applyFill="0" applyBorder="0" applyAlignment="0" applyProtection="0"/>
    <xf numFmtId="0" fontId="20" fillId="0" borderId="0"/>
    <xf numFmtId="43" fontId="20" fillId="0" borderId="0" applyFont="0" applyFill="0" applyBorder="0" applyAlignment="0" applyProtection="0"/>
    <xf numFmtId="0" fontId="19" fillId="0" borderId="0"/>
    <xf numFmtId="0" fontId="19" fillId="42" borderId="38" applyNumberFormat="0" applyFont="0" applyAlignment="0" applyProtection="0"/>
    <xf numFmtId="0" fontId="19" fillId="44"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8"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2" borderId="0" applyNumberFormat="0" applyBorder="0" applyAlignment="0" applyProtection="0"/>
    <xf numFmtId="0" fontId="19" fillId="53" borderId="0" applyNumberFormat="0" applyBorder="0" applyAlignment="0" applyProtection="0"/>
    <xf numFmtId="0" fontId="19" fillId="54" borderId="0" applyNumberFormat="0" applyBorder="0" applyAlignment="0" applyProtection="0"/>
    <xf numFmtId="0" fontId="19" fillId="56" borderId="0" applyNumberFormat="0" applyBorder="0" applyAlignment="0" applyProtection="0"/>
    <xf numFmtId="0" fontId="19" fillId="57" borderId="0" applyNumberFormat="0" applyBorder="0" applyAlignment="0" applyProtection="0"/>
    <xf numFmtId="0" fontId="19" fillId="58" borderId="0" applyNumberFormat="0" applyBorder="0" applyAlignment="0" applyProtection="0"/>
    <xf numFmtId="0" fontId="19" fillId="60"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237" fillId="0" borderId="0"/>
    <xf numFmtId="43" fontId="156" fillId="0" borderId="0" applyFont="0" applyFill="0" applyBorder="0" applyAlignment="0" applyProtection="0"/>
    <xf numFmtId="0" fontId="67" fillId="0" borderId="0"/>
    <xf numFmtId="43" fontId="67" fillId="0" borderId="0" applyFont="0" applyFill="0" applyBorder="0" applyAlignment="0" applyProtection="0"/>
    <xf numFmtId="0" fontId="18" fillId="0" borderId="0"/>
    <xf numFmtId="0" fontId="17" fillId="0" borderId="0"/>
    <xf numFmtId="0" fontId="16" fillId="0" borderId="0"/>
    <xf numFmtId="0" fontId="16" fillId="0" borderId="0"/>
    <xf numFmtId="43" fontId="16" fillId="0" borderId="0" applyFont="0" applyFill="0" applyBorder="0" applyAlignment="0" applyProtection="0"/>
    <xf numFmtId="9" fontId="16" fillId="0" borderId="0" applyFont="0" applyFill="0" applyBorder="0" applyAlignment="0" applyProtection="0"/>
    <xf numFmtId="43" fontId="67" fillId="0" borderId="0" applyFont="0" applyFill="0" applyBorder="0" applyAlignment="0" applyProtection="0"/>
    <xf numFmtId="182" fontId="179" fillId="0" borderId="0" applyFont="0" applyFill="0" applyBorder="0" applyAlignment="0" applyProtection="0"/>
    <xf numFmtId="0" fontId="15" fillId="0" borderId="0"/>
    <xf numFmtId="0" fontId="237" fillId="0" borderId="0"/>
    <xf numFmtId="0" fontId="152" fillId="0" borderId="0"/>
    <xf numFmtId="43" fontId="152" fillId="0" borderId="0" applyFont="0" applyFill="0" applyBorder="0" applyAlignment="0" applyProtection="0"/>
    <xf numFmtId="0" fontId="14" fillId="0" borderId="0"/>
    <xf numFmtId="0" fontId="13" fillId="0" borderId="0"/>
    <xf numFmtId="0" fontId="13" fillId="42" borderId="38" applyNumberFormat="0" applyFont="0" applyAlignment="0" applyProtection="0"/>
    <xf numFmtId="0" fontId="13" fillId="44"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3" fillId="64"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2" fillId="0" borderId="0"/>
    <xf numFmtId="0" fontId="12" fillId="42" borderId="38" applyNumberFormat="0" applyFont="0" applyAlignment="0" applyProtection="0"/>
    <xf numFmtId="0" fontId="12" fillId="44"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60"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4" borderId="0" applyNumberFormat="0" applyBorder="0" applyAlignment="0" applyProtection="0"/>
    <xf numFmtId="0" fontId="12" fillId="65" borderId="0" applyNumberFormat="0" applyBorder="0" applyAlignment="0" applyProtection="0"/>
    <xf numFmtId="0" fontId="12" fillId="66" borderId="0" applyNumberFormat="0" applyBorder="0" applyAlignment="0" applyProtection="0"/>
    <xf numFmtId="0" fontId="11" fillId="0" borderId="0"/>
    <xf numFmtId="43" fontId="11" fillId="0" borderId="0" applyFont="0" applyFill="0" applyBorder="0" applyAlignment="0" applyProtection="0"/>
    <xf numFmtId="0" fontId="10" fillId="0" borderId="0"/>
    <xf numFmtId="0" fontId="10" fillId="0" borderId="0"/>
    <xf numFmtId="0" fontId="10" fillId="0" borderId="0"/>
    <xf numFmtId="0" fontId="121" fillId="0" borderId="0" applyNumberFormat="0" applyFill="0" applyBorder="0" applyAlignment="0" applyProtection="0"/>
    <xf numFmtId="0" fontId="264" fillId="0" borderId="0" applyNumberFormat="0" applyFill="0" applyBorder="0" applyAlignment="0" applyProtection="0"/>
    <xf numFmtId="184" fontId="67" fillId="0" borderId="0" applyFont="0" applyFill="0" applyBorder="0" applyAlignment="0" applyProtection="0"/>
    <xf numFmtId="0" fontId="267" fillId="0" borderId="0"/>
    <xf numFmtId="0" fontId="9" fillId="0" borderId="0"/>
    <xf numFmtId="0" fontId="244" fillId="0" borderId="0"/>
    <xf numFmtId="170" fontId="179" fillId="0" borderId="0" applyBorder="0" applyProtection="0"/>
    <xf numFmtId="0" fontId="8" fillId="0" borderId="0"/>
    <xf numFmtId="0" fontId="7" fillId="0" borderId="0"/>
    <xf numFmtId="0" fontId="7" fillId="0" borderId="0"/>
    <xf numFmtId="0" fontId="6" fillId="0" borderId="0"/>
    <xf numFmtId="0" fontId="6" fillId="0" borderId="0"/>
    <xf numFmtId="43" fontId="6" fillId="0" borderId="0" applyFont="0" applyFill="0" applyBorder="0" applyAlignment="0" applyProtection="0"/>
    <xf numFmtId="184" fontId="67" fillId="0" borderId="0" applyFont="0" applyFill="0" applyBorder="0" applyAlignment="0" applyProtection="0"/>
    <xf numFmtId="184" fontId="106" fillId="0" borderId="0" applyFont="0" applyFill="0" applyBorder="0" applyAlignment="0" applyProtection="0"/>
    <xf numFmtId="43" fontId="68" fillId="0" borderId="0" quotePrefix="1" applyFont="0" applyFill="0" applyBorder="0" applyAlignment="0">
      <protection locked="0"/>
    </xf>
    <xf numFmtId="0" fontId="5" fillId="0" borderId="0"/>
    <xf numFmtId="0" fontId="5" fillId="0" borderId="0"/>
    <xf numFmtId="43" fontId="4"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99" fillId="0" borderId="0" applyNumberFormat="0" applyFill="0" applyBorder="0" applyAlignment="0" applyProtection="0">
      <alignment vertical="top"/>
      <protection locked="0"/>
    </xf>
    <xf numFmtId="0" fontId="1" fillId="0" borderId="0"/>
    <xf numFmtId="43" fontId="68" fillId="0" borderId="0" applyFill="0" applyBorder="0" applyAlignment="0" applyProtection="0"/>
  </cellStyleXfs>
  <cellXfs count="3556">
    <xf numFmtId="0" fontId="0" fillId="0" borderId="0" xfId="0"/>
    <xf numFmtId="3" fontId="64" fillId="4" borderId="9" xfId="3" applyNumberFormat="1" applyFont="1" applyFill="1" applyBorder="1"/>
    <xf numFmtId="0" fontId="70" fillId="0" borderId="3" xfId="7" applyFont="1" applyBorder="1" applyAlignment="1">
      <alignment horizontal="center" vertical="center" wrapText="1"/>
    </xf>
    <xf numFmtId="0" fontId="83" fillId="0" borderId="0" xfId="0" applyFont="1"/>
    <xf numFmtId="0" fontId="92" fillId="0" borderId="0" xfId="0" applyFont="1"/>
    <xf numFmtId="0" fontId="93" fillId="10" borderId="0" xfId="0" applyFont="1" applyFill="1"/>
    <xf numFmtId="167" fontId="93" fillId="10" borderId="0" xfId="1" applyNumberFormat="1" applyFont="1" applyFill="1" applyBorder="1" applyProtection="1">
      <protection locked="0"/>
    </xf>
    <xf numFmtId="0" fontId="93" fillId="0" borderId="0" xfId="0" applyFont="1"/>
    <xf numFmtId="0" fontId="0" fillId="6" borderId="0" xfId="0" applyFill="1"/>
    <xf numFmtId="0" fontId="111" fillId="0" borderId="0" xfId="0" applyFont="1"/>
    <xf numFmtId="0" fontId="75" fillId="0" borderId="0" xfId="0" applyFont="1"/>
    <xf numFmtId="0" fontId="96" fillId="10" borderId="0" xfId="0" applyFont="1" applyFill="1"/>
    <xf numFmtId="0" fontId="0" fillId="0" borderId="0" xfId="0" applyAlignment="1">
      <alignment wrapText="1"/>
    </xf>
    <xf numFmtId="167" fontId="0" fillId="0" borderId="0" xfId="1" applyNumberFormat="1" applyFont="1"/>
    <xf numFmtId="0" fontId="113" fillId="0" borderId="0" xfId="0" applyFont="1"/>
    <xf numFmtId="0" fontId="74" fillId="0" borderId="0" xfId="0" applyFont="1"/>
    <xf numFmtId="0" fontId="116" fillId="0" borderId="0" xfId="0" applyFont="1"/>
    <xf numFmtId="0" fontId="86" fillId="0" borderId="0" xfId="0" applyFont="1"/>
    <xf numFmtId="167" fontId="0" fillId="0" borderId="0" xfId="0" applyNumberFormat="1"/>
    <xf numFmtId="167" fontId="92" fillId="0" borderId="0" xfId="0" applyNumberFormat="1" applyFont="1"/>
    <xf numFmtId="0" fontId="66" fillId="0" borderId="1" xfId="43" applyFont="1" applyBorder="1" applyAlignment="1">
      <alignment horizontal="center" vertical="center"/>
    </xf>
    <xf numFmtId="0" fontId="66" fillId="0" borderId="2" xfId="43" applyFont="1" applyBorder="1" applyAlignment="1">
      <alignment horizontal="center" vertical="center" wrapText="1"/>
    </xf>
    <xf numFmtId="0" fontId="66" fillId="4" borderId="5" xfId="43" applyFont="1" applyFill="1" applyBorder="1" applyAlignment="1">
      <alignment wrapText="1"/>
    </xf>
    <xf numFmtId="3" fontId="66" fillId="4" borderId="6" xfId="43" applyNumberFormat="1" applyFont="1" applyFill="1" applyBorder="1"/>
    <xf numFmtId="0" fontId="66" fillId="5" borderId="5" xfId="43" applyFont="1" applyFill="1" applyBorder="1" applyAlignment="1">
      <alignment wrapText="1"/>
    </xf>
    <xf numFmtId="3" fontId="66" fillId="5" borderId="6" xfId="43" applyNumberFormat="1" applyFont="1" applyFill="1" applyBorder="1"/>
    <xf numFmtId="0" fontId="62" fillId="0" borderId="8" xfId="43" applyFont="1" applyBorder="1" applyAlignment="1">
      <alignment horizontal="left" wrapText="1" indent="2"/>
    </xf>
    <xf numFmtId="3" fontId="62" fillId="0" borderId="9" xfId="43" applyNumberFormat="1" applyFont="1" applyBorder="1"/>
    <xf numFmtId="0" fontId="66" fillId="5" borderId="8" xfId="43" applyFont="1" applyFill="1" applyBorder="1" applyAlignment="1">
      <alignment wrapText="1"/>
    </xf>
    <xf numFmtId="3" fontId="66" fillId="5" borderId="9" xfId="43" applyNumberFormat="1" applyFont="1" applyFill="1" applyBorder="1"/>
    <xf numFmtId="3" fontId="70" fillId="5" borderId="9" xfId="43" applyNumberFormat="1" applyFont="1" applyFill="1" applyBorder="1"/>
    <xf numFmtId="3" fontId="62" fillId="0" borderId="10" xfId="43" applyNumberFormat="1" applyFont="1" applyBorder="1"/>
    <xf numFmtId="0" fontId="62" fillId="4" borderId="8" xfId="43" applyFont="1" applyFill="1" applyBorder="1" applyAlignment="1">
      <alignment horizontal="left" wrapText="1" indent="2"/>
    </xf>
    <xf numFmtId="3" fontId="62" fillId="4" borderId="9" xfId="43" applyNumberFormat="1" applyFont="1" applyFill="1" applyBorder="1"/>
    <xf numFmtId="0" fontId="66" fillId="0" borderId="12" xfId="43" applyFont="1" applyBorder="1" applyAlignment="1">
      <alignment horizontal="right" wrapText="1"/>
    </xf>
    <xf numFmtId="49" fontId="62" fillId="0" borderId="8" xfId="43" applyNumberFormat="1" applyFont="1" applyBorder="1" applyAlignment="1">
      <alignment horizontal="left" wrapText="1" indent="4"/>
    </xf>
    <xf numFmtId="49" fontId="66" fillId="5" borderId="15" xfId="43" applyNumberFormat="1" applyFont="1" applyFill="1" applyBorder="1" applyAlignment="1">
      <alignment wrapText="1"/>
    </xf>
    <xf numFmtId="3" fontId="66" fillId="5" borderId="16" xfId="43" applyNumberFormat="1" applyFont="1" applyFill="1" applyBorder="1"/>
    <xf numFmtId="49" fontId="62" fillId="4" borderId="7" xfId="43" applyNumberFormat="1" applyFont="1" applyFill="1" applyBorder="1" applyAlignment="1">
      <alignment horizontal="left" indent="1"/>
    </xf>
    <xf numFmtId="49" fontId="62" fillId="4" borderId="8" xfId="43" applyNumberFormat="1" applyFont="1" applyFill="1" applyBorder="1" applyAlignment="1">
      <alignment horizontal="left" wrapText="1" indent="2"/>
    </xf>
    <xf numFmtId="49" fontId="66" fillId="5" borderId="7" xfId="43" applyNumberFormat="1" applyFont="1" applyFill="1" applyBorder="1"/>
    <xf numFmtId="49" fontId="66" fillId="5" borderId="8" xfId="43" applyNumberFormat="1" applyFont="1" applyFill="1" applyBorder="1" applyAlignment="1">
      <alignment wrapText="1"/>
    </xf>
    <xf numFmtId="49" fontId="66" fillId="4" borderId="8" xfId="43" applyNumberFormat="1" applyFont="1" applyFill="1" applyBorder="1" applyAlignment="1">
      <alignment horizontal="left" wrapText="1" indent="2"/>
    </xf>
    <xf numFmtId="3" fontId="66" fillId="4" borderId="9" xfId="43" applyNumberFormat="1" applyFont="1" applyFill="1" applyBorder="1"/>
    <xf numFmtId="49" fontId="62" fillId="0" borderId="7" xfId="43" applyNumberFormat="1" applyFont="1" applyBorder="1" applyAlignment="1">
      <alignment horizontal="left" indent="2"/>
    </xf>
    <xf numFmtId="3" fontId="74" fillId="4" borderId="9" xfId="43" applyNumberFormat="1" applyFont="1" applyFill="1" applyBorder="1"/>
    <xf numFmtId="49" fontId="62" fillId="7" borderId="8" xfId="43" applyNumberFormat="1" applyFont="1" applyFill="1" applyBorder="1" applyAlignment="1">
      <alignment horizontal="left" wrapText="1" indent="4"/>
    </xf>
    <xf numFmtId="3" fontId="66" fillId="0" borderId="0" xfId="43" applyNumberFormat="1" applyFont="1"/>
    <xf numFmtId="3" fontId="62" fillId="6" borderId="9" xfId="43" applyNumberFormat="1" applyFont="1" applyFill="1" applyBorder="1"/>
    <xf numFmtId="0" fontId="67" fillId="0" borderId="0" xfId="0" applyFont="1"/>
    <xf numFmtId="0" fontId="96" fillId="10" borderId="0" xfId="0" applyFont="1" applyFill="1" applyAlignment="1">
      <alignment wrapText="1"/>
    </xf>
    <xf numFmtId="0" fontId="91" fillId="0" borderId="0" xfId="0" applyFont="1"/>
    <xf numFmtId="0" fontId="93" fillId="10" borderId="0" xfId="0" applyFont="1" applyFill="1" applyAlignment="1">
      <alignment wrapText="1"/>
    </xf>
    <xf numFmtId="0" fontId="86" fillId="0" borderId="0" xfId="0" applyFont="1" applyAlignment="1">
      <alignment wrapText="1"/>
    </xf>
    <xf numFmtId="9" fontId="0" fillId="0" borderId="0" xfId="2" applyFont="1"/>
    <xf numFmtId="0" fontId="0" fillId="0" borderId="0" xfId="0" applyAlignment="1">
      <alignment horizontal="right"/>
    </xf>
    <xf numFmtId="0" fontId="130" fillId="0" borderId="0" xfId="0" applyFont="1"/>
    <xf numFmtId="0" fontId="104" fillId="0" borderId="0" xfId="0" applyFont="1"/>
    <xf numFmtId="49" fontId="62" fillId="6" borderId="7" xfId="43" applyNumberFormat="1" applyFont="1" applyFill="1" applyBorder="1" applyAlignment="1">
      <alignment horizontal="left" indent="1"/>
    </xf>
    <xf numFmtId="49" fontId="62" fillId="6" borderId="8" xfId="43" applyNumberFormat="1" applyFont="1" applyFill="1" applyBorder="1" applyAlignment="1">
      <alignment horizontal="right" wrapText="1" indent="2"/>
    </xf>
    <xf numFmtId="3" fontId="74" fillId="6" borderId="9" xfId="43" applyNumberFormat="1" applyFont="1" applyFill="1" applyBorder="1"/>
    <xf numFmtId="49" fontId="72" fillId="6" borderId="7" xfId="43" applyNumberFormat="1" applyFont="1" applyFill="1" applyBorder="1" applyAlignment="1">
      <alignment horizontal="left" indent="1"/>
    </xf>
    <xf numFmtId="49" fontId="72" fillId="6" borderId="8" xfId="43" applyNumberFormat="1" applyFont="1" applyFill="1" applyBorder="1" applyAlignment="1">
      <alignment horizontal="right" wrapText="1" indent="2"/>
    </xf>
    <xf numFmtId="0" fontId="97" fillId="0" borderId="0" xfId="0" applyFont="1"/>
    <xf numFmtId="49" fontId="62" fillId="6" borderId="26" xfId="43" applyNumberFormat="1" applyFont="1" applyFill="1" applyBorder="1" applyAlignment="1">
      <alignment horizontal="left" indent="1"/>
    </xf>
    <xf numFmtId="49" fontId="62" fillId="6" borderId="27" xfId="43" applyNumberFormat="1" applyFont="1" applyFill="1" applyBorder="1" applyAlignment="1">
      <alignment horizontal="right" wrapText="1" indent="2"/>
    </xf>
    <xf numFmtId="0" fontId="138" fillId="6" borderId="0" xfId="0" applyFont="1" applyFill="1"/>
    <xf numFmtId="167" fontId="62" fillId="4" borderId="9" xfId="1" applyNumberFormat="1" applyFont="1" applyFill="1" applyBorder="1"/>
    <xf numFmtId="167" fontId="62" fillId="6" borderId="9" xfId="1" applyNumberFormat="1" applyFont="1" applyFill="1" applyBorder="1"/>
    <xf numFmtId="0" fontId="113" fillId="0" borderId="0" xfId="0" applyFont="1" applyAlignment="1">
      <alignment wrapText="1"/>
    </xf>
    <xf numFmtId="3" fontId="140" fillId="4" borderId="9" xfId="43" applyNumberFormat="1" applyFont="1" applyFill="1" applyBorder="1"/>
    <xf numFmtId="0" fontId="138" fillId="0" borderId="0" xfId="0" applyFont="1"/>
    <xf numFmtId="3" fontId="0" fillId="0" borderId="0" xfId="0" applyNumberFormat="1"/>
    <xf numFmtId="3" fontId="74" fillId="0" borderId="9" xfId="43" applyNumberFormat="1" applyFont="1" applyBorder="1"/>
    <xf numFmtId="3" fontId="66" fillId="0" borderId="13" xfId="43" applyNumberFormat="1" applyFont="1" applyBorder="1"/>
    <xf numFmtId="0" fontId="96" fillId="21" borderId="0" xfId="0" applyFont="1" applyFill="1"/>
    <xf numFmtId="0" fontId="149" fillId="0" borderId="0" xfId="0" applyFont="1"/>
    <xf numFmtId="0" fontId="150" fillId="0" borderId="0" xfId="0" applyFont="1"/>
    <xf numFmtId="0" fontId="116" fillId="0" borderId="0" xfId="0" applyFont="1" applyAlignment="1">
      <alignment horizontal="left"/>
    </xf>
    <xf numFmtId="0" fontId="152" fillId="0" borderId="0" xfId="0" applyFont="1"/>
    <xf numFmtId="3" fontId="74" fillId="6" borderId="28" xfId="43" applyNumberFormat="1" applyFont="1" applyFill="1" applyBorder="1"/>
    <xf numFmtId="0" fontId="0" fillId="0" borderId="0" xfId="0" pivotButton="1"/>
    <xf numFmtId="0" fontId="0" fillId="0" borderId="0" xfId="0" applyAlignment="1">
      <alignment horizontal="left"/>
    </xf>
    <xf numFmtId="0" fontId="66" fillId="0" borderId="3" xfId="7" applyFont="1" applyBorder="1" applyAlignment="1">
      <alignment horizontal="center" vertical="center" wrapText="1"/>
    </xf>
    <xf numFmtId="167" fontId="62" fillId="0" borderId="9" xfId="5" applyNumberFormat="1" applyFont="1" applyFill="1" applyBorder="1"/>
    <xf numFmtId="3" fontId="70" fillId="5" borderId="9" xfId="3" applyNumberFormat="1" applyFont="1" applyFill="1" applyBorder="1"/>
    <xf numFmtId="3" fontId="66" fillId="5" borderId="9" xfId="3" applyNumberFormat="1" applyFont="1" applyFill="1" applyBorder="1"/>
    <xf numFmtId="3" fontId="64" fillId="6" borderId="9" xfId="3" applyNumberFormat="1" applyFont="1" applyFill="1" applyBorder="1"/>
    <xf numFmtId="0" fontId="158" fillId="0" borderId="0" xfId="0" applyFont="1"/>
    <xf numFmtId="3" fontId="70" fillId="4" borderId="9" xfId="3" applyNumberFormat="1" applyFont="1" applyFill="1" applyBorder="1"/>
    <xf numFmtId="3" fontId="72" fillId="6" borderId="9" xfId="3" applyNumberFormat="1" applyFont="1" applyFill="1" applyBorder="1"/>
    <xf numFmtId="3" fontId="62" fillId="4" borderId="9" xfId="3" applyNumberFormat="1" applyFont="1" applyFill="1" applyBorder="1"/>
    <xf numFmtId="3" fontId="62" fillId="6" borderId="9" xfId="3" applyNumberFormat="1" applyFont="1" applyFill="1" applyBorder="1"/>
    <xf numFmtId="0" fontId="91" fillId="0" borderId="0" xfId="0" applyFont="1" applyAlignment="1">
      <alignment wrapText="1"/>
    </xf>
    <xf numFmtId="3" fontId="174" fillId="6" borderId="9" xfId="43" applyNumberFormat="1" applyFont="1" applyFill="1" applyBorder="1"/>
    <xf numFmtId="0" fontId="132" fillId="0" borderId="0" xfId="0" applyFont="1"/>
    <xf numFmtId="3" fontId="70" fillId="5" borderId="16" xfId="3" applyNumberFormat="1" applyFont="1" applyFill="1" applyBorder="1"/>
    <xf numFmtId="3" fontId="62" fillId="0" borderId="43" xfId="43" applyNumberFormat="1" applyFont="1" applyBorder="1"/>
    <xf numFmtId="49" fontId="62" fillId="6" borderId="41" xfId="43" applyNumberFormat="1" applyFont="1" applyFill="1" applyBorder="1" applyAlignment="1">
      <alignment horizontal="right" wrapText="1" indent="2"/>
    </xf>
    <xf numFmtId="49" fontId="147" fillId="6" borderId="7" xfId="43" applyNumberFormat="1" applyFont="1" applyFill="1" applyBorder="1" applyAlignment="1">
      <alignment horizontal="left" indent="1"/>
    </xf>
    <xf numFmtId="3" fontId="147" fillId="6" borderId="9" xfId="43" applyNumberFormat="1" applyFont="1" applyFill="1" applyBorder="1"/>
    <xf numFmtId="49" fontId="147" fillId="6" borderId="26" xfId="43" applyNumberFormat="1" applyFont="1" applyFill="1" applyBorder="1" applyAlignment="1">
      <alignment horizontal="left" indent="1"/>
    </xf>
    <xf numFmtId="3" fontId="177" fillId="6" borderId="9" xfId="43" applyNumberFormat="1" applyFont="1" applyFill="1" applyBorder="1"/>
    <xf numFmtId="0" fontId="122" fillId="6" borderId="0" xfId="0" applyFont="1" applyFill="1"/>
    <xf numFmtId="0" fontId="173" fillId="6" borderId="0" xfId="0" applyFont="1" applyFill="1"/>
    <xf numFmtId="49" fontId="147" fillId="6" borderId="42" xfId="43" applyNumberFormat="1" applyFont="1" applyFill="1" applyBorder="1" applyAlignment="1">
      <alignment horizontal="left" indent="1"/>
    </xf>
    <xf numFmtId="49" fontId="147" fillId="6" borderId="41" xfId="43" applyNumberFormat="1" applyFont="1" applyFill="1" applyBorder="1" applyAlignment="1">
      <alignment horizontal="right" wrapText="1" indent="2"/>
    </xf>
    <xf numFmtId="3" fontId="147" fillId="6" borderId="43" xfId="3" applyNumberFormat="1" applyFont="1" applyFill="1" applyBorder="1"/>
    <xf numFmtId="49" fontId="139" fillId="6" borderId="7" xfId="43" applyNumberFormat="1" applyFont="1" applyFill="1" applyBorder="1" applyAlignment="1">
      <alignment horizontal="left" indent="1"/>
    </xf>
    <xf numFmtId="49" fontId="139" fillId="6" borderId="8" xfId="43" applyNumberFormat="1" applyFont="1" applyFill="1" applyBorder="1" applyAlignment="1">
      <alignment horizontal="right" wrapText="1" indent="2"/>
    </xf>
    <xf numFmtId="3" fontId="139" fillId="6" borderId="9" xfId="3" applyNumberFormat="1" applyFont="1" applyFill="1" applyBorder="1"/>
    <xf numFmtId="3" fontId="139" fillId="6" borderId="9" xfId="43" applyNumberFormat="1" applyFont="1" applyFill="1" applyBorder="1"/>
    <xf numFmtId="0" fontId="131" fillId="6" borderId="0" xfId="0" applyFont="1" applyFill="1"/>
    <xf numFmtId="49" fontId="139" fillId="6" borderId="26" xfId="43" applyNumberFormat="1" applyFont="1" applyFill="1" applyBorder="1" applyAlignment="1">
      <alignment horizontal="left" indent="1"/>
    </xf>
    <xf numFmtId="49" fontId="139" fillId="6" borderId="27" xfId="43" applyNumberFormat="1" applyFont="1" applyFill="1" applyBorder="1" applyAlignment="1">
      <alignment horizontal="right" wrapText="1" indent="2"/>
    </xf>
    <xf numFmtId="3" fontId="139" fillId="0" borderId="25" xfId="3" applyNumberFormat="1" applyFont="1" applyBorder="1"/>
    <xf numFmtId="0" fontId="173" fillId="0" borderId="0" xfId="0" applyFont="1"/>
    <xf numFmtId="3" fontId="139" fillId="0" borderId="28" xfId="3" applyNumberFormat="1" applyFont="1" applyBorder="1"/>
    <xf numFmtId="3" fontId="139" fillId="5" borderId="9" xfId="43" applyNumberFormat="1" applyFont="1" applyFill="1" applyBorder="1"/>
    <xf numFmtId="9" fontId="74" fillId="0" borderId="0" xfId="2" applyFont="1"/>
    <xf numFmtId="167" fontId="93" fillId="10" borderId="0" xfId="19" applyNumberFormat="1" applyFont="1" applyFill="1"/>
    <xf numFmtId="167" fontId="97" fillId="10" borderId="0" xfId="19" applyNumberFormat="1" applyFont="1" applyFill="1"/>
    <xf numFmtId="167" fontId="95" fillId="13" borderId="0" xfId="19" applyNumberFormat="1" applyFont="1" applyFill="1"/>
    <xf numFmtId="0" fontId="93" fillId="10" borderId="46" xfId="0" applyFont="1" applyFill="1" applyBorder="1"/>
    <xf numFmtId="0" fontId="95" fillId="10" borderId="46" xfId="0" applyFont="1" applyFill="1" applyBorder="1" applyAlignment="1">
      <alignment horizontal="left" vertical="center" wrapText="1"/>
    </xf>
    <xf numFmtId="0" fontId="96" fillId="0" borderId="0" xfId="0" applyFont="1"/>
    <xf numFmtId="167" fontId="93" fillId="0" borderId="0" xfId="0" applyNumberFormat="1" applyFont="1"/>
    <xf numFmtId="0" fontId="184" fillId="0" borderId="0" xfId="0" applyFont="1"/>
    <xf numFmtId="0" fontId="184" fillId="0" borderId="0" xfId="0" applyFont="1" applyAlignment="1">
      <alignment wrapText="1"/>
    </xf>
    <xf numFmtId="0" fontId="148" fillId="0" borderId="0" xfId="0" applyFont="1"/>
    <xf numFmtId="43" fontId="66" fillId="0" borderId="3" xfId="1" applyFont="1" applyBorder="1" applyAlignment="1">
      <alignment horizontal="center" vertical="center" wrapText="1"/>
    </xf>
    <xf numFmtId="3" fontId="117" fillId="0" borderId="9" xfId="43" applyNumberFormat="1" applyFont="1" applyBorder="1"/>
    <xf numFmtId="49" fontId="66" fillId="0" borderId="0" xfId="43" applyNumberFormat="1" applyFont="1" applyAlignment="1">
      <alignment horizontal="left" wrapText="1" indent="2"/>
    </xf>
    <xf numFmtId="3" fontId="64" fillId="0" borderId="0" xfId="3" applyNumberFormat="1" applyFont="1"/>
    <xf numFmtId="49" fontId="73" fillId="4" borderId="8" xfId="43" applyNumberFormat="1" applyFont="1" applyFill="1" applyBorder="1" applyAlignment="1">
      <alignment horizontal="left" wrapText="1" indent="2"/>
    </xf>
    <xf numFmtId="167" fontId="116" fillId="0" borderId="0" xfId="1" applyNumberFormat="1" applyFont="1"/>
    <xf numFmtId="49" fontId="139" fillId="0" borderId="8" xfId="43" applyNumberFormat="1" applyFont="1" applyBorder="1" applyAlignment="1">
      <alignment horizontal="right" wrapText="1" indent="2"/>
    </xf>
    <xf numFmtId="3" fontId="139" fillId="0" borderId="9" xfId="3" applyNumberFormat="1" applyFont="1" applyBorder="1"/>
    <xf numFmtId="3" fontId="139" fillId="0" borderId="9" xfId="43" applyNumberFormat="1" applyFont="1" applyBorder="1"/>
    <xf numFmtId="49" fontId="139" fillId="0" borderId="27" xfId="43" applyNumberFormat="1" applyFont="1" applyBorder="1" applyAlignment="1">
      <alignment horizontal="right" wrapText="1" indent="2"/>
    </xf>
    <xf numFmtId="49" fontId="178" fillId="0" borderId="8" xfId="43" applyNumberFormat="1" applyFont="1" applyBorder="1" applyAlignment="1">
      <alignment horizontal="right" wrapText="1" indent="2"/>
    </xf>
    <xf numFmtId="3" fontId="122" fillId="0" borderId="0" xfId="0" applyNumberFormat="1" applyFont="1"/>
    <xf numFmtId="49" fontId="147" fillId="6" borderId="49" xfId="43" applyNumberFormat="1" applyFont="1" applyFill="1" applyBorder="1" applyAlignment="1">
      <alignment horizontal="left" indent="1"/>
    </xf>
    <xf numFmtId="49" fontId="147" fillId="6" borderId="47" xfId="43" applyNumberFormat="1" applyFont="1" applyFill="1" applyBorder="1" applyAlignment="1">
      <alignment horizontal="right" wrapText="1" indent="2"/>
    </xf>
    <xf numFmtId="3" fontId="147" fillId="6" borderId="50" xfId="3" applyNumberFormat="1" applyFont="1" applyFill="1" applyBorder="1"/>
    <xf numFmtId="49" fontId="177" fillId="6" borderId="49" xfId="43" applyNumberFormat="1" applyFont="1" applyFill="1" applyBorder="1" applyAlignment="1">
      <alignment horizontal="left" indent="1"/>
    </xf>
    <xf numFmtId="49" fontId="177" fillId="6" borderId="47" xfId="43" applyNumberFormat="1" applyFont="1" applyFill="1" applyBorder="1" applyAlignment="1">
      <alignment horizontal="right" wrapText="1" indent="2"/>
    </xf>
    <xf numFmtId="3" fontId="177" fillId="6" borderId="50" xfId="3" applyNumberFormat="1" applyFont="1" applyFill="1" applyBorder="1"/>
    <xf numFmtId="3" fontId="64" fillId="4" borderId="9" xfId="43" applyNumberFormat="1" applyFont="1" applyFill="1" applyBorder="1"/>
    <xf numFmtId="0" fontId="93" fillId="16" borderId="0" xfId="0" applyFont="1" applyFill="1"/>
    <xf numFmtId="3" fontId="111" fillId="0" borderId="0" xfId="0" applyNumberFormat="1" applyFont="1"/>
    <xf numFmtId="3" fontId="62" fillId="0" borderId="51" xfId="43" applyNumberFormat="1" applyFont="1" applyBorder="1"/>
    <xf numFmtId="3" fontId="62" fillId="4" borderId="51" xfId="43" applyNumberFormat="1" applyFont="1" applyFill="1" applyBorder="1"/>
    <xf numFmtId="3" fontId="175" fillId="6" borderId="9" xfId="3" applyNumberFormat="1" applyFont="1" applyFill="1" applyBorder="1"/>
    <xf numFmtId="3" fontId="190" fillId="6" borderId="9" xfId="3" applyNumberFormat="1" applyFont="1" applyFill="1" applyBorder="1"/>
    <xf numFmtId="3" fontId="184" fillId="0" borderId="0" xfId="0" applyNumberFormat="1" applyFont="1"/>
    <xf numFmtId="3" fontId="190" fillId="6" borderId="43" xfId="3" applyNumberFormat="1" applyFont="1" applyFill="1" applyBorder="1"/>
    <xf numFmtId="3" fontId="175" fillId="6" borderId="9" xfId="43" applyNumberFormat="1" applyFont="1" applyFill="1" applyBorder="1"/>
    <xf numFmtId="3" fontId="190" fillId="6" borderId="9" xfId="43" applyNumberFormat="1" applyFont="1" applyFill="1" applyBorder="1"/>
    <xf numFmtId="3" fontId="190" fillId="6" borderId="50" xfId="3" applyNumberFormat="1" applyFont="1" applyFill="1" applyBorder="1"/>
    <xf numFmtId="3" fontId="190" fillId="0" borderId="9" xfId="43" applyNumberFormat="1" applyFont="1" applyBorder="1"/>
    <xf numFmtId="0" fontId="193" fillId="0" borderId="0" xfId="0" applyFont="1"/>
    <xf numFmtId="0" fontId="184" fillId="6" borderId="0" xfId="0" applyFont="1" applyFill="1"/>
    <xf numFmtId="3" fontId="190" fillId="0" borderId="9" xfId="3" applyNumberFormat="1" applyFont="1" applyBorder="1"/>
    <xf numFmtId="49" fontId="190" fillId="6" borderId="8" xfId="43" applyNumberFormat="1" applyFont="1" applyFill="1" applyBorder="1" applyAlignment="1">
      <alignment horizontal="right" wrapText="1" indent="2"/>
    </xf>
    <xf numFmtId="3" fontId="175" fillId="6" borderId="28" xfId="3" applyNumberFormat="1" applyFont="1" applyFill="1" applyBorder="1"/>
    <xf numFmtId="0" fontId="193" fillId="6" borderId="0" xfId="0" applyFont="1" applyFill="1"/>
    <xf numFmtId="3" fontId="190" fillId="6" borderId="43" xfId="43" applyNumberFormat="1" applyFont="1" applyFill="1" applyBorder="1"/>
    <xf numFmtId="49" fontId="192" fillId="6" borderId="30" xfId="43" applyNumberFormat="1" applyFont="1" applyFill="1" applyBorder="1" applyAlignment="1">
      <alignment horizontal="right" wrapText="1" indent="2"/>
    </xf>
    <xf numFmtId="3" fontId="192" fillId="6" borderId="28" xfId="3" applyNumberFormat="1" applyFont="1" applyFill="1" applyBorder="1"/>
    <xf numFmtId="3" fontId="192" fillId="6" borderId="9" xfId="43" applyNumberFormat="1" applyFont="1" applyFill="1" applyBorder="1"/>
    <xf numFmtId="0" fontId="194" fillId="6" borderId="0" xfId="0" applyFont="1" applyFill="1"/>
    <xf numFmtId="49" fontId="190" fillId="6" borderId="47" xfId="43" applyNumberFormat="1" applyFont="1" applyFill="1" applyBorder="1" applyAlignment="1">
      <alignment horizontal="right" wrapText="1" indent="2"/>
    </xf>
    <xf numFmtId="167" fontId="75" fillId="0" borderId="0" xfId="0" applyNumberFormat="1" applyFont="1"/>
    <xf numFmtId="3" fontId="63" fillId="0" borderId="0" xfId="9" applyNumberFormat="1" applyFont="1"/>
    <xf numFmtId="3" fontId="175" fillId="4" borderId="9" xfId="43" applyNumberFormat="1" applyFont="1" applyFill="1" applyBorder="1"/>
    <xf numFmtId="0" fontId="96" fillId="0" borderId="0" xfId="0" applyFont="1" applyAlignment="1">
      <alignment wrapText="1"/>
    </xf>
    <xf numFmtId="0" fontId="94" fillId="0" borderId="0" xfId="0" applyFont="1"/>
    <xf numFmtId="49" fontId="116" fillId="0" borderId="0" xfId="0" applyNumberFormat="1" applyFont="1" applyAlignment="1">
      <alignment horizontal="right"/>
    </xf>
    <xf numFmtId="0" fontId="202" fillId="0" borderId="0" xfId="0" quotePrefix="1" applyFont="1"/>
    <xf numFmtId="167" fontId="83" fillId="0" borderId="0" xfId="0" applyNumberFormat="1" applyFont="1"/>
    <xf numFmtId="0" fontId="95" fillId="0" borderId="0" xfId="0" applyFont="1" applyAlignment="1">
      <alignment horizontal="center"/>
    </xf>
    <xf numFmtId="167" fontId="93" fillId="0" borderId="0" xfId="1" applyNumberFormat="1" applyFont="1" applyFill="1" applyBorder="1" applyProtection="1">
      <protection locked="0"/>
    </xf>
    <xf numFmtId="167" fontId="93" fillId="0" borderId="0" xfId="1" applyNumberFormat="1" applyFont="1" applyFill="1" applyBorder="1"/>
    <xf numFmtId="0" fontId="93" fillId="0" borderId="8" xfId="0" applyFont="1" applyBorder="1"/>
    <xf numFmtId="167" fontId="93" fillId="0" borderId="8" xfId="1" applyNumberFormat="1" applyFont="1" applyFill="1" applyBorder="1" applyProtection="1">
      <protection locked="0"/>
    </xf>
    <xf numFmtId="167" fontId="93" fillId="0" borderId="21" xfId="1" applyNumberFormat="1" applyFont="1" applyFill="1" applyBorder="1"/>
    <xf numFmtId="0" fontId="99" fillId="0" borderId="0" xfId="0" applyFont="1"/>
    <xf numFmtId="166" fontId="99" fillId="0" borderId="0" xfId="21" applyFont="1" applyFill="1"/>
    <xf numFmtId="166" fontId="67" fillId="0" borderId="0" xfId="21" applyFont="1" applyFill="1"/>
    <xf numFmtId="0" fontId="93" fillId="0" borderId="0" xfId="0" applyFont="1" applyAlignment="1">
      <alignment horizontal="left" vertical="center" wrapText="1"/>
    </xf>
    <xf numFmtId="167" fontId="93" fillId="0" borderId="20" xfId="0" applyNumberFormat="1" applyFont="1" applyBorder="1"/>
    <xf numFmtId="0" fontId="93" fillId="0" borderId="22" xfId="0" applyFont="1" applyBorder="1"/>
    <xf numFmtId="167" fontId="93" fillId="0" borderId="0" xfId="19" applyNumberFormat="1" applyFont="1" applyFill="1" applyBorder="1" applyProtection="1">
      <protection locked="0"/>
    </xf>
    <xf numFmtId="167" fontId="96" fillId="0" borderId="0" xfId="22" applyNumberFormat="1" applyFont="1" applyFill="1" applyBorder="1" applyProtection="1">
      <protection locked="0"/>
    </xf>
    <xf numFmtId="167" fontId="96" fillId="0" borderId="0" xfId="22" applyNumberFormat="1" applyFont="1" applyFill="1" applyBorder="1" applyAlignment="1" applyProtection="1">
      <alignment wrapText="1"/>
      <protection locked="0"/>
    </xf>
    <xf numFmtId="0" fontId="97" fillId="0" borderId="0" xfId="0" applyFont="1" applyAlignment="1">
      <alignment horizontal="left" vertical="center" wrapText="1"/>
    </xf>
    <xf numFmtId="167" fontId="97" fillId="0" borderId="0" xfId="22" applyNumberFormat="1" applyFont="1" applyFill="1" applyBorder="1" applyProtection="1">
      <protection locked="0"/>
    </xf>
    <xf numFmtId="0" fontId="95" fillId="0" borderId="0" xfId="0" applyFont="1"/>
    <xf numFmtId="0" fontId="0" fillId="0" borderId="17" xfId="0" applyBorder="1"/>
    <xf numFmtId="0" fontId="98" fillId="0" borderId="0" xfId="0" applyFont="1"/>
    <xf numFmtId="0" fontId="105" fillId="0" borderId="0" xfId="0" applyFont="1"/>
    <xf numFmtId="0" fontId="103" fillId="0" borderId="0" xfId="0" applyFont="1"/>
    <xf numFmtId="0" fontId="93" fillId="0" borderId="0" xfId="0" applyFont="1" applyAlignment="1">
      <alignment vertical="top"/>
    </xf>
    <xf numFmtId="0" fontId="91" fillId="0" borderId="0" xfId="0" applyFont="1" applyAlignment="1">
      <alignment vertical="top"/>
    </xf>
    <xf numFmtId="0" fontId="83" fillId="0" borderId="0" xfId="0" applyFont="1" applyAlignment="1">
      <alignment vertical="top"/>
    </xf>
    <xf numFmtId="0" fontId="92" fillId="0" borderId="0" xfId="0" applyFont="1" applyAlignment="1">
      <alignment vertical="top"/>
    </xf>
    <xf numFmtId="0" fontId="93" fillId="0" borderId="0" xfId="0" applyFont="1" applyAlignment="1">
      <alignment horizontal="left" vertical="center"/>
    </xf>
    <xf numFmtId="0" fontId="0" fillId="0" borderId="0" xfId="0" applyAlignment="1">
      <alignment horizontal="left" vertical="center"/>
    </xf>
    <xf numFmtId="0" fontId="61" fillId="0" borderId="0" xfId="0" applyFont="1"/>
    <xf numFmtId="0" fontId="202" fillId="11" borderId="0" xfId="0" quotePrefix="1" applyFont="1" applyFill="1"/>
    <xf numFmtId="49" fontId="72" fillId="6" borderId="57" xfId="43" applyNumberFormat="1" applyFont="1" applyFill="1" applyBorder="1" applyAlignment="1">
      <alignment horizontal="right" wrapText="1" indent="2"/>
    </xf>
    <xf numFmtId="0" fontId="205" fillId="0" borderId="0" xfId="0" applyFont="1"/>
    <xf numFmtId="0" fontId="203" fillId="0" borderId="0" xfId="0" applyFont="1"/>
    <xf numFmtId="0" fontId="206" fillId="0" borderId="0" xfId="0" applyFont="1"/>
    <xf numFmtId="49" fontId="190" fillId="0" borderId="8" xfId="43" applyNumberFormat="1" applyFont="1" applyBorder="1" applyAlignment="1">
      <alignment horizontal="right" wrapText="1" indent="2"/>
    </xf>
    <xf numFmtId="9" fontId="66" fillId="4" borderId="6" xfId="2" applyFont="1" applyFill="1" applyBorder="1" applyAlignment="1">
      <alignment horizontal="right"/>
    </xf>
    <xf numFmtId="9" fontId="66" fillId="5" borderId="6" xfId="2" applyFont="1" applyFill="1" applyBorder="1" applyAlignment="1">
      <alignment horizontal="right"/>
    </xf>
    <xf numFmtId="9" fontId="62" fillId="0" borderId="9" xfId="2" applyFont="1" applyFill="1" applyBorder="1" applyAlignment="1">
      <alignment horizontal="right"/>
    </xf>
    <xf numFmtId="9" fontId="66" fillId="5" borderId="9" xfId="2" applyFont="1" applyFill="1" applyBorder="1" applyAlignment="1">
      <alignment horizontal="right"/>
    </xf>
    <xf numFmtId="9" fontId="62" fillId="0" borderId="9" xfId="2" applyFont="1" applyBorder="1" applyAlignment="1">
      <alignment horizontal="right"/>
    </xf>
    <xf numFmtId="9" fontId="62" fillId="0" borderId="10" xfId="2" applyFont="1" applyFill="1" applyBorder="1" applyAlignment="1">
      <alignment horizontal="right"/>
    </xf>
    <xf numFmtId="9" fontId="62" fillId="4" borderId="9" xfId="2" applyFont="1" applyFill="1" applyBorder="1" applyAlignment="1">
      <alignment horizontal="right"/>
    </xf>
    <xf numFmtId="9" fontId="62" fillId="0" borderId="43" xfId="2" applyFont="1" applyFill="1" applyBorder="1" applyAlignment="1">
      <alignment horizontal="right"/>
    </xf>
    <xf numFmtId="9" fontId="66" fillId="0" borderId="13" xfId="2" applyFont="1" applyBorder="1" applyAlignment="1">
      <alignment horizontal="right"/>
    </xf>
    <xf numFmtId="43" fontId="0" fillId="0" borderId="0" xfId="1" applyFont="1" applyAlignment="1">
      <alignment horizontal="right"/>
    </xf>
    <xf numFmtId="43" fontId="63" fillId="0" borderId="0" xfId="1" applyFont="1" applyAlignment="1">
      <alignment horizontal="right"/>
    </xf>
    <xf numFmtId="9" fontId="139" fillId="6" borderId="9" xfId="2" applyFont="1" applyFill="1" applyBorder="1" applyAlignment="1">
      <alignment horizontal="right"/>
    </xf>
    <xf numFmtId="9" fontId="147" fillId="6" borderId="9" xfId="2" applyFont="1" applyFill="1" applyBorder="1" applyAlignment="1">
      <alignment horizontal="right"/>
    </xf>
    <xf numFmtId="9" fontId="177" fillId="6" borderId="9" xfId="2" applyFont="1" applyFill="1" applyBorder="1" applyAlignment="1">
      <alignment horizontal="right"/>
    </xf>
    <xf numFmtId="9" fontId="190" fillId="6" borderId="9" xfId="2" applyFont="1" applyFill="1" applyBorder="1" applyAlignment="1">
      <alignment horizontal="right"/>
    </xf>
    <xf numFmtId="9" fontId="66" fillId="5" borderId="16" xfId="2" applyFont="1" applyFill="1" applyBorder="1" applyAlignment="1">
      <alignment horizontal="right"/>
    </xf>
    <xf numFmtId="9" fontId="62" fillId="6" borderId="9" xfId="2" applyFont="1" applyFill="1" applyBorder="1" applyAlignment="1">
      <alignment horizontal="right"/>
    </xf>
    <xf numFmtId="9" fontId="175" fillId="6" borderId="9" xfId="2" applyFont="1" applyFill="1" applyBorder="1" applyAlignment="1">
      <alignment horizontal="right"/>
    </xf>
    <xf numFmtId="9" fontId="192" fillId="6" borderId="9" xfId="2" applyFont="1" applyFill="1" applyBorder="1" applyAlignment="1">
      <alignment horizontal="right"/>
    </xf>
    <xf numFmtId="9" fontId="66" fillId="4" borderId="9" xfId="2" applyFont="1" applyFill="1" applyBorder="1" applyAlignment="1">
      <alignment horizontal="right"/>
    </xf>
    <xf numFmtId="9" fontId="140" fillId="4" borderId="9" xfId="2" applyFont="1" applyFill="1" applyBorder="1" applyAlignment="1">
      <alignment horizontal="right"/>
    </xf>
    <xf numFmtId="9" fontId="74" fillId="6" borderId="9" xfId="2" applyFont="1" applyFill="1" applyBorder="1" applyAlignment="1">
      <alignment horizontal="right"/>
    </xf>
    <xf numFmtId="9" fontId="174" fillId="6" borderId="9" xfId="2" applyFont="1" applyFill="1" applyBorder="1" applyAlignment="1">
      <alignment horizontal="right"/>
    </xf>
    <xf numFmtId="9" fontId="190" fillId="6" borderId="43" xfId="2" applyFont="1" applyFill="1" applyBorder="1" applyAlignment="1">
      <alignment horizontal="right"/>
    </xf>
    <xf numFmtId="9" fontId="74" fillId="6" borderId="28" xfId="2" applyFont="1" applyFill="1" applyBorder="1" applyAlignment="1">
      <alignment horizontal="right"/>
    </xf>
    <xf numFmtId="9" fontId="74" fillId="4" borderId="9" xfId="2" applyFont="1" applyFill="1" applyBorder="1" applyAlignment="1">
      <alignment horizontal="right"/>
    </xf>
    <xf numFmtId="9" fontId="139" fillId="0" borderId="9" xfId="2" applyFont="1" applyBorder="1" applyAlignment="1">
      <alignment horizontal="right"/>
    </xf>
    <xf numFmtId="9" fontId="190" fillId="0" borderId="9" xfId="2" applyFont="1" applyBorder="1" applyAlignment="1">
      <alignment horizontal="right"/>
    </xf>
    <xf numFmtId="9" fontId="117" fillId="0" borderId="9" xfId="2" applyFont="1" applyBorder="1" applyAlignment="1">
      <alignment horizontal="right"/>
    </xf>
    <xf numFmtId="9" fontId="66" fillId="0" borderId="0" xfId="2" applyFont="1" applyFill="1" applyBorder="1" applyAlignment="1">
      <alignment horizontal="right"/>
    </xf>
    <xf numFmtId="167" fontId="202" fillId="0" borderId="0" xfId="1" quotePrefix="1" applyNumberFormat="1" applyFont="1"/>
    <xf numFmtId="167" fontId="209" fillId="0" borderId="0" xfId="0" quotePrefix="1" applyNumberFormat="1" applyFont="1"/>
    <xf numFmtId="167" fontId="209" fillId="0" borderId="0" xfId="1" quotePrefix="1" applyNumberFormat="1" applyFont="1"/>
    <xf numFmtId="0" fontId="131" fillId="0" borderId="0" xfId="0" applyFont="1"/>
    <xf numFmtId="0" fontId="122" fillId="0" borderId="0" xfId="0" applyFont="1"/>
    <xf numFmtId="0" fontId="194" fillId="0" borderId="0" xfId="0" applyFont="1"/>
    <xf numFmtId="167" fontId="209" fillId="11" borderId="0" xfId="1" quotePrefix="1" applyNumberFormat="1" applyFont="1" applyFill="1"/>
    <xf numFmtId="167" fontId="209" fillId="0" borderId="0" xfId="1" quotePrefix="1" applyNumberFormat="1" applyFont="1" applyFill="1"/>
    <xf numFmtId="49" fontId="62" fillId="6" borderId="59" xfId="43" applyNumberFormat="1" applyFont="1" applyFill="1" applyBorder="1" applyAlignment="1">
      <alignment horizontal="right" wrapText="1" indent="2"/>
    </xf>
    <xf numFmtId="0" fontId="62" fillId="4" borderId="59" xfId="43" applyFont="1" applyFill="1" applyBorder="1" applyAlignment="1">
      <alignment horizontal="left" wrapText="1" indent="2"/>
    </xf>
    <xf numFmtId="9" fontId="62" fillId="4" borderId="51" xfId="2" applyFont="1" applyFill="1" applyBorder="1" applyAlignment="1">
      <alignment horizontal="right"/>
    </xf>
    <xf numFmtId="0" fontId="213" fillId="0" borderId="0" xfId="0" quotePrefix="1" applyFont="1"/>
    <xf numFmtId="3" fontId="0" fillId="0" borderId="61" xfId="0" applyNumberFormat="1" applyBorder="1"/>
    <xf numFmtId="0" fontId="0" fillId="18" borderId="0" xfId="0" applyFill="1"/>
    <xf numFmtId="0" fontId="0" fillId="22" borderId="0" xfId="0" applyFill="1" applyAlignment="1">
      <alignment horizontal="right"/>
    </xf>
    <xf numFmtId="0" fontId="0" fillId="0" borderId="62" xfId="0" applyBorder="1"/>
    <xf numFmtId="0" fontId="0" fillId="0" borderId="62" xfId="0" applyBorder="1" applyAlignment="1">
      <alignment wrapText="1"/>
    </xf>
    <xf numFmtId="0" fontId="116" fillId="0" borderId="0" xfId="0" applyFont="1" applyAlignment="1">
      <alignment wrapText="1"/>
    </xf>
    <xf numFmtId="49" fontId="0" fillId="0" borderId="0" xfId="0" applyNumberFormat="1" applyAlignment="1">
      <alignment horizontal="left"/>
    </xf>
    <xf numFmtId="167" fontId="0" fillId="0" borderId="0" xfId="1" applyNumberFormat="1" applyFont="1" applyBorder="1"/>
    <xf numFmtId="0" fontId="0" fillId="26" borderId="62" xfId="0" applyFill="1" applyBorder="1"/>
    <xf numFmtId="0" fontId="215" fillId="26" borderId="62" xfId="0" applyFont="1" applyFill="1" applyBorder="1" applyAlignment="1">
      <alignment wrapText="1"/>
    </xf>
    <xf numFmtId="167" fontId="113" fillId="0" borderId="62" xfId="1" applyNumberFormat="1" applyFont="1" applyBorder="1"/>
    <xf numFmtId="0" fontId="75" fillId="0" borderId="64" xfId="0" applyFont="1" applyBorder="1" applyAlignment="1">
      <alignment horizontal="right"/>
    </xf>
    <xf numFmtId="0" fontId="75" fillId="13" borderId="62" xfId="0" applyFont="1" applyFill="1" applyBorder="1" applyAlignment="1">
      <alignment horizontal="center" wrapText="1"/>
    </xf>
    <xf numFmtId="0" fontId="75" fillId="0" borderId="0" xfId="0" applyFont="1" applyAlignment="1">
      <alignment horizontal="center" wrapText="1"/>
    </xf>
    <xf numFmtId="0" fontId="71" fillId="0" borderId="62" xfId="28" applyFont="1" applyBorder="1"/>
    <xf numFmtId="0" fontId="75" fillId="0" borderId="63" xfId="0" applyFont="1" applyBorder="1" applyAlignment="1">
      <alignment horizontal="right" wrapText="1"/>
    </xf>
    <xf numFmtId="0" fontId="216" fillId="0" borderId="0" xfId="0" quotePrefix="1" applyFont="1"/>
    <xf numFmtId="167" fontId="216" fillId="0" borderId="0" xfId="1" quotePrefix="1" applyNumberFormat="1" applyFont="1"/>
    <xf numFmtId="49" fontId="190" fillId="6" borderId="27" xfId="43" applyNumberFormat="1" applyFont="1" applyFill="1" applyBorder="1" applyAlignment="1">
      <alignment horizontal="right" wrapText="1" indent="2"/>
    </xf>
    <xf numFmtId="0" fontId="0" fillId="0" borderId="62" xfId="0" applyBorder="1" applyAlignment="1">
      <alignment horizontal="center" wrapText="1"/>
    </xf>
    <xf numFmtId="167" fontId="116" fillId="0" borderId="62" xfId="1" applyNumberFormat="1" applyFont="1" applyBorder="1"/>
    <xf numFmtId="0" fontId="116" fillId="0" borderId="62" xfId="0" applyFont="1" applyBorder="1" applyAlignment="1">
      <alignment wrapText="1"/>
    </xf>
    <xf numFmtId="167" fontId="0" fillId="0" borderId="0" xfId="0" applyNumberFormat="1" applyAlignment="1">
      <alignment wrapText="1"/>
    </xf>
    <xf numFmtId="0" fontId="138" fillId="0" borderId="0" xfId="0" applyFont="1" applyAlignment="1">
      <alignment wrapText="1"/>
    </xf>
    <xf numFmtId="0" fontId="131" fillId="0" borderId="0" xfId="0" applyFont="1" applyAlignment="1">
      <alignment wrapText="1"/>
    </xf>
    <xf numFmtId="0" fontId="193" fillId="0" borderId="0" xfId="0" applyFont="1" applyAlignment="1">
      <alignment wrapText="1"/>
    </xf>
    <xf numFmtId="0" fontId="194" fillId="0" borderId="0" xfId="0" applyFont="1" applyAlignment="1">
      <alignment wrapText="1"/>
    </xf>
    <xf numFmtId="0" fontId="148" fillId="0" borderId="0" xfId="0" applyFont="1" applyAlignment="1">
      <alignment wrapText="1"/>
    </xf>
    <xf numFmtId="0" fontId="122" fillId="0" borderId="0" xfId="0" applyFont="1" applyAlignment="1">
      <alignment wrapText="1"/>
    </xf>
    <xf numFmtId="167" fontId="0" fillId="0" borderId="0" xfId="1" applyNumberFormat="1" applyFont="1" applyFill="1"/>
    <xf numFmtId="167" fontId="116" fillId="0" borderId="62" xfId="1" applyNumberFormat="1" applyFont="1" applyFill="1" applyBorder="1"/>
    <xf numFmtId="0" fontId="116" fillId="0" borderId="62" xfId="0" applyFont="1" applyBorder="1"/>
    <xf numFmtId="0" fontId="116" fillId="0" borderId="62" xfId="0" applyFont="1" applyBorder="1" applyAlignment="1">
      <alignment horizontal="left"/>
    </xf>
    <xf numFmtId="167" fontId="116" fillId="0" borderId="0" xfId="1" applyNumberFormat="1" applyFont="1" applyFill="1" applyBorder="1"/>
    <xf numFmtId="167" fontId="0" fillId="0" borderId="0" xfId="1" applyNumberFormat="1" applyFont="1" applyAlignment="1">
      <alignment wrapText="1"/>
    </xf>
    <xf numFmtId="0" fontId="116" fillId="0" borderId="62" xfId="0" applyFont="1" applyBorder="1" applyAlignment="1">
      <alignment horizontal="left" wrapText="1"/>
    </xf>
    <xf numFmtId="0" fontId="218" fillId="0" borderId="0" xfId="0" applyFont="1"/>
    <xf numFmtId="167" fontId="113" fillId="0" borderId="0" xfId="0" applyNumberFormat="1" applyFont="1"/>
    <xf numFmtId="167" fontId="116" fillId="0" borderId="0" xfId="1" applyNumberFormat="1" applyFont="1" applyFill="1"/>
    <xf numFmtId="0" fontId="62" fillId="7" borderId="52" xfId="43" applyFont="1" applyFill="1" applyBorder="1" applyAlignment="1">
      <alignment horizontal="left" indent="2"/>
    </xf>
    <xf numFmtId="0" fontId="127" fillId="13" borderId="62" xfId="0" applyFont="1" applyFill="1" applyBorder="1" applyAlignment="1">
      <alignment horizontal="center" wrapText="1"/>
    </xf>
    <xf numFmtId="0" fontId="208" fillId="67" borderId="0" xfId="0" applyFont="1" applyFill="1"/>
    <xf numFmtId="0" fontId="62" fillId="7" borderId="59" xfId="43" applyFont="1" applyFill="1" applyBorder="1" applyAlignment="1">
      <alignment horizontal="left" wrapText="1" indent="3"/>
    </xf>
    <xf numFmtId="167" fontId="132" fillId="0" borderId="0" xfId="1" applyNumberFormat="1" applyFont="1"/>
    <xf numFmtId="167" fontId="138" fillId="0" borderId="0" xfId="1" applyNumberFormat="1" applyFont="1"/>
    <xf numFmtId="167" fontId="219" fillId="0" borderId="0" xfId="1" applyNumberFormat="1" applyFont="1" applyFill="1"/>
    <xf numFmtId="0" fontId="220" fillId="0" borderId="0" xfId="0" applyFont="1"/>
    <xf numFmtId="0" fontId="102" fillId="0" borderId="0" xfId="0" applyFont="1"/>
    <xf numFmtId="0" fontId="129" fillId="0" borderId="0" xfId="0" applyFont="1"/>
    <xf numFmtId="167" fontId="221" fillId="0" borderId="0" xfId="1" applyNumberFormat="1" applyFont="1" applyBorder="1"/>
    <xf numFmtId="167" fontId="221" fillId="0" borderId="0" xfId="1" applyNumberFormat="1" applyFont="1" applyFill="1" applyBorder="1" applyAlignment="1">
      <alignment horizontal="left"/>
    </xf>
    <xf numFmtId="3" fontId="113" fillId="0" borderId="0" xfId="0" applyNumberFormat="1" applyFont="1"/>
    <xf numFmtId="167" fontId="222" fillId="0" borderId="0" xfId="1" quotePrefix="1" applyNumberFormat="1" applyFont="1"/>
    <xf numFmtId="3" fontId="222" fillId="0" borderId="0" xfId="0" quotePrefix="1" applyNumberFormat="1" applyFont="1"/>
    <xf numFmtId="0" fontId="222" fillId="0" borderId="0" xfId="0" quotePrefix="1" applyFont="1"/>
    <xf numFmtId="0" fontId="223" fillId="0" borderId="0" xfId="0" quotePrefix="1" applyFont="1"/>
    <xf numFmtId="167" fontId="224" fillId="0" borderId="0" xfId="1" quotePrefix="1" applyNumberFormat="1" applyFont="1"/>
    <xf numFmtId="0" fontId="225" fillId="0" borderId="0" xfId="0" quotePrefix="1" applyFont="1"/>
    <xf numFmtId="167" fontId="225" fillId="0" borderId="0" xfId="1" quotePrefix="1" applyNumberFormat="1" applyFont="1"/>
    <xf numFmtId="3" fontId="193" fillId="0" borderId="0" xfId="0" applyNumberFormat="1" applyFont="1"/>
    <xf numFmtId="49" fontId="190" fillId="6" borderId="29" xfId="43" applyNumberFormat="1" applyFont="1" applyFill="1" applyBorder="1" applyAlignment="1">
      <alignment horizontal="right" wrapText="1" indent="2"/>
    </xf>
    <xf numFmtId="3" fontId="190" fillId="6" borderId="28" xfId="43" applyNumberFormat="1" applyFont="1" applyFill="1" applyBorder="1"/>
    <xf numFmtId="49" fontId="190" fillId="6" borderId="57" xfId="43" applyNumberFormat="1" applyFont="1" applyFill="1" applyBorder="1" applyAlignment="1">
      <alignment horizontal="right" wrapText="1" indent="2"/>
    </xf>
    <xf numFmtId="167" fontId="225" fillId="0" borderId="0" xfId="1" quotePrefix="1" applyNumberFormat="1" applyFont="1" applyFill="1"/>
    <xf numFmtId="49" fontId="190" fillId="0" borderId="57" xfId="43" applyNumberFormat="1" applyFont="1" applyBorder="1" applyAlignment="1">
      <alignment horizontal="right" wrapText="1" indent="2"/>
    </xf>
    <xf numFmtId="9" fontId="190" fillId="0" borderId="9" xfId="2" applyFont="1" applyFill="1" applyBorder="1" applyAlignment="1">
      <alignment horizontal="right"/>
    </xf>
    <xf numFmtId="49" fontId="190" fillId="6" borderId="46" xfId="43" applyNumberFormat="1" applyFont="1" applyFill="1" applyBorder="1" applyAlignment="1">
      <alignment horizontal="right" wrapText="1" indent="2"/>
    </xf>
    <xf numFmtId="49" fontId="139" fillId="5" borderId="8" xfId="43" applyNumberFormat="1" applyFont="1" applyFill="1" applyBorder="1" applyAlignment="1">
      <alignment wrapText="1"/>
    </xf>
    <xf numFmtId="3" fontId="139" fillId="5" borderId="9" xfId="3" applyNumberFormat="1" applyFont="1" applyFill="1" applyBorder="1"/>
    <xf numFmtId="9" fontId="139" fillId="5" borderId="9" xfId="2" applyFont="1" applyFill="1" applyBorder="1" applyAlignment="1">
      <alignment horizontal="right"/>
    </xf>
    <xf numFmtId="49" fontId="192" fillId="0" borderId="8" xfId="43" applyNumberFormat="1" applyFont="1" applyBorder="1" applyAlignment="1">
      <alignment horizontal="right" wrapText="1" indent="2"/>
    </xf>
    <xf numFmtId="3" fontId="192" fillId="0" borderId="9" xfId="3" applyNumberFormat="1" applyFont="1" applyBorder="1"/>
    <xf numFmtId="3" fontId="192" fillId="0" borderId="9" xfId="43" applyNumberFormat="1" applyFont="1" applyBorder="1"/>
    <xf numFmtId="9" fontId="192" fillId="0" borderId="9" xfId="2" applyFont="1" applyBorder="1" applyAlignment="1">
      <alignment horizontal="right"/>
    </xf>
    <xf numFmtId="9" fontId="190" fillId="0" borderId="43" xfId="2" applyFont="1" applyBorder="1" applyAlignment="1">
      <alignment horizontal="right"/>
    </xf>
    <xf numFmtId="3" fontId="190" fillId="6" borderId="51" xfId="43" applyNumberFormat="1" applyFont="1" applyFill="1" applyBorder="1"/>
    <xf numFmtId="167" fontId="116" fillId="0" borderId="62" xfId="0" applyNumberFormat="1" applyFont="1" applyBorder="1" applyAlignment="1">
      <alignment horizontal="center" wrapText="1"/>
    </xf>
    <xf numFmtId="167" fontId="127" fillId="13" borderId="62" xfId="1" applyNumberFormat="1" applyFont="1" applyFill="1" applyBorder="1"/>
    <xf numFmtId="167" fontId="127" fillId="0" borderId="0" xfId="1" applyNumberFormat="1" applyFont="1" applyFill="1" applyBorder="1"/>
    <xf numFmtId="0" fontId="127" fillId="0" borderId="0" xfId="0" applyFont="1" applyAlignment="1">
      <alignment horizontal="center" wrapText="1"/>
    </xf>
    <xf numFmtId="167" fontId="127" fillId="13" borderId="62" xfId="1" applyNumberFormat="1" applyFont="1" applyFill="1" applyBorder="1" applyAlignment="1">
      <alignment horizontal="center" wrapText="1"/>
    </xf>
    <xf numFmtId="167" fontId="116" fillId="0" borderId="0" xfId="1" applyNumberFormat="1" applyFont="1" applyFill="1" applyBorder="1" applyAlignment="1">
      <alignment horizontal="center" wrapText="1"/>
    </xf>
    <xf numFmtId="167" fontId="127" fillId="13" borderId="62" xfId="0" applyNumberFormat="1" applyFont="1" applyFill="1" applyBorder="1"/>
    <xf numFmtId="167" fontId="75" fillId="0" borderId="0" xfId="1" applyNumberFormat="1" applyFont="1" applyAlignment="1">
      <alignment vertical="center" wrapText="1"/>
    </xf>
    <xf numFmtId="167" fontId="75" fillId="13" borderId="62" xfId="1" applyNumberFormat="1" applyFont="1" applyFill="1" applyBorder="1" applyAlignment="1">
      <alignment horizontal="center" wrapText="1"/>
    </xf>
    <xf numFmtId="0" fontId="75" fillId="0" borderId="0" xfId="0" applyFont="1" applyAlignment="1">
      <alignment horizontal="right"/>
    </xf>
    <xf numFmtId="0" fontId="127" fillId="33" borderId="62" xfId="0" applyFont="1" applyFill="1" applyBorder="1" applyAlignment="1">
      <alignment horizontal="center" wrapText="1"/>
    </xf>
    <xf numFmtId="167" fontId="127" fillId="33" borderId="62" xfId="1" applyNumberFormat="1" applyFont="1" applyFill="1" applyBorder="1" applyAlignment="1">
      <alignment horizontal="center" wrapText="1"/>
    </xf>
    <xf numFmtId="0" fontId="127" fillId="0" borderId="0" xfId="0" applyFont="1"/>
    <xf numFmtId="0" fontId="0" fillId="11" borderId="0" xfId="0" applyFill="1"/>
    <xf numFmtId="167" fontId="0" fillId="11" borderId="0" xfId="1" applyNumberFormat="1" applyFont="1" applyFill="1"/>
    <xf numFmtId="0" fontId="113" fillId="0" borderId="62" xfId="0" applyFont="1" applyBorder="1" applyAlignment="1">
      <alignment wrapText="1"/>
    </xf>
    <xf numFmtId="0" fontId="113" fillId="26" borderId="62" xfId="0" applyFont="1" applyFill="1" applyBorder="1"/>
    <xf numFmtId="167" fontId="75" fillId="0" borderId="0" xfId="0" applyNumberFormat="1" applyFont="1" applyAlignment="1">
      <alignment horizontal="right"/>
    </xf>
    <xf numFmtId="167" fontId="62" fillId="0" borderId="0" xfId="1" applyNumberFormat="1" applyFont="1" applyAlignment="1">
      <alignment wrapText="1"/>
    </xf>
    <xf numFmtId="167" fontId="86" fillId="0" borderId="0" xfId="0" applyNumberFormat="1" applyFont="1"/>
    <xf numFmtId="0" fontId="195" fillId="0" borderId="0" xfId="0" applyFont="1"/>
    <xf numFmtId="0" fontId="227" fillId="0" borderId="0" xfId="0" applyFont="1" applyAlignment="1">
      <alignment wrapText="1"/>
    </xf>
    <xf numFmtId="0" fontId="86" fillId="0" borderId="0" xfId="0" quotePrefix="1" applyFont="1"/>
    <xf numFmtId="0" fontId="113" fillId="6" borderId="0" xfId="0" applyFont="1" applyFill="1"/>
    <xf numFmtId="167" fontId="0" fillId="0" borderId="0" xfId="1" applyNumberFormat="1" applyFont="1" applyFill="1" applyBorder="1"/>
    <xf numFmtId="0" fontId="93" fillId="0" borderId="0" xfId="0" applyFont="1" applyAlignment="1">
      <alignment wrapText="1"/>
    </xf>
    <xf numFmtId="167" fontId="111" fillId="0" borderId="0" xfId="1" applyNumberFormat="1" applyFont="1" applyFill="1" applyBorder="1"/>
    <xf numFmtId="3" fontId="63" fillId="6" borderId="9" xfId="3" applyNumberFormat="1" applyFont="1" applyFill="1" applyBorder="1"/>
    <xf numFmtId="0" fontId="217" fillId="0" borderId="0" xfId="0" applyFont="1"/>
    <xf numFmtId="167" fontId="122" fillId="0" borderId="0" xfId="0" applyNumberFormat="1" applyFont="1"/>
    <xf numFmtId="167" fontId="131" fillId="0" borderId="0" xfId="0" applyNumberFormat="1" applyFont="1"/>
    <xf numFmtId="167" fontId="184" fillId="0" borderId="0" xfId="0" applyNumberFormat="1" applyFont="1"/>
    <xf numFmtId="167" fontId="186" fillId="0" borderId="0" xfId="0" applyNumberFormat="1" applyFont="1"/>
    <xf numFmtId="0" fontId="217" fillId="0" borderId="0" xfId="0" applyFont="1" applyAlignment="1">
      <alignment wrapText="1"/>
    </xf>
    <xf numFmtId="0" fontId="173" fillId="0" borderId="0" xfId="0" applyFont="1" applyAlignment="1">
      <alignment wrapText="1"/>
    </xf>
    <xf numFmtId="0" fontId="75" fillId="36" borderId="0" xfId="0" applyFont="1" applyFill="1"/>
    <xf numFmtId="0" fontId="0" fillId="36" borderId="0" xfId="0" applyFill="1"/>
    <xf numFmtId="49" fontId="62" fillId="6" borderId="68" xfId="43" applyNumberFormat="1" applyFont="1" applyFill="1" applyBorder="1" applyAlignment="1">
      <alignment horizontal="left" indent="1"/>
    </xf>
    <xf numFmtId="0" fontId="209" fillId="0" borderId="0" xfId="0" quotePrefix="1" applyFont="1"/>
    <xf numFmtId="3" fontId="63" fillId="6" borderId="9" xfId="43" applyNumberFormat="1" applyFont="1" applyFill="1" applyBorder="1"/>
    <xf numFmtId="9" fontId="63" fillId="6" borderId="9" xfId="2" applyFont="1" applyFill="1" applyBorder="1" applyAlignment="1">
      <alignment horizontal="right"/>
    </xf>
    <xf numFmtId="167" fontId="96" fillId="0" borderId="0" xfId="0" applyNumberFormat="1" applyFont="1"/>
    <xf numFmtId="167" fontId="93" fillId="0" borderId="0" xfId="0" applyNumberFormat="1" applyFont="1" applyAlignment="1">
      <alignment wrapText="1"/>
    </xf>
    <xf numFmtId="0" fontId="0" fillId="0" borderId="70" xfId="0" applyBorder="1"/>
    <xf numFmtId="0" fontId="0" fillId="0" borderId="48" xfId="0" applyBorder="1"/>
    <xf numFmtId="0" fontId="0" fillId="0" borderId="72" xfId="0" applyBorder="1"/>
    <xf numFmtId="167" fontId="96" fillId="13" borderId="76" xfId="19" applyNumberFormat="1" applyFont="1" applyFill="1" applyBorder="1" applyProtection="1">
      <protection locked="0"/>
    </xf>
    <xf numFmtId="0" fontId="102" fillId="0" borderId="0" xfId="0" applyFont="1" applyAlignment="1">
      <alignment wrapText="1"/>
    </xf>
    <xf numFmtId="49" fontId="190" fillId="6" borderId="75" xfId="43" applyNumberFormat="1" applyFont="1" applyFill="1" applyBorder="1" applyAlignment="1">
      <alignment horizontal="right" wrapText="1" indent="2"/>
    </xf>
    <xf numFmtId="3" fontId="71" fillId="4" borderId="9" xfId="3" applyNumberFormat="1" applyFont="1" applyFill="1" applyBorder="1"/>
    <xf numFmtId="167" fontId="93" fillId="10" borderId="46" xfId="1" applyNumberFormat="1" applyFont="1" applyFill="1" applyBorder="1" applyProtection="1">
      <protection locked="0"/>
    </xf>
    <xf numFmtId="0" fontId="185" fillId="0" borderId="0" xfId="0" applyFont="1"/>
    <xf numFmtId="0" fontId="230" fillId="0" borderId="0" xfId="0" applyFont="1"/>
    <xf numFmtId="3" fontId="190" fillId="6" borderId="69" xfId="43" applyNumberFormat="1" applyFont="1" applyFill="1" applyBorder="1"/>
    <xf numFmtId="9" fontId="190" fillId="6" borderId="69" xfId="2" applyFont="1" applyFill="1" applyBorder="1" applyAlignment="1">
      <alignment horizontal="right"/>
    </xf>
    <xf numFmtId="49" fontId="139" fillId="6" borderId="68" xfId="43" applyNumberFormat="1" applyFont="1" applyFill="1" applyBorder="1" applyAlignment="1">
      <alignment horizontal="left" indent="1"/>
    </xf>
    <xf numFmtId="3" fontId="139" fillId="0" borderId="69" xfId="3" applyNumberFormat="1" applyFont="1" applyBorder="1"/>
    <xf numFmtId="3" fontId="139" fillId="6" borderId="69" xfId="3" applyNumberFormat="1" applyFont="1" applyFill="1" applyBorder="1"/>
    <xf numFmtId="167" fontId="127" fillId="0" borderId="0" xfId="1" applyNumberFormat="1" applyFont="1" applyFill="1"/>
    <xf numFmtId="173" fontId="113" fillId="0" borderId="0" xfId="1" applyNumberFormat="1" applyFont="1" applyBorder="1"/>
    <xf numFmtId="0" fontId="231" fillId="0" borderId="0" xfId="0" applyFont="1"/>
    <xf numFmtId="167" fontId="127" fillId="0" borderId="0" xfId="0" applyNumberFormat="1" applyFont="1"/>
    <xf numFmtId="0" fontId="75" fillId="69" borderId="0" xfId="0" applyFont="1" applyFill="1" applyAlignment="1">
      <alignment horizontal="right"/>
    </xf>
    <xf numFmtId="0" fontId="75" fillId="18" borderId="0" xfId="0" applyFont="1" applyFill="1"/>
    <xf numFmtId="173" fontId="0" fillId="18" borderId="0" xfId="1" applyNumberFormat="1" applyFont="1" applyFill="1" applyBorder="1"/>
    <xf numFmtId="167" fontId="148" fillId="0" borderId="61" xfId="1" applyNumberFormat="1" applyFont="1" applyBorder="1"/>
    <xf numFmtId="0" fontId="75" fillId="22" borderId="0" xfId="0" applyFont="1" applyFill="1" applyAlignment="1">
      <alignment horizontal="right"/>
    </xf>
    <xf numFmtId="0" fontId="217" fillId="67" borderId="0" xfId="0" applyFont="1" applyFill="1" applyAlignment="1">
      <alignment horizontal="right"/>
    </xf>
    <xf numFmtId="167" fontId="113" fillId="0" borderId="0" xfId="1" applyNumberFormat="1" applyFont="1" applyFill="1" applyBorder="1"/>
    <xf numFmtId="0" fontId="0" fillId="0" borderId="78" xfId="0" applyBorder="1"/>
    <xf numFmtId="0" fontId="0" fillId="0" borderId="67" xfId="0" applyBorder="1"/>
    <xf numFmtId="0" fontId="116" fillId="0" borderId="67" xfId="0" applyFont="1" applyBorder="1" applyAlignment="1">
      <alignment wrapText="1"/>
    </xf>
    <xf numFmtId="167" fontId="116" fillId="0" borderId="67" xfId="1" applyNumberFormat="1" applyFont="1" applyBorder="1"/>
    <xf numFmtId="167" fontId="91" fillId="0" borderId="0" xfId="0" applyNumberFormat="1" applyFont="1"/>
    <xf numFmtId="167" fontId="94" fillId="0" borderId="0" xfId="0" applyNumberFormat="1" applyFont="1"/>
    <xf numFmtId="167" fontId="94" fillId="0" borderId="0" xfId="0" applyNumberFormat="1" applyFont="1" applyAlignment="1">
      <alignment vertical="center"/>
    </xf>
    <xf numFmtId="0" fontId="93" fillId="0" borderId="0" xfId="0" applyFont="1" applyAlignment="1">
      <alignment vertical="center"/>
    </xf>
    <xf numFmtId="0" fontId="0" fillId="0" borderId="79" xfId="0" applyBorder="1"/>
    <xf numFmtId="0" fontId="0" fillId="0" borderId="80" xfId="0" applyBorder="1"/>
    <xf numFmtId="0" fontId="0" fillId="26" borderId="80" xfId="0" applyFill="1" applyBorder="1"/>
    <xf numFmtId="167" fontId="113" fillId="26" borderId="62" xfId="1" applyNumberFormat="1" applyFont="1" applyFill="1" applyBorder="1"/>
    <xf numFmtId="0" fontId="116" fillId="0" borderId="62" xfId="0" applyFont="1" applyBorder="1" applyAlignment="1">
      <alignment horizontal="left" wrapText="1" indent="2"/>
    </xf>
    <xf numFmtId="0" fontId="0" fillId="26" borderId="67" xfId="0" applyFill="1" applyBorder="1"/>
    <xf numFmtId="0" fontId="0" fillId="0" borderId="81" xfId="0" applyBorder="1"/>
    <xf numFmtId="0" fontId="75" fillId="0" borderId="82" xfId="0" applyFont="1" applyBorder="1" applyAlignment="1">
      <alignment horizontal="right"/>
    </xf>
    <xf numFmtId="167" fontId="127" fillId="13" borderId="67" xfId="1" applyNumberFormat="1" applyFont="1" applyFill="1" applyBorder="1" applyAlignment="1">
      <alignment horizontal="center" wrapText="1"/>
    </xf>
    <xf numFmtId="167" fontId="232" fillId="0" borderId="0" xfId="1" applyNumberFormat="1" applyFont="1" applyFill="1" applyBorder="1"/>
    <xf numFmtId="0" fontId="116" fillId="0" borderId="78" xfId="0" applyFont="1" applyBorder="1"/>
    <xf numFmtId="0" fontId="0" fillId="0" borderId="66" xfId="0" applyBorder="1"/>
    <xf numFmtId="3" fontId="116" fillId="0" borderId="0" xfId="0" applyNumberFormat="1" applyFont="1"/>
    <xf numFmtId="173" fontId="116" fillId="0" borderId="0" xfId="1" applyNumberFormat="1" applyFont="1" applyBorder="1"/>
    <xf numFmtId="3" fontId="116" fillId="0" borderId="0" xfId="0" applyNumberFormat="1" applyFont="1" applyAlignment="1">
      <alignment horizontal="right"/>
    </xf>
    <xf numFmtId="173" fontId="127" fillId="69" borderId="0" xfId="1" applyNumberFormat="1" applyFont="1" applyFill="1" applyBorder="1"/>
    <xf numFmtId="173" fontId="127" fillId="18" borderId="0" xfId="1" applyNumberFormat="1" applyFont="1" applyFill="1" applyBorder="1"/>
    <xf numFmtId="0" fontId="128" fillId="0" borderId="0" xfId="0" applyFont="1"/>
    <xf numFmtId="167" fontId="122" fillId="0" borderId="62" xfId="0" applyNumberFormat="1" applyFont="1" applyBorder="1" applyAlignment="1">
      <alignment horizontal="center" wrapText="1"/>
    </xf>
    <xf numFmtId="167" fontId="116" fillId="0" borderId="83" xfId="1" applyNumberFormat="1" applyFont="1" applyBorder="1"/>
    <xf numFmtId="167" fontId="122" fillId="0" borderId="83" xfId="1" applyNumberFormat="1" applyFont="1" applyBorder="1"/>
    <xf numFmtId="0" fontId="0" fillId="6" borderId="79" xfId="0" applyFill="1" applyBorder="1"/>
    <xf numFmtId="0" fontId="0" fillId="6" borderId="84" xfId="0" applyFill="1" applyBorder="1"/>
    <xf numFmtId="0" fontId="173" fillId="6" borderId="85" xfId="0" applyFont="1" applyFill="1" applyBorder="1" applyAlignment="1">
      <alignment horizontal="right"/>
    </xf>
    <xf numFmtId="0" fontId="0" fillId="6" borderId="82" xfId="0" applyFill="1" applyBorder="1" applyAlignment="1">
      <alignment horizontal="right"/>
    </xf>
    <xf numFmtId="167" fontId="127" fillId="31" borderId="83" xfId="1" applyNumberFormat="1" applyFont="1" applyFill="1" applyBorder="1"/>
    <xf numFmtId="167" fontId="127" fillId="31" borderId="62" xfId="0" applyNumberFormat="1" applyFont="1" applyFill="1" applyBorder="1" applyAlignment="1">
      <alignment horizontal="center" wrapText="1"/>
    </xf>
    <xf numFmtId="3" fontId="66" fillId="5" borderId="16" xfId="3" applyNumberFormat="1" applyFont="1" applyFill="1" applyBorder="1"/>
    <xf numFmtId="0" fontId="83" fillId="0" borderId="0" xfId="0" applyFont="1" applyAlignment="1">
      <alignment wrapText="1"/>
    </xf>
    <xf numFmtId="3" fontId="233" fillId="0" borderId="0" xfId="0" applyNumberFormat="1" applyFont="1" applyAlignment="1">
      <alignment horizontal="right"/>
    </xf>
    <xf numFmtId="0" fontId="233" fillId="0" borderId="0" xfId="0" applyFont="1" applyAlignment="1">
      <alignment horizontal="right"/>
    </xf>
    <xf numFmtId="0" fontId="233" fillId="0" borderId="61" xfId="0" applyFont="1" applyBorder="1" applyAlignment="1">
      <alignment horizontal="right"/>
    </xf>
    <xf numFmtId="3" fontId="64" fillId="0" borderId="0" xfId="3" applyNumberFormat="1" applyFont="1" applyAlignment="1">
      <alignment horizontal="right"/>
    </xf>
    <xf numFmtId="167" fontId="189" fillId="0" borderId="0" xfId="1" applyNumberFormat="1" applyFont="1"/>
    <xf numFmtId="174" fontId="111" fillId="0" borderId="0" xfId="0" applyNumberFormat="1" applyFont="1"/>
    <xf numFmtId="167" fontId="184" fillId="0" borderId="62" xfId="1" applyNumberFormat="1" applyFont="1" applyBorder="1"/>
    <xf numFmtId="0" fontId="116" fillId="0" borderId="66" xfId="0" applyFont="1" applyBorder="1" applyAlignment="1">
      <alignment wrapText="1"/>
    </xf>
    <xf numFmtId="0" fontId="0" fillId="0" borderId="87" xfId="0" applyBorder="1"/>
    <xf numFmtId="0" fontId="116" fillId="0" borderId="67" xfId="0" applyFont="1" applyBorder="1"/>
    <xf numFmtId="167" fontId="127" fillId="13" borderId="0" xfId="1" applyNumberFormat="1" applyFont="1" applyFill="1" applyBorder="1"/>
    <xf numFmtId="0" fontId="75" fillId="0" borderId="0" xfId="0" applyFont="1" applyAlignment="1">
      <alignment horizontal="right" wrapText="1"/>
    </xf>
    <xf numFmtId="9" fontId="94" fillId="0" borderId="0" xfId="2" applyFont="1" applyAlignment="1">
      <alignment horizontal="left"/>
    </xf>
    <xf numFmtId="173" fontId="132" fillId="0" borderId="0" xfId="1" applyNumberFormat="1" applyFont="1"/>
    <xf numFmtId="167" fontId="189" fillId="0" borderId="0" xfId="1" applyNumberFormat="1" applyFont="1" applyFill="1" applyBorder="1" applyAlignment="1">
      <alignment horizontal="right"/>
    </xf>
    <xf numFmtId="167" fontId="116" fillId="0" borderId="67" xfId="1" applyNumberFormat="1" applyFont="1" applyFill="1" applyBorder="1"/>
    <xf numFmtId="167" fontId="116" fillId="0" borderId="66" xfId="1" applyNumberFormat="1" applyFont="1" applyBorder="1"/>
    <xf numFmtId="167" fontId="116" fillId="0" borderId="66" xfId="1" applyNumberFormat="1" applyFont="1" applyFill="1" applyBorder="1"/>
    <xf numFmtId="167" fontId="116" fillId="0" borderId="67" xfId="1" applyNumberFormat="1" applyFont="1" applyFill="1" applyBorder="1" applyAlignment="1">
      <alignment wrapText="1"/>
    </xf>
    <xf numFmtId="167" fontId="116" fillId="0" borderId="62" xfId="1" applyNumberFormat="1" applyFont="1" applyFill="1" applyBorder="1" applyAlignment="1">
      <alignment wrapText="1"/>
    </xf>
    <xf numFmtId="49" fontId="62" fillId="0" borderId="59" xfId="43" applyNumberFormat="1" applyFont="1" applyBorder="1" applyAlignment="1">
      <alignment horizontal="right" wrapText="1" indent="2"/>
    </xf>
    <xf numFmtId="9" fontId="117" fillId="0" borderId="9" xfId="2" applyFont="1" applyFill="1" applyBorder="1" applyAlignment="1">
      <alignment horizontal="right"/>
    </xf>
    <xf numFmtId="49" fontId="0" fillId="0" borderId="0" xfId="0" applyNumberFormat="1" applyAlignment="1">
      <alignment wrapText="1"/>
    </xf>
    <xf numFmtId="49" fontId="113" fillId="0" borderId="0" xfId="0" applyNumberFormat="1" applyFont="1" applyAlignment="1">
      <alignment wrapText="1"/>
    </xf>
    <xf numFmtId="49" fontId="193" fillId="0" borderId="0" xfId="0" applyNumberFormat="1" applyFont="1" applyAlignment="1">
      <alignment wrapText="1"/>
    </xf>
    <xf numFmtId="49" fontId="117" fillId="6" borderId="8" xfId="43" applyNumberFormat="1" applyFont="1" applyFill="1" applyBorder="1" applyAlignment="1">
      <alignment horizontal="right" wrapText="1" indent="2"/>
    </xf>
    <xf numFmtId="0" fontId="119" fillId="0" borderId="0" xfId="0" applyFont="1" applyAlignment="1">
      <alignment wrapText="1"/>
    </xf>
    <xf numFmtId="0" fontId="116" fillId="0" borderId="66" xfId="0" applyFont="1" applyBorder="1"/>
    <xf numFmtId="167" fontId="0" fillId="0" borderId="0" xfId="1" applyNumberFormat="1" applyFont="1" applyAlignment="1">
      <alignment horizontal="right"/>
    </xf>
    <xf numFmtId="167" fontId="127" fillId="12" borderId="0" xfId="0" applyNumberFormat="1" applyFont="1" applyFill="1"/>
    <xf numFmtId="0" fontId="0" fillId="6" borderId="90" xfId="0" applyFill="1" applyBorder="1"/>
    <xf numFmtId="0" fontId="0" fillId="6" borderId="91" xfId="0" applyFill="1" applyBorder="1"/>
    <xf numFmtId="0" fontId="0" fillId="6" borderId="77" xfId="0" applyFill="1" applyBorder="1"/>
    <xf numFmtId="0" fontId="235" fillId="6" borderId="82" xfId="0" applyFont="1" applyFill="1" applyBorder="1" applyAlignment="1">
      <alignment horizontal="right"/>
    </xf>
    <xf numFmtId="167" fontId="235" fillId="0" borderId="83" xfId="1" applyNumberFormat="1" applyFont="1" applyBorder="1"/>
    <xf numFmtId="0" fontId="235" fillId="0" borderId="0" xfId="0" applyFont="1"/>
    <xf numFmtId="167" fontId="235" fillId="0" borderId="62" xfId="1" applyNumberFormat="1" applyFont="1" applyBorder="1"/>
    <xf numFmtId="0" fontId="173" fillId="0" borderId="0" xfId="0" applyFont="1" applyAlignment="1">
      <alignment horizontal="right"/>
    </xf>
    <xf numFmtId="167" fontId="122" fillId="0" borderId="0" xfId="1" applyNumberFormat="1" applyFont="1" applyFill="1" applyBorder="1"/>
    <xf numFmtId="167" fontId="122" fillId="0" borderId="0" xfId="0" applyNumberFormat="1" applyFont="1" applyAlignment="1">
      <alignment horizontal="center" wrapText="1"/>
    </xf>
    <xf numFmtId="173" fontId="233" fillId="0" borderId="0" xfId="1" applyNumberFormat="1" applyFont="1" applyBorder="1"/>
    <xf numFmtId="0" fontId="219" fillId="0" borderId="0" xfId="0" applyFont="1" applyAlignment="1">
      <alignment horizontal="right"/>
    </xf>
    <xf numFmtId="0" fontId="91" fillId="0" borderId="0" xfId="0" applyFont="1" applyAlignment="1">
      <alignment horizontal="right"/>
    </xf>
    <xf numFmtId="0" fontId="94" fillId="0" borderId="61" xfId="0" applyFont="1" applyBorder="1" applyAlignment="1">
      <alignment horizontal="right"/>
    </xf>
    <xf numFmtId="0" fontId="75" fillId="18" borderId="0" xfId="0" applyFont="1" applyFill="1" applyAlignment="1">
      <alignment horizontal="right"/>
    </xf>
    <xf numFmtId="167" fontId="75" fillId="0" borderId="0" xfId="1" applyNumberFormat="1" applyFont="1" applyBorder="1"/>
    <xf numFmtId="180" fontId="127" fillId="67" borderId="0" xfId="1" applyNumberFormat="1" applyFont="1" applyFill="1" applyBorder="1"/>
    <xf numFmtId="0" fontId="66" fillId="0" borderId="86" xfId="43" applyFont="1" applyBorder="1" applyAlignment="1">
      <alignment horizontal="center" vertical="center"/>
    </xf>
    <xf numFmtId="0" fontId="66" fillId="0" borderId="86" xfId="43" applyFont="1" applyBorder="1" applyAlignment="1">
      <alignment horizontal="center" vertical="center" wrapText="1"/>
    </xf>
    <xf numFmtId="0" fontId="70" fillId="0" borderId="86" xfId="7" applyFont="1" applyBorder="1" applyAlignment="1">
      <alignment horizontal="center" vertical="center" wrapText="1"/>
    </xf>
    <xf numFmtId="0" fontId="66" fillId="0" borderId="86" xfId="7" applyFont="1" applyBorder="1" applyAlignment="1">
      <alignment horizontal="center" vertical="center" wrapText="1"/>
    </xf>
    <xf numFmtId="43" fontId="66" fillId="0" borderId="86" xfId="1" applyFont="1" applyBorder="1" applyAlignment="1">
      <alignment horizontal="center" vertical="center" wrapText="1"/>
    </xf>
    <xf numFmtId="49" fontId="139" fillId="6" borderId="86" xfId="43" applyNumberFormat="1" applyFont="1" applyFill="1" applyBorder="1" applyAlignment="1">
      <alignment horizontal="left" indent="1"/>
    </xf>
    <xf numFmtId="3" fontId="139" fillId="6" borderId="86" xfId="3" applyNumberFormat="1" applyFont="1" applyFill="1" applyBorder="1"/>
    <xf numFmtId="3" fontId="69" fillId="6" borderId="86" xfId="3" applyNumberFormat="1" applyFont="1" applyFill="1" applyBorder="1"/>
    <xf numFmtId="3" fontId="139" fillId="6" borderId="86" xfId="43" applyNumberFormat="1" applyFont="1" applyFill="1" applyBorder="1"/>
    <xf numFmtId="9" fontId="139" fillId="6" borderId="86" xfId="2" applyFont="1" applyFill="1" applyBorder="1" applyAlignment="1">
      <alignment horizontal="right"/>
    </xf>
    <xf numFmtId="49" fontId="147" fillId="6" borderId="86" xfId="43" applyNumberFormat="1" applyFont="1" applyFill="1" applyBorder="1" applyAlignment="1">
      <alignment horizontal="left" indent="1"/>
    </xf>
    <xf numFmtId="3" fontId="147" fillId="6" borderId="86" xfId="3" applyNumberFormat="1" applyFont="1" applyFill="1" applyBorder="1"/>
    <xf numFmtId="3" fontId="63" fillId="6" borderId="86" xfId="3" applyNumberFormat="1" applyFont="1" applyFill="1" applyBorder="1"/>
    <xf numFmtId="3" fontId="147" fillId="6" borderId="86" xfId="43" applyNumberFormat="1" applyFont="1" applyFill="1" applyBorder="1"/>
    <xf numFmtId="9" fontId="147" fillId="6" borderId="86" xfId="2" applyFont="1" applyFill="1" applyBorder="1" applyAlignment="1">
      <alignment horizontal="right"/>
    </xf>
    <xf numFmtId="49" fontId="177" fillId="6" borderId="86" xfId="43" applyNumberFormat="1" applyFont="1" applyFill="1" applyBorder="1" applyAlignment="1">
      <alignment horizontal="left" indent="1"/>
    </xf>
    <xf numFmtId="3" fontId="177" fillId="6" borderId="86" xfId="3" applyNumberFormat="1" applyFont="1" applyFill="1" applyBorder="1"/>
    <xf numFmtId="3" fontId="141" fillId="6" borderId="86" xfId="3" applyNumberFormat="1" applyFont="1" applyFill="1" applyBorder="1"/>
    <xf numFmtId="3" fontId="177" fillId="6" borderId="86" xfId="43" applyNumberFormat="1" applyFont="1" applyFill="1" applyBorder="1"/>
    <xf numFmtId="9" fontId="177" fillId="6" borderId="86" xfId="2" applyFont="1" applyFill="1" applyBorder="1" applyAlignment="1">
      <alignment horizontal="right"/>
    </xf>
    <xf numFmtId="49" fontId="74" fillId="0" borderId="0" xfId="0" applyNumberFormat="1" applyFont="1"/>
    <xf numFmtId="0" fontId="226" fillId="0" borderId="0" xfId="0" applyFont="1"/>
    <xf numFmtId="0" fontId="62" fillId="0" borderId="0" xfId="0" quotePrefix="1" applyFont="1"/>
    <xf numFmtId="167" fontId="63" fillId="0" borderId="0" xfId="1" quotePrefix="1" applyNumberFormat="1" applyFont="1"/>
    <xf numFmtId="43" fontId="62" fillId="0" borderId="0" xfId="1" applyFont="1" applyAlignment="1">
      <alignment wrapText="1"/>
    </xf>
    <xf numFmtId="0" fontId="74" fillId="0" borderId="0" xfId="0" applyFont="1" applyAlignment="1">
      <alignment wrapText="1"/>
    </xf>
    <xf numFmtId="0" fontId="74" fillId="0" borderId="86" xfId="0" applyFont="1" applyBorder="1" applyAlignment="1">
      <alignment horizontal="center"/>
    </xf>
    <xf numFmtId="0" fontId="74" fillId="0" borderId="86" xfId="0" applyFont="1" applyBorder="1"/>
    <xf numFmtId="43" fontId="236" fillId="0" borderId="0" xfId="1" applyFont="1" applyAlignment="1">
      <alignment wrapText="1"/>
    </xf>
    <xf numFmtId="43" fontId="62" fillId="0" borderId="0" xfId="1" applyFont="1" applyAlignment="1">
      <alignment horizontal="left" wrapText="1"/>
    </xf>
    <xf numFmtId="43" fontId="63" fillId="0" borderId="0" xfId="1" applyFont="1" applyAlignment="1">
      <alignment wrapText="1"/>
    </xf>
    <xf numFmtId="0" fontId="226" fillId="0" borderId="86" xfId="0" applyFont="1" applyBorder="1" applyAlignment="1">
      <alignment horizontal="right"/>
    </xf>
    <xf numFmtId="49" fontId="66" fillId="5" borderId="14" xfId="43" applyNumberFormat="1" applyFont="1" applyFill="1" applyBorder="1" applyAlignment="1">
      <alignment horizontal="center"/>
    </xf>
    <xf numFmtId="49" fontId="139" fillId="6" borderId="7" xfId="43" applyNumberFormat="1" applyFont="1" applyFill="1" applyBorder="1" applyAlignment="1">
      <alignment horizontal="center"/>
    </xf>
    <xf numFmtId="49" fontId="139" fillId="6" borderId="26" xfId="43" applyNumberFormat="1" applyFont="1" applyFill="1" applyBorder="1" applyAlignment="1">
      <alignment horizontal="center"/>
    </xf>
    <xf numFmtId="49" fontId="147" fillId="6" borderId="42" xfId="43" applyNumberFormat="1" applyFont="1" applyFill="1" applyBorder="1" applyAlignment="1">
      <alignment horizontal="center"/>
    </xf>
    <xf numFmtId="49" fontId="147" fillId="6" borderId="49" xfId="43" applyNumberFormat="1" applyFont="1" applyFill="1" applyBorder="1" applyAlignment="1">
      <alignment horizontal="center"/>
    </xf>
    <xf numFmtId="49" fontId="66" fillId="5" borderId="7" xfId="43" applyNumberFormat="1" applyFont="1" applyFill="1" applyBorder="1" applyAlignment="1">
      <alignment horizontal="center"/>
    </xf>
    <xf numFmtId="49" fontId="62" fillId="6" borderId="7" xfId="43" applyNumberFormat="1" applyFont="1" applyFill="1" applyBorder="1" applyAlignment="1">
      <alignment horizontal="center"/>
    </xf>
    <xf numFmtId="49" fontId="62" fillId="6" borderId="26" xfId="43" applyNumberFormat="1" applyFont="1" applyFill="1" applyBorder="1" applyAlignment="1">
      <alignment horizontal="center"/>
    </xf>
    <xf numFmtId="49" fontId="63" fillId="6" borderId="68" xfId="43" applyNumberFormat="1" applyFont="1" applyFill="1" applyBorder="1" applyAlignment="1">
      <alignment horizontal="center"/>
    </xf>
    <xf numFmtId="49" fontId="190" fillId="6" borderId="7" xfId="43" applyNumberFormat="1" applyFont="1" applyFill="1" applyBorder="1" applyAlignment="1">
      <alignment horizontal="center"/>
    </xf>
    <xf numFmtId="49" fontId="72" fillId="6" borderId="52" xfId="43" applyNumberFormat="1" applyFont="1" applyFill="1" applyBorder="1" applyAlignment="1">
      <alignment horizontal="center"/>
    </xf>
    <xf numFmtId="49" fontId="139" fillId="6" borderId="68" xfId="43" applyNumberFormat="1" applyFont="1" applyFill="1" applyBorder="1" applyAlignment="1">
      <alignment horizontal="center"/>
    </xf>
    <xf numFmtId="49" fontId="190" fillId="6" borderId="26" xfId="43" applyNumberFormat="1" applyFont="1" applyFill="1" applyBorder="1" applyAlignment="1">
      <alignment horizontal="center"/>
    </xf>
    <xf numFmtId="49" fontId="147" fillId="6" borderId="7" xfId="43" applyNumberFormat="1" applyFont="1" applyFill="1" applyBorder="1" applyAlignment="1">
      <alignment horizontal="center"/>
    </xf>
    <xf numFmtId="49" fontId="147" fillId="6" borderId="26" xfId="43" applyNumberFormat="1" applyFont="1" applyFill="1" applyBorder="1" applyAlignment="1">
      <alignment horizontal="center"/>
    </xf>
    <xf numFmtId="49" fontId="175" fillId="6" borderId="26" xfId="43" applyNumberFormat="1" applyFont="1" applyFill="1" applyBorder="1" applyAlignment="1">
      <alignment horizontal="center"/>
    </xf>
    <xf numFmtId="49" fontId="192" fillId="6" borderId="7" xfId="43" applyNumberFormat="1" applyFont="1" applyFill="1" applyBorder="1" applyAlignment="1">
      <alignment horizontal="center"/>
    </xf>
    <xf numFmtId="0" fontId="74" fillId="0" borderId="65" xfId="0" applyFont="1" applyBorder="1"/>
    <xf numFmtId="49" fontId="74" fillId="0" borderId="65" xfId="0" applyNumberFormat="1" applyFont="1" applyBorder="1"/>
    <xf numFmtId="0" fontId="75" fillId="0" borderId="48" xfId="0" applyFont="1" applyBorder="1" applyAlignment="1">
      <alignment horizontal="right"/>
    </xf>
    <xf numFmtId="173" fontId="116" fillId="0" borderId="18" xfId="1" applyNumberFormat="1" applyFont="1" applyBorder="1"/>
    <xf numFmtId="0" fontId="75" fillId="69" borderId="48" xfId="0" applyFont="1" applyFill="1" applyBorder="1" applyAlignment="1">
      <alignment horizontal="right"/>
    </xf>
    <xf numFmtId="49" fontId="127" fillId="69" borderId="18" xfId="1" applyNumberFormat="1" applyFont="1" applyFill="1" applyBorder="1" applyAlignment="1">
      <alignment horizontal="right"/>
    </xf>
    <xf numFmtId="0" fontId="75" fillId="18" borderId="48" xfId="0" applyFont="1" applyFill="1" applyBorder="1" applyAlignment="1">
      <alignment horizontal="right"/>
    </xf>
    <xf numFmtId="0" fontId="75" fillId="0" borderId="48" xfId="0" applyFont="1" applyBorder="1"/>
    <xf numFmtId="173" fontId="113" fillId="0" borderId="18" xfId="1" applyNumberFormat="1" applyFont="1" applyBorder="1"/>
    <xf numFmtId="0" fontId="75" fillId="18" borderId="48" xfId="0" applyFont="1" applyFill="1" applyBorder="1"/>
    <xf numFmtId="0" fontId="75" fillId="22" borderId="48" xfId="0" applyFont="1" applyFill="1" applyBorder="1" applyAlignment="1">
      <alignment horizontal="right"/>
    </xf>
    <xf numFmtId="0" fontId="219" fillId="0" borderId="48" xfId="0" applyFont="1" applyBorder="1" applyAlignment="1">
      <alignment horizontal="right"/>
    </xf>
    <xf numFmtId="173" fontId="233" fillId="0" borderId="18" xfId="1" applyNumberFormat="1" applyFont="1" applyBorder="1"/>
    <xf numFmtId="0" fontId="233" fillId="0" borderId="48" xfId="0" applyFont="1" applyBorder="1" applyAlignment="1">
      <alignment horizontal="right"/>
    </xf>
    <xf numFmtId="0" fontId="217" fillId="67" borderId="73" xfId="0" applyFont="1" applyFill="1" applyBorder="1" applyAlignment="1">
      <alignment horizontal="right"/>
    </xf>
    <xf numFmtId="49" fontId="232" fillId="23" borderId="92" xfId="1" applyNumberFormat="1" applyFont="1" applyFill="1" applyBorder="1"/>
    <xf numFmtId="3" fontId="116" fillId="0" borderId="72" xfId="0" applyNumberFormat="1" applyFont="1" applyBorder="1"/>
    <xf numFmtId="3" fontId="116" fillId="0" borderId="72" xfId="0" applyNumberFormat="1" applyFont="1" applyBorder="1" applyAlignment="1">
      <alignment horizontal="right"/>
    </xf>
    <xf numFmtId="173" fontId="127" fillId="69" borderId="72" xfId="1" applyNumberFormat="1" applyFont="1" applyFill="1" applyBorder="1"/>
    <xf numFmtId="173" fontId="0" fillId="0" borderId="72" xfId="1" applyNumberFormat="1" applyFont="1" applyBorder="1"/>
    <xf numFmtId="173" fontId="0" fillId="18" borderId="72" xfId="1" applyNumberFormat="1" applyFont="1" applyFill="1" applyBorder="1"/>
    <xf numFmtId="0" fontId="132" fillId="0" borderId="72" xfId="0" applyFont="1" applyBorder="1"/>
    <xf numFmtId="0" fontId="208" fillId="67" borderId="60" xfId="0" applyFont="1" applyFill="1" applyBorder="1"/>
    <xf numFmtId="0" fontId="75" fillId="0" borderId="86" xfId="0" applyFont="1" applyBorder="1" applyAlignment="1">
      <alignment horizontal="right"/>
    </xf>
    <xf numFmtId="0" fontId="75" fillId="0" borderId="89" xfId="0" applyFont="1" applyBorder="1" applyAlignment="1">
      <alignment horizontal="right"/>
    </xf>
    <xf numFmtId="49" fontId="152" fillId="0" borderId="0" xfId="0" applyNumberFormat="1" applyFont="1"/>
    <xf numFmtId="0" fontId="0" fillId="0" borderId="72" xfId="0" applyBorder="1" applyAlignment="1">
      <alignment horizontal="right"/>
    </xf>
    <xf numFmtId="0" fontId="0" fillId="18" borderId="72" xfId="0" applyFill="1" applyBorder="1"/>
    <xf numFmtId="0" fontId="0" fillId="0" borderId="48" xfId="0" applyBorder="1" applyAlignment="1">
      <alignment horizontal="right"/>
    </xf>
    <xf numFmtId="0" fontId="0" fillId="22" borderId="72" xfId="0" applyFill="1" applyBorder="1" applyAlignment="1">
      <alignment horizontal="right"/>
    </xf>
    <xf numFmtId="0" fontId="0" fillId="0" borderId="18" xfId="0" applyBorder="1"/>
    <xf numFmtId="0" fontId="74" fillId="0" borderId="0" xfId="0" applyFont="1" applyAlignment="1">
      <alignment horizontal="left"/>
    </xf>
    <xf numFmtId="0" fontId="232" fillId="0" borderId="0" xfId="0" applyFont="1"/>
    <xf numFmtId="0" fontId="93" fillId="10" borderId="93" xfId="0" applyFont="1" applyFill="1" applyBorder="1"/>
    <xf numFmtId="167" fontId="116" fillId="0" borderId="87" xfId="1" applyNumberFormat="1" applyFont="1" applyFill="1" applyBorder="1"/>
    <xf numFmtId="167" fontId="113" fillId="0" borderId="87" xfId="1" applyNumberFormat="1" applyFont="1" applyBorder="1"/>
    <xf numFmtId="0" fontId="208" fillId="0" borderId="0" xfId="0" applyFont="1"/>
    <xf numFmtId="0" fontId="208" fillId="11" borderId="0" xfId="0" applyFont="1" applyFill="1"/>
    <xf numFmtId="0" fontId="101" fillId="0" borderId="0" xfId="0" applyFont="1"/>
    <xf numFmtId="167" fontId="194" fillId="26" borderId="0" xfId="1" applyNumberFormat="1" applyFont="1" applyFill="1" applyBorder="1"/>
    <xf numFmtId="173" fontId="0" fillId="0" borderId="0" xfId="0" applyNumberFormat="1"/>
    <xf numFmtId="0" fontId="62" fillId="15" borderId="8" xfId="43" applyFont="1" applyFill="1" applyBorder="1" applyAlignment="1">
      <alignment horizontal="left" wrapText="1" indent="2"/>
    </xf>
    <xf numFmtId="3" fontId="62" fillId="15" borderId="43" xfId="43" applyNumberFormat="1" applyFont="1" applyFill="1" applyBorder="1"/>
    <xf numFmtId="9" fontId="62" fillId="15" borderId="43" xfId="2" applyFont="1" applyFill="1" applyBorder="1" applyAlignment="1">
      <alignment horizontal="right"/>
    </xf>
    <xf numFmtId="0" fontId="62" fillId="15" borderId="59" xfId="43" applyFont="1" applyFill="1" applyBorder="1" applyAlignment="1">
      <alignment horizontal="left" wrapText="1" indent="2"/>
    </xf>
    <xf numFmtId="3" fontId="62" fillId="15" borderId="44" xfId="43" applyNumberFormat="1" applyFont="1" applyFill="1" applyBorder="1"/>
    <xf numFmtId="9" fontId="62" fillId="15" borderId="44" xfId="2" applyFont="1" applyFill="1" applyBorder="1" applyAlignment="1">
      <alignment horizontal="right"/>
    </xf>
    <xf numFmtId="167" fontId="112" fillId="10" borderId="0" xfId="19" applyNumberFormat="1" applyFont="1" applyFill="1"/>
    <xf numFmtId="0" fontId="95" fillId="10" borderId="0" xfId="0" applyFont="1" applyFill="1" applyAlignment="1">
      <alignment horizontal="center"/>
    </xf>
    <xf numFmtId="0" fontId="95" fillId="10" borderId="0" xfId="0" applyFont="1" applyFill="1" applyAlignment="1">
      <alignment horizontal="left" vertical="center" wrapText="1"/>
    </xf>
    <xf numFmtId="167" fontId="96" fillId="10" borderId="0" xfId="1" applyNumberFormat="1" applyFont="1" applyFill="1" applyBorder="1" applyProtection="1">
      <protection locked="0"/>
    </xf>
    <xf numFmtId="167" fontId="93" fillId="10" borderId="0" xfId="1" applyNumberFormat="1" applyFont="1" applyFill="1" applyBorder="1"/>
    <xf numFmtId="0" fontId="95" fillId="10" borderId="93" xfId="0" applyFont="1" applyFill="1" applyBorder="1" applyAlignment="1">
      <alignment horizontal="center"/>
    </xf>
    <xf numFmtId="0" fontId="95" fillId="10" borderId="93" xfId="0" applyFont="1" applyFill="1" applyBorder="1" applyAlignment="1">
      <alignment horizontal="left" vertical="center" wrapText="1"/>
    </xf>
    <xf numFmtId="167" fontId="96" fillId="10" borderId="93" xfId="1" applyNumberFormat="1" applyFont="1" applyFill="1" applyBorder="1" applyProtection="1">
      <protection locked="0"/>
    </xf>
    <xf numFmtId="167" fontId="93" fillId="10" borderId="93" xfId="1" applyNumberFormat="1" applyFont="1" applyFill="1" applyBorder="1" applyProtection="1">
      <protection locked="0"/>
    </xf>
    <xf numFmtId="167" fontId="93" fillId="10" borderId="94" xfId="1" applyNumberFormat="1" applyFont="1" applyFill="1" applyBorder="1"/>
    <xf numFmtId="0" fontId="95" fillId="10" borderId="46" xfId="0" applyFont="1" applyFill="1" applyBorder="1" applyAlignment="1">
      <alignment horizontal="center"/>
    </xf>
    <xf numFmtId="167" fontId="96" fillId="10" borderId="46" xfId="1" applyNumberFormat="1" applyFont="1" applyFill="1" applyBorder="1" applyProtection="1">
      <protection locked="0"/>
    </xf>
    <xf numFmtId="167" fontId="93" fillId="10" borderId="95" xfId="1" applyNumberFormat="1" applyFont="1" applyFill="1" applyBorder="1"/>
    <xf numFmtId="0" fontId="83" fillId="0" borderId="96" xfId="0" applyFont="1" applyBorder="1"/>
    <xf numFmtId="0" fontId="83" fillId="0" borderId="96" xfId="0" applyFont="1" applyBorder="1" applyAlignment="1">
      <alignment horizontal="center"/>
    </xf>
    <xf numFmtId="0" fontId="83" fillId="0" borderId="96" xfId="0" applyFont="1" applyBorder="1" applyAlignment="1">
      <alignment horizontal="left" vertical="center" wrapText="1"/>
    </xf>
    <xf numFmtId="167" fontId="231" fillId="14" borderId="97" xfId="19" applyNumberFormat="1" applyFont="1" applyFill="1" applyBorder="1" applyProtection="1">
      <protection locked="0"/>
    </xf>
    <xf numFmtId="167" fontId="81" fillId="14" borderId="97" xfId="19" applyNumberFormat="1" applyFont="1" applyFill="1" applyBorder="1" applyProtection="1">
      <protection locked="0"/>
    </xf>
    <xf numFmtId="167" fontId="83" fillId="13" borderId="97" xfId="19" applyNumberFormat="1" applyFont="1" applyFill="1" applyBorder="1" applyProtection="1">
      <protection locked="0"/>
    </xf>
    <xf numFmtId="167" fontId="83" fillId="14" borderId="97" xfId="19" applyNumberFormat="1" applyFont="1" applyFill="1" applyBorder="1" applyProtection="1">
      <protection locked="0"/>
    </xf>
    <xf numFmtId="0" fontId="93" fillId="10" borderId="96" xfId="0" applyFont="1" applyFill="1" applyBorder="1"/>
    <xf numFmtId="0" fontId="93" fillId="10" borderId="96" xfId="0" applyFont="1" applyFill="1" applyBorder="1" applyAlignment="1">
      <alignment horizontal="center"/>
    </xf>
    <xf numFmtId="0" fontId="95" fillId="10" borderId="96" xfId="0" applyFont="1" applyFill="1" applyBorder="1" applyAlignment="1">
      <alignment horizontal="right" vertical="center" wrapText="1"/>
    </xf>
    <xf numFmtId="167" fontId="214" fillId="10" borderId="0" xfId="19" applyNumberFormat="1" applyFont="1" applyFill="1"/>
    <xf numFmtId="0" fontId="95" fillId="10" borderId="96" xfId="0" applyFont="1" applyFill="1" applyBorder="1" applyAlignment="1">
      <alignment horizontal="center"/>
    </xf>
    <xf numFmtId="0" fontId="95" fillId="10" borderId="96" xfId="0" applyFont="1" applyFill="1" applyBorder="1" applyAlignment="1">
      <alignment horizontal="left" vertical="center" wrapText="1"/>
    </xf>
    <xf numFmtId="167" fontId="96" fillId="10" borderId="96" xfId="1" applyNumberFormat="1" applyFont="1" applyFill="1" applyBorder="1" applyProtection="1">
      <protection locked="0"/>
    </xf>
    <xf numFmtId="167" fontId="93" fillId="10" borderId="96" xfId="1" applyNumberFormat="1" applyFont="1" applyFill="1" applyBorder="1" applyProtection="1">
      <protection locked="0"/>
    </xf>
    <xf numFmtId="167" fontId="240" fillId="14" borderId="97" xfId="19" applyNumberFormat="1" applyFont="1" applyFill="1" applyBorder="1" applyProtection="1">
      <protection locked="0"/>
    </xf>
    <xf numFmtId="0" fontId="83" fillId="0" borderId="96" xfId="0" quotePrefix="1" applyFont="1" applyBorder="1"/>
    <xf numFmtId="167" fontId="86" fillId="14" borderId="97" xfId="19" applyNumberFormat="1" applyFont="1" applyFill="1" applyBorder="1" applyProtection="1">
      <protection locked="0"/>
    </xf>
    <xf numFmtId="0" fontId="91" fillId="0" borderId="96" xfId="0" applyFont="1" applyBorder="1" applyAlignment="1">
      <alignment horizontal="center"/>
    </xf>
    <xf numFmtId="0" fontId="91" fillId="0" borderId="96" xfId="0" applyFont="1" applyBorder="1" applyAlignment="1">
      <alignment horizontal="left" vertical="center" wrapText="1"/>
    </xf>
    <xf numFmtId="0" fontId="94" fillId="10" borderId="96" xfId="0" applyFont="1" applyFill="1" applyBorder="1"/>
    <xf numFmtId="0" fontId="94" fillId="10" borderId="96" xfId="0" applyFont="1" applyFill="1" applyBorder="1" applyAlignment="1">
      <alignment horizontal="center"/>
    </xf>
    <xf numFmtId="0" fontId="94" fillId="10" borderId="96" xfId="0" applyFont="1" applyFill="1" applyBorder="1" applyAlignment="1">
      <alignment horizontal="right" vertical="center" wrapText="1"/>
    </xf>
    <xf numFmtId="0" fontId="83" fillId="0" borderId="96" xfId="274" applyFont="1" applyBorder="1"/>
    <xf numFmtId="0" fontId="83" fillId="0" borderId="96" xfId="274" applyFont="1" applyBorder="1" applyAlignment="1">
      <alignment horizontal="center"/>
    </xf>
    <xf numFmtId="0" fontId="83" fillId="0" borderId="96" xfId="274" applyFont="1" applyBorder="1" applyAlignment="1">
      <alignment horizontal="left" vertical="center" wrapText="1"/>
    </xf>
    <xf numFmtId="167" fontId="92" fillId="0" borderId="0" xfId="274" applyNumberFormat="1" applyFont="1"/>
    <xf numFmtId="0" fontId="92" fillId="0" borderId="0" xfId="274" applyFont="1"/>
    <xf numFmtId="0" fontId="67" fillId="0" borderId="0" xfId="274"/>
    <xf numFmtId="0" fontId="93" fillId="10" borderId="96" xfId="274" applyFont="1" applyFill="1" applyBorder="1"/>
    <xf numFmtId="0" fontId="93" fillId="10" borderId="96" xfId="274" applyFont="1" applyFill="1" applyBorder="1" applyAlignment="1">
      <alignment horizontal="center"/>
    </xf>
    <xf numFmtId="0" fontId="95" fillId="10" borderId="96" xfId="274" applyFont="1" applyFill="1" applyBorder="1" applyAlignment="1">
      <alignment horizontal="right" vertical="center" wrapText="1"/>
    </xf>
    <xf numFmtId="0" fontId="93" fillId="10" borderId="0" xfId="274" applyFont="1" applyFill="1"/>
    <xf numFmtId="0" fontId="95" fillId="10" borderId="96" xfId="274" applyFont="1" applyFill="1" applyBorder="1" applyAlignment="1">
      <alignment horizontal="center"/>
    </xf>
    <xf numFmtId="0" fontId="95" fillId="10" borderId="96" xfId="274" applyFont="1" applyFill="1" applyBorder="1" applyAlignment="1">
      <alignment horizontal="left" vertical="center" wrapText="1"/>
    </xf>
    <xf numFmtId="167" fontId="96" fillId="10" borderId="96" xfId="275" applyNumberFormat="1" applyFont="1" applyFill="1" applyBorder="1" applyProtection="1">
      <protection locked="0"/>
    </xf>
    <xf numFmtId="167" fontId="93" fillId="10" borderId="96" xfId="275" applyNumberFormat="1" applyFont="1" applyFill="1" applyBorder="1" applyProtection="1">
      <protection locked="0"/>
    </xf>
    <xf numFmtId="167" fontId="93" fillId="10" borderId="95" xfId="275" applyNumberFormat="1" applyFont="1" applyFill="1" applyBorder="1"/>
    <xf numFmtId="0" fontId="95" fillId="10" borderId="0" xfId="274" applyFont="1" applyFill="1" applyAlignment="1">
      <alignment horizontal="center"/>
    </xf>
    <xf numFmtId="0" fontId="95" fillId="10" borderId="0" xfId="274" applyFont="1" applyFill="1" applyAlignment="1">
      <alignment horizontal="left" vertical="center" wrapText="1"/>
    </xf>
    <xf numFmtId="167" fontId="96" fillId="10" borderId="0" xfId="275" applyNumberFormat="1" applyFont="1" applyFill="1" applyBorder="1" applyProtection="1">
      <protection locked="0"/>
    </xf>
    <xf numFmtId="167" fontId="93" fillId="10" borderId="0" xfId="275" applyNumberFormat="1" applyFont="1" applyFill="1" applyBorder="1" applyProtection="1">
      <protection locked="0"/>
    </xf>
    <xf numFmtId="167" fontId="93" fillId="10" borderId="0" xfId="275" applyNumberFormat="1" applyFont="1" applyFill="1" applyBorder="1"/>
    <xf numFmtId="0" fontId="93" fillId="10" borderId="46" xfId="274" applyFont="1" applyFill="1" applyBorder="1"/>
    <xf numFmtId="0" fontId="95" fillId="10" borderId="46" xfId="274" applyFont="1" applyFill="1" applyBorder="1" applyAlignment="1">
      <alignment horizontal="center"/>
    </xf>
    <xf numFmtId="0" fontId="95" fillId="10" borderId="46" xfId="274" applyFont="1" applyFill="1" applyBorder="1" applyAlignment="1">
      <alignment horizontal="left" vertical="center" wrapText="1"/>
    </xf>
    <xf numFmtId="167" fontId="96" fillId="10" borderId="46" xfId="275" applyNumberFormat="1" applyFont="1" applyFill="1" applyBorder="1" applyProtection="1">
      <protection locked="0"/>
    </xf>
    <xf numFmtId="167" fontId="93" fillId="10" borderId="46" xfId="275" applyNumberFormat="1" applyFont="1" applyFill="1" applyBorder="1" applyProtection="1">
      <protection locked="0"/>
    </xf>
    <xf numFmtId="0" fontId="241" fillId="0" borderId="0" xfId="0" applyFont="1"/>
    <xf numFmtId="0" fontId="120" fillId="0" borderId="0" xfId="0" applyFont="1" applyAlignment="1">
      <alignment wrapText="1"/>
    </xf>
    <xf numFmtId="167" fontId="96" fillId="13" borderId="96" xfId="19" applyNumberFormat="1" applyFont="1" applyFill="1" applyBorder="1" applyProtection="1">
      <protection locked="0"/>
    </xf>
    <xf numFmtId="3" fontId="62" fillId="0" borderId="98" xfId="43" applyNumberFormat="1" applyFont="1" applyBorder="1"/>
    <xf numFmtId="0" fontId="116" fillId="0" borderId="87" xfId="0" applyFont="1" applyBorder="1" applyAlignment="1">
      <alignment wrapText="1"/>
    </xf>
    <xf numFmtId="167" fontId="116" fillId="0" borderId="87" xfId="1" applyNumberFormat="1" applyFont="1" applyBorder="1"/>
    <xf numFmtId="3" fontId="66" fillId="5" borderId="98" xfId="43" applyNumberFormat="1" applyFont="1" applyFill="1" applyBorder="1"/>
    <xf numFmtId="167" fontId="113" fillId="0" borderId="0" xfId="1" applyNumberFormat="1" applyFont="1"/>
    <xf numFmtId="9" fontId="96" fillId="0" borderId="0" xfId="2" applyFont="1" applyFill="1"/>
    <xf numFmtId="0" fontId="93" fillId="6" borderId="0" xfId="0" applyFont="1" applyFill="1" applyAlignment="1">
      <alignment wrapText="1"/>
    </xf>
    <xf numFmtId="0" fontId="96" fillId="0" borderId="0" xfId="0" applyFont="1" applyAlignment="1">
      <alignment horizontal="left" wrapText="1"/>
    </xf>
    <xf numFmtId="0" fontId="94" fillId="0" borderId="0" xfId="0" applyFont="1" applyAlignment="1">
      <alignment wrapText="1"/>
    </xf>
    <xf numFmtId="0" fontId="102" fillId="0" borderId="0" xfId="0" applyFont="1" applyAlignment="1">
      <alignment vertical="top" wrapText="1"/>
    </xf>
    <xf numFmtId="0" fontId="97" fillId="21" borderId="101" xfId="0" applyFont="1" applyFill="1" applyBorder="1" applyAlignment="1">
      <alignment horizontal="right" vertical="top" wrapText="1"/>
    </xf>
    <xf numFmtId="0" fontId="93" fillId="21" borderId="101" xfId="0" applyFont="1" applyFill="1" applyBorder="1" applyAlignment="1">
      <alignment horizontal="left" vertical="top" wrapText="1"/>
    </xf>
    <xf numFmtId="167" fontId="96" fillId="10" borderId="101" xfId="19" applyNumberFormat="1" applyFont="1" applyFill="1" applyBorder="1" applyProtection="1">
      <protection locked="0"/>
    </xf>
    <xf numFmtId="167" fontId="93" fillId="10" borderId="101" xfId="19" applyNumberFormat="1" applyFont="1" applyFill="1" applyBorder="1" applyProtection="1">
      <protection locked="0"/>
    </xf>
    <xf numFmtId="167" fontId="96" fillId="13" borderId="101" xfId="19" applyNumberFormat="1" applyFont="1" applyFill="1" applyBorder="1" applyProtection="1">
      <protection locked="0"/>
    </xf>
    <xf numFmtId="0" fontId="109" fillId="21" borderId="101" xfId="0" applyFont="1" applyFill="1" applyBorder="1" applyAlignment="1">
      <alignment vertical="top" wrapText="1"/>
    </xf>
    <xf numFmtId="0" fontId="93" fillId="10" borderId="101" xfId="0" applyFont="1" applyFill="1" applyBorder="1"/>
    <xf numFmtId="0" fontId="93" fillId="21" borderId="101" xfId="0" applyFont="1" applyFill="1" applyBorder="1" applyAlignment="1">
      <alignment horizontal="left" vertical="center" wrapText="1"/>
    </xf>
    <xf numFmtId="0" fontId="93" fillId="10" borderId="101" xfId="0" applyFont="1" applyFill="1" applyBorder="1" applyAlignment="1">
      <alignment horizontal="left" vertical="center" wrapText="1"/>
    </xf>
    <xf numFmtId="167" fontId="105" fillId="10" borderId="101" xfId="19" applyNumberFormat="1" applyFont="1" applyFill="1" applyBorder="1" applyProtection="1">
      <protection locked="0"/>
    </xf>
    <xf numFmtId="167" fontId="93" fillId="13" borderId="101" xfId="19" applyNumberFormat="1" applyFont="1" applyFill="1" applyBorder="1" applyProtection="1">
      <protection locked="0"/>
    </xf>
    <xf numFmtId="0" fontId="93" fillId="27" borderId="101" xfId="0" applyFont="1" applyFill="1" applyBorder="1"/>
    <xf numFmtId="49" fontId="93" fillId="27" borderId="101" xfId="0" applyNumberFormat="1" applyFont="1" applyFill="1" applyBorder="1"/>
    <xf numFmtId="0" fontId="102" fillId="27" borderId="101" xfId="0" applyFont="1" applyFill="1" applyBorder="1"/>
    <xf numFmtId="0" fontId="93" fillId="27" borderId="101" xfId="0" applyFont="1" applyFill="1" applyBorder="1" applyAlignment="1">
      <alignment horizontal="center"/>
    </xf>
    <xf numFmtId="167" fontId="93" fillId="27" borderId="101" xfId="19" applyNumberFormat="1" applyFont="1" applyFill="1" applyBorder="1" applyProtection="1">
      <protection locked="0"/>
    </xf>
    <xf numFmtId="0" fontId="101" fillId="0" borderId="0" xfId="0" applyFont="1" applyAlignment="1">
      <alignment wrapText="1"/>
    </xf>
    <xf numFmtId="0" fontId="93" fillId="10" borderId="101" xfId="0" applyFont="1" applyFill="1" applyBorder="1" applyAlignment="1">
      <alignment horizontal="left" wrapText="1"/>
    </xf>
    <xf numFmtId="0" fontId="97" fillId="10" borderId="101" xfId="0" applyFont="1" applyFill="1" applyBorder="1" applyAlignment="1">
      <alignment horizontal="right" vertical="center" wrapText="1"/>
    </xf>
    <xf numFmtId="167" fontId="93" fillId="10" borderId="101" xfId="1" applyNumberFormat="1" applyFont="1" applyFill="1" applyBorder="1" applyProtection="1">
      <protection locked="0"/>
    </xf>
    <xf numFmtId="0" fontId="93" fillId="27" borderId="96" xfId="0" applyFont="1" applyFill="1" applyBorder="1"/>
    <xf numFmtId="49" fontId="93" fillId="10" borderId="101" xfId="0" applyNumberFormat="1" applyFont="1" applyFill="1" applyBorder="1"/>
    <xf numFmtId="0" fontId="93" fillId="10" borderId="101" xfId="0" applyFont="1" applyFill="1" applyBorder="1" applyAlignment="1">
      <alignment horizontal="center"/>
    </xf>
    <xf numFmtId="167" fontId="96" fillId="13" borderId="101" xfId="1" applyNumberFormat="1" applyFont="1" applyFill="1" applyBorder="1" applyProtection="1">
      <protection locked="0"/>
    </xf>
    <xf numFmtId="0" fontId="93" fillId="10" borderId="101" xfId="0" applyFont="1" applyFill="1" applyBorder="1" applyAlignment="1">
      <alignment horizontal="right" vertical="center" wrapText="1"/>
    </xf>
    <xf numFmtId="0" fontId="93" fillId="10" borderId="101" xfId="0" applyFont="1" applyFill="1" applyBorder="1" applyAlignment="1">
      <alignment vertical="center" wrapText="1"/>
    </xf>
    <xf numFmtId="0" fontId="83" fillId="0" borderId="101" xfId="0" applyFont="1" applyBorder="1"/>
    <xf numFmtId="49" fontId="83" fillId="0" borderId="101" xfId="0" quotePrefix="1" applyNumberFormat="1" applyFont="1" applyBorder="1"/>
    <xf numFmtId="0" fontId="83" fillId="0" borderId="101" xfId="0" applyFont="1" applyBorder="1" applyAlignment="1">
      <alignment horizontal="center"/>
    </xf>
    <xf numFmtId="0" fontId="83" fillId="0" borderId="101" xfId="0" applyFont="1" applyBorder="1" applyAlignment="1">
      <alignment horizontal="left" vertical="center" wrapText="1"/>
    </xf>
    <xf numFmtId="167" fontId="86" fillId="14" borderId="101" xfId="19" applyNumberFormat="1" applyFont="1" applyFill="1" applyBorder="1" applyProtection="1">
      <protection locked="0"/>
    </xf>
    <xf numFmtId="167" fontId="86" fillId="13" borderId="101" xfId="1" applyNumberFormat="1" applyFont="1" applyFill="1" applyBorder="1" applyProtection="1">
      <protection locked="0"/>
    </xf>
    <xf numFmtId="167" fontId="83" fillId="14" borderId="101" xfId="19" applyNumberFormat="1" applyFont="1" applyFill="1" applyBorder="1" applyProtection="1">
      <protection locked="0"/>
    </xf>
    <xf numFmtId="167" fontId="86" fillId="13" borderId="101" xfId="19" applyNumberFormat="1" applyFont="1" applyFill="1" applyBorder="1" applyProtection="1">
      <protection locked="0"/>
    </xf>
    <xf numFmtId="167" fontId="96" fillId="10" borderId="101" xfId="19" applyNumberFormat="1" applyFont="1" applyFill="1" applyBorder="1"/>
    <xf numFmtId="167" fontId="96" fillId="13" borderId="101" xfId="19" applyNumberFormat="1" applyFont="1" applyFill="1" applyBorder="1"/>
    <xf numFmtId="167" fontId="93" fillId="10" borderId="101" xfId="19" applyNumberFormat="1" applyFont="1" applyFill="1" applyBorder="1"/>
    <xf numFmtId="0" fontId="83" fillId="0" borderId="101" xfId="0" applyFont="1" applyBorder="1" applyAlignment="1">
      <alignment horizontal="left"/>
    </xf>
    <xf numFmtId="167" fontId="96" fillId="10" borderId="101" xfId="19" applyNumberFormat="1" applyFont="1" applyFill="1" applyBorder="1" applyAlignment="1" applyProtection="1">
      <alignment wrapText="1"/>
      <protection locked="0"/>
    </xf>
    <xf numFmtId="0" fontId="83" fillId="0" borderId="101" xfId="0" applyFont="1" applyBorder="1" applyAlignment="1">
      <alignment horizontal="left" vertical="center"/>
    </xf>
    <xf numFmtId="167" fontId="86" fillId="13" borderId="101" xfId="19" applyNumberFormat="1" applyFont="1" applyFill="1" applyBorder="1" applyAlignment="1" applyProtection="1">
      <alignment horizontal="left" vertical="center"/>
      <protection locked="0"/>
    </xf>
    <xf numFmtId="0" fontId="112" fillId="10" borderId="101" xfId="0" applyFont="1" applyFill="1" applyBorder="1"/>
    <xf numFmtId="0" fontId="94" fillId="10" borderId="101" xfId="0" applyFont="1" applyFill="1" applyBorder="1" applyAlignment="1">
      <alignment horizontal="left" vertical="center" wrapText="1"/>
    </xf>
    <xf numFmtId="0" fontId="102" fillId="10" borderId="101" xfId="0" applyFont="1" applyFill="1" applyBorder="1"/>
    <xf numFmtId="167" fontId="102" fillId="10" borderId="101" xfId="19" applyNumberFormat="1" applyFont="1" applyFill="1" applyBorder="1" applyProtection="1">
      <protection locked="0"/>
    </xf>
    <xf numFmtId="49" fontId="102" fillId="27" borderId="101" xfId="0" applyNumberFormat="1" applyFont="1" applyFill="1" applyBorder="1"/>
    <xf numFmtId="0" fontId="102" fillId="27" borderId="101" xfId="0" applyFont="1" applyFill="1" applyBorder="1" applyAlignment="1">
      <alignment horizontal="center"/>
    </xf>
    <xf numFmtId="0" fontId="102" fillId="27" borderId="101" xfId="0" applyFont="1" applyFill="1" applyBorder="1" applyAlignment="1">
      <alignment horizontal="left" vertical="center" wrapText="1"/>
    </xf>
    <xf numFmtId="167" fontId="102" fillId="27" borderId="101" xfId="19" applyNumberFormat="1" applyFont="1" applyFill="1" applyBorder="1" applyProtection="1">
      <protection locked="0"/>
    </xf>
    <xf numFmtId="167" fontId="104" fillId="14" borderId="101" xfId="19" applyNumberFormat="1" applyFont="1" applyFill="1" applyBorder="1" applyProtection="1">
      <protection locked="0"/>
    </xf>
    <xf numFmtId="167" fontId="104" fillId="14" borderId="101" xfId="19" applyNumberFormat="1" applyFont="1" applyFill="1" applyBorder="1"/>
    <xf numFmtId="167" fontId="102" fillId="21" borderId="101" xfId="19" applyNumberFormat="1" applyFont="1" applyFill="1" applyBorder="1" applyProtection="1">
      <protection locked="0"/>
    </xf>
    <xf numFmtId="167" fontId="102" fillId="10" borderId="101" xfId="19" applyNumberFormat="1" applyFont="1" applyFill="1" applyBorder="1"/>
    <xf numFmtId="167" fontId="102" fillId="21" borderId="101" xfId="19" applyNumberFormat="1" applyFont="1" applyFill="1" applyBorder="1"/>
    <xf numFmtId="167" fontId="104" fillId="28" borderId="101" xfId="19" applyNumberFormat="1" applyFont="1" applyFill="1" applyBorder="1" applyProtection="1">
      <protection locked="0"/>
    </xf>
    <xf numFmtId="167" fontId="104" fillId="14" borderId="101" xfId="19" applyNumberFormat="1" applyFont="1" applyFill="1" applyBorder="1" applyAlignment="1" applyProtection="1">
      <alignment horizontal="left" vertical="center"/>
      <protection locked="0"/>
    </xf>
    <xf numFmtId="167" fontId="104" fillId="14" borderId="101" xfId="1" applyNumberFormat="1" applyFont="1" applyFill="1" applyBorder="1" applyProtection="1">
      <protection locked="0"/>
    </xf>
    <xf numFmtId="167" fontId="102" fillId="10" borderId="101" xfId="1" applyNumberFormat="1" applyFont="1" applyFill="1" applyBorder="1" applyProtection="1">
      <protection locked="0"/>
    </xf>
    <xf numFmtId="167" fontId="102" fillId="10" borderId="101" xfId="19" applyNumberFormat="1" applyFont="1" applyFill="1" applyBorder="1" applyAlignment="1" applyProtection="1">
      <alignment wrapText="1"/>
      <protection locked="0"/>
    </xf>
    <xf numFmtId="0" fontId="142" fillId="10" borderId="101" xfId="0" applyFont="1" applyFill="1" applyBorder="1" applyAlignment="1">
      <alignment horizontal="right" vertical="center" wrapText="1"/>
    </xf>
    <xf numFmtId="0" fontId="93" fillId="27" borderId="101" xfId="0" applyFont="1" applyFill="1" applyBorder="1" applyAlignment="1">
      <alignment horizontal="left" vertical="center" wrapText="1"/>
    </xf>
    <xf numFmtId="0" fontId="94" fillId="27" borderId="101" xfId="0" applyFont="1" applyFill="1" applyBorder="1" applyAlignment="1">
      <alignment horizontal="center"/>
    </xf>
    <xf numFmtId="49" fontId="83" fillId="0" borderId="101" xfId="0" applyNumberFormat="1" applyFont="1" applyBorder="1"/>
    <xf numFmtId="0" fontId="104" fillId="0" borderId="101" xfId="0" applyFont="1" applyBorder="1"/>
    <xf numFmtId="0" fontId="91" fillId="0" borderId="101" xfId="0" applyFont="1" applyBorder="1" applyAlignment="1">
      <alignment horizontal="center"/>
    </xf>
    <xf numFmtId="167" fontId="83" fillId="16" borderId="101" xfId="19" applyNumberFormat="1" applyFont="1" applyFill="1" applyBorder="1" applyProtection="1">
      <protection locked="0"/>
    </xf>
    <xf numFmtId="0" fontId="142" fillId="10" borderId="101" xfId="0" applyFont="1" applyFill="1" applyBorder="1" applyAlignment="1">
      <alignment horizontal="left" vertical="center" wrapText="1"/>
    </xf>
    <xf numFmtId="0" fontId="93" fillId="10" borderId="101" xfId="0" applyFont="1" applyFill="1" applyBorder="1" applyAlignment="1">
      <alignment vertical="center"/>
    </xf>
    <xf numFmtId="0" fontId="94" fillId="10" borderId="101" xfId="0" applyFont="1" applyFill="1" applyBorder="1" applyAlignment="1">
      <alignment horizontal="center"/>
    </xf>
    <xf numFmtId="167" fontId="93" fillId="10" borderId="101" xfId="19" applyNumberFormat="1" applyFont="1" applyFill="1" applyBorder="1" applyAlignment="1" applyProtection="1">
      <alignment wrapText="1"/>
      <protection locked="0"/>
    </xf>
    <xf numFmtId="167" fontId="83" fillId="13" borderId="101" xfId="19" applyNumberFormat="1" applyFont="1" applyFill="1" applyBorder="1" applyProtection="1">
      <protection locked="0"/>
    </xf>
    <xf numFmtId="0" fontId="93" fillId="0" borderId="101" xfId="0" applyFont="1" applyBorder="1"/>
    <xf numFmtId="167" fontId="96" fillId="13" borderId="101" xfId="23" applyNumberFormat="1" applyFont="1" applyFill="1" applyBorder="1" applyProtection="1">
      <protection locked="0"/>
    </xf>
    <xf numFmtId="167" fontId="96" fillId="27" borderId="101" xfId="19" applyNumberFormat="1" applyFont="1" applyFill="1" applyBorder="1" applyProtection="1">
      <protection locked="0"/>
    </xf>
    <xf numFmtId="167" fontId="83" fillId="14" borderId="101" xfId="23" applyNumberFormat="1" applyFont="1" applyFill="1" applyBorder="1" applyProtection="1">
      <protection locked="0"/>
    </xf>
    <xf numFmtId="167" fontId="93" fillId="13" borderId="101" xfId="23" applyNumberFormat="1" applyFont="1" applyFill="1" applyBorder="1" applyProtection="1">
      <protection locked="0"/>
    </xf>
    <xf numFmtId="167" fontId="93" fillId="27" borderId="101" xfId="23" applyNumberFormat="1" applyFont="1" applyFill="1" applyBorder="1" applyProtection="1">
      <protection locked="0"/>
    </xf>
    <xf numFmtId="49" fontId="93" fillId="0" borderId="101" xfId="0" applyNumberFormat="1" applyFont="1" applyBorder="1"/>
    <xf numFmtId="0" fontId="102" fillId="0" borderId="101" xfId="0" applyFont="1" applyBorder="1"/>
    <xf numFmtId="0" fontId="93" fillId="0" borderId="101" xfId="0" applyFont="1" applyBorder="1" applyAlignment="1">
      <alignment horizontal="center"/>
    </xf>
    <xf numFmtId="0" fontId="116" fillId="0" borderId="101" xfId="0" applyFont="1" applyBorder="1"/>
    <xf numFmtId="0" fontId="116" fillId="0" borderId="55" xfId="0" applyFont="1" applyBorder="1"/>
    <xf numFmtId="0" fontId="127" fillId="0" borderId="0" xfId="0" applyFont="1" applyAlignment="1">
      <alignment horizontal="right"/>
    </xf>
    <xf numFmtId="0" fontId="198" fillId="0" borderId="0" xfId="0" applyFont="1" applyAlignment="1">
      <alignment horizontal="right"/>
    </xf>
    <xf numFmtId="167" fontId="93" fillId="10" borderId="101" xfId="23" applyNumberFormat="1" applyFont="1" applyFill="1" applyBorder="1" applyProtection="1">
      <protection locked="0"/>
    </xf>
    <xf numFmtId="0" fontId="104" fillId="0" borderId="101" xfId="0" quotePrefix="1" applyFont="1" applyBorder="1"/>
    <xf numFmtId="0" fontId="93" fillId="10" borderId="101" xfId="0" applyFont="1" applyFill="1" applyBorder="1" applyAlignment="1">
      <alignment wrapText="1"/>
    </xf>
    <xf numFmtId="0" fontId="83" fillId="0" borderId="101" xfId="0" applyFont="1" applyBorder="1" applyAlignment="1">
      <alignment vertical="center" wrapText="1"/>
    </xf>
    <xf numFmtId="0" fontId="102" fillId="10" borderId="101" xfId="0" applyFont="1" applyFill="1" applyBorder="1" applyAlignment="1">
      <alignment vertical="center" wrapText="1"/>
    </xf>
    <xf numFmtId="0" fontId="206" fillId="0" borderId="101" xfId="0" applyFont="1" applyBorder="1"/>
    <xf numFmtId="167" fontId="83" fillId="13" borderId="101" xfId="23" applyNumberFormat="1" applyFont="1" applyFill="1" applyBorder="1" applyProtection="1">
      <protection locked="0"/>
    </xf>
    <xf numFmtId="167" fontId="102" fillId="10" borderId="101" xfId="23" applyNumberFormat="1" applyFont="1" applyFill="1" applyBorder="1" applyProtection="1">
      <protection locked="0"/>
    </xf>
    <xf numFmtId="167" fontId="96" fillId="23" borderId="101" xfId="23" applyNumberFormat="1" applyFont="1" applyFill="1" applyBorder="1" applyProtection="1">
      <protection locked="0"/>
    </xf>
    <xf numFmtId="0" fontId="102" fillId="10" borderId="101" xfId="0" applyFont="1" applyFill="1" applyBorder="1" applyAlignment="1">
      <alignment horizontal="left" vertical="center" wrapText="1"/>
    </xf>
    <xf numFmtId="0" fontId="83" fillId="10" borderId="101" xfId="0" applyFont="1" applyFill="1" applyBorder="1" applyAlignment="1">
      <alignment horizontal="left" vertical="center" wrapText="1"/>
    </xf>
    <xf numFmtId="167" fontId="102" fillId="10" borderId="101" xfId="23" applyNumberFormat="1" applyFont="1" applyFill="1" applyBorder="1"/>
    <xf numFmtId="0" fontId="93" fillId="10" borderId="101" xfId="0" applyFont="1" applyFill="1" applyBorder="1" applyAlignment="1">
      <alignment horizontal="left" vertical="top" wrapText="1"/>
    </xf>
    <xf numFmtId="0" fontId="83" fillId="10" borderId="101" xfId="0" applyFont="1" applyFill="1" applyBorder="1" applyAlignment="1">
      <alignment horizontal="left" vertical="top" wrapText="1"/>
    </xf>
    <xf numFmtId="0" fontId="93" fillId="21" borderId="101" xfId="0" applyFont="1" applyFill="1" applyBorder="1" applyAlignment="1">
      <alignment vertical="top" wrapText="1"/>
    </xf>
    <xf numFmtId="0" fontId="93" fillId="10" borderId="101" xfId="0" applyFont="1" applyFill="1" applyBorder="1" applyAlignment="1">
      <alignment vertical="top"/>
    </xf>
    <xf numFmtId="167" fontId="93" fillId="13" borderId="96" xfId="23" applyNumberFormat="1" applyFont="1" applyFill="1" applyBorder="1" applyProtection="1">
      <protection locked="0"/>
    </xf>
    <xf numFmtId="0" fontId="81" fillId="10" borderId="101" xfId="0" applyFont="1" applyFill="1" applyBorder="1" applyAlignment="1">
      <alignment horizontal="right" vertical="center" wrapText="1"/>
    </xf>
    <xf numFmtId="0" fontId="93" fillId="10" borderId="101" xfId="0" applyFont="1" applyFill="1" applyBorder="1" applyAlignment="1">
      <alignment horizontal="left" vertical="center"/>
    </xf>
    <xf numFmtId="0" fontId="99" fillId="10" borderId="101" xfId="0" applyFont="1" applyFill="1" applyBorder="1"/>
    <xf numFmtId="167" fontId="93" fillId="10" borderId="101" xfId="19" applyNumberFormat="1" applyFont="1" applyFill="1" applyBorder="1" applyAlignment="1">
      <alignment horizontal="center"/>
    </xf>
    <xf numFmtId="0" fontId="110" fillId="10" borderId="101" xfId="0" applyFont="1" applyFill="1" applyBorder="1" applyAlignment="1">
      <alignment horizontal="left" vertical="center" wrapText="1"/>
    </xf>
    <xf numFmtId="0" fontId="97" fillId="10" borderId="101" xfId="0" applyFont="1" applyFill="1" applyBorder="1" applyAlignment="1">
      <alignment horizontal="left" vertical="center" wrapText="1"/>
    </xf>
    <xf numFmtId="167" fontId="83" fillId="10" borderId="101" xfId="24" applyNumberFormat="1" applyFont="1" applyFill="1" applyBorder="1" applyProtection="1">
      <protection locked="0"/>
    </xf>
    <xf numFmtId="167" fontId="83" fillId="14" borderId="101" xfId="24" applyNumberFormat="1" applyFont="1" applyFill="1" applyBorder="1" applyAlignment="1" applyProtection="1">
      <alignment horizontal="center"/>
      <protection locked="0"/>
    </xf>
    <xf numFmtId="43" fontId="82" fillId="14" borderId="101" xfId="24" applyFont="1" applyFill="1" applyBorder="1" applyProtection="1">
      <protection locked="0"/>
    </xf>
    <xf numFmtId="167" fontId="83" fillId="13" borderId="101" xfId="24" applyNumberFormat="1" applyFont="1" applyFill="1" applyBorder="1" applyProtection="1">
      <protection locked="0"/>
    </xf>
    <xf numFmtId="167" fontId="96" fillId="13" borderId="101" xfId="24" applyNumberFormat="1" applyFont="1" applyFill="1" applyBorder="1" applyProtection="1">
      <protection locked="0"/>
    </xf>
    <xf numFmtId="0" fontId="102" fillId="6" borderId="0" xfId="0" applyFont="1" applyFill="1" applyAlignment="1">
      <alignment wrapText="1"/>
    </xf>
    <xf numFmtId="167" fontId="104" fillId="10" borderId="101" xfId="24" applyNumberFormat="1" applyFont="1" applyFill="1" applyBorder="1" applyProtection="1">
      <protection locked="0"/>
    </xf>
    <xf numFmtId="43" fontId="102" fillId="10" borderId="101" xfId="24" applyFont="1" applyFill="1" applyBorder="1" applyAlignment="1" applyProtection="1">
      <alignment horizontal="center"/>
      <protection locked="0"/>
    </xf>
    <xf numFmtId="167" fontId="102" fillId="10" borderId="101" xfId="24" applyNumberFormat="1" applyFont="1" applyFill="1" applyBorder="1" applyAlignment="1" applyProtection="1">
      <alignment horizontal="center"/>
      <protection locked="0"/>
    </xf>
    <xf numFmtId="167" fontId="102" fillId="10" borderId="101" xfId="24" applyNumberFormat="1" applyFont="1" applyFill="1" applyBorder="1" applyProtection="1">
      <protection locked="0"/>
    </xf>
    <xf numFmtId="0" fontId="83" fillId="10" borderId="101" xfId="0" applyFont="1" applyFill="1" applyBorder="1"/>
    <xf numFmtId="167" fontId="104" fillId="14" borderId="101" xfId="19" applyNumberFormat="1" applyFont="1" applyFill="1" applyBorder="1" applyAlignment="1" applyProtection="1">
      <alignment horizontal="center"/>
      <protection locked="0"/>
    </xf>
    <xf numFmtId="167" fontId="104" fillId="14" borderId="101" xfId="24" applyNumberFormat="1" applyFont="1" applyFill="1" applyBorder="1" applyAlignment="1" applyProtection="1">
      <alignment horizontal="center"/>
      <protection locked="0"/>
    </xf>
    <xf numFmtId="43" fontId="123" fillId="14" borderId="101" xfId="24" applyFont="1" applyFill="1" applyBorder="1" applyProtection="1">
      <protection locked="0"/>
    </xf>
    <xf numFmtId="43" fontId="201" fillId="10" borderId="101" xfId="24" applyFont="1" applyFill="1" applyBorder="1" applyAlignment="1" applyProtection="1">
      <alignment horizontal="center"/>
      <protection locked="0"/>
    </xf>
    <xf numFmtId="43" fontId="201" fillId="14" borderId="101" xfId="24" applyFont="1" applyFill="1" applyBorder="1" applyProtection="1">
      <protection locked="0"/>
    </xf>
    <xf numFmtId="167" fontId="104" fillId="13" borderId="101" xfId="24" applyNumberFormat="1" applyFont="1" applyFill="1" applyBorder="1" applyProtection="1">
      <protection locked="0"/>
    </xf>
    <xf numFmtId="167" fontId="102" fillId="14" borderId="101" xfId="24" applyNumberFormat="1" applyFont="1" applyFill="1" applyBorder="1" applyProtection="1">
      <protection locked="0"/>
    </xf>
    <xf numFmtId="43" fontId="104" fillId="14" borderId="101" xfId="24" applyFont="1" applyFill="1" applyBorder="1" applyProtection="1">
      <protection locked="0"/>
    </xf>
    <xf numFmtId="43" fontId="102" fillId="10" borderId="101" xfId="24" applyFont="1" applyFill="1" applyBorder="1" applyProtection="1">
      <protection locked="0"/>
    </xf>
    <xf numFmtId="167" fontId="102" fillId="13" borderId="101" xfId="24" applyNumberFormat="1" applyFont="1" applyFill="1" applyBorder="1" applyProtection="1">
      <protection locked="0"/>
    </xf>
    <xf numFmtId="43" fontId="102" fillId="14" borderId="101" xfId="24" applyFont="1" applyFill="1" applyBorder="1" applyProtection="1">
      <protection locked="0"/>
    </xf>
    <xf numFmtId="43" fontId="123" fillId="10" borderId="101" xfId="24" applyFont="1" applyFill="1" applyBorder="1" applyAlignment="1" applyProtection="1">
      <alignment horizontal="center"/>
      <protection locked="0"/>
    </xf>
    <xf numFmtId="167" fontId="102" fillId="10" borderId="101" xfId="19" applyNumberFormat="1" applyFont="1" applyFill="1" applyBorder="1" applyAlignment="1" applyProtection="1">
      <alignment horizontal="center"/>
      <protection locked="0"/>
    </xf>
    <xf numFmtId="43" fontId="201" fillId="14" borderId="101" xfId="24" applyFont="1" applyFill="1" applyBorder="1" applyAlignment="1" applyProtection="1">
      <alignment horizontal="center"/>
      <protection locked="0"/>
    </xf>
    <xf numFmtId="43" fontId="123" fillId="14" borderId="101" xfId="24" applyFont="1" applyFill="1" applyBorder="1" applyAlignment="1" applyProtection="1">
      <alignment horizontal="center"/>
      <protection locked="0"/>
    </xf>
    <xf numFmtId="167" fontId="102" fillId="10" borderId="101" xfId="19" applyNumberFormat="1" applyFont="1" applyFill="1" applyBorder="1" applyAlignment="1">
      <alignment horizontal="center"/>
    </xf>
    <xf numFmtId="167" fontId="201" fillId="10" borderId="101" xfId="19" applyNumberFormat="1" applyFont="1" applyFill="1" applyBorder="1" applyAlignment="1" applyProtection="1">
      <alignment horizontal="center"/>
      <protection locked="0"/>
    </xf>
    <xf numFmtId="167" fontId="102" fillId="13" borderId="101" xfId="19" applyNumberFormat="1" applyFont="1" applyFill="1" applyBorder="1" applyProtection="1">
      <protection locked="0"/>
    </xf>
    <xf numFmtId="167" fontId="201" fillId="14" borderId="101" xfId="19" applyNumberFormat="1" applyFont="1" applyFill="1" applyBorder="1" applyProtection="1">
      <protection locked="0"/>
    </xf>
    <xf numFmtId="49" fontId="102" fillId="10" borderId="101" xfId="0" applyNumberFormat="1" applyFont="1" applyFill="1" applyBorder="1"/>
    <xf numFmtId="0" fontId="102" fillId="10" borderId="101" xfId="0" applyFont="1" applyFill="1" applyBorder="1" applyAlignment="1">
      <alignment horizontal="center"/>
    </xf>
    <xf numFmtId="167" fontId="102" fillId="10" borderId="101" xfId="19" applyNumberFormat="1" applyFont="1" applyFill="1" applyBorder="1" applyAlignment="1" applyProtection="1">
      <alignment vertical="center"/>
      <protection locked="0"/>
    </xf>
    <xf numFmtId="0" fontId="102" fillId="10" borderId="101" xfId="0" applyFont="1" applyFill="1" applyBorder="1" applyAlignment="1">
      <alignment wrapText="1"/>
    </xf>
    <xf numFmtId="167" fontId="96" fillId="10" borderId="101" xfId="1" applyNumberFormat="1" applyFont="1" applyFill="1" applyBorder="1" applyProtection="1">
      <protection locked="0"/>
    </xf>
    <xf numFmtId="167" fontId="93" fillId="14" borderId="101" xfId="19" applyNumberFormat="1" applyFont="1" applyFill="1" applyBorder="1" applyProtection="1">
      <protection locked="0"/>
    </xf>
    <xf numFmtId="0" fontId="104" fillId="0" borderId="101" xfId="0" applyFont="1" applyBorder="1" applyAlignment="1">
      <alignment horizontal="left" vertical="center" wrapText="1"/>
    </xf>
    <xf numFmtId="167" fontId="102" fillId="14" borderId="101" xfId="19" applyNumberFormat="1" applyFont="1" applyFill="1" applyBorder="1" applyProtection="1">
      <protection locked="0"/>
    </xf>
    <xf numFmtId="167" fontId="104" fillId="13" borderId="101" xfId="19" applyNumberFormat="1" applyFont="1" applyFill="1" applyBorder="1" applyProtection="1">
      <protection locked="0"/>
    </xf>
    <xf numFmtId="167" fontId="96" fillId="14" borderId="101" xfId="19" applyNumberFormat="1" applyFont="1" applyFill="1" applyBorder="1" applyProtection="1">
      <protection locked="0"/>
    </xf>
    <xf numFmtId="43" fontId="83" fillId="0" borderId="101" xfId="8" applyFont="1" applyBorder="1"/>
    <xf numFmtId="43" fontId="104" fillId="0" borderId="101" xfId="8" applyFont="1" applyBorder="1"/>
    <xf numFmtId="167" fontId="102" fillId="10" borderId="101" xfId="22" applyNumberFormat="1" applyFont="1" applyFill="1" applyBorder="1"/>
    <xf numFmtId="167" fontId="102" fillId="10" borderId="101" xfId="19" applyNumberFormat="1" applyFont="1" applyFill="1" applyBorder="1" applyAlignment="1">
      <alignment vertical="top"/>
    </xf>
    <xf numFmtId="167" fontId="102" fillId="12" borderId="101" xfId="19" applyNumberFormat="1" applyFont="1" applyFill="1" applyBorder="1" applyProtection="1">
      <protection locked="0"/>
    </xf>
    <xf numFmtId="167" fontId="102" fillId="13" borderId="101" xfId="1" applyNumberFormat="1" applyFont="1" applyFill="1" applyBorder="1" applyProtection="1">
      <protection locked="0"/>
    </xf>
    <xf numFmtId="0" fontId="96" fillId="10" borderId="101" xfId="0" applyFont="1" applyFill="1" applyBorder="1"/>
    <xf numFmtId="0" fontId="93" fillId="17" borderId="101" xfId="0" applyFont="1" applyFill="1" applyBorder="1" applyAlignment="1">
      <alignment horizontal="left" vertical="center" wrapText="1"/>
    </xf>
    <xf numFmtId="0" fontId="102" fillId="10" borderId="101" xfId="0" applyFont="1" applyFill="1" applyBorder="1" applyAlignment="1">
      <alignment horizontal="right" vertical="center" wrapText="1"/>
    </xf>
    <xf numFmtId="167" fontId="96" fillId="10" borderId="101" xfId="1" applyNumberFormat="1" applyFont="1" applyFill="1" applyBorder="1" applyAlignment="1" applyProtection="1">
      <alignment horizontal="center" vertical="center"/>
      <protection locked="0"/>
    </xf>
    <xf numFmtId="167" fontId="201" fillId="10" borderId="101" xfId="1" applyNumberFormat="1" applyFont="1" applyFill="1" applyBorder="1" applyAlignment="1" applyProtection="1">
      <alignment horizontal="center" vertical="center"/>
      <protection locked="0"/>
    </xf>
    <xf numFmtId="167" fontId="102" fillId="10" borderId="101" xfId="1" applyNumberFormat="1" applyFont="1" applyFill="1" applyBorder="1" applyAlignment="1" applyProtection="1">
      <alignment vertical="center"/>
      <protection locked="0"/>
    </xf>
    <xf numFmtId="167" fontId="102" fillId="10" borderId="101" xfId="1" applyNumberFormat="1" applyFont="1" applyFill="1" applyBorder="1" applyAlignment="1" applyProtection="1">
      <alignment horizontal="center" vertical="center"/>
      <protection locked="0"/>
    </xf>
    <xf numFmtId="167" fontId="86" fillId="10" borderId="101" xfId="1" applyNumberFormat="1" applyFont="1" applyFill="1" applyBorder="1" applyAlignment="1" applyProtection="1">
      <alignment horizontal="center" vertical="center"/>
      <protection locked="0"/>
    </xf>
    <xf numFmtId="0" fontId="125" fillId="10" borderId="101" xfId="0" applyFont="1" applyFill="1" applyBorder="1" applyAlignment="1">
      <alignment horizontal="left" vertical="center" wrapText="1"/>
    </xf>
    <xf numFmtId="0" fontId="82" fillId="0" borderId="101" xfId="0" applyFont="1" applyBorder="1" applyAlignment="1">
      <alignment horizontal="left"/>
    </xf>
    <xf numFmtId="49" fontId="82" fillId="0" borderId="101" xfId="0" applyNumberFormat="1" applyFont="1" applyBorder="1" applyAlignment="1">
      <alignment horizontal="right" wrapText="1"/>
    </xf>
    <xf numFmtId="0" fontId="82" fillId="0" borderId="101" xfId="1" applyNumberFormat="1" applyFont="1" applyFill="1" applyBorder="1" applyAlignment="1" applyProtection="1">
      <alignment horizontal="center" vertical="center" wrapText="1"/>
    </xf>
    <xf numFmtId="0" fontId="95" fillId="10" borderId="101" xfId="0" applyFont="1" applyFill="1" applyBorder="1" applyAlignment="1">
      <alignment horizontal="right" vertical="center" wrapText="1"/>
    </xf>
    <xf numFmtId="49" fontId="104" fillId="0" borderId="101" xfId="0" applyNumberFormat="1" applyFont="1" applyBorder="1"/>
    <xf numFmtId="0" fontId="104" fillId="0" borderId="101" xfId="0" applyFont="1" applyBorder="1" applyAlignment="1">
      <alignment horizontal="center"/>
    </xf>
    <xf numFmtId="167" fontId="102" fillId="13" borderId="101" xfId="19" applyNumberFormat="1" applyFont="1" applyFill="1" applyBorder="1"/>
    <xf numFmtId="0" fontId="104" fillId="0" borderId="101" xfId="0" applyFont="1" applyBorder="1" applyAlignment="1">
      <alignment horizontal="left"/>
    </xf>
    <xf numFmtId="0" fontId="96" fillId="10" borderId="101" xfId="0" applyFont="1" applyFill="1" applyBorder="1" applyAlignment="1">
      <alignment vertical="top"/>
    </xf>
    <xf numFmtId="49" fontId="93" fillId="10" borderId="101" xfId="0" applyNumberFormat="1" applyFont="1" applyFill="1" applyBorder="1" applyAlignment="1">
      <alignment vertical="top"/>
    </xf>
    <xf numFmtId="0" fontId="102" fillId="10" borderId="101" xfId="0" applyFont="1" applyFill="1" applyBorder="1" applyAlignment="1">
      <alignment horizontal="center" vertical="top"/>
    </xf>
    <xf numFmtId="0" fontId="102" fillId="10" borderId="101" xfId="0" applyFont="1" applyFill="1" applyBorder="1" applyAlignment="1">
      <alignment horizontal="left" vertical="top" wrapText="1"/>
    </xf>
    <xf numFmtId="167" fontId="102" fillId="13" borderId="101" xfId="19" applyNumberFormat="1" applyFont="1" applyFill="1" applyBorder="1" applyAlignment="1">
      <alignment vertical="top"/>
    </xf>
    <xf numFmtId="0" fontId="83" fillId="3" borderId="101" xfId="0" applyFont="1" applyFill="1" applyBorder="1"/>
    <xf numFmtId="49" fontId="83" fillId="3" borderId="101" xfId="0" applyNumberFormat="1" applyFont="1" applyFill="1" applyBorder="1"/>
    <xf numFmtId="0" fontId="104" fillId="3" borderId="101" xfId="0" applyFont="1" applyFill="1" applyBorder="1" applyAlignment="1">
      <alignment horizontal="center"/>
    </xf>
    <xf numFmtId="0" fontId="104" fillId="3" borderId="101" xfId="0" applyFont="1" applyFill="1" applyBorder="1" applyAlignment="1">
      <alignment horizontal="left" vertical="center" wrapText="1"/>
    </xf>
    <xf numFmtId="0" fontId="185" fillId="0" borderId="101" xfId="0" quotePrefix="1" applyFont="1" applyBorder="1"/>
    <xf numFmtId="167" fontId="83" fillId="14" borderId="101" xfId="1" applyNumberFormat="1" applyFont="1" applyFill="1" applyBorder="1" applyProtection="1">
      <protection locked="0"/>
    </xf>
    <xf numFmtId="167" fontId="86" fillId="14" borderId="101" xfId="1" applyNumberFormat="1" applyFont="1" applyFill="1" applyBorder="1" applyProtection="1">
      <protection locked="0"/>
    </xf>
    <xf numFmtId="0" fontId="119" fillId="10" borderId="101" xfId="0" applyFont="1" applyFill="1" applyBorder="1"/>
    <xf numFmtId="0" fontId="185" fillId="0" borderId="101" xfId="0" applyFont="1" applyBorder="1"/>
    <xf numFmtId="0" fontId="104" fillId="10" borderId="101" xfId="0" applyFont="1" applyFill="1" applyBorder="1"/>
    <xf numFmtId="167" fontId="104" fillId="13" borderId="101" xfId="1" applyNumberFormat="1" applyFont="1" applyFill="1" applyBorder="1" applyProtection="1">
      <protection locked="0"/>
    </xf>
    <xf numFmtId="167" fontId="83" fillId="14" borderId="101" xfId="20" applyNumberFormat="1" applyFont="1" applyFill="1" applyBorder="1" applyProtection="1">
      <protection locked="0"/>
    </xf>
    <xf numFmtId="167" fontId="93" fillId="10" borderId="101" xfId="20" applyNumberFormat="1" applyFont="1" applyFill="1" applyBorder="1" applyProtection="1">
      <protection locked="0"/>
    </xf>
    <xf numFmtId="0" fontId="81" fillId="10" borderId="101" xfId="0" applyFont="1" applyFill="1" applyBorder="1" applyAlignment="1">
      <alignment horizontal="right" wrapText="1"/>
    </xf>
    <xf numFmtId="167" fontId="82" fillId="10" borderId="101" xfId="19" applyNumberFormat="1" applyFont="1" applyFill="1" applyBorder="1"/>
    <xf numFmtId="167" fontId="83" fillId="10" borderId="101" xfId="19" applyNumberFormat="1" applyFont="1" applyFill="1" applyBorder="1"/>
    <xf numFmtId="167" fontId="93" fillId="13" borderId="101" xfId="19" applyNumberFormat="1" applyFont="1" applyFill="1" applyBorder="1"/>
    <xf numFmtId="0" fontId="92" fillId="0" borderId="101" xfId="0" applyFont="1" applyBorder="1"/>
    <xf numFmtId="0" fontId="93" fillId="0" borderId="101" xfId="0" applyFont="1" applyBorder="1" applyAlignment="1">
      <alignment vertical="center"/>
    </xf>
    <xf numFmtId="167" fontId="82" fillId="14" borderId="101" xfId="19" applyNumberFormat="1" applyFont="1" applyFill="1" applyBorder="1" applyProtection="1">
      <protection locked="0"/>
    </xf>
    <xf numFmtId="167" fontId="82" fillId="13" borderId="101" xfId="19" applyNumberFormat="1" applyFont="1" applyFill="1" applyBorder="1" applyProtection="1">
      <protection locked="0"/>
    </xf>
    <xf numFmtId="167" fontId="93" fillId="10" borderId="101" xfId="19" applyNumberFormat="1" applyFont="1" applyFill="1" applyBorder="1" applyAlignment="1" applyProtection="1">
      <protection locked="0"/>
    </xf>
    <xf numFmtId="170" fontId="134" fillId="34" borderId="101" xfId="54" applyFont="1" applyFill="1" applyBorder="1" applyAlignment="1">
      <alignment horizontal="left" vertical="center" wrapText="1"/>
    </xf>
    <xf numFmtId="169" fontId="93" fillId="17" borderId="101" xfId="19" applyNumberFormat="1" applyFont="1" applyFill="1" applyBorder="1" applyAlignment="1" applyProtection="1">
      <protection locked="0"/>
    </xf>
    <xf numFmtId="167" fontId="83" fillId="14" borderId="101" xfId="19" applyNumberFormat="1" applyFont="1" applyFill="1" applyBorder="1" applyAlignment="1" applyProtection="1">
      <alignment wrapText="1"/>
      <protection locked="0"/>
    </xf>
    <xf numFmtId="0" fontId="93" fillId="17" borderId="101" xfId="0" applyFont="1" applyFill="1" applyBorder="1" applyAlignment="1">
      <alignment horizontal="center"/>
    </xf>
    <xf numFmtId="167" fontId="86" fillId="13" borderId="101" xfId="23" applyNumberFormat="1" applyFont="1" applyFill="1" applyBorder="1" applyProtection="1">
      <protection locked="0"/>
    </xf>
    <xf numFmtId="167" fontId="96" fillId="10" borderId="101" xfId="23" applyNumberFormat="1" applyFont="1" applyFill="1" applyBorder="1" applyProtection="1">
      <protection locked="0"/>
    </xf>
    <xf numFmtId="167" fontId="86" fillId="14" borderId="101" xfId="23" applyNumberFormat="1" applyFont="1" applyFill="1" applyBorder="1" applyProtection="1">
      <protection locked="0"/>
    </xf>
    <xf numFmtId="0" fontId="94" fillId="10" borderId="101" xfId="0" applyFont="1" applyFill="1" applyBorder="1"/>
    <xf numFmtId="0" fontId="93" fillId="21" borderId="101" xfId="0" applyFont="1" applyFill="1" applyBorder="1" applyAlignment="1">
      <alignment horizontal="center"/>
    </xf>
    <xf numFmtId="167" fontId="83" fillId="0" borderId="101" xfId="1" applyNumberFormat="1" applyFont="1" applyBorder="1"/>
    <xf numFmtId="167" fontId="93" fillId="10" borderId="101" xfId="23" applyNumberFormat="1" applyFont="1" applyFill="1" applyBorder="1"/>
    <xf numFmtId="0" fontId="91" fillId="0" borderId="101" xfId="0" applyFont="1" applyBorder="1" applyAlignment="1">
      <alignment horizontal="left" vertical="center" wrapText="1"/>
    </xf>
    <xf numFmtId="0" fontId="99" fillId="0" borderId="101" xfId="0" applyFont="1" applyBorder="1"/>
    <xf numFmtId="0" fontId="93" fillId="0" borderId="101" xfId="0" applyFont="1" applyBorder="1" applyAlignment="1">
      <alignment horizontal="left" vertical="center" wrapText="1"/>
    </xf>
    <xf numFmtId="173" fontId="93" fillId="10" borderId="101" xfId="19" applyNumberFormat="1" applyFont="1" applyFill="1" applyBorder="1" applyProtection="1">
      <protection locked="0"/>
    </xf>
    <xf numFmtId="0" fontId="95" fillId="10" borderId="101" xfId="0" applyFont="1" applyFill="1" applyBorder="1"/>
    <xf numFmtId="167" fontId="93" fillId="10" borderId="101" xfId="22" applyNumberFormat="1" applyFont="1" applyFill="1" applyBorder="1" applyProtection="1">
      <protection locked="0"/>
    </xf>
    <xf numFmtId="167" fontId="93" fillId="13" borderId="101" xfId="22" applyNumberFormat="1" applyFont="1" applyFill="1" applyBorder="1" applyProtection="1">
      <protection locked="0"/>
    </xf>
    <xf numFmtId="0" fontId="92" fillId="10" borderId="101" xfId="0" applyFont="1" applyFill="1" applyBorder="1"/>
    <xf numFmtId="49" fontId="83" fillId="10" borderId="101" xfId="0" applyNumberFormat="1" applyFont="1" applyFill="1" applyBorder="1"/>
    <xf numFmtId="167" fontId="83" fillId="10" borderId="101" xfId="19" applyNumberFormat="1" applyFont="1" applyFill="1" applyBorder="1" applyProtection="1">
      <protection locked="0"/>
    </xf>
    <xf numFmtId="167" fontId="83" fillId="10" borderId="101" xfId="19" applyNumberFormat="1" applyFont="1" applyFill="1" applyBorder="1" applyAlignment="1" applyProtection="1">
      <alignment wrapText="1"/>
      <protection locked="0"/>
    </xf>
    <xf numFmtId="0" fontId="99" fillId="6" borderId="101" xfId="0" applyFont="1" applyFill="1" applyBorder="1"/>
    <xf numFmtId="167" fontId="93" fillId="16" borderId="101" xfId="19" applyNumberFormat="1" applyFont="1" applyFill="1" applyBorder="1" applyProtection="1">
      <protection locked="0"/>
    </xf>
    <xf numFmtId="167" fontId="93" fillId="10" borderId="101" xfId="1" applyNumberFormat="1" applyFont="1" applyFill="1" applyBorder="1"/>
    <xf numFmtId="167" fontId="96" fillId="13" borderId="101" xfId="1" applyNumberFormat="1" applyFont="1" applyFill="1" applyBorder="1"/>
    <xf numFmtId="43" fontId="93" fillId="10" borderId="101" xfId="19" applyFont="1" applyFill="1" applyBorder="1"/>
    <xf numFmtId="43" fontId="96" fillId="13" borderId="101" xfId="19" applyFont="1" applyFill="1" applyBorder="1"/>
    <xf numFmtId="0" fontId="204" fillId="34" borderId="101" xfId="0" applyFont="1" applyFill="1" applyBorder="1" applyAlignment="1">
      <alignment horizontal="right" vertical="center" wrapText="1"/>
    </xf>
    <xf numFmtId="0" fontId="94" fillId="34" borderId="101" xfId="0" applyFont="1" applyFill="1" applyBorder="1" applyAlignment="1">
      <alignment horizontal="left" vertical="center" wrapText="1"/>
    </xf>
    <xf numFmtId="179" fontId="93" fillId="34" borderId="101" xfId="0" applyNumberFormat="1" applyFont="1" applyFill="1" applyBorder="1"/>
    <xf numFmtId="0" fontId="108" fillId="10" borderId="101" xfId="0" applyFont="1" applyFill="1" applyBorder="1" applyAlignment="1">
      <alignment horizontal="left" vertical="center" wrapText="1"/>
    </xf>
    <xf numFmtId="167" fontId="85" fillId="13" borderId="101" xfId="19" applyNumberFormat="1" applyFont="1" applyFill="1" applyBorder="1"/>
    <xf numFmtId="20" fontId="83" fillId="0" borderId="101" xfId="0" applyNumberFormat="1" applyFont="1" applyBorder="1"/>
    <xf numFmtId="0" fontId="90" fillId="10" borderId="101" xfId="0" applyFont="1" applyFill="1" applyBorder="1" applyAlignment="1">
      <alignment wrapText="1"/>
    </xf>
    <xf numFmtId="167" fontId="83" fillId="13" borderId="101" xfId="19" applyNumberFormat="1" applyFont="1" applyFill="1" applyBorder="1"/>
    <xf numFmtId="0" fontId="99" fillId="10" borderId="101" xfId="0" applyFont="1" applyFill="1" applyBorder="1" applyAlignment="1">
      <alignment vertical="top"/>
    </xf>
    <xf numFmtId="0" fontId="93" fillId="10" borderId="101" xfId="0" applyFont="1" applyFill="1" applyBorder="1" applyAlignment="1">
      <alignment horizontal="center" vertical="top"/>
    </xf>
    <xf numFmtId="167" fontId="86" fillId="13" borderId="101" xfId="19" applyNumberFormat="1" applyFont="1" applyFill="1" applyBorder="1"/>
    <xf numFmtId="167" fontId="104" fillId="14" borderId="101" xfId="23" applyNumberFormat="1" applyFont="1" applyFill="1" applyBorder="1" applyProtection="1">
      <protection locked="0"/>
    </xf>
    <xf numFmtId="0" fontId="97" fillId="10" borderId="101" xfId="0" applyFont="1" applyFill="1" applyBorder="1"/>
    <xf numFmtId="43" fontId="242" fillId="10" borderId="101" xfId="24" applyFont="1" applyFill="1" applyBorder="1" applyAlignment="1" applyProtection="1">
      <alignment horizontal="center"/>
      <protection locked="0"/>
    </xf>
    <xf numFmtId="167" fontId="102" fillId="27" borderId="101" xfId="1" applyNumberFormat="1" applyFont="1" applyFill="1" applyBorder="1" applyProtection="1">
      <protection locked="0"/>
    </xf>
    <xf numFmtId="167" fontId="93" fillId="13" borderId="101" xfId="23" applyNumberFormat="1" applyFont="1" applyFill="1" applyBorder="1"/>
    <xf numFmtId="167" fontId="96" fillId="10" borderId="101" xfId="23" applyNumberFormat="1" applyFont="1" applyFill="1" applyBorder="1"/>
    <xf numFmtId="167" fontId="93" fillId="35" borderId="101" xfId="23" applyNumberFormat="1" applyFont="1" applyFill="1" applyBorder="1" applyProtection="1">
      <protection locked="0"/>
    </xf>
    <xf numFmtId="0" fontId="93" fillId="10" borderId="101" xfId="0" applyFont="1" applyFill="1" applyBorder="1" applyAlignment="1">
      <alignment horizontal="left"/>
    </xf>
    <xf numFmtId="49" fontId="93" fillId="10" borderId="101" xfId="0" applyNumberFormat="1" applyFont="1" applyFill="1" applyBorder="1" applyAlignment="1">
      <alignment horizontal="left"/>
    </xf>
    <xf numFmtId="0" fontId="102" fillId="10" borderId="101" xfId="0" applyFont="1" applyFill="1" applyBorder="1" applyAlignment="1">
      <alignment horizontal="left"/>
    </xf>
    <xf numFmtId="0" fontId="154" fillId="10" borderId="101" xfId="0" applyFont="1" applyFill="1" applyBorder="1" applyAlignment="1">
      <alignment horizontal="left" vertical="center" wrapText="1"/>
    </xf>
    <xf numFmtId="0" fontId="95" fillId="10" borderId="101" xfId="0" applyFont="1" applyFill="1" applyBorder="1" applyAlignment="1">
      <alignment horizontal="left" vertical="center" wrapText="1" indent="1"/>
    </xf>
    <xf numFmtId="0" fontId="97" fillId="10" borderId="101" xfId="0" applyFont="1" applyFill="1" applyBorder="1" applyAlignment="1">
      <alignment horizontal="left" wrapText="1" indent="1"/>
    </xf>
    <xf numFmtId="49" fontId="83" fillId="0" borderId="101" xfId="0" quotePrefix="1" applyNumberFormat="1" applyFont="1" applyBorder="1" applyAlignment="1">
      <alignment horizontal="right"/>
    </xf>
    <xf numFmtId="49" fontId="93" fillId="10" borderId="101" xfId="0" applyNumberFormat="1" applyFont="1" applyFill="1" applyBorder="1" applyAlignment="1">
      <alignment horizontal="right"/>
    </xf>
    <xf numFmtId="0" fontId="83" fillId="21" borderId="101" xfId="0" applyFont="1" applyFill="1" applyBorder="1"/>
    <xf numFmtId="49" fontId="83" fillId="21" borderId="101" xfId="0" applyNumberFormat="1" applyFont="1" applyFill="1" applyBorder="1" applyAlignment="1">
      <alignment horizontal="right"/>
    </xf>
    <xf numFmtId="0" fontId="83" fillId="21" borderId="101" xfId="0" applyFont="1" applyFill="1" applyBorder="1" applyAlignment="1">
      <alignment horizontal="left" vertical="center" wrapText="1"/>
    </xf>
    <xf numFmtId="167" fontId="83" fillId="21" borderId="101" xfId="19" applyNumberFormat="1" applyFont="1" applyFill="1" applyBorder="1" applyProtection="1">
      <protection locked="0"/>
    </xf>
    <xf numFmtId="167" fontId="93" fillId="21" borderId="101" xfId="19" applyNumberFormat="1" applyFont="1" applyFill="1" applyBorder="1" applyProtection="1">
      <protection locked="0"/>
    </xf>
    <xf numFmtId="167" fontId="86" fillId="21" borderId="101" xfId="19" applyNumberFormat="1" applyFont="1" applyFill="1" applyBorder="1" applyProtection="1">
      <protection locked="0"/>
    </xf>
    <xf numFmtId="167" fontId="101" fillId="10" borderId="101" xfId="19" applyNumberFormat="1" applyFont="1" applyFill="1" applyBorder="1" applyProtection="1">
      <protection locked="0"/>
    </xf>
    <xf numFmtId="167" fontId="82" fillId="21" borderId="101" xfId="19" applyNumberFormat="1" applyFont="1" applyFill="1" applyBorder="1" applyProtection="1">
      <protection locked="0"/>
    </xf>
    <xf numFmtId="0" fontId="93" fillId="4" borderId="101" xfId="0" applyFont="1" applyFill="1" applyBorder="1"/>
    <xf numFmtId="0" fontId="105" fillId="4" borderId="101" xfId="0" applyFont="1" applyFill="1" applyBorder="1"/>
    <xf numFmtId="49" fontId="105" fillId="4" borderId="101" xfId="0" applyNumberFormat="1" applyFont="1" applyFill="1" applyBorder="1" applyAlignment="1">
      <alignment horizontal="right"/>
    </xf>
    <xf numFmtId="0" fontId="125" fillId="27" borderId="101" xfId="0" applyFont="1" applyFill="1" applyBorder="1" applyAlignment="1">
      <alignment horizontal="left" vertical="center" wrapText="1"/>
    </xf>
    <xf numFmtId="167" fontId="104" fillId="16" borderId="101" xfId="19" applyNumberFormat="1" applyFont="1" applyFill="1" applyBorder="1" applyProtection="1">
      <protection locked="0"/>
    </xf>
    <xf numFmtId="167" fontId="104" fillId="21" borderId="101" xfId="19" applyNumberFormat="1" applyFont="1" applyFill="1" applyBorder="1" applyProtection="1">
      <protection locked="0"/>
    </xf>
    <xf numFmtId="167" fontId="201" fillId="10" borderId="101" xfId="19" applyNumberFormat="1" applyFont="1" applyFill="1" applyBorder="1" applyProtection="1">
      <protection locked="0"/>
    </xf>
    <xf numFmtId="0" fontId="109" fillId="34" borderId="101" xfId="0" applyFont="1" applyFill="1" applyBorder="1" applyAlignment="1">
      <alignment vertical="top" wrapText="1"/>
    </xf>
    <xf numFmtId="0" fontId="94" fillId="21" borderId="101" xfId="0" applyFont="1" applyFill="1" applyBorder="1" applyAlignment="1">
      <alignment vertical="top" wrapText="1"/>
    </xf>
    <xf numFmtId="0" fontId="94" fillId="34" borderId="101" xfId="0" applyFont="1" applyFill="1" applyBorder="1" applyAlignment="1">
      <alignment vertical="top" wrapText="1"/>
    </xf>
    <xf numFmtId="167" fontId="201" fillId="27" borderId="101" xfId="19" applyNumberFormat="1" applyFont="1" applyFill="1" applyBorder="1" applyProtection="1">
      <protection locked="0"/>
    </xf>
    <xf numFmtId="0" fontId="97" fillId="21" borderId="101" xfId="0" applyFont="1" applyFill="1" applyBorder="1" applyAlignment="1">
      <alignment horizontal="left" vertical="top" wrapText="1"/>
    </xf>
    <xf numFmtId="0" fontId="109" fillId="34" borderId="101" xfId="0" applyFont="1" applyFill="1" applyBorder="1" applyAlignment="1">
      <alignment horizontal="left" vertical="center" wrapText="1"/>
    </xf>
    <xf numFmtId="0" fontId="93" fillId="6" borderId="101" xfId="0" applyFont="1" applyFill="1" applyBorder="1"/>
    <xf numFmtId="0" fontId="93" fillId="6" borderId="101" xfId="0" applyFont="1" applyFill="1" applyBorder="1" applyAlignment="1">
      <alignment horizontal="center"/>
    </xf>
    <xf numFmtId="0" fontId="83" fillId="6" borderId="101" xfId="0" applyFont="1" applyFill="1" applyBorder="1" applyAlignment="1">
      <alignment horizontal="left" vertical="center" wrapText="1"/>
    </xf>
    <xf numFmtId="0" fontId="109" fillId="72" borderId="101" xfId="0" applyFont="1" applyFill="1" applyBorder="1" applyAlignment="1">
      <alignment horizontal="left" vertical="center" wrapText="1"/>
    </xf>
    <xf numFmtId="0" fontId="142" fillId="21" borderId="101" xfId="0" applyFont="1" applyFill="1" applyBorder="1" applyAlignment="1">
      <alignment horizontal="right" vertical="top" wrapText="1"/>
    </xf>
    <xf numFmtId="0" fontId="94" fillId="10" borderId="101" xfId="0" applyFont="1" applyFill="1" applyBorder="1" applyAlignment="1">
      <alignment horizontal="right" vertical="center" wrapText="1"/>
    </xf>
    <xf numFmtId="0" fontId="94" fillId="21" borderId="101" xfId="0" applyFont="1" applyFill="1" applyBorder="1" applyAlignment="1">
      <alignment horizontal="left" vertical="top" wrapText="1"/>
    </xf>
    <xf numFmtId="0" fontId="119" fillId="27" borderId="101" xfId="0" applyFont="1" applyFill="1" applyBorder="1"/>
    <xf numFmtId="0" fontId="83" fillId="0" borderId="101" xfId="200" applyFont="1" applyBorder="1"/>
    <xf numFmtId="0" fontId="93" fillId="0" borderId="101" xfId="200" applyFont="1" applyBorder="1" applyAlignment="1">
      <alignment horizontal="center"/>
    </xf>
    <xf numFmtId="0" fontId="83" fillId="0" borderId="101" xfId="200" applyFont="1" applyBorder="1" applyAlignment="1">
      <alignment horizontal="left" vertical="center" wrapText="1"/>
    </xf>
    <xf numFmtId="0" fontId="93" fillId="10" borderId="101" xfId="200" applyFont="1" applyFill="1" applyBorder="1"/>
    <xf numFmtId="0" fontId="93" fillId="10" borderId="101" xfId="200" applyFont="1" applyFill="1" applyBorder="1" applyAlignment="1">
      <alignment horizontal="center"/>
    </xf>
    <xf numFmtId="0" fontId="86" fillId="0" borderId="101" xfId="0" applyFont="1" applyBorder="1"/>
    <xf numFmtId="0" fontId="83" fillId="10" borderId="101" xfId="0" applyFont="1" applyFill="1" applyBorder="1" applyAlignment="1">
      <alignment horizontal="right" vertical="center" wrapText="1"/>
    </xf>
    <xf numFmtId="0" fontId="86" fillId="10" borderId="101" xfId="0" applyFont="1" applyFill="1" applyBorder="1"/>
    <xf numFmtId="43" fontId="96" fillId="10" borderId="101" xfId="24" applyFont="1" applyFill="1" applyBorder="1" applyAlignment="1" applyProtection="1">
      <alignment horizontal="center"/>
      <protection locked="0"/>
    </xf>
    <xf numFmtId="167" fontId="86" fillId="10" borderId="101" xfId="24" applyNumberFormat="1" applyFont="1" applyFill="1" applyBorder="1" applyProtection="1">
      <protection locked="0"/>
    </xf>
    <xf numFmtId="43" fontId="85" fillId="14" borderId="101" xfId="24" applyFont="1" applyFill="1" applyBorder="1" applyProtection="1">
      <protection locked="0"/>
    </xf>
    <xf numFmtId="167" fontId="86" fillId="14" borderId="101" xfId="24" applyNumberFormat="1" applyFont="1" applyFill="1" applyBorder="1" applyAlignment="1" applyProtection="1">
      <alignment horizontal="center"/>
      <protection locked="0"/>
    </xf>
    <xf numFmtId="167" fontId="86" fillId="13" borderId="101" xfId="24" applyNumberFormat="1" applyFont="1" applyFill="1" applyBorder="1" applyProtection="1">
      <protection locked="0"/>
    </xf>
    <xf numFmtId="43" fontId="96" fillId="10" borderId="101" xfId="24" applyFont="1" applyFill="1" applyBorder="1" applyProtection="1">
      <protection locked="0"/>
    </xf>
    <xf numFmtId="0" fontId="83" fillId="0" borderId="101" xfId="0" applyFont="1" applyBorder="1" applyAlignment="1">
      <alignment wrapText="1"/>
    </xf>
    <xf numFmtId="43" fontId="93" fillId="10" borderId="101" xfId="24" applyFont="1" applyFill="1" applyBorder="1" applyProtection="1">
      <protection locked="0"/>
    </xf>
    <xf numFmtId="0" fontId="110" fillId="10" borderId="101" xfId="0" applyFont="1" applyFill="1" applyBorder="1" applyAlignment="1">
      <alignment horizontal="left" wrapText="1"/>
    </xf>
    <xf numFmtId="43" fontId="83" fillId="10" borderId="101" xfId="24" applyFont="1" applyFill="1" applyBorder="1" applyProtection="1">
      <protection locked="0"/>
    </xf>
    <xf numFmtId="43" fontId="201" fillId="27" borderId="101" xfId="24" applyFont="1" applyFill="1" applyBorder="1" applyAlignment="1" applyProtection="1">
      <alignment horizontal="center"/>
      <protection locked="0"/>
    </xf>
    <xf numFmtId="167" fontId="102" fillId="27" borderId="101" xfId="24" applyNumberFormat="1" applyFont="1" applyFill="1" applyBorder="1" applyProtection="1">
      <protection locked="0"/>
    </xf>
    <xf numFmtId="0" fontId="104" fillId="10" borderId="101" xfId="0" applyFont="1" applyFill="1" applyBorder="1" applyAlignment="1">
      <alignment horizontal="left" vertical="center" wrapText="1"/>
    </xf>
    <xf numFmtId="43" fontId="101" fillId="10" borderId="101" xfId="24" applyFont="1" applyFill="1" applyBorder="1" applyAlignment="1" applyProtection="1">
      <alignment horizontal="center"/>
      <protection locked="0"/>
    </xf>
    <xf numFmtId="167" fontId="86" fillId="14" borderId="101" xfId="22" applyNumberFormat="1" applyFont="1" applyFill="1" applyBorder="1"/>
    <xf numFmtId="167" fontId="96" fillId="10" borderId="101" xfId="22" applyNumberFormat="1" applyFont="1" applyFill="1" applyBorder="1"/>
    <xf numFmtId="167" fontId="104" fillId="13" borderId="101" xfId="19" applyNumberFormat="1" applyFont="1" applyFill="1" applyBorder="1"/>
    <xf numFmtId="167" fontId="102" fillId="10" borderId="101" xfId="1" applyNumberFormat="1" applyFont="1" applyFill="1" applyBorder="1"/>
    <xf numFmtId="167" fontId="83" fillId="14" borderId="101" xfId="19" applyNumberFormat="1" applyFont="1" applyFill="1" applyBorder="1"/>
    <xf numFmtId="0" fontId="102" fillId="10" borderId="101" xfId="0" quotePrefix="1" applyFont="1" applyFill="1" applyBorder="1" applyAlignment="1">
      <alignment horizontal="left" vertical="center" wrapText="1"/>
    </xf>
    <xf numFmtId="167" fontId="129" fillId="14" borderId="101" xfId="19" applyNumberFormat="1" applyFont="1" applyFill="1" applyBorder="1"/>
    <xf numFmtId="167" fontId="86" fillId="14" borderId="101" xfId="19" applyNumberFormat="1" applyFont="1" applyFill="1" applyBorder="1"/>
    <xf numFmtId="0" fontId="102" fillId="21" borderId="101" xfId="0" applyFont="1" applyFill="1" applyBorder="1" applyAlignment="1">
      <alignment horizontal="left" vertical="center" wrapText="1"/>
    </xf>
    <xf numFmtId="43" fontId="102" fillId="10" borderId="101" xfId="19" applyFont="1" applyFill="1" applyBorder="1" applyAlignment="1">
      <alignment vertical="center" wrapText="1"/>
    </xf>
    <xf numFmtId="167" fontId="102" fillId="10" borderId="101" xfId="19" applyNumberFormat="1" applyFont="1" applyFill="1" applyBorder="1" applyAlignment="1">
      <alignment vertical="center" wrapText="1"/>
    </xf>
    <xf numFmtId="43" fontId="102" fillId="13" borderId="101" xfId="19" applyFont="1" applyFill="1" applyBorder="1" applyAlignment="1">
      <alignment horizontal="center" vertical="center"/>
    </xf>
    <xf numFmtId="0" fontId="185" fillId="6" borderId="101" xfId="0" applyFont="1" applyFill="1" applyBorder="1"/>
    <xf numFmtId="167" fontId="86" fillId="28" borderId="101" xfId="19" applyNumberFormat="1" applyFont="1" applyFill="1" applyBorder="1" applyProtection="1">
      <protection locked="0"/>
    </xf>
    <xf numFmtId="167" fontId="96" fillId="12" borderId="101" xfId="19" applyNumberFormat="1" applyFont="1" applyFill="1" applyBorder="1" applyProtection="1">
      <protection locked="0"/>
    </xf>
    <xf numFmtId="0" fontId="185" fillId="0" borderId="101" xfId="0" applyFont="1" applyBorder="1" applyAlignment="1">
      <alignment horizontal="left"/>
    </xf>
    <xf numFmtId="0" fontId="91" fillId="0" borderId="101" xfId="0" applyFont="1" applyBorder="1"/>
    <xf numFmtId="167" fontId="83" fillId="14" borderId="101" xfId="22" applyNumberFormat="1" applyFont="1" applyFill="1" applyBorder="1"/>
    <xf numFmtId="167" fontId="93" fillId="10" borderId="101" xfId="22" applyNumberFormat="1" applyFont="1" applyFill="1" applyBorder="1"/>
    <xf numFmtId="0" fontId="180" fillId="0" borderId="101" xfId="0" applyFont="1" applyBorder="1" applyAlignment="1">
      <alignment horizontal="left" vertical="center" wrapText="1"/>
    </xf>
    <xf numFmtId="49" fontId="83" fillId="0" borderId="101" xfId="0" applyNumberFormat="1" applyFont="1" applyBorder="1" applyAlignment="1">
      <alignment horizontal="center"/>
    </xf>
    <xf numFmtId="167" fontId="86" fillId="23" borderId="101" xfId="23" applyNumberFormat="1" applyFont="1" applyFill="1" applyBorder="1" applyProtection="1">
      <protection locked="0"/>
    </xf>
    <xf numFmtId="167" fontId="96" fillId="23" borderId="101" xfId="23" applyNumberFormat="1" applyFont="1" applyFill="1" applyBorder="1"/>
    <xf numFmtId="49" fontId="93" fillId="10" borderId="101" xfId="0" applyNumberFormat="1" applyFont="1" applyFill="1" applyBorder="1" applyAlignment="1">
      <alignment horizontal="center"/>
    </xf>
    <xf numFmtId="0" fontId="93" fillId="0" borderId="101" xfId="0" applyFont="1" applyBorder="1" applyAlignment="1">
      <alignment wrapText="1"/>
    </xf>
    <xf numFmtId="49" fontId="83" fillId="0" borderId="101" xfId="0" quotePrefix="1" applyNumberFormat="1" applyFont="1" applyBorder="1" applyAlignment="1">
      <alignment horizontal="left" vertical="center"/>
    </xf>
    <xf numFmtId="0" fontId="83" fillId="0" borderId="101" xfId="0" applyFont="1" applyBorder="1" applyAlignment="1">
      <alignment horizontal="center" vertical="center"/>
    </xf>
    <xf numFmtId="167" fontId="86" fillId="14" borderId="101" xfId="1" applyNumberFormat="1" applyFont="1" applyFill="1" applyBorder="1" applyAlignment="1" applyProtection="1">
      <alignment horizontal="center" vertical="center"/>
      <protection locked="0"/>
    </xf>
    <xf numFmtId="167" fontId="85" fillId="14" borderId="101" xfId="1" applyNumberFormat="1" applyFont="1" applyFill="1" applyBorder="1" applyAlignment="1" applyProtection="1">
      <alignment horizontal="center" vertical="center"/>
      <protection locked="0"/>
    </xf>
    <xf numFmtId="49" fontId="93" fillId="10" borderId="101" xfId="0" applyNumberFormat="1" applyFont="1" applyFill="1" applyBorder="1" applyAlignment="1">
      <alignment horizontal="left" vertical="center"/>
    </xf>
    <xf numFmtId="0" fontId="119" fillId="10" borderId="101" xfId="0" applyFont="1" applyFill="1" applyBorder="1" applyAlignment="1">
      <alignment horizontal="left" vertical="center"/>
    </xf>
    <xf numFmtId="0" fontId="93" fillId="10" borderId="101" xfId="0" applyFont="1" applyFill="1" applyBorder="1" applyAlignment="1">
      <alignment horizontal="center" vertical="center"/>
    </xf>
    <xf numFmtId="0" fontId="185" fillId="0" borderId="101" xfId="0" applyFont="1" applyBorder="1" applyAlignment="1">
      <alignment horizontal="left" vertical="center"/>
    </xf>
    <xf numFmtId="167" fontId="86" fillId="13" borderId="101" xfId="1" applyNumberFormat="1" applyFont="1" applyFill="1" applyBorder="1" applyAlignment="1" applyProtection="1">
      <alignment horizontal="center" vertical="center"/>
      <protection locked="0"/>
    </xf>
    <xf numFmtId="49" fontId="83" fillId="0" borderId="101" xfId="0" applyNumberFormat="1" applyFont="1" applyBorder="1" applyAlignment="1">
      <alignment horizontal="left" vertical="center"/>
    </xf>
    <xf numFmtId="0" fontId="104" fillId="0" borderId="101" xfId="0" applyFont="1" applyBorder="1" applyAlignment="1">
      <alignment horizontal="left" vertical="center"/>
    </xf>
    <xf numFmtId="49" fontId="104" fillId="0" borderId="101" xfId="0" applyNumberFormat="1" applyFont="1" applyBorder="1" applyAlignment="1">
      <alignment horizontal="left" vertical="center"/>
    </xf>
    <xf numFmtId="0" fontId="104" fillId="0" borderId="101" xfId="0" applyFont="1" applyBorder="1" applyAlignment="1">
      <alignment horizontal="center" vertical="center"/>
    </xf>
    <xf numFmtId="167" fontId="104" fillId="14" borderId="101" xfId="1" applyNumberFormat="1" applyFont="1" applyFill="1" applyBorder="1" applyAlignment="1" applyProtection="1">
      <alignment horizontal="center" vertical="center"/>
      <protection locked="0"/>
    </xf>
    <xf numFmtId="167" fontId="102" fillId="14" borderId="101" xfId="1" applyNumberFormat="1" applyFont="1" applyFill="1" applyBorder="1" applyAlignment="1" applyProtection="1">
      <alignment vertical="center"/>
      <protection locked="0"/>
    </xf>
    <xf numFmtId="0" fontId="102" fillId="10" borderId="101" xfId="0" applyFont="1" applyFill="1" applyBorder="1" applyAlignment="1">
      <alignment horizontal="left" vertical="center"/>
    </xf>
    <xf numFmtId="49" fontId="102" fillId="10" borderId="101" xfId="0" applyNumberFormat="1" applyFont="1" applyFill="1" applyBorder="1" applyAlignment="1">
      <alignment horizontal="left" vertical="center"/>
    </xf>
    <xf numFmtId="0" fontId="102" fillId="10" borderId="101" xfId="0" applyFont="1" applyFill="1" applyBorder="1" applyAlignment="1">
      <alignment horizontal="center" vertical="center"/>
    </xf>
    <xf numFmtId="167" fontId="93" fillId="10" borderId="101" xfId="1" applyNumberFormat="1" applyFont="1" applyFill="1" applyBorder="1" applyAlignment="1" applyProtection="1">
      <alignment horizontal="center" vertical="center"/>
      <protection locked="0"/>
    </xf>
    <xf numFmtId="167" fontId="201" fillId="14" borderId="101" xfId="1" applyNumberFormat="1" applyFont="1" applyFill="1" applyBorder="1" applyAlignment="1" applyProtection="1">
      <alignment horizontal="center" vertical="center"/>
      <protection locked="0"/>
    </xf>
    <xf numFmtId="43" fontId="102" fillId="10" borderId="101" xfId="24" applyFont="1" applyFill="1" applyBorder="1" applyAlignment="1" applyProtection="1">
      <alignment horizontal="left" vertical="center"/>
      <protection locked="0"/>
    </xf>
    <xf numFmtId="0" fontId="110" fillId="0" borderId="101" xfId="0" applyFont="1" applyBorder="1"/>
    <xf numFmtId="167" fontId="102" fillId="14" borderId="101" xfId="1" applyNumberFormat="1" applyFont="1" applyFill="1" applyBorder="1" applyAlignment="1" applyProtection="1">
      <alignment horizontal="center" vertical="center"/>
      <protection locked="0"/>
    </xf>
    <xf numFmtId="0" fontId="109" fillId="10" borderId="101" xfId="0" applyFont="1" applyFill="1" applyBorder="1"/>
    <xf numFmtId="0" fontId="102" fillId="10" borderId="101" xfId="0" applyFont="1" applyFill="1" applyBorder="1" applyAlignment="1">
      <alignment vertical="center"/>
    </xf>
    <xf numFmtId="43" fontId="104" fillId="10" borderId="101" xfId="24" applyFont="1" applyFill="1" applyBorder="1" applyAlignment="1" applyProtection="1">
      <alignment horizontal="left" vertical="center"/>
      <protection locked="0"/>
    </xf>
    <xf numFmtId="167" fontId="123" fillId="10" borderId="101" xfId="1" applyNumberFormat="1" applyFont="1" applyFill="1" applyBorder="1" applyAlignment="1" applyProtection="1">
      <alignment horizontal="center" vertical="center"/>
      <protection locked="0"/>
    </xf>
    <xf numFmtId="167" fontId="201" fillId="14" borderId="101" xfId="1" applyNumberFormat="1" applyFont="1" applyFill="1" applyBorder="1" applyAlignment="1" applyProtection="1">
      <alignment vertical="center"/>
      <protection locked="0"/>
    </xf>
    <xf numFmtId="167" fontId="104" fillId="10" borderId="101" xfId="1" applyNumberFormat="1" applyFont="1" applyFill="1" applyBorder="1" applyAlignment="1" applyProtection="1">
      <alignment horizontal="center" vertical="center"/>
      <protection locked="0"/>
    </xf>
    <xf numFmtId="167" fontId="201" fillId="10" borderId="101" xfId="1" applyNumberFormat="1" applyFont="1" applyFill="1" applyBorder="1" applyAlignment="1">
      <alignment horizontal="center" vertical="center"/>
    </xf>
    <xf numFmtId="167" fontId="83" fillId="13" borderId="101" xfId="1" applyNumberFormat="1" applyFont="1" applyFill="1" applyBorder="1" applyProtection="1">
      <protection locked="0"/>
    </xf>
    <xf numFmtId="167" fontId="93" fillId="13" borderId="101" xfId="1" applyNumberFormat="1" applyFont="1" applyFill="1" applyBorder="1" applyProtection="1">
      <protection locked="0"/>
    </xf>
    <xf numFmtId="167" fontId="104" fillId="14" borderId="101" xfId="22" applyNumberFormat="1" applyFont="1" applyFill="1" applyBorder="1"/>
    <xf numFmtId="0" fontId="102" fillId="0" borderId="101" xfId="0" applyFont="1" applyBorder="1" applyAlignment="1">
      <alignment horizontal="center"/>
    </xf>
    <xf numFmtId="0" fontId="102" fillId="0" borderId="101" xfId="0" applyFont="1" applyBorder="1" applyAlignment="1">
      <alignment horizontal="left" vertical="center" wrapText="1"/>
    </xf>
    <xf numFmtId="173" fontId="102" fillId="10" borderId="101" xfId="19" applyNumberFormat="1" applyFont="1" applyFill="1" applyBorder="1" applyProtection="1">
      <protection locked="0"/>
    </xf>
    <xf numFmtId="167" fontId="116" fillId="14" borderId="101" xfId="19" applyNumberFormat="1" applyFont="1" applyFill="1" applyBorder="1"/>
    <xf numFmtId="167" fontId="116" fillId="10" borderId="101" xfId="19" applyNumberFormat="1" applyFont="1" applyFill="1" applyBorder="1" applyProtection="1">
      <protection locked="0"/>
    </xf>
    <xf numFmtId="167" fontId="93" fillId="10" borderId="101" xfId="19" applyNumberFormat="1" applyFont="1" applyFill="1" applyBorder="1" applyAlignment="1" applyProtection="1">
      <alignment horizontal="left"/>
      <protection locked="0"/>
    </xf>
    <xf numFmtId="167" fontId="96" fillId="10" borderId="101" xfId="19" applyNumberFormat="1" applyFont="1" applyFill="1" applyBorder="1" applyAlignment="1" applyProtection="1">
      <alignment horizontal="left"/>
      <protection locked="0"/>
    </xf>
    <xf numFmtId="167" fontId="113" fillId="10" borderId="101" xfId="19" applyNumberFormat="1" applyFont="1" applyFill="1" applyBorder="1" applyProtection="1">
      <protection locked="0"/>
    </xf>
    <xf numFmtId="167" fontId="93" fillId="10" borderId="101" xfId="19" applyNumberFormat="1" applyFont="1" applyFill="1" applyBorder="1" applyAlignment="1">
      <alignment vertical="top"/>
    </xf>
    <xf numFmtId="167" fontId="96" fillId="13" borderId="101" xfId="19" applyNumberFormat="1" applyFont="1" applyFill="1" applyBorder="1" applyAlignment="1">
      <alignment vertical="top"/>
    </xf>
    <xf numFmtId="43" fontId="249" fillId="6" borderId="51" xfId="1" quotePrefix="1" applyFont="1" applyFill="1" applyBorder="1" applyAlignment="1">
      <alignment wrapText="1"/>
    </xf>
    <xf numFmtId="43" fontId="249" fillId="6" borderId="51" xfId="1" applyFont="1" applyFill="1" applyBorder="1" applyAlignment="1">
      <alignment wrapText="1"/>
    </xf>
    <xf numFmtId="43" fontId="249" fillId="4" borderId="51" xfId="1" applyFont="1" applyFill="1" applyBorder="1"/>
    <xf numFmtId="43" fontId="251" fillId="0" borderId="0" xfId="1" applyFont="1" applyAlignment="1">
      <alignment wrapText="1"/>
    </xf>
    <xf numFmtId="43" fontId="251" fillId="0" borderId="0" xfId="1" applyFont="1" applyAlignment="1">
      <alignment horizontal="left" wrapText="1"/>
    </xf>
    <xf numFmtId="167" fontId="251" fillId="0" borderId="0" xfId="1" applyNumberFormat="1" applyFont="1" applyAlignment="1">
      <alignment wrapText="1"/>
    </xf>
    <xf numFmtId="43" fontId="251" fillId="0" borderId="0" xfId="1" applyFont="1" applyFill="1" applyAlignment="1">
      <alignment wrapText="1"/>
    </xf>
    <xf numFmtId="43" fontId="251" fillId="0" borderId="0" xfId="1" applyFont="1"/>
    <xf numFmtId="43" fontId="252" fillId="0" borderId="3" xfId="1" applyFont="1" applyBorder="1" applyAlignment="1">
      <alignment horizontal="center" vertical="center" wrapText="1"/>
    </xf>
    <xf numFmtId="43" fontId="249" fillId="6" borderId="9" xfId="1" applyFont="1" applyFill="1" applyBorder="1"/>
    <xf numFmtId="43" fontId="252" fillId="6" borderId="9" xfId="1" applyFont="1" applyFill="1" applyBorder="1"/>
    <xf numFmtId="43" fontId="252" fillId="6" borderId="69" xfId="1" applyFont="1" applyFill="1" applyBorder="1"/>
    <xf numFmtId="43" fontId="249" fillId="6" borderId="43" xfId="1" applyFont="1" applyFill="1" applyBorder="1"/>
    <xf numFmtId="43" fontId="249" fillId="6" borderId="50" xfId="1" applyFont="1" applyFill="1" applyBorder="1"/>
    <xf numFmtId="43" fontId="250" fillId="6" borderId="50" xfId="1" applyFont="1" applyFill="1" applyBorder="1"/>
    <xf numFmtId="43" fontId="250" fillId="6" borderId="9" xfId="1" applyFont="1" applyFill="1" applyBorder="1"/>
    <xf numFmtId="43" fontId="252" fillId="5" borderId="16" xfId="1" applyFont="1" applyFill="1" applyBorder="1"/>
    <xf numFmtId="43" fontId="249" fillId="4" borderId="9" xfId="1" applyFont="1" applyFill="1" applyBorder="1"/>
    <xf numFmtId="167" fontId="249" fillId="4" borderId="9" xfId="1" applyNumberFormat="1" applyFont="1" applyFill="1" applyBorder="1"/>
    <xf numFmtId="167" fontId="249" fillId="6" borderId="9" xfId="1" applyNumberFormat="1" applyFont="1" applyFill="1" applyBorder="1" applyAlignment="1">
      <alignment wrapText="1"/>
    </xf>
    <xf numFmtId="167" fontId="249" fillId="6" borderId="9" xfId="1" applyNumberFormat="1" applyFont="1" applyFill="1" applyBorder="1"/>
    <xf numFmtId="167" fontId="252" fillId="0" borderId="0" xfId="1" applyNumberFormat="1" applyFont="1" applyFill="1" applyBorder="1"/>
    <xf numFmtId="167" fontId="250" fillId="0" borderId="0" xfId="1" applyNumberFormat="1" applyFont="1" applyFill="1" applyBorder="1" applyAlignment="1">
      <alignment horizontal="right"/>
    </xf>
    <xf numFmtId="49" fontId="147" fillId="6" borderId="99" xfId="43" applyNumberFormat="1" applyFont="1" applyFill="1" applyBorder="1" applyAlignment="1">
      <alignment horizontal="left" indent="1"/>
    </xf>
    <xf numFmtId="3" fontId="249" fillId="0" borderId="9" xfId="3" applyNumberFormat="1" applyFont="1" applyBorder="1"/>
    <xf numFmtId="3" fontId="249" fillId="4" borderId="9" xfId="3" applyNumberFormat="1" applyFont="1" applyFill="1" applyBorder="1"/>
    <xf numFmtId="3" fontId="249" fillId="4" borderId="9" xfId="43" applyNumberFormat="1" applyFont="1" applyFill="1" applyBorder="1"/>
    <xf numFmtId="3" fontId="249" fillId="4" borderId="51" xfId="43" applyNumberFormat="1" applyFont="1" applyFill="1" applyBorder="1"/>
    <xf numFmtId="167" fontId="96" fillId="0" borderId="100" xfId="19" applyNumberFormat="1" applyFont="1" applyFill="1" applyBorder="1" applyProtection="1">
      <protection locked="0"/>
    </xf>
    <xf numFmtId="0" fontId="119" fillId="0" borderId="0" xfId="0" applyFont="1"/>
    <xf numFmtId="0" fontId="102" fillId="27" borderId="101" xfId="0" applyFont="1" applyFill="1" applyBorder="1" applyAlignment="1">
      <alignment horizontal="left" vertical="center"/>
    </xf>
    <xf numFmtId="0" fontId="102" fillId="27" borderId="101" xfId="0" applyFont="1" applyFill="1" applyBorder="1" applyAlignment="1">
      <alignment horizontal="center" vertical="center"/>
    </xf>
    <xf numFmtId="167" fontId="201" fillId="27" borderId="101" xfId="1" applyNumberFormat="1" applyFont="1" applyFill="1" applyBorder="1" applyAlignment="1" applyProtection="1">
      <alignment horizontal="center" vertical="center"/>
      <protection locked="0"/>
    </xf>
    <xf numFmtId="167" fontId="102" fillId="27" borderId="101" xfId="1" applyNumberFormat="1" applyFont="1" applyFill="1" applyBorder="1" applyAlignment="1" applyProtection="1">
      <alignment horizontal="center" vertical="center"/>
      <protection locked="0"/>
    </xf>
    <xf numFmtId="49" fontId="102" fillId="27" borderId="101" xfId="0" applyNumberFormat="1" applyFont="1" applyFill="1" applyBorder="1" applyAlignment="1">
      <alignment horizontal="left" vertical="center"/>
    </xf>
    <xf numFmtId="167" fontId="102" fillId="27" borderId="101" xfId="1" applyNumberFormat="1" applyFont="1" applyFill="1" applyBorder="1" applyAlignment="1" applyProtection="1">
      <alignment vertical="center"/>
      <protection locked="0"/>
    </xf>
    <xf numFmtId="167" fontId="253" fillId="14" borderId="101" xfId="1" applyNumberFormat="1" applyFont="1" applyFill="1" applyBorder="1" applyAlignment="1" applyProtection="1">
      <alignment horizontal="center" vertical="center"/>
      <protection locked="0"/>
    </xf>
    <xf numFmtId="167" fontId="255" fillId="14" borderId="101" xfId="1" applyNumberFormat="1" applyFont="1" applyFill="1" applyBorder="1" applyAlignment="1" applyProtection="1">
      <alignment horizontal="center" vertical="center"/>
      <protection locked="0"/>
    </xf>
    <xf numFmtId="167" fontId="125" fillId="0" borderId="0" xfId="0" applyNumberFormat="1" applyFont="1"/>
    <xf numFmtId="167" fontId="105" fillId="14" borderId="101" xfId="1" applyNumberFormat="1" applyFont="1" applyFill="1" applyBorder="1" applyAlignment="1" applyProtection="1">
      <alignment vertical="center"/>
      <protection locked="0"/>
    </xf>
    <xf numFmtId="167" fontId="104" fillId="30" borderId="101" xfId="1" applyNumberFormat="1" applyFont="1" applyFill="1" applyBorder="1" applyAlignment="1" applyProtection="1">
      <alignment horizontal="center" vertical="center"/>
      <protection locked="0"/>
    </xf>
    <xf numFmtId="167" fontId="104" fillId="23" borderId="101" xfId="23" applyNumberFormat="1" applyFont="1" applyFill="1" applyBorder="1" applyProtection="1">
      <protection locked="0"/>
    </xf>
    <xf numFmtId="167" fontId="102" fillId="23" borderId="101" xfId="23" applyNumberFormat="1" applyFont="1" applyFill="1" applyBorder="1"/>
    <xf numFmtId="167" fontId="104" fillId="14" borderId="101" xfId="1" applyNumberFormat="1" applyFont="1" applyFill="1" applyBorder="1" applyAlignment="1" applyProtection="1">
      <alignment vertical="center"/>
      <protection locked="0"/>
    </xf>
    <xf numFmtId="0" fontId="85" fillId="0" borderId="96" xfId="0" applyFont="1" applyBorder="1" applyAlignment="1">
      <alignment wrapText="1"/>
    </xf>
    <xf numFmtId="0" fontId="82" fillId="0" borderId="96" xfId="0" applyFont="1" applyBorder="1" applyAlignment="1">
      <alignment horizontal="right"/>
    </xf>
    <xf numFmtId="0" fontId="82" fillId="0" borderId="96" xfId="1" applyNumberFormat="1" applyFont="1" applyFill="1" applyBorder="1" applyAlignment="1" applyProtection="1">
      <alignment horizontal="center" vertical="center" wrapText="1"/>
    </xf>
    <xf numFmtId="0" fontId="123" fillId="0" borderId="96" xfId="0" applyFont="1" applyBorder="1" applyAlignment="1">
      <alignment horizontal="center" vertical="center" wrapText="1"/>
    </xf>
    <xf numFmtId="167" fontId="238" fillId="0" borderId="96" xfId="1" applyNumberFormat="1" applyFont="1" applyFill="1" applyBorder="1" applyAlignment="1" applyProtection="1">
      <alignment horizontal="center" vertical="center" wrapText="1"/>
    </xf>
    <xf numFmtId="167" fontId="239" fillId="0" borderId="96" xfId="19" applyNumberFormat="1" applyFont="1" applyFill="1" applyBorder="1" applyAlignment="1" applyProtection="1">
      <alignment horizontal="center" vertical="center" wrapText="1"/>
    </xf>
    <xf numFmtId="167" fontId="151" fillId="0" borderId="96" xfId="19" applyNumberFormat="1" applyFont="1" applyFill="1" applyBorder="1" applyAlignment="1" applyProtection="1">
      <alignment horizontal="center" vertical="center" wrapText="1"/>
    </xf>
    <xf numFmtId="167" fontId="78" fillId="13" borderId="96" xfId="1" applyNumberFormat="1" applyFont="1" applyFill="1" applyBorder="1" applyAlignment="1" applyProtection="1">
      <alignment horizontal="center" vertical="center" wrapText="1"/>
    </xf>
    <xf numFmtId="167" fontId="82" fillId="0" borderId="96" xfId="1" applyNumberFormat="1" applyFont="1" applyFill="1" applyBorder="1" applyAlignment="1" applyProtection="1">
      <alignment horizontal="center" vertical="center" wrapText="1"/>
    </xf>
    <xf numFmtId="167" fontId="256" fillId="14" borderId="97" xfId="19" applyNumberFormat="1" applyFont="1" applyFill="1" applyBorder="1" applyProtection="1">
      <protection locked="0"/>
    </xf>
    <xf numFmtId="167" fontId="256" fillId="13" borderId="97" xfId="19" applyNumberFormat="1" applyFont="1" applyFill="1" applyBorder="1" applyProtection="1">
      <protection locked="0"/>
    </xf>
    <xf numFmtId="167" fontId="93" fillId="0" borderId="0" xfId="1" applyNumberFormat="1" applyFont="1"/>
    <xf numFmtId="167" fontId="257" fillId="10" borderId="0" xfId="19" applyNumberFormat="1" applyFont="1" applyFill="1"/>
    <xf numFmtId="167" fontId="257" fillId="13" borderId="0" xfId="19" applyNumberFormat="1" applyFont="1" applyFill="1"/>
    <xf numFmtId="167" fontId="93" fillId="10" borderId="0" xfId="1" applyNumberFormat="1" applyFont="1" applyFill="1"/>
    <xf numFmtId="9" fontId="93" fillId="10" borderId="0" xfId="0" applyNumberFormat="1" applyFont="1" applyFill="1"/>
    <xf numFmtId="167" fontId="257" fillId="10" borderId="0" xfId="1" applyNumberFormat="1" applyFont="1" applyFill="1"/>
    <xf numFmtId="167" fontId="182" fillId="14" borderId="97" xfId="19" applyNumberFormat="1" applyFont="1" applyFill="1" applyBorder="1" applyProtection="1">
      <protection locked="0"/>
    </xf>
    <xf numFmtId="167" fontId="182" fillId="13" borderId="97" xfId="19" applyNumberFormat="1" applyFont="1" applyFill="1" applyBorder="1" applyProtection="1">
      <protection locked="0"/>
    </xf>
    <xf numFmtId="167" fontId="183" fillId="10" borderId="0" xfId="19" applyNumberFormat="1" applyFont="1" applyFill="1"/>
    <xf numFmtId="167" fontId="183" fillId="13" borderId="0" xfId="19" applyNumberFormat="1" applyFont="1" applyFill="1"/>
    <xf numFmtId="167" fontId="97" fillId="10" borderId="0" xfId="1" applyNumberFormat="1" applyFont="1" applyFill="1"/>
    <xf numFmtId="167" fontId="183" fillId="10" borderId="0" xfId="1" applyNumberFormat="1" applyFont="1" applyFill="1"/>
    <xf numFmtId="167" fontId="100" fillId="10" borderId="0" xfId="19" applyNumberFormat="1" applyFont="1" applyFill="1"/>
    <xf numFmtId="0" fontId="66" fillId="5" borderId="96" xfId="43" applyFont="1" applyFill="1" applyBorder="1" applyAlignment="1">
      <alignment wrapText="1"/>
    </xf>
    <xf numFmtId="0" fontId="62" fillId="0" borderId="96" xfId="43" applyFont="1" applyBorder="1" applyAlignment="1">
      <alignment horizontal="left" wrapText="1" indent="2"/>
    </xf>
    <xf numFmtId="3" fontId="64" fillId="0" borderId="71" xfId="43" applyNumberFormat="1" applyFont="1" applyBorder="1"/>
    <xf numFmtId="3" fontId="62" fillId="0" borderId="71" xfId="43" applyNumberFormat="1" applyFont="1" applyBorder="1"/>
    <xf numFmtId="9" fontId="62" fillId="0" borderId="71" xfId="2" applyFont="1" applyFill="1" applyBorder="1" applyAlignment="1">
      <alignment horizontal="right"/>
    </xf>
    <xf numFmtId="9" fontId="62" fillId="0" borderId="98" xfId="2" applyFont="1" applyFill="1" applyBorder="1" applyAlignment="1">
      <alignment horizontal="right"/>
    </xf>
    <xf numFmtId="3" fontId="66" fillId="5" borderId="6" xfId="3" applyNumberFormat="1" applyFont="1" applyFill="1" applyBorder="1"/>
    <xf numFmtId="167" fontId="62" fillId="0" borderId="6" xfId="5" applyNumberFormat="1" applyFont="1" applyFill="1" applyBorder="1"/>
    <xf numFmtId="3" fontId="62" fillId="0" borderId="9" xfId="3" applyNumberFormat="1" applyFont="1" applyBorder="1"/>
    <xf numFmtId="3" fontId="62" fillId="0" borderId="10" xfId="3" applyNumberFormat="1" applyFont="1" applyBorder="1"/>
    <xf numFmtId="43" fontId="116" fillId="0" borderId="0" xfId="1" applyFont="1" applyAlignment="1">
      <alignment wrapText="1"/>
    </xf>
    <xf numFmtId="9" fontId="116" fillId="0" borderId="0" xfId="1" applyNumberFormat="1" applyFont="1" applyAlignment="1">
      <alignment horizontal="left" wrapText="1"/>
    </xf>
    <xf numFmtId="3" fontId="66" fillId="5" borderId="25" xfId="3" applyNumberFormat="1" applyFont="1" applyFill="1" applyBorder="1"/>
    <xf numFmtId="3" fontId="66" fillId="5" borderId="25" xfId="43" applyNumberFormat="1" applyFont="1" applyFill="1" applyBorder="1"/>
    <xf numFmtId="3" fontId="62" fillId="15" borderId="43" xfId="3" applyNumberFormat="1" applyFont="1" applyFill="1" applyBorder="1"/>
    <xf numFmtId="3" fontId="62" fillId="15" borderId="53" xfId="43" applyNumberFormat="1" applyFont="1" applyFill="1" applyBorder="1"/>
    <xf numFmtId="3" fontId="66" fillId="0" borderId="13" xfId="3" applyNumberFormat="1" applyFont="1" applyBorder="1"/>
    <xf numFmtId="43" fontId="116" fillId="0" borderId="0" xfId="1" applyFont="1" applyFill="1" applyAlignment="1">
      <alignment wrapText="1"/>
    </xf>
    <xf numFmtId="3" fontId="66" fillId="4" borderId="6" xfId="3" applyNumberFormat="1" applyFont="1" applyFill="1" applyBorder="1"/>
    <xf numFmtId="49" fontId="93" fillId="10" borderId="96" xfId="0" applyNumberFormat="1" applyFont="1" applyFill="1" applyBorder="1"/>
    <xf numFmtId="167" fontId="96" fillId="10" borderId="96" xfId="19" applyNumberFormat="1" applyFont="1" applyFill="1" applyBorder="1" applyProtection="1">
      <protection locked="0"/>
    </xf>
    <xf numFmtId="49" fontId="83" fillId="0" borderId="96" xfId="0" quotePrefix="1" applyNumberFormat="1" applyFont="1" applyBorder="1"/>
    <xf numFmtId="167" fontId="83" fillId="14" borderId="96" xfId="19" applyNumberFormat="1" applyFont="1" applyFill="1" applyBorder="1" applyProtection="1">
      <protection locked="0"/>
    </xf>
    <xf numFmtId="167" fontId="86" fillId="14" borderId="96" xfId="19" applyNumberFormat="1" applyFont="1" applyFill="1" applyBorder="1" applyProtection="1">
      <protection locked="0"/>
    </xf>
    <xf numFmtId="0" fontId="102" fillId="10" borderId="96" xfId="0" applyFont="1" applyFill="1" applyBorder="1"/>
    <xf numFmtId="0" fontId="93" fillId="21" borderId="96" xfId="0" applyFont="1" applyFill="1" applyBorder="1" applyAlignment="1">
      <alignment horizontal="left" vertical="center" wrapText="1"/>
    </xf>
    <xf numFmtId="167" fontId="183" fillId="10" borderId="96" xfId="19" applyNumberFormat="1" applyFont="1" applyFill="1" applyBorder="1" applyProtection="1">
      <protection locked="0"/>
    </xf>
    <xf numFmtId="167" fontId="100" fillId="10" borderId="96" xfId="19" applyNumberFormat="1" applyFont="1" applyFill="1" applyBorder="1" applyProtection="1">
      <protection locked="0"/>
    </xf>
    <xf numFmtId="173" fontId="198" fillId="22" borderId="0" xfId="1" applyNumberFormat="1" applyFont="1" applyFill="1" applyBorder="1"/>
    <xf numFmtId="173" fontId="148" fillId="0" borderId="0" xfId="1" applyNumberFormat="1" applyFont="1" applyBorder="1"/>
    <xf numFmtId="180" fontId="232" fillId="23" borderId="0" xfId="1" applyNumberFormat="1" applyFont="1" applyFill="1" applyBorder="1"/>
    <xf numFmtId="0" fontId="113" fillId="6" borderId="64" xfId="0" applyFont="1" applyFill="1" applyBorder="1"/>
    <xf numFmtId="43" fontId="62" fillId="4" borderId="51" xfId="1" applyFont="1" applyFill="1" applyBorder="1" applyAlignment="1">
      <alignment wrapText="1"/>
    </xf>
    <xf numFmtId="43" fontId="62" fillId="6" borderId="51" xfId="1" applyFont="1" applyFill="1" applyBorder="1" applyAlignment="1">
      <alignment wrapText="1"/>
    </xf>
    <xf numFmtId="0" fontId="93" fillId="10" borderId="96" xfId="0" applyFont="1" applyFill="1" applyBorder="1" applyAlignment="1">
      <alignment horizontal="left" vertical="center" wrapText="1"/>
    </xf>
    <xf numFmtId="167" fontId="93" fillId="10" borderId="96" xfId="19" applyNumberFormat="1" applyFont="1" applyFill="1" applyBorder="1" applyProtection="1">
      <protection locked="0"/>
    </xf>
    <xf numFmtId="167" fontId="105" fillId="10" borderId="96" xfId="19" applyNumberFormat="1" applyFont="1" applyFill="1" applyBorder="1" applyProtection="1">
      <protection locked="0"/>
    </xf>
    <xf numFmtId="167" fontId="93" fillId="13" borderId="96" xfId="19" applyNumberFormat="1" applyFont="1" applyFill="1" applyBorder="1" applyProtection="1">
      <protection locked="0"/>
    </xf>
    <xf numFmtId="0" fontId="93" fillId="10" borderId="96" xfId="0" applyFont="1" applyFill="1" applyBorder="1" applyAlignment="1">
      <alignment horizontal="right" vertical="center" wrapText="1"/>
    </xf>
    <xf numFmtId="49" fontId="62" fillId="6" borderId="74" xfId="43" applyNumberFormat="1" applyFont="1" applyFill="1" applyBorder="1" applyAlignment="1">
      <alignment horizontal="right" wrapText="1" indent="2"/>
    </xf>
    <xf numFmtId="0" fontId="83" fillId="10" borderId="96" xfId="0" applyFont="1" applyFill="1" applyBorder="1"/>
    <xf numFmtId="167" fontId="93" fillId="10" borderId="96" xfId="23" applyNumberFormat="1" applyFont="1" applyFill="1" applyBorder="1" applyProtection="1">
      <protection locked="0"/>
    </xf>
    <xf numFmtId="167" fontId="83" fillId="35" borderId="101" xfId="23" applyNumberFormat="1" applyFont="1" applyFill="1" applyBorder="1" applyProtection="1">
      <protection locked="0"/>
    </xf>
    <xf numFmtId="167" fontId="93" fillId="35" borderId="96" xfId="23" applyNumberFormat="1" applyFont="1" applyFill="1" applyBorder="1" applyProtection="1">
      <protection locked="0"/>
    </xf>
    <xf numFmtId="0" fontId="93" fillId="0" borderId="0" xfId="0" applyFont="1" applyAlignment="1">
      <alignment horizontal="left" vertical="top" wrapText="1"/>
    </xf>
    <xf numFmtId="1" fontId="0" fillId="0" borderId="62" xfId="0" applyNumberFormat="1" applyBorder="1"/>
    <xf numFmtId="0" fontId="109" fillId="10" borderId="96" xfId="0" applyFont="1" applyFill="1" applyBorder="1"/>
    <xf numFmtId="167" fontId="201" fillId="10" borderId="96" xfId="1" applyNumberFormat="1" applyFont="1" applyFill="1" applyBorder="1" applyAlignment="1" applyProtection="1">
      <alignment horizontal="center" vertical="center"/>
      <protection locked="0"/>
    </xf>
    <xf numFmtId="167" fontId="102" fillId="10" borderId="96" xfId="1" applyNumberFormat="1" applyFont="1" applyFill="1" applyBorder="1" applyAlignment="1" applyProtection="1">
      <alignment horizontal="center" vertical="center"/>
      <protection locked="0"/>
    </xf>
    <xf numFmtId="167" fontId="96" fillId="13" borderId="96" xfId="1" applyNumberFormat="1" applyFont="1" applyFill="1" applyBorder="1" applyProtection="1">
      <protection locked="0"/>
    </xf>
    <xf numFmtId="0" fontId="99" fillId="10" borderId="96" xfId="0" applyFont="1" applyFill="1" applyBorder="1"/>
    <xf numFmtId="167" fontId="93" fillId="10" borderId="96" xfId="19" applyNumberFormat="1" applyFont="1" applyFill="1" applyBorder="1" applyAlignment="1" applyProtection="1">
      <alignment wrapText="1"/>
      <protection locked="0"/>
    </xf>
    <xf numFmtId="0" fontId="93" fillId="10" borderId="96" xfId="0" applyFont="1" applyFill="1" applyBorder="1" applyAlignment="1">
      <alignment wrapText="1"/>
    </xf>
    <xf numFmtId="0" fontId="92" fillId="10" borderId="96" xfId="0" applyFont="1" applyFill="1" applyBorder="1"/>
    <xf numFmtId="0" fontId="104" fillId="10" borderId="101" xfId="0" applyFont="1" applyFill="1" applyBorder="1" applyAlignment="1">
      <alignment horizontal="right" vertical="center" wrapText="1"/>
    </xf>
    <xf numFmtId="0" fontId="96" fillId="10" borderId="96" xfId="0" applyFont="1" applyFill="1" applyBorder="1"/>
    <xf numFmtId="167" fontId="102" fillId="10" borderId="96" xfId="19" applyNumberFormat="1" applyFont="1" applyFill="1" applyBorder="1"/>
    <xf numFmtId="167" fontId="104" fillId="13" borderId="96" xfId="19" applyNumberFormat="1" applyFont="1" applyFill="1" applyBorder="1" applyProtection="1">
      <protection locked="0"/>
    </xf>
    <xf numFmtId="0" fontId="102" fillId="10" borderId="96" xfId="0" applyFont="1" applyFill="1" applyBorder="1" applyAlignment="1">
      <alignment horizontal="left" vertical="center" wrapText="1"/>
    </xf>
    <xf numFmtId="0" fontId="93" fillId="10" borderId="96" xfId="0" applyFont="1" applyFill="1" applyBorder="1" applyAlignment="1">
      <alignment vertical="center" wrapText="1"/>
    </xf>
    <xf numFmtId="43" fontId="201" fillId="10" borderId="96" xfId="24" applyFont="1" applyFill="1" applyBorder="1" applyAlignment="1" applyProtection="1">
      <alignment horizontal="center"/>
      <protection locked="0"/>
    </xf>
    <xf numFmtId="167" fontId="102" fillId="10" borderId="96" xfId="24" applyNumberFormat="1" applyFont="1" applyFill="1" applyBorder="1" applyProtection="1">
      <protection locked="0"/>
    </xf>
    <xf numFmtId="167" fontId="102" fillId="13" borderId="96" xfId="24" applyNumberFormat="1" applyFont="1" applyFill="1" applyBorder="1" applyProtection="1">
      <protection locked="0"/>
    </xf>
    <xf numFmtId="167" fontId="102" fillId="10" borderId="96" xfId="1" applyNumberFormat="1" applyFont="1" applyFill="1" applyBorder="1" applyAlignment="1" applyProtection="1">
      <alignment vertical="center"/>
      <protection locked="0"/>
    </xf>
    <xf numFmtId="167" fontId="93" fillId="10" borderId="101" xfId="24" applyNumberFormat="1" applyFont="1" applyFill="1" applyBorder="1" applyAlignment="1" applyProtection="1">
      <alignment horizontal="center"/>
      <protection locked="0"/>
    </xf>
    <xf numFmtId="49" fontId="135" fillId="4" borderId="8" xfId="43" applyNumberFormat="1" applyFont="1" applyFill="1" applyBorder="1" applyAlignment="1">
      <alignment horizontal="left" wrapText="1" indent="2"/>
    </xf>
    <xf numFmtId="3" fontId="117" fillId="4" borderId="9" xfId="3" applyNumberFormat="1" applyFont="1" applyFill="1" applyBorder="1"/>
    <xf numFmtId="9" fontId="117" fillId="4" borderId="9" xfId="2" applyFont="1" applyFill="1" applyBorder="1" applyAlignment="1">
      <alignment horizontal="right"/>
    </xf>
    <xf numFmtId="49" fontId="117" fillId="6" borderId="27" xfId="43" applyNumberFormat="1" applyFont="1" applyFill="1" applyBorder="1" applyAlignment="1">
      <alignment horizontal="right" wrapText="1" indent="2"/>
    </xf>
    <xf numFmtId="3" fontId="117" fillId="6" borderId="9" xfId="3" applyNumberFormat="1" applyFont="1" applyFill="1" applyBorder="1"/>
    <xf numFmtId="167" fontId="102" fillId="10" borderId="96" xfId="19" applyNumberFormat="1" applyFont="1" applyFill="1" applyBorder="1" applyProtection="1">
      <protection locked="0"/>
    </xf>
    <xf numFmtId="49" fontId="62" fillId="0" borderId="96" xfId="43" applyNumberFormat="1" applyFont="1" applyBorder="1" applyAlignment="1">
      <alignment horizontal="left" wrapText="1" indent="2"/>
    </xf>
    <xf numFmtId="49" fontId="113" fillId="0" borderId="0" xfId="0" applyNumberFormat="1" applyFont="1" applyAlignment="1">
      <alignment horizontal="left"/>
    </xf>
    <xf numFmtId="0" fontId="127" fillId="13" borderId="66" xfId="0" applyFont="1" applyFill="1" applyBorder="1" applyAlignment="1">
      <alignment horizontal="center" wrapText="1"/>
    </xf>
    <xf numFmtId="167" fontId="127" fillId="13" borderId="66" xfId="1" applyNumberFormat="1" applyFont="1" applyFill="1" applyBorder="1" applyAlignment="1">
      <alignment horizontal="center" wrapText="1"/>
    </xf>
    <xf numFmtId="167" fontId="232" fillId="0" borderId="88" xfId="1" applyNumberFormat="1" applyFont="1" applyFill="1" applyBorder="1"/>
    <xf numFmtId="167" fontId="91" fillId="0" borderId="0" xfId="0" applyNumberFormat="1" applyFont="1" applyAlignment="1">
      <alignment wrapText="1"/>
    </xf>
    <xf numFmtId="167" fontId="184" fillId="0" borderId="84" xfId="1" applyNumberFormat="1" applyFont="1" applyFill="1" applyBorder="1"/>
    <xf numFmtId="0" fontId="92" fillId="0" borderId="0" xfId="0" applyFont="1" applyAlignment="1">
      <alignment wrapText="1"/>
    </xf>
    <xf numFmtId="0" fontId="0" fillId="0" borderId="0" xfId="0" pivotButton="1" applyAlignment="1">
      <alignment wrapText="1"/>
    </xf>
    <xf numFmtId="0" fontId="0" fillId="27" borderId="0" xfId="0" applyFill="1" applyAlignment="1">
      <alignment horizontal="left" wrapText="1"/>
    </xf>
    <xf numFmtId="0" fontId="0" fillId="0" borderId="0" xfId="0" applyAlignment="1">
      <alignment horizontal="left" wrapText="1"/>
    </xf>
    <xf numFmtId="0" fontId="92" fillId="0" borderId="0" xfId="274" applyFont="1" applyAlignment="1">
      <alignment wrapText="1"/>
    </xf>
    <xf numFmtId="0" fontId="93" fillId="10" borderId="0" xfId="274" applyFont="1" applyFill="1" applyAlignment="1">
      <alignment wrapText="1"/>
    </xf>
    <xf numFmtId="167" fontId="83" fillId="0" borderId="0" xfId="1" applyNumberFormat="1" applyFont="1"/>
    <xf numFmtId="167" fontId="92" fillId="0" borderId="0" xfId="1" applyNumberFormat="1" applyFont="1"/>
    <xf numFmtId="167" fontId="116" fillId="0" borderId="66" xfId="1" applyNumberFormat="1" applyFont="1" applyBorder="1" applyAlignment="1">
      <alignment horizontal="center"/>
    </xf>
    <xf numFmtId="0" fontId="93" fillId="10" borderId="105" xfId="0" applyFont="1" applyFill="1" applyBorder="1"/>
    <xf numFmtId="167" fontId="220" fillId="0" borderId="0" xfId="1" applyNumberFormat="1" applyFont="1" applyFill="1" applyAlignment="1">
      <alignment horizontal="left"/>
    </xf>
    <xf numFmtId="167" fontId="220" fillId="0" borderId="0" xfId="1" applyNumberFormat="1" applyFont="1" applyFill="1"/>
    <xf numFmtId="167" fontId="0" fillId="0" borderId="0" xfId="1" applyNumberFormat="1" applyFont="1" applyFill="1" applyAlignment="1">
      <alignment wrapText="1"/>
    </xf>
    <xf numFmtId="167" fontId="116" fillId="0" borderId="0" xfId="1" applyNumberFormat="1" applyFont="1" applyFill="1" applyAlignment="1">
      <alignment wrapText="1"/>
    </xf>
    <xf numFmtId="167" fontId="113" fillId="0" borderId="0" xfId="1" applyNumberFormat="1" applyFont="1" applyFill="1"/>
    <xf numFmtId="1" fontId="116" fillId="0" borderId="62" xfId="0" applyNumberFormat="1" applyFont="1" applyBorder="1"/>
    <xf numFmtId="49" fontId="93" fillId="10" borderId="105" xfId="0" applyNumberFormat="1" applyFont="1" applyFill="1" applyBorder="1"/>
    <xf numFmtId="0" fontId="93" fillId="10" borderId="105" xfId="0" applyFont="1" applyFill="1" applyBorder="1" applyAlignment="1">
      <alignment horizontal="center"/>
    </xf>
    <xf numFmtId="0" fontId="109" fillId="21" borderId="105" xfId="0" applyFont="1" applyFill="1" applyBorder="1" applyAlignment="1">
      <alignment vertical="top" wrapText="1"/>
    </xf>
    <xf numFmtId="167" fontId="105" fillId="10" borderId="105" xfId="19" applyNumberFormat="1" applyFont="1" applyFill="1" applyBorder="1" applyProtection="1">
      <protection locked="0"/>
    </xf>
    <xf numFmtId="167" fontId="93" fillId="10" borderId="105" xfId="19" applyNumberFormat="1" applyFont="1" applyFill="1" applyBorder="1" applyProtection="1">
      <protection locked="0"/>
    </xf>
    <xf numFmtId="167" fontId="93" fillId="13" borderId="105" xfId="19" applyNumberFormat="1" applyFont="1" applyFill="1" applyBorder="1" applyProtection="1">
      <protection locked="0"/>
    </xf>
    <xf numFmtId="0" fontId="139" fillId="0" borderId="1" xfId="43" applyFont="1" applyBorder="1" applyAlignment="1">
      <alignment horizontal="center" vertical="center"/>
    </xf>
    <xf numFmtId="0" fontId="139" fillId="0" borderId="11" xfId="43" applyFont="1" applyBorder="1"/>
    <xf numFmtId="49" fontId="177" fillId="6" borderId="7" xfId="43" applyNumberFormat="1" applyFont="1" applyFill="1" applyBorder="1" applyAlignment="1">
      <alignment horizontal="left" indent="1"/>
    </xf>
    <xf numFmtId="49" fontId="147" fillId="6" borderId="68" xfId="43" applyNumberFormat="1" applyFont="1" applyFill="1" applyBorder="1" applyAlignment="1">
      <alignment horizontal="left" indent="1"/>
    </xf>
    <xf numFmtId="49" fontId="177" fillId="6" borderId="52" xfId="43" applyNumberFormat="1" applyFont="1" applyFill="1" applyBorder="1" applyAlignment="1">
      <alignment horizontal="left" indent="1"/>
    </xf>
    <xf numFmtId="49" fontId="178" fillId="6" borderId="26" xfId="43" applyNumberFormat="1" applyFont="1" applyFill="1" applyBorder="1" applyAlignment="1">
      <alignment horizontal="left" indent="1"/>
    </xf>
    <xf numFmtId="49" fontId="177" fillId="6" borderId="26" xfId="43" applyNumberFormat="1" applyFont="1" applyFill="1" applyBorder="1" applyAlignment="1">
      <alignment horizontal="left" indent="1"/>
    </xf>
    <xf numFmtId="49" fontId="177" fillId="6" borderId="42" xfId="43" applyNumberFormat="1" applyFont="1" applyFill="1" applyBorder="1" applyAlignment="1">
      <alignment horizontal="left" indent="1"/>
    </xf>
    <xf numFmtId="49" fontId="139" fillId="0" borderId="0" xfId="43" applyNumberFormat="1" applyFont="1" applyAlignment="1">
      <alignment horizontal="left" indent="1"/>
    </xf>
    <xf numFmtId="49" fontId="62" fillId="6" borderId="75" xfId="43" applyNumberFormat="1" applyFont="1" applyFill="1" applyBorder="1" applyAlignment="1">
      <alignment horizontal="right" wrapText="1" indent="2"/>
    </xf>
    <xf numFmtId="0" fontId="116" fillId="6" borderId="0" xfId="0" applyFont="1" applyFill="1"/>
    <xf numFmtId="0" fontId="96" fillId="10" borderId="105" xfId="0" applyFont="1" applyFill="1" applyBorder="1"/>
    <xf numFmtId="0" fontId="102" fillId="10" borderId="105" xfId="0" applyFont="1" applyFill="1" applyBorder="1" applyAlignment="1">
      <alignment horizontal="left" vertical="center" wrapText="1"/>
    </xf>
    <xf numFmtId="167" fontId="116" fillId="10" borderId="105" xfId="19" applyNumberFormat="1" applyFont="1" applyFill="1" applyBorder="1" applyProtection="1">
      <protection locked="0"/>
    </xf>
    <xf numFmtId="167" fontId="96" fillId="13" borderId="105" xfId="19" applyNumberFormat="1" applyFont="1" applyFill="1" applyBorder="1" applyProtection="1">
      <protection locked="0"/>
    </xf>
    <xf numFmtId="49" fontId="104" fillId="0" borderId="101" xfId="0" quotePrefix="1" applyNumberFormat="1" applyFont="1" applyBorder="1"/>
    <xf numFmtId="49" fontId="66" fillId="4" borderId="7" xfId="43" applyNumberFormat="1" applyFont="1" applyFill="1" applyBorder="1" applyAlignment="1">
      <alignment horizontal="left" indent="1"/>
    </xf>
    <xf numFmtId="49" fontId="62" fillId="7" borderId="7" xfId="43" applyNumberFormat="1" applyFont="1" applyFill="1" applyBorder="1" applyAlignment="1">
      <alignment horizontal="left" indent="2"/>
    </xf>
    <xf numFmtId="49" fontId="72" fillId="4" borderId="7" xfId="43" applyNumberFormat="1" applyFont="1" applyFill="1" applyBorder="1" applyAlignment="1">
      <alignment horizontal="right" indent="1"/>
    </xf>
    <xf numFmtId="49" fontId="62" fillId="6" borderId="52" xfId="43" applyNumberFormat="1" applyFont="1" applyFill="1" applyBorder="1" applyAlignment="1">
      <alignment horizontal="left" indent="1"/>
    </xf>
    <xf numFmtId="49" fontId="66" fillId="6" borderId="7" xfId="43" applyNumberFormat="1" applyFont="1" applyFill="1" applyBorder="1" applyAlignment="1">
      <alignment horizontal="left" indent="1"/>
    </xf>
    <xf numFmtId="49" fontId="66" fillId="6" borderId="26" xfId="43" applyNumberFormat="1" applyFont="1" applyFill="1" applyBorder="1" applyAlignment="1">
      <alignment horizontal="left" indent="1"/>
    </xf>
    <xf numFmtId="49" fontId="66" fillId="6" borderId="68" xfId="43" applyNumberFormat="1" applyFont="1" applyFill="1" applyBorder="1" applyAlignment="1">
      <alignment horizontal="left" indent="1"/>
    </xf>
    <xf numFmtId="49" fontId="73" fillId="6" borderId="7" xfId="43" applyNumberFormat="1" applyFont="1" applyFill="1" applyBorder="1" applyAlignment="1">
      <alignment horizontal="left" indent="1"/>
    </xf>
    <xf numFmtId="43" fontId="63" fillId="6" borderId="9" xfId="1" applyFont="1" applyFill="1" applyBorder="1"/>
    <xf numFmtId="49" fontId="62" fillId="6" borderId="42" xfId="43" applyNumberFormat="1" applyFont="1" applyFill="1" applyBorder="1" applyAlignment="1">
      <alignment horizontal="left" indent="1"/>
    </xf>
    <xf numFmtId="49" fontId="62" fillId="0" borderId="99" xfId="43" applyNumberFormat="1" applyFont="1" applyBorder="1" applyAlignment="1">
      <alignment horizontal="left" indent="1"/>
    </xf>
    <xf numFmtId="167" fontId="96" fillId="10" borderId="105" xfId="19" applyNumberFormat="1" applyFont="1" applyFill="1" applyBorder="1" applyProtection="1">
      <protection locked="0"/>
    </xf>
    <xf numFmtId="0" fontId="125" fillId="0" borderId="0" xfId="0" applyFont="1"/>
    <xf numFmtId="0" fontId="125" fillId="0" borderId="0" xfId="0" applyFont="1" applyAlignment="1">
      <alignment wrapText="1"/>
    </xf>
    <xf numFmtId="0" fontId="92" fillId="10" borderId="105" xfId="0" applyFont="1" applyFill="1" applyBorder="1"/>
    <xf numFmtId="167" fontId="102" fillId="10" borderId="105" xfId="23" applyNumberFormat="1" applyFont="1" applyFill="1" applyBorder="1" applyProtection="1">
      <protection locked="0"/>
    </xf>
    <xf numFmtId="0" fontId="83" fillId="10" borderId="105" xfId="0" applyFont="1" applyFill="1" applyBorder="1"/>
    <xf numFmtId="0" fontId="116" fillId="0" borderId="106" xfId="0" applyFont="1" applyBorder="1"/>
    <xf numFmtId="0" fontId="66" fillId="4" borderId="4" xfId="43" applyFont="1" applyFill="1" applyBorder="1"/>
    <xf numFmtId="0" fontId="66" fillId="5" borderId="4" xfId="43" quotePrefix="1" applyFont="1" applyFill="1" applyBorder="1"/>
    <xf numFmtId="0" fontId="62" fillId="0" borderId="7" xfId="43" applyFont="1" applyBorder="1" applyAlignment="1">
      <alignment horizontal="left" indent="1"/>
    </xf>
    <xf numFmtId="0" fontId="66" fillId="5" borderId="7" xfId="43" applyFont="1" applyFill="1" applyBorder="1"/>
    <xf numFmtId="0" fontId="66" fillId="5" borderId="99" xfId="43" applyFont="1" applyFill="1" applyBorder="1"/>
    <xf numFmtId="0" fontId="62" fillId="0" borderId="99" xfId="43" applyFont="1" applyBorder="1" applyAlignment="1">
      <alignment horizontal="left" indent="1"/>
    </xf>
    <xf numFmtId="0" fontId="66" fillId="5" borderId="7" xfId="43" quotePrefix="1" applyFont="1" applyFill="1" applyBorder="1"/>
    <xf numFmtId="0" fontId="62" fillId="4" borderId="7" xfId="43" applyFont="1" applyFill="1" applyBorder="1" applyAlignment="1">
      <alignment horizontal="left" indent="1"/>
    </xf>
    <xf numFmtId="0" fontId="62" fillId="4" borderId="52" xfId="43" applyFont="1" applyFill="1" applyBorder="1" applyAlignment="1">
      <alignment horizontal="left" indent="1"/>
    </xf>
    <xf numFmtId="0" fontId="62" fillId="15" borderId="7" xfId="43" applyFont="1" applyFill="1" applyBorder="1" applyAlignment="1">
      <alignment horizontal="left" indent="1"/>
    </xf>
    <xf numFmtId="0" fontId="62" fillId="7" borderId="7" xfId="43" applyFont="1" applyFill="1" applyBorder="1" applyAlignment="1">
      <alignment horizontal="left" indent="2"/>
    </xf>
    <xf numFmtId="167" fontId="116" fillId="0" borderId="0" xfId="0" applyNumberFormat="1" applyFont="1"/>
    <xf numFmtId="3" fontId="66" fillId="0" borderId="0" xfId="3" applyNumberFormat="1" applyFont="1"/>
    <xf numFmtId="0" fontId="116" fillId="0" borderId="81" xfId="0" applyFont="1" applyBorder="1"/>
    <xf numFmtId="0" fontId="116" fillId="0" borderId="80" xfId="0" applyFont="1" applyBorder="1"/>
    <xf numFmtId="3" fontId="190" fillId="0" borderId="98" xfId="43" applyNumberFormat="1" applyFont="1" applyBorder="1"/>
    <xf numFmtId="9" fontId="190" fillId="0" borderId="98" xfId="2" applyFont="1" applyFill="1" applyBorder="1" applyAlignment="1">
      <alignment horizontal="right"/>
    </xf>
    <xf numFmtId="167" fontId="127" fillId="22" borderId="0" xfId="0" applyNumberFormat="1" applyFont="1" applyFill="1"/>
    <xf numFmtId="0" fontId="127" fillId="13" borderId="83" xfId="0" applyFont="1" applyFill="1" applyBorder="1" applyAlignment="1">
      <alignment horizontal="center" wrapText="1"/>
    </xf>
    <xf numFmtId="0" fontId="116" fillId="0" borderId="0" xfId="0" applyFont="1" applyAlignment="1">
      <alignment horizontal="center"/>
    </xf>
    <xf numFmtId="0" fontId="97" fillId="15" borderId="101" xfId="0" applyFont="1" applyFill="1" applyBorder="1" applyAlignment="1">
      <alignment horizontal="right" vertical="center" wrapText="1"/>
    </xf>
    <xf numFmtId="173" fontId="116" fillId="15" borderId="0" xfId="1" applyNumberFormat="1" applyFont="1" applyFill="1" applyBorder="1"/>
    <xf numFmtId="167" fontId="104" fillId="13" borderId="101" xfId="23" applyNumberFormat="1" applyFont="1" applyFill="1" applyBorder="1" applyProtection="1">
      <protection locked="0"/>
    </xf>
    <xf numFmtId="167" fontId="102" fillId="13" borderId="101" xfId="23" applyNumberFormat="1" applyFont="1" applyFill="1" applyBorder="1"/>
    <xf numFmtId="167" fontId="83" fillId="15" borderId="101" xfId="23" applyNumberFormat="1" applyFont="1" applyFill="1" applyBorder="1" applyProtection="1">
      <protection locked="0"/>
    </xf>
    <xf numFmtId="49" fontId="104" fillId="0" borderId="101" xfId="0" applyNumberFormat="1" applyFont="1" applyBorder="1" applyAlignment="1">
      <alignment horizontal="center"/>
    </xf>
    <xf numFmtId="49" fontId="102" fillId="10" borderId="101" xfId="0" applyNumberFormat="1" applyFont="1" applyFill="1" applyBorder="1" applyAlignment="1">
      <alignment horizontal="center"/>
    </xf>
    <xf numFmtId="0" fontId="96" fillId="10" borderId="109" xfId="0" applyFont="1" applyFill="1" applyBorder="1"/>
    <xf numFmtId="0" fontId="104" fillId="10" borderId="109" xfId="0" applyFont="1" applyFill="1" applyBorder="1" applyAlignment="1">
      <alignment horizontal="left" vertical="center" wrapText="1"/>
    </xf>
    <xf numFmtId="167" fontId="102" fillId="10" borderId="109" xfId="19" applyNumberFormat="1" applyFont="1" applyFill="1" applyBorder="1"/>
    <xf numFmtId="167" fontId="104" fillId="13" borderId="109" xfId="19" applyNumberFormat="1" applyFont="1" applyFill="1" applyBorder="1" applyProtection="1">
      <protection locked="0"/>
    </xf>
    <xf numFmtId="167" fontId="93" fillId="10" borderId="109" xfId="19" applyNumberFormat="1" applyFont="1" applyFill="1" applyBorder="1" applyProtection="1">
      <protection locked="0"/>
    </xf>
    <xf numFmtId="167" fontId="93" fillId="13" borderId="109" xfId="19" applyNumberFormat="1" applyFont="1" applyFill="1" applyBorder="1" applyProtection="1">
      <protection locked="0"/>
    </xf>
    <xf numFmtId="0" fontId="110" fillId="10" borderId="109" xfId="0" applyFont="1" applyFill="1" applyBorder="1" applyAlignment="1">
      <alignment vertical="center" wrapText="1"/>
    </xf>
    <xf numFmtId="0" fontId="93" fillId="10" borderId="109" xfId="0" applyFont="1" applyFill="1" applyBorder="1"/>
    <xf numFmtId="0" fontId="93" fillId="10" borderId="109" xfId="0" applyFont="1" applyFill="1" applyBorder="1" applyAlignment="1">
      <alignment horizontal="left" vertical="center" wrapText="1"/>
    </xf>
    <xf numFmtId="167" fontId="102" fillId="10" borderId="109" xfId="19" applyNumberFormat="1" applyFont="1" applyFill="1" applyBorder="1" applyProtection="1">
      <protection locked="0"/>
    </xf>
    <xf numFmtId="167" fontId="102" fillId="21" borderId="109" xfId="19" applyNumberFormat="1" applyFont="1" applyFill="1" applyBorder="1" applyProtection="1">
      <protection locked="0"/>
    </xf>
    <xf numFmtId="167" fontId="96" fillId="13" borderId="109" xfId="19" applyNumberFormat="1" applyFont="1" applyFill="1" applyBorder="1" applyProtection="1">
      <protection locked="0"/>
    </xf>
    <xf numFmtId="0" fontId="82" fillId="10" borderId="101" xfId="0" applyFont="1" applyFill="1" applyBorder="1" applyAlignment="1">
      <alignment horizontal="left" vertical="center" wrapText="1"/>
    </xf>
    <xf numFmtId="0" fontId="93" fillId="21" borderId="109" xfId="0" applyFont="1" applyFill="1" applyBorder="1" applyAlignment="1">
      <alignment horizontal="left" vertical="center" wrapText="1"/>
    </xf>
    <xf numFmtId="0" fontId="83" fillId="0" borderId="61" xfId="0" applyFont="1" applyBorder="1" applyAlignment="1">
      <alignment horizontal="right"/>
    </xf>
    <xf numFmtId="167" fontId="116" fillId="0" borderId="61" xfId="0" applyNumberFormat="1" applyFont="1" applyBorder="1"/>
    <xf numFmtId="173" fontId="82" fillId="0" borderId="61" xfId="1" applyNumberFormat="1" applyFont="1" applyFill="1" applyBorder="1" applyAlignment="1">
      <alignment horizontal="right"/>
    </xf>
    <xf numFmtId="167" fontId="127" fillId="0" borderId="61" xfId="1" applyNumberFormat="1" applyFont="1" applyFill="1" applyBorder="1"/>
    <xf numFmtId="3" fontId="191" fillId="4" borderId="9" xfId="3" applyNumberFormat="1" applyFont="1" applyFill="1" applyBorder="1"/>
    <xf numFmtId="3" fontId="175" fillId="4" borderId="9" xfId="3" applyNumberFormat="1" applyFont="1" applyFill="1" applyBorder="1"/>
    <xf numFmtId="3" fontId="202" fillId="0" borderId="0" xfId="0" quotePrefix="1" applyNumberFormat="1" applyFont="1"/>
    <xf numFmtId="3" fontId="191" fillId="0" borderId="0" xfId="3" applyNumberFormat="1" applyFont="1"/>
    <xf numFmtId="167" fontId="122" fillId="0" borderId="62" xfId="1" applyNumberFormat="1" applyFont="1" applyBorder="1"/>
    <xf numFmtId="167" fontId="122" fillId="0" borderId="67" xfId="1" applyNumberFormat="1" applyFont="1" applyBorder="1"/>
    <xf numFmtId="167" fontId="122" fillId="0" borderId="67" xfId="1" applyNumberFormat="1" applyFont="1" applyFill="1" applyBorder="1"/>
    <xf numFmtId="167" fontId="122" fillId="26" borderId="62" xfId="1" applyNumberFormat="1" applyFont="1" applyFill="1" applyBorder="1"/>
    <xf numFmtId="167" fontId="122" fillId="26" borderId="0" xfId="1" applyNumberFormat="1" applyFont="1" applyFill="1" applyBorder="1"/>
    <xf numFmtId="167" fontId="111" fillId="0" borderId="62" xfId="1" applyNumberFormat="1" applyFont="1" applyBorder="1"/>
    <xf numFmtId="167" fontId="111" fillId="0" borderId="66" xfId="1" applyNumberFormat="1" applyFont="1" applyBorder="1"/>
    <xf numFmtId="167" fontId="111" fillId="0" borderId="88" xfId="1" applyNumberFormat="1" applyFont="1" applyFill="1" applyBorder="1"/>
    <xf numFmtId="167" fontId="111" fillId="0" borderId="62" xfId="1" applyNumberFormat="1" applyFont="1" applyFill="1" applyBorder="1"/>
    <xf numFmtId="0" fontId="93" fillId="0" borderId="101" xfId="283" applyNumberFormat="1" applyFont="1" applyFill="1" applyBorder="1" applyAlignment="1">
      <alignment wrapText="1"/>
    </xf>
    <xf numFmtId="167" fontId="122" fillId="0" borderId="88" xfId="1" applyNumberFormat="1" applyFont="1" applyFill="1" applyBorder="1"/>
    <xf numFmtId="167" fontId="184" fillId="0" borderId="81" xfId="1" applyNumberFormat="1" applyFont="1" applyBorder="1"/>
    <xf numFmtId="167" fontId="184" fillId="0" borderId="106" xfId="1" applyNumberFormat="1" applyFont="1" applyBorder="1"/>
    <xf numFmtId="167" fontId="184" fillId="0" borderId="67" xfId="1" applyNumberFormat="1" applyFont="1" applyBorder="1"/>
    <xf numFmtId="167" fontId="184" fillId="0" borderId="88" xfId="1" applyNumberFormat="1" applyFont="1" applyFill="1" applyBorder="1"/>
    <xf numFmtId="167" fontId="184" fillId="0" borderId="66" xfId="1" applyNumberFormat="1" applyFont="1" applyBorder="1"/>
    <xf numFmtId="167" fontId="184" fillId="0" borderId="91" xfId="1" applyNumberFormat="1" applyFont="1" applyFill="1" applyBorder="1"/>
    <xf numFmtId="167" fontId="184" fillId="0" borderId="78" xfId="1" applyNumberFormat="1" applyFont="1" applyFill="1" applyBorder="1"/>
    <xf numFmtId="167" fontId="184" fillId="0" borderId="108" xfId="1" applyNumberFormat="1" applyFont="1" applyFill="1" applyBorder="1"/>
    <xf numFmtId="0" fontId="99" fillId="10" borderId="109" xfId="0" applyFont="1" applyFill="1" applyBorder="1"/>
    <xf numFmtId="167" fontId="93" fillId="10" borderId="109" xfId="1" applyNumberFormat="1" applyFont="1" applyFill="1" applyBorder="1" applyProtection="1">
      <protection locked="0"/>
    </xf>
    <xf numFmtId="167" fontId="96" fillId="13" borderId="109" xfId="1" applyNumberFormat="1" applyFont="1" applyFill="1" applyBorder="1" applyProtection="1">
      <protection locked="0"/>
    </xf>
    <xf numFmtId="167" fontId="78" fillId="0" borderId="101" xfId="1" applyNumberFormat="1" applyFont="1" applyFill="1" applyBorder="1" applyAlignment="1" applyProtection="1">
      <alignment horizontal="center" vertical="center" wrapText="1"/>
    </xf>
    <xf numFmtId="167" fontId="136" fillId="0" borderId="101" xfId="19" applyNumberFormat="1" applyFont="1" applyFill="1" applyBorder="1" applyAlignment="1" applyProtection="1">
      <alignment horizontal="center" vertical="center" wrapText="1"/>
    </xf>
    <xf numFmtId="167" fontId="83" fillId="15" borderId="101" xfId="19" applyNumberFormat="1" applyFont="1" applyFill="1" applyBorder="1" applyProtection="1">
      <protection locked="0"/>
    </xf>
    <xf numFmtId="167" fontId="83" fillId="23" borderId="101" xfId="19" applyNumberFormat="1" applyFont="1" applyFill="1" applyBorder="1" applyProtection="1">
      <protection locked="0"/>
    </xf>
    <xf numFmtId="167" fontId="233" fillId="0" borderId="0" xfId="0" applyNumberFormat="1" applyFont="1"/>
    <xf numFmtId="0" fontId="233" fillId="0" borderId="0" xfId="0" applyFont="1"/>
    <xf numFmtId="167" fontId="96" fillId="10" borderId="109" xfId="19" applyNumberFormat="1" applyFont="1" applyFill="1" applyBorder="1" applyProtection="1">
      <protection locked="0"/>
    </xf>
    <xf numFmtId="167" fontId="83" fillId="9" borderId="101" xfId="24" applyNumberFormat="1" applyFont="1" applyFill="1" applyBorder="1" applyAlignment="1" applyProtection="1">
      <alignment horizontal="center"/>
      <protection locked="0"/>
    </xf>
    <xf numFmtId="2" fontId="245" fillId="0" borderId="101" xfId="0" applyNumberFormat="1" applyFont="1" applyBorder="1"/>
    <xf numFmtId="43" fontId="93" fillId="10" borderId="101" xfId="24" applyFont="1" applyFill="1" applyBorder="1" applyAlignment="1" applyProtection="1">
      <alignment horizontal="center"/>
      <protection locked="0"/>
    </xf>
    <xf numFmtId="167" fontId="105" fillId="10" borderId="101" xfId="19" applyNumberFormat="1" applyFont="1" applyFill="1" applyBorder="1" applyAlignment="1" applyProtection="1">
      <alignment horizontal="center"/>
      <protection locked="0"/>
    </xf>
    <xf numFmtId="167" fontId="93" fillId="10" borderId="101" xfId="1" applyNumberFormat="1" applyFont="1" applyFill="1" applyBorder="1" applyAlignment="1" applyProtection="1">
      <alignment vertical="center"/>
      <protection locked="0"/>
    </xf>
    <xf numFmtId="167" fontId="104" fillId="13" borderId="101" xfId="24" applyNumberFormat="1" applyFont="1" applyFill="1" applyBorder="1" applyAlignment="1" applyProtection="1">
      <alignment horizontal="center" vertical="center"/>
      <protection locked="0"/>
    </xf>
    <xf numFmtId="167" fontId="102" fillId="23" borderId="101" xfId="23" applyNumberFormat="1" applyFont="1" applyFill="1" applyBorder="1" applyProtection="1">
      <protection locked="0"/>
    </xf>
    <xf numFmtId="167" fontId="102" fillId="13" borderId="101" xfId="23" applyNumberFormat="1" applyFont="1" applyFill="1" applyBorder="1" applyProtection="1">
      <protection locked="0"/>
    </xf>
    <xf numFmtId="0" fontId="102" fillId="10" borderId="101" xfId="0" applyFont="1" applyFill="1" applyBorder="1" applyAlignment="1">
      <alignment horizontal="left" vertical="top"/>
    </xf>
    <xf numFmtId="0" fontId="82" fillId="0" borderId="101" xfId="0" applyFont="1" applyBorder="1" applyAlignment="1">
      <alignment horizontal="center" vertical="center" wrapText="1"/>
    </xf>
    <xf numFmtId="167" fontId="79" fillId="0" borderId="101" xfId="19" applyNumberFormat="1" applyFont="1" applyFill="1" applyBorder="1" applyAlignment="1" applyProtection="1">
      <alignment horizontal="center" vertical="center" wrapText="1"/>
    </xf>
    <xf numFmtId="167" fontId="78" fillId="13" borderId="101" xfId="1" applyNumberFormat="1" applyFont="1" applyFill="1" applyBorder="1" applyAlignment="1" applyProtection="1">
      <alignment horizontal="center" vertical="center" wrapText="1"/>
    </xf>
    <xf numFmtId="167" fontId="104" fillId="9" borderId="101" xfId="24" applyNumberFormat="1" applyFont="1" applyFill="1" applyBorder="1" applyAlignment="1" applyProtection="1">
      <alignment horizontal="center"/>
      <protection locked="0"/>
    </xf>
    <xf numFmtId="0" fontId="102" fillId="10" borderId="101" xfId="0" applyFont="1" applyFill="1" applyBorder="1" applyAlignment="1">
      <alignment horizontal="left" wrapText="1"/>
    </xf>
    <xf numFmtId="167" fontId="104" fillId="10" borderId="101" xfId="19" applyNumberFormat="1" applyFont="1" applyFill="1" applyBorder="1" applyProtection="1">
      <protection locked="0"/>
    </xf>
    <xf numFmtId="167" fontId="104" fillId="16" borderId="101" xfId="24" applyNumberFormat="1" applyFont="1" applyFill="1" applyBorder="1" applyAlignment="1" applyProtection="1">
      <alignment horizontal="center"/>
      <protection locked="0"/>
    </xf>
    <xf numFmtId="0" fontId="201" fillId="10" borderId="101" xfId="0" applyFont="1" applyFill="1" applyBorder="1" applyAlignment="1">
      <alignment horizontal="right" vertical="center" wrapText="1"/>
    </xf>
    <xf numFmtId="167" fontId="123" fillId="14" borderId="101" xfId="1" applyNumberFormat="1" applyFont="1" applyFill="1" applyBorder="1" applyProtection="1">
      <protection locked="0"/>
    </xf>
    <xf numFmtId="167" fontId="79" fillId="0" borderId="96" xfId="1" applyNumberFormat="1" applyFont="1" applyFill="1" applyBorder="1" applyAlignment="1" applyProtection="1">
      <alignment horizontal="center" vertical="center" wrapText="1"/>
    </xf>
    <xf numFmtId="0" fontId="116" fillId="0" borderId="0" xfId="0" applyFont="1" applyAlignment="1">
      <alignment horizontal="center" wrapText="1"/>
    </xf>
    <xf numFmtId="0" fontId="102" fillId="10" borderId="109" xfId="0" applyFont="1" applyFill="1" applyBorder="1"/>
    <xf numFmtId="167" fontId="116" fillId="0" borderId="62" xfId="1" applyNumberFormat="1" applyFont="1" applyBorder="1" applyAlignment="1">
      <alignment wrapText="1"/>
    </xf>
    <xf numFmtId="167" fontId="102" fillId="13" borderId="109" xfId="19" applyNumberFormat="1" applyFont="1" applyFill="1" applyBorder="1" applyProtection="1">
      <protection locked="0"/>
    </xf>
    <xf numFmtId="0" fontId="102" fillId="10" borderId="109" xfId="0" applyFont="1" applyFill="1" applyBorder="1" applyAlignment="1">
      <alignment horizontal="left" vertical="center" wrapText="1"/>
    </xf>
    <xf numFmtId="0" fontId="116" fillId="0" borderId="0" xfId="1" applyNumberFormat="1" applyFont="1"/>
    <xf numFmtId="9" fontId="116" fillId="0" borderId="0" xfId="2" applyFont="1"/>
    <xf numFmtId="167" fontId="116" fillId="0" borderId="0" xfId="2" applyNumberFormat="1" applyFont="1"/>
    <xf numFmtId="167" fontId="93" fillId="10" borderId="101" xfId="1" applyNumberFormat="1" applyFont="1" applyFill="1" applyBorder="1" applyAlignment="1">
      <alignment horizontal="left" vertical="center" wrapText="1"/>
    </xf>
    <xf numFmtId="167" fontId="116" fillId="0" borderId="67" xfId="1" applyNumberFormat="1" applyFont="1" applyBorder="1" applyAlignment="1">
      <alignment wrapText="1"/>
    </xf>
    <xf numFmtId="167" fontId="116" fillId="0" borderId="78" xfId="1" applyNumberFormat="1" applyFont="1" applyBorder="1"/>
    <xf numFmtId="167" fontId="116" fillId="0" borderId="65" xfId="1" applyNumberFormat="1" applyFont="1" applyFill="1" applyBorder="1"/>
    <xf numFmtId="167" fontId="116" fillId="0" borderId="78" xfId="1" applyNumberFormat="1" applyFont="1" applyFill="1" applyBorder="1"/>
    <xf numFmtId="167" fontId="116" fillId="0" borderId="84" xfId="1" applyNumberFormat="1" applyFont="1" applyFill="1" applyBorder="1"/>
    <xf numFmtId="167" fontId="116" fillId="0" borderId="81" xfId="1" applyNumberFormat="1" applyFont="1" applyBorder="1"/>
    <xf numFmtId="167" fontId="116" fillId="0" borderId="88" xfId="1" applyNumberFormat="1" applyFont="1" applyFill="1" applyBorder="1" applyAlignment="1">
      <alignment wrapText="1"/>
    </xf>
    <xf numFmtId="0" fontId="82" fillId="0" borderId="101" xfId="0" applyFont="1" applyBorder="1" applyAlignment="1">
      <alignment wrapText="1"/>
    </xf>
    <xf numFmtId="167" fontId="83" fillId="13" borderId="101" xfId="20" applyNumberFormat="1" applyFont="1" applyFill="1" applyBorder="1" applyProtection="1">
      <protection locked="0"/>
    </xf>
    <xf numFmtId="167" fontId="93" fillId="13" borderId="101" xfId="20" applyNumberFormat="1" applyFont="1" applyFill="1" applyBorder="1" applyProtection="1">
      <protection locked="0"/>
    </xf>
    <xf numFmtId="167" fontId="96" fillId="21" borderId="101" xfId="19" applyNumberFormat="1" applyFont="1" applyFill="1" applyBorder="1" applyProtection="1">
      <protection locked="0"/>
    </xf>
    <xf numFmtId="0" fontId="116" fillId="13" borderId="0" xfId="0" applyFont="1" applyFill="1"/>
    <xf numFmtId="0" fontId="129" fillId="0" borderId="101" xfId="0" applyFont="1" applyBorder="1"/>
    <xf numFmtId="0" fontId="102" fillId="10" borderId="101" xfId="0" quotePrefix="1" applyFont="1" applyFill="1" applyBorder="1" applyAlignment="1">
      <alignment vertical="center" wrapText="1"/>
    </xf>
    <xf numFmtId="167" fontId="116" fillId="0" borderId="0" xfId="1" applyNumberFormat="1" applyFont="1" applyFill="1" applyBorder="1" applyAlignment="1">
      <alignment horizontal="center"/>
    </xf>
    <xf numFmtId="167" fontId="116" fillId="0" borderId="88" xfId="1" applyNumberFormat="1" applyFont="1" applyFill="1" applyBorder="1"/>
    <xf numFmtId="0" fontId="102" fillId="21" borderId="101" xfId="0" applyFont="1" applyFill="1" applyBorder="1" applyAlignment="1">
      <alignment vertical="top" wrapText="1"/>
    </xf>
    <xf numFmtId="167" fontId="102" fillId="13" borderId="101" xfId="1" applyNumberFormat="1" applyFont="1" applyFill="1" applyBorder="1"/>
    <xf numFmtId="0" fontId="83" fillId="10" borderId="109" xfId="0" applyFont="1" applyFill="1" applyBorder="1"/>
    <xf numFmtId="167" fontId="201" fillId="10" borderId="109" xfId="1" applyNumberFormat="1" applyFont="1" applyFill="1" applyBorder="1" applyAlignment="1" applyProtection="1">
      <alignment horizontal="center" vertical="center"/>
      <protection locked="0"/>
    </xf>
    <xf numFmtId="167" fontId="102" fillId="10" borderId="109" xfId="1" applyNumberFormat="1" applyFont="1" applyFill="1" applyBorder="1" applyAlignment="1" applyProtection="1">
      <alignment horizontal="center" vertical="center"/>
      <protection locked="0"/>
    </xf>
    <xf numFmtId="167" fontId="83" fillId="16" borderId="101" xfId="1" applyNumberFormat="1" applyFont="1" applyFill="1" applyBorder="1" applyAlignment="1" applyProtection="1">
      <alignment horizontal="center" vertical="center"/>
      <protection locked="0"/>
    </xf>
    <xf numFmtId="0" fontId="93" fillId="10" borderId="109" xfId="274" applyFont="1" applyFill="1" applyBorder="1"/>
    <xf numFmtId="0" fontId="93" fillId="10" borderId="109" xfId="274" applyFont="1" applyFill="1" applyBorder="1" applyAlignment="1">
      <alignment horizontal="center"/>
    </xf>
    <xf numFmtId="0" fontId="96" fillId="10" borderId="76" xfId="0" applyFont="1" applyFill="1" applyBorder="1"/>
    <xf numFmtId="0" fontId="93" fillId="10" borderId="76" xfId="0" applyFont="1" applyFill="1" applyBorder="1"/>
    <xf numFmtId="49" fontId="93" fillId="10" borderId="76" xfId="0" applyNumberFormat="1" applyFont="1" applyFill="1" applyBorder="1" applyAlignment="1">
      <alignment vertical="top"/>
    </xf>
    <xf numFmtId="0" fontId="93" fillId="10" borderId="76" xfId="0" applyFont="1" applyFill="1" applyBorder="1" applyAlignment="1">
      <alignment horizontal="center"/>
    </xf>
    <xf numFmtId="0" fontId="102" fillId="21" borderId="76" xfId="0" applyFont="1" applyFill="1" applyBorder="1" applyAlignment="1">
      <alignment horizontal="left" vertical="center" wrapText="1"/>
    </xf>
    <xf numFmtId="167" fontId="93" fillId="10" borderId="76" xfId="19" applyNumberFormat="1" applyFont="1" applyFill="1" applyBorder="1" applyProtection="1">
      <protection locked="0"/>
    </xf>
    <xf numFmtId="0" fontId="96" fillId="10" borderId="58" xfId="0" applyFont="1" applyFill="1" applyBorder="1"/>
    <xf numFmtId="0" fontId="93" fillId="10" borderId="58" xfId="0" applyFont="1" applyFill="1" applyBorder="1"/>
    <xf numFmtId="49" fontId="93" fillId="10" borderId="58" xfId="0" applyNumberFormat="1" applyFont="1" applyFill="1" applyBorder="1" applyAlignment="1">
      <alignment vertical="top"/>
    </xf>
    <xf numFmtId="0" fontId="93" fillId="10" borderId="58" xfId="0" applyFont="1" applyFill="1" applyBorder="1" applyAlignment="1">
      <alignment horizontal="center"/>
    </xf>
    <xf numFmtId="0" fontId="102" fillId="21" borderId="58" xfId="0" applyFont="1" applyFill="1" applyBorder="1" applyAlignment="1">
      <alignment horizontal="left" vertical="center" wrapText="1"/>
    </xf>
    <xf numFmtId="167" fontId="93" fillId="10" borderId="58" xfId="19" applyNumberFormat="1" applyFont="1" applyFill="1" applyBorder="1" applyProtection="1">
      <protection locked="0"/>
    </xf>
    <xf numFmtId="167" fontId="96" fillId="13" borderId="58" xfId="19" applyNumberFormat="1" applyFont="1" applyFill="1" applyBorder="1" applyProtection="1">
      <protection locked="0"/>
    </xf>
    <xf numFmtId="0" fontId="102" fillId="21" borderId="109" xfId="0" applyFont="1" applyFill="1" applyBorder="1" applyAlignment="1">
      <alignment horizontal="left" vertical="center" wrapText="1"/>
    </xf>
    <xf numFmtId="167" fontId="104" fillId="15" borderId="101" xfId="19" applyNumberFormat="1" applyFont="1" applyFill="1" applyBorder="1" applyProtection="1">
      <protection locked="0"/>
    </xf>
    <xf numFmtId="0" fontId="104" fillId="10" borderId="101" xfId="0" applyFont="1" applyFill="1" applyBorder="1" applyAlignment="1">
      <alignment horizontal="right" wrapText="1"/>
    </xf>
    <xf numFmtId="167" fontId="123" fillId="10" borderId="101" xfId="19" applyNumberFormat="1" applyFont="1" applyFill="1" applyBorder="1"/>
    <xf numFmtId="167" fontId="104" fillId="10" borderId="101" xfId="19" applyNumberFormat="1" applyFont="1" applyFill="1" applyBorder="1"/>
    <xf numFmtId="167" fontId="123" fillId="13" borderId="101" xfId="19" applyNumberFormat="1" applyFont="1" applyFill="1" applyBorder="1"/>
    <xf numFmtId="0" fontId="83" fillId="21" borderId="109" xfId="0" applyFont="1" applyFill="1" applyBorder="1"/>
    <xf numFmtId="0" fontId="83" fillId="21" borderId="109" xfId="0" applyFont="1" applyFill="1" applyBorder="1" applyAlignment="1">
      <alignment horizontal="left" vertical="center" wrapText="1"/>
    </xf>
    <xf numFmtId="167" fontId="104" fillId="21" borderId="109" xfId="19" applyNumberFormat="1" applyFont="1" applyFill="1" applyBorder="1" applyProtection="1">
      <protection locked="0"/>
    </xf>
    <xf numFmtId="167" fontId="102" fillId="10" borderId="109" xfId="1" applyNumberFormat="1" applyFont="1" applyFill="1" applyBorder="1" applyProtection="1">
      <protection locked="0"/>
    </xf>
    <xf numFmtId="0" fontId="113" fillId="0" borderId="91" xfId="0" applyFont="1" applyBorder="1"/>
    <xf numFmtId="0" fontId="113" fillId="0" borderId="84" xfId="0" applyFont="1" applyBorder="1"/>
    <xf numFmtId="0" fontId="126" fillId="0" borderId="0" xfId="0" applyFont="1"/>
    <xf numFmtId="0" fontId="116" fillId="0" borderId="62" xfId="0" quotePrefix="1" applyFont="1" applyBorder="1" applyAlignment="1">
      <alignment horizontal="left"/>
    </xf>
    <xf numFmtId="49" fontId="116" fillId="0" borderId="62" xfId="0" applyNumberFormat="1" applyFont="1" applyBorder="1" applyAlignment="1">
      <alignment horizontal="left"/>
    </xf>
    <xf numFmtId="49" fontId="116" fillId="0" borderId="67" xfId="0" applyNumberFormat="1" applyFont="1" applyBorder="1" applyAlignment="1">
      <alignment horizontal="left"/>
    </xf>
    <xf numFmtId="49" fontId="116" fillId="0" borderId="78" xfId="0" applyNumberFormat="1" applyFont="1" applyBorder="1" applyAlignment="1">
      <alignment horizontal="left"/>
    </xf>
    <xf numFmtId="49" fontId="116" fillId="0" borderId="62" xfId="0" applyNumberFormat="1" applyFont="1" applyBorder="1"/>
    <xf numFmtId="49" fontId="116" fillId="0" borderId="62" xfId="0" applyNumberFormat="1" applyFont="1" applyBorder="1" applyAlignment="1">
      <alignment wrapText="1"/>
    </xf>
    <xf numFmtId="49" fontId="116" fillId="0" borderId="66" xfId="0" applyNumberFormat="1" applyFont="1" applyBorder="1" applyAlignment="1">
      <alignment horizontal="left"/>
    </xf>
    <xf numFmtId="0" fontId="113" fillId="0" borderId="62" xfId="0" applyFont="1" applyBorder="1"/>
    <xf numFmtId="49" fontId="116" fillId="0" borderId="87" xfId="0" applyNumberFormat="1" applyFont="1" applyBorder="1" applyAlignment="1">
      <alignment horizontal="left"/>
    </xf>
    <xf numFmtId="0" fontId="109" fillId="34" borderId="109" xfId="0" applyFont="1" applyFill="1" applyBorder="1" applyAlignment="1">
      <alignment horizontal="left" vertical="center" wrapText="1"/>
    </xf>
    <xf numFmtId="0" fontId="93" fillId="10" borderId="109" xfId="274" applyFont="1" applyFill="1" applyBorder="1" applyAlignment="1">
      <alignment horizontal="right" vertical="center" wrapText="1"/>
    </xf>
    <xf numFmtId="167" fontId="93" fillId="13" borderId="0" xfId="19" applyNumberFormat="1" applyFont="1" applyFill="1"/>
    <xf numFmtId="49" fontId="93" fillId="10" borderId="109" xfId="0" applyNumberFormat="1" applyFont="1" applyFill="1" applyBorder="1"/>
    <xf numFmtId="43" fontId="201" fillId="10" borderId="109" xfId="24" applyFont="1" applyFill="1" applyBorder="1" applyAlignment="1" applyProtection="1">
      <alignment horizontal="center"/>
      <protection locked="0"/>
    </xf>
    <xf numFmtId="167" fontId="102" fillId="10" borderId="109" xfId="24" applyNumberFormat="1" applyFont="1" applyFill="1" applyBorder="1" applyProtection="1">
      <protection locked="0"/>
    </xf>
    <xf numFmtId="167" fontId="102" fillId="13" borderId="109" xfId="24" applyNumberFormat="1" applyFont="1" applyFill="1" applyBorder="1" applyProtection="1">
      <protection locked="0"/>
    </xf>
    <xf numFmtId="167" fontId="69" fillId="5" borderId="9" xfId="1" applyNumberFormat="1" applyFont="1" applyFill="1" applyBorder="1"/>
    <xf numFmtId="167" fontId="63" fillId="4" borderId="9" xfId="1" applyNumberFormat="1" applyFont="1" applyFill="1" applyBorder="1"/>
    <xf numFmtId="167" fontId="146" fillId="0" borderId="96" xfId="1" applyNumberFormat="1" applyFont="1" applyFill="1" applyBorder="1" applyAlignment="1" applyProtection="1">
      <alignment horizontal="center" vertical="center" wrapText="1"/>
    </xf>
    <xf numFmtId="167" fontId="84" fillId="14" borderId="97" xfId="19" applyNumberFormat="1" applyFont="1" applyFill="1" applyBorder="1" applyProtection="1">
      <protection locked="0"/>
    </xf>
    <xf numFmtId="167" fontId="122" fillId="0" borderId="0" xfId="1" applyNumberFormat="1" applyFont="1"/>
    <xf numFmtId="0" fontId="253" fillId="0" borderId="101" xfId="0" applyFont="1" applyBorder="1"/>
    <xf numFmtId="0" fontId="125" fillId="10" borderId="101" xfId="0" applyFont="1" applyFill="1" applyBorder="1"/>
    <xf numFmtId="0" fontId="125" fillId="10" borderId="101" xfId="0" applyFont="1" applyFill="1" applyBorder="1" applyAlignment="1">
      <alignment vertical="top"/>
    </xf>
    <xf numFmtId="0" fontId="125" fillId="0" borderId="101" xfId="0" applyFont="1" applyBorder="1"/>
    <xf numFmtId="0" fontId="253" fillId="10" borderId="101" xfId="0" applyFont="1" applyFill="1" applyBorder="1"/>
    <xf numFmtId="0" fontId="125" fillId="27" borderId="101" xfId="0" applyFont="1" applyFill="1" applyBorder="1"/>
    <xf numFmtId="0" fontId="253" fillId="0" borderId="101" xfId="0" applyFont="1" applyBorder="1" applyAlignment="1">
      <alignment horizontal="left" vertical="center"/>
    </xf>
    <xf numFmtId="0" fontId="125" fillId="10" borderId="101" xfId="0" applyFont="1" applyFill="1" applyBorder="1" applyAlignment="1">
      <alignment horizontal="center"/>
    </xf>
    <xf numFmtId="0" fontId="125" fillId="10" borderId="109" xfId="0" applyFont="1" applyFill="1" applyBorder="1"/>
    <xf numFmtId="0" fontId="253" fillId="0" borderId="101" xfId="0" quotePrefix="1" applyFont="1" applyBorder="1"/>
    <xf numFmtId="0" fontId="253" fillId="21" borderId="101" xfId="0" applyFont="1" applyFill="1" applyBorder="1"/>
    <xf numFmtId="49" fontId="83" fillId="21" borderId="101" xfId="0" applyNumberFormat="1" applyFont="1" applyFill="1" applyBorder="1" applyAlignment="1">
      <alignment horizontal="left"/>
    </xf>
    <xf numFmtId="0" fontId="125" fillId="6" borderId="101" xfId="0" applyFont="1" applyFill="1" applyBorder="1"/>
    <xf numFmtId="0" fontId="125" fillId="10" borderId="105" xfId="0" applyFont="1" applyFill="1" applyBorder="1"/>
    <xf numFmtId="43" fontId="125" fillId="10" borderId="101" xfId="24" applyFont="1" applyFill="1" applyBorder="1" applyProtection="1">
      <protection locked="0"/>
    </xf>
    <xf numFmtId="0" fontId="125" fillId="10" borderId="101" xfId="0" applyFont="1" applyFill="1" applyBorder="1" applyAlignment="1">
      <alignment wrapText="1"/>
    </xf>
    <xf numFmtId="167" fontId="93" fillId="10" borderId="109" xfId="19" applyNumberFormat="1" applyFont="1" applyFill="1" applyBorder="1"/>
    <xf numFmtId="167" fontId="96" fillId="13" borderId="109" xfId="19" applyNumberFormat="1" applyFont="1" applyFill="1" applyBorder="1"/>
    <xf numFmtId="0" fontId="97" fillId="10" borderId="109" xfId="0" applyFont="1" applyFill="1" applyBorder="1" applyAlignment="1">
      <alignment horizontal="right" vertical="center" wrapText="1"/>
    </xf>
    <xf numFmtId="167" fontId="93" fillId="10" borderId="109" xfId="22" applyNumberFormat="1" applyFont="1" applyFill="1" applyBorder="1" applyProtection="1">
      <protection locked="0"/>
    </xf>
    <xf numFmtId="167" fontId="93" fillId="13" borderId="109" xfId="22" applyNumberFormat="1" applyFont="1" applyFill="1" applyBorder="1" applyProtection="1">
      <protection locked="0"/>
    </xf>
    <xf numFmtId="167" fontId="96" fillId="10" borderId="109" xfId="1" applyNumberFormat="1" applyFont="1" applyFill="1" applyBorder="1" applyAlignment="1" applyProtection="1">
      <alignment horizontal="center" vertical="center"/>
      <protection locked="0"/>
    </xf>
    <xf numFmtId="167" fontId="102" fillId="10" borderId="109" xfId="1" applyNumberFormat="1" applyFont="1" applyFill="1" applyBorder="1" applyAlignment="1" applyProtection="1">
      <alignment vertical="center"/>
      <protection locked="0"/>
    </xf>
    <xf numFmtId="167" fontId="104" fillId="13" borderId="109" xfId="1" applyNumberFormat="1" applyFont="1" applyFill="1" applyBorder="1" applyProtection="1">
      <protection locked="0"/>
    </xf>
    <xf numFmtId="43" fontId="93" fillId="10" borderId="109" xfId="24" applyFont="1" applyFill="1" applyBorder="1" applyAlignment="1" applyProtection="1">
      <alignment horizontal="center"/>
      <protection locked="0"/>
    </xf>
    <xf numFmtId="167" fontId="83" fillId="10" borderId="109" xfId="24" applyNumberFormat="1" applyFont="1" applyFill="1" applyBorder="1" applyProtection="1">
      <protection locked="0"/>
    </xf>
    <xf numFmtId="43" fontId="102" fillId="10" borderId="109" xfId="24" applyFont="1" applyFill="1" applyBorder="1" applyAlignment="1" applyProtection="1">
      <alignment horizontal="center"/>
      <protection locked="0"/>
    </xf>
    <xf numFmtId="167" fontId="104" fillId="13" borderId="109" xfId="24" applyNumberFormat="1" applyFont="1" applyFill="1" applyBorder="1" applyProtection="1">
      <protection locked="0"/>
    </xf>
    <xf numFmtId="0" fontId="104" fillId="0" borderId="101" xfId="0" applyFont="1" applyBorder="1" applyAlignment="1">
      <alignment vertical="center" wrapText="1"/>
    </xf>
    <xf numFmtId="167" fontId="93" fillId="10" borderId="109" xfId="19" applyNumberFormat="1" applyFont="1" applyFill="1" applyBorder="1" applyAlignment="1" applyProtection="1">
      <alignment wrapText="1"/>
      <protection locked="0"/>
    </xf>
    <xf numFmtId="167" fontId="102" fillId="21" borderId="96" xfId="19" applyNumberFormat="1" applyFont="1" applyFill="1" applyBorder="1"/>
    <xf numFmtId="167" fontId="96" fillId="13" borderId="96" xfId="19" applyNumberFormat="1" applyFont="1" applyFill="1" applyBorder="1"/>
    <xf numFmtId="167" fontId="102" fillId="21" borderId="96" xfId="19" applyNumberFormat="1" applyFont="1" applyFill="1" applyBorder="1" applyProtection="1">
      <protection locked="0"/>
    </xf>
    <xf numFmtId="167" fontId="102" fillId="13" borderId="96" xfId="19" applyNumberFormat="1" applyFont="1" applyFill="1" applyBorder="1" applyProtection="1">
      <protection locked="0"/>
    </xf>
    <xf numFmtId="167" fontId="93" fillId="10" borderId="96" xfId="22" applyNumberFormat="1" applyFont="1" applyFill="1" applyBorder="1" applyProtection="1">
      <protection locked="0"/>
    </xf>
    <xf numFmtId="167" fontId="93" fillId="13" borderId="96" xfId="22" applyNumberFormat="1" applyFont="1" applyFill="1" applyBorder="1" applyProtection="1">
      <protection locked="0"/>
    </xf>
    <xf numFmtId="167" fontId="93" fillId="10" borderId="96" xfId="23" applyNumberFormat="1" applyFont="1" applyFill="1" applyBorder="1"/>
    <xf numFmtId="167" fontId="93" fillId="10" borderId="96" xfId="19" applyNumberFormat="1" applyFont="1" applyFill="1" applyBorder="1"/>
    <xf numFmtId="0" fontId="102" fillId="21" borderId="96" xfId="0" applyFont="1" applyFill="1" applyBorder="1" applyAlignment="1">
      <alignment horizontal="left" vertical="center" wrapText="1"/>
    </xf>
    <xf numFmtId="167" fontId="83" fillId="14" borderId="0" xfId="19" applyNumberFormat="1" applyFont="1" applyFill="1" applyBorder="1" applyProtection="1">
      <protection locked="0"/>
    </xf>
    <xf numFmtId="167" fontId="102" fillId="12" borderId="96" xfId="19" applyNumberFormat="1" applyFont="1" applyFill="1" applyBorder="1" applyProtection="1">
      <protection locked="0"/>
    </xf>
    <xf numFmtId="167" fontId="93" fillId="10" borderId="96" xfId="22" applyNumberFormat="1" applyFont="1" applyFill="1" applyBorder="1"/>
    <xf numFmtId="0" fontId="102" fillId="10" borderId="96" xfId="0" applyFont="1" applyFill="1" applyBorder="1" applyAlignment="1">
      <alignment horizontal="right" vertical="center" wrapText="1"/>
    </xf>
    <xf numFmtId="0" fontId="109" fillId="34" borderId="96" xfId="0" applyFont="1" applyFill="1" applyBorder="1" applyAlignment="1">
      <alignment horizontal="left" vertical="center" wrapText="1"/>
    </xf>
    <xf numFmtId="167" fontId="201" fillId="10" borderId="96" xfId="19" applyNumberFormat="1" applyFont="1" applyFill="1" applyBorder="1" applyProtection="1">
      <protection locked="0"/>
    </xf>
    <xf numFmtId="0" fontId="94" fillId="21" borderId="96" xfId="0" applyFont="1" applyFill="1" applyBorder="1" applyAlignment="1">
      <alignment vertical="top" wrapText="1"/>
    </xf>
    <xf numFmtId="0" fontId="97" fillId="10" borderId="96" xfId="0" applyFont="1" applyFill="1" applyBorder="1" applyAlignment="1">
      <alignment horizontal="right" vertical="center" wrapText="1"/>
    </xf>
    <xf numFmtId="0" fontId="93" fillId="17" borderId="96" xfId="0" applyFont="1" applyFill="1" applyBorder="1" applyAlignment="1">
      <alignment horizontal="left" vertical="center" wrapText="1"/>
    </xf>
    <xf numFmtId="167" fontId="102" fillId="10" borderId="96" xfId="23" applyNumberFormat="1" applyFont="1" applyFill="1" applyBorder="1"/>
    <xf numFmtId="167" fontId="96" fillId="23" borderId="96" xfId="23" applyNumberFormat="1" applyFont="1" applyFill="1" applyBorder="1"/>
    <xf numFmtId="167" fontId="102" fillId="10" borderId="96" xfId="1" applyNumberFormat="1" applyFont="1" applyFill="1" applyBorder="1" applyProtection="1">
      <protection locked="0"/>
    </xf>
    <xf numFmtId="167" fontId="102" fillId="23" borderId="96" xfId="23" applyNumberFormat="1" applyFont="1" applyFill="1" applyBorder="1"/>
    <xf numFmtId="49" fontId="93" fillId="10" borderId="96" xfId="0" applyNumberFormat="1" applyFont="1" applyFill="1" applyBorder="1" applyAlignment="1">
      <alignment horizontal="right"/>
    </xf>
    <xf numFmtId="167" fontId="101" fillId="10" borderId="96" xfId="19" applyNumberFormat="1" applyFont="1" applyFill="1" applyBorder="1" applyProtection="1">
      <protection locked="0"/>
    </xf>
    <xf numFmtId="167" fontId="93" fillId="10" borderId="96" xfId="20" applyNumberFormat="1" applyFont="1" applyFill="1" applyBorder="1" applyProtection="1">
      <protection locked="0"/>
    </xf>
    <xf numFmtId="167" fontId="93" fillId="13" borderId="96" xfId="20" applyNumberFormat="1" applyFont="1" applyFill="1" applyBorder="1" applyProtection="1">
      <protection locked="0"/>
    </xf>
    <xf numFmtId="167" fontId="102" fillId="13" borderId="96" xfId="1" applyNumberFormat="1" applyFont="1" applyFill="1" applyBorder="1" applyProtection="1">
      <protection locked="0"/>
    </xf>
    <xf numFmtId="167" fontId="93" fillId="13" borderId="96" xfId="19" applyNumberFormat="1" applyFont="1" applyFill="1" applyBorder="1"/>
    <xf numFmtId="167" fontId="102" fillId="13" borderId="96" xfId="19" applyNumberFormat="1" applyFont="1" applyFill="1" applyBorder="1"/>
    <xf numFmtId="167" fontId="83" fillId="13" borderId="96" xfId="1" applyNumberFormat="1" applyFont="1" applyFill="1" applyBorder="1" applyProtection="1">
      <protection locked="0"/>
    </xf>
    <xf numFmtId="0" fontId="102" fillId="10" borderId="0" xfId="0" applyFont="1" applyFill="1"/>
    <xf numFmtId="167" fontId="96" fillId="10" borderId="109" xfId="1" applyNumberFormat="1" applyFont="1" applyFill="1" applyBorder="1" applyProtection="1">
      <protection locked="0"/>
    </xf>
    <xf numFmtId="167" fontId="85" fillId="14" borderId="101" xfId="19" applyNumberFormat="1" applyFont="1" applyFill="1" applyBorder="1" applyProtection="1">
      <protection locked="0"/>
    </xf>
    <xf numFmtId="167" fontId="96" fillId="10" borderId="101" xfId="22" applyNumberFormat="1" applyFont="1" applyFill="1" applyBorder="1" applyProtection="1">
      <protection locked="0"/>
    </xf>
    <xf numFmtId="167" fontId="96" fillId="10" borderId="96" xfId="19" applyNumberFormat="1" applyFont="1" applyFill="1" applyBorder="1"/>
    <xf numFmtId="167" fontId="96" fillId="10" borderId="109" xfId="22" applyNumberFormat="1" applyFont="1" applyFill="1" applyBorder="1" applyProtection="1">
      <protection locked="0"/>
    </xf>
    <xf numFmtId="167" fontId="96" fillId="10" borderId="96" xfId="22" applyNumberFormat="1" applyFont="1" applyFill="1" applyBorder="1" applyProtection="1">
      <protection locked="0"/>
    </xf>
    <xf numFmtId="167" fontId="86" fillId="21" borderId="109" xfId="19" applyNumberFormat="1" applyFont="1" applyFill="1" applyBorder="1" applyProtection="1">
      <protection locked="0"/>
    </xf>
    <xf numFmtId="167" fontId="86" fillId="16" borderId="101" xfId="1" applyNumberFormat="1" applyFont="1" applyFill="1" applyBorder="1" applyAlignment="1" applyProtection="1">
      <alignment horizontal="center"/>
      <protection locked="0"/>
    </xf>
    <xf numFmtId="167" fontId="101" fillId="10" borderId="101" xfId="24" applyNumberFormat="1" applyFont="1" applyFill="1" applyBorder="1" applyAlignment="1" applyProtection="1">
      <alignment horizontal="center"/>
      <protection locked="0"/>
    </xf>
    <xf numFmtId="43" fontId="101" fillId="10" borderId="102" xfId="24" applyFont="1" applyFill="1" applyBorder="1" applyAlignment="1" applyProtection="1">
      <alignment horizontal="center"/>
      <protection locked="0"/>
    </xf>
    <xf numFmtId="167" fontId="86" fillId="10" borderId="104" xfId="24" applyNumberFormat="1" applyFont="1" applyFill="1" applyBorder="1" applyProtection="1">
      <protection locked="0"/>
    </xf>
    <xf numFmtId="167" fontId="96" fillId="21" borderId="96" xfId="19" applyNumberFormat="1" applyFont="1" applyFill="1" applyBorder="1" applyProtection="1">
      <protection locked="0"/>
    </xf>
    <xf numFmtId="167" fontId="96" fillId="10" borderId="96" xfId="23" applyNumberFormat="1" applyFont="1" applyFill="1" applyBorder="1"/>
    <xf numFmtId="167" fontId="86" fillId="10" borderId="109" xfId="1" applyNumberFormat="1" applyFont="1" applyFill="1" applyBorder="1" applyAlignment="1" applyProtection="1">
      <alignment horizontal="center" vertical="center"/>
      <protection locked="0"/>
    </xf>
    <xf numFmtId="167" fontId="113" fillId="10" borderId="105" xfId="19" applyNumberFormat="1" applyFont="1" applyFill="1" applyBorder="1" applyProtection="1">
      <protection locked="0"/>
    </xf>
    <xf numFmtId="167" fontId="96" fillId="10" borderId="58" xfId="19" applyNumberFormat="1" applyFont="1" applyFill="1" applyBorder="1" applyProtection="1">
      <protection locked="0"/>
    </xf>
    <xf numFmtId="167" fontId="96" fillId="10" borderId="76" xfId="19" applyNumberFormat="1" applyFont="1" applyFill="1" applyBorder="1" applyProtection="1">
      <protection locked="0"/>
    </xf>
    <xf numFmtId="167" fontId="96" fillId="10" borderId="102" xfId="19" applyNumberFormat="1" applyFont="1" applyFill="1" applyBorder="1" applyProtection="1">
      <protection locked="0"/>
    </xf>
    <xf numFmtId="167" fontId="96" fillId="10" borderId="97" xfId="19" applyNumberFormat="1" applyFont="1" applyFill="1" applyBorder="1" applyProtection="1">
      <protection locked="0"/>
    </xf>
    <xf numFmtId="0" fontId="259" fillId="0" borderId="0" xfId="173" applyFont="1"/>
    <xf numFmtId="0" fontId="260" fillId="0" borderId="0" xfId="0" applyFont="1" applyAlignment="1">
      <alignment wrapText="1"/>
    </xf>
    <xf numFmtId="0" fontId="96" fillId="10" borderId="0" xfId="0" applyFont="1" applyFill="1" applyAlignment="1">
      <alignment horizontal="left" wrapText="1"/>
    </xf>
    <xf numFmtId="0" fontId="96" fillId="0" borderId="0" xfId="0" applyFont="1" applyAlignment="1">
      <alignment horizontal="left" vertical="center" wrapText="1"/>
    </xf>
    <xf numFmtId="0" fontId="119" fillId="21" borderId="0" xfId="0" applyFont="1" applyFill="1"/>
    <xf numFmtId="0" fontId="119" fillId="21" borderId="0" xfId="0" applyFont="1" applyFill="1" applyAlignment="1">
      <alignment wrapText="1"/>
    </xf>
    <xf numFmtId="0" fontId="119" fillId="0" borderId="0" xfId="0" applyFont="1" applyAlignment="1">
      <alignment horizontal="left" vertical="center"/>
    </xf>
    <xf numFmtId="167" fontId="96" fillId="0" borderId="0" xfId="1" applyNumberFormat="1" applyFont="1" applyAlignment="1">
      <alignment horizontal="left"/>
    </xf>
    <xf numFmtId="167" fontId="83" fillId="73" borderId="96" xfId="19" applyNumberFormat="1" applyFont="1" applyFill="1" applyBorder="1" applyProtection="1">
      <protection locked="0"/>
    </xf>
    <xf numFmtId="0" fontId="93" fillId="10" borderId="112" xfId="0" applyFont="1" applyFill="1" applyBorder="1"/>
    <xf numFmtId="0" fontId="95" fillId="10" borderId="112" xfId="0" applyFont="1" applyFill="1" applyBorder="1" applyAlignment="1">
      <alignment horizontal="right" vertical="center" wrapText="1"/>
    </xf>
    <xf numFmtId="0" fontId="94" fillId="10" borderId="112" xfId="0" applyFont="1" applyFill="1" applyBorder="1" applyAlignment="1">
      <alignment horizontal="right" vertical="center" wrapText="1"/>
    </xf>
    <xf numFmtId="0" fontId="93" fillId="10" borderId="112" xfId="274" applyFont="1" applyFill="1" applyBorder="1"/>
    <xf numFmtId="0" fontId="95" fillId="10" borderId="112" xfId="274" applyFont="1" applyFill="1" applyBorder="1" applyAlignment="1">
      <alignment horizontal="right" vertical="center" wrapText="1"/>
    </xf>
    <xf numFmtId="167" fontId="80" fillId="0" borderId="96" xfId="1" applyNumberFormat="1" applyFont="1" applyFill="1" applyBorder="1" applyAlignment="1" applyProtection="1">
      <alignment horizontal="center" vertical="center" wrapText="1"/>
    </xf>
    <xf numFmtId="167" fontId="96" fillId="10" borderId="0" xfId="19" applyNumberFormat="1" applyFont="1" applyFill="1"/>
    <xf numFmtId="167" fontId="96" fillId="10" borderId="0" xfId="1" applyNumberFormat="1" applyFont="1" applyFill="1"/>
    <xf numFmtId="49" fontId="185" fillId="0" borderId="0" xfId="0" applyNumberFormat="1" applyFont="1"/>
    <xf numFmtId="9" fontId="93" fillId="0" borderId="0" xfId="0" applyNumberFormat="1" applyFont="1"/>
    <xf numFmtId="0" fontId="197" fillId="0" borderId="0" xfId="0" applyFont="1" applyAlignment="1">
      <alignment wrapText="1"/>
    </xf>
    <xf numFmtId="0" fontId="93" fillId="0" borderId="0" xfId="0" applyFont="1" applyAlignment="1">
      <alignment horizontal="left" wrapText="1"/>
    </xf>
    <xf numFmtId="0" fontId="99" fillId="0" borderId="17" xfId="0" applyFont="1" applyBorder="1"/>
    <xf numFmtId="0" fontId="93" fillId="0" borderId="0" xfId="0" applyFont="1" applyAlignment="1">
      <alignment vertical="center" wrapText="1"/>
    </xf>
    <xf numFmtId="164" fontId="93" fillId="0" borderId="0" xfId="0" applyNumberFormat="1" applyFont="1"/>
    <xf numFmtId="43" fontId="63" fillId="4" borderId="51" xfId="1" applyFont="1" applyFill="1" applyBorder="1" applyAlignment="1">
      <alignment wrapText="1"/>
    </xf>
    <xf numFmtId="43" fontId="141" fillId="6" borderId="51" xfId="1" applyFont="1" applyFill="1" applyBorder="1"/>
    <xf numFmtId="43" fontId="69" fillId="5" borderId="51" xfId="1" applyFont="1" applyFill="1" applyBorder="1"/>
    <xf numFmtId="43" fontId="63" fillId="5" borderId="9" xfId="1" quotePrefix="1" applyFont="1" applyFill="1" applyBorder="1"/>
    <xf numFmtId="43" fontId="69" fillId="6" borderId="9" xfId="1" applyFont="1" applyFill="1" applyBorder="1"/>
    <xf numFmtId="43" fontId="63" fillId="6" borderId="43" xfId="1" applyFont="1" applyFill="1" applyBorder="1"/>
    <xf numFmtId="43" fontId="141" fillId="6" borderId="9" xfId="1" applyFont="1" applyFill="1" applyBorder="1"/>
    <xf numFmtId="43" fontId="261" fillId="6" borderId="28" xfId="1" applyFont="1" applyFill="1" applyBorder="1"/>
    <xf numFmtId="43" fontId="69" fillId="4" borderId="9" xfId="1" applyFont="1" applyFill="1" applyBorder="1"/>
    <xf numFmtId="43" fontId="69" fillId="0" borderId="98" xfId="1" applyFont="1" applyFill="1" applyBorder="1"/>
    <xf numFmtId="43" fontId="69" fillId="4" borderId="51" xfId="1" applyFont="1" applyFill="1" applyBorder="1"/>
    <xf numFmtId="43" fontId="261" fillId="4" borderId="51" xfId="1" applyFont="1" applyFill="1" applyBorder="1"/>
    <xf numFmtId="43" fontId="141" fillId="6" borderId="69" xfId="1" applyFont="1" applyFill="1" applyBorder="1"/>
    <xf numFmtId="43" fontId="63" fillId="4" borderId="9" xfId="1" applyFont="1" applyFill="1" applyBorder="1"/>
    <xf numFmtId="43" fontId="69" fillId="5" borderId="9" xfId="1" applyFont="1" applyFill="1" applyBorder="1"/>
    <xf numFmtId="43" fontId="69" fillId="6" borderId="69" xfId="1" applyFont="1" applyFill="1" applyBorder="1"/>
    <xf numFmtId="43" fontId="141" fillId="6" borderId="43" xfId="1" applyFont="1" applyFill="1" applyBorder="1"/>
    <xf numFmtId="43" fontId="141" fillId="6" borderId="28" xfId="1" applyFont="1" applyFill="1" applyBorder="1"/>
    <xf numFmtId="167" fontId="63" fillId="6" borderId="9" xfId="1" applyNumberFormat="1" applyFont="1" applyFill="1" applyBorder="1"/>
    <xf numFmtId="43" fontId="63" fillId="6" borderId="98" xfId="1" applyFont="1" applyFill="1" applyBorder="1"/>
    <xf numFmtId="43" fontId="63" fillId="6" borderId="28" xfId="1" applyFont="1" applyFill="1" applyBorder="1"/>
    <xf numFmtId="43" fontId="63" fillId="4" borderId="9" xfId="1" applyFont="1" applyFill="1" applyBorder="1" applyAlignment="1">
      <alignment wrapText="1"/>
    </xf>
    <xf numFmtId="167" fontId="69" fillId="6" borderId="9" xfId="1" applyNumberFormat="1" applyFont="1" applyFill="1" applyBorder="1"/>
    <xf numFmtId="167" fontId="69" fillId="6" borderId="28" xfId="1" applyNumberFormat="1" applyFont="1" applyFill="1" applyBorder="1"/>
    <xf numFmtId="167" fontId="69" fillId="6" borderId="69" xfId="1" applyNumberFormat="1" applyFont="1" applyFill="1" applyBorder="1"/>
    <xf numFmtId="167" fontId="261" fillId="6" borderId="9" xfId="1" applyNumberFormat="1" applyFont="1" applyFill="1" applyBorder="1"/>
    <xf numFmtId="167" fontId="141" fillId="6" borderId="9" xfId="1" applyNumberFormat="1" applyFont="1" applyFill="1" applyBorder="1"/>
    <xf numFmtId="167" fontId="63" fillId="4" borderId="9" xfId="1" applyNumberFormat="1" applyFont="1" applyFill="1" applyBorder="1" applyAlignment="1">
      <alignment wrapText="1"/>
    </xf>
    <xf numFmtId="167" fontId="63" fillId="6" borderId="9" xfId="1" applyNumberFormat="1" applyFont="1" applyFill="1" applyBorder="1" applyAlignment="1">
      <alignment wrapText="1"/>
    </xf>
    <xf numFmtId="167" fontId="63" fillId="6" borderId="69" xfId="1" quotePrefix="1" applyNumberFormat="1" applyFont="1" applyFill="1" applyBorder="1" applyAlignment="1">
      <alignment wrapText="1"/>
    </xf>
    <xf numFmtId="167" fontId="63" fillId="6" borderId="69" xfId="1" applyNumberFormat="1" applyFont="1" applyFill="1" applyBorder="1"/>
    <xf numFmtId="167" fontId="63" fillId="7" borderId="9" xfId="1" applyNumberFormat="1" applyFont="1" applyFill="1" applyBorder="1" applyAlignment="1">
      <alignment wrapText="1"/>
    </xf>
    <xf numFmtId="167" fontId="63" fillId="0" borderId="51" xfId="1" quotePrefix="1" applyNumberFormat="1" applyFont="1" applyFill="1" applyBorder="1" applyAlignment="1">
      <alignment wrapText="1"/>
    </xf>
    <xf numFmtId="3" fontId="139" fillId="0" borderId="98" xfId="3" applyNumberFormat="1" applyFont="1" applyBorder="1"/>
    <xf numFmtId="49" fontId="72" fillId="6" borderId="113" xfId="43" applyNumberFormat="1" applyFont="1" applyFill="1" applyBorder="1" applyAlignment="1">
      <alignment horizontal="left" indent="1"/>
    </xf>
    <xf numFmtId="0" fontId="224" fillId="11" borderId="0" xfId="0" quotePrefix="1" applyFont="1" applyFill="1"/>
    <xf numFmtId="0" fontId="224" fillId="0" borderId="0" xfId="0" quotePrefix="1" applyFont="1"/>
    <xf numFmtId="167" fontId="141" fillId="6" borderId="110" xfId="1" applyNumberFormat="1" applyFont="1" applyFill="1" applyBorder="1"/>
    <xf numFmtId="0" fontId="93" fillId="10" borderId="112" xfId="0" applyFont="1" applyFill="1" applyBorder="1" applyAlignment="1">
      <alignment horizontal="left" vertical="center" wrapText="1"/>
    </xf>
    <xf numFmtId="167" fontId="93" fillId="10" borderId="112" xfId="19" applyNumberFormat="1" applyFont="1" applyFill="1" applyBorder="1" applyProtection="1">
      <protection locked="0"/>
    </xf>
    <xf numFmtId="167" fontId="83" fillId="73" borderId="112" xfId="19" applyNumberFormat="1" applyFont="1" applyFill="1" applyBorder="1" applyProtection="1">
      <protection locked="0"/>
    </xf>
    <xf numFmtId="167" fontId="93" fillId="13" borderId="112" xfId="19" applyNumberFormat="1" applyFont="1" applyFill="1" applyBorder="1" applyProtection="1">
      <protection locked="0"/>
    </xf>
    <xf numFmtId="167" fontId="96" fillId="10" borderId="112" xfId="19" applyNumberFormat="1" applyFont="1" applyFill="1" applyBorder="1" applyProtection="1">
      <protection locked="0"/>
    </xf>
    <xf numFmtId="0" fontId="102" fillId="10" borderId="112" xfId="0" applyFont="1" applyFill="1" applyBorder="1" applyAlignment="1">
      <alignment horizontal="right" vertical="center" wrapText="1"/>
    </xf>
    <xf numFmtId="167" fontId="102" fillId="10" borderId="112" xfId="19" applyNumberFormat="1" applyFont="1" applyFill="1" applyBorder="1"/>
    <xf numFmtId="167" fontId="102" fillId="13" borderId="112" xfId="19" applyNumberFormat="1" applyFont="1" applyFill="1" applyBorder="1"/>
    <xf numFmtId="0" fontId="99" fillId="10" borderId="112" xfId="0" applyFont="1" applyFill="1" applyBorder="1"/>
    <xf numFmtId="167" fontId="102" fillId="10" borderId="112" xfId="19" applyNumberFormat="1" applyFont="1" applyFill="1" applyBorder="1" applyProtection="1">
      <protection locked="0"/>
    </xf>
    <xf numFmtId="167" fontId="96" fillId="13" borderId="112" xfId="19" applyNumberFormat="1" applyFont="1" applyFill="1" applyBorder="1" applyProtection="1">
      <protection locked="0"/>
    </xf>
    <xf numFmtId="0" fontId="125" fillId="10" borderId="112" xfId="0" applyFont="1" applyFill="1" applyBorder="1"/>
    <xf numFmtId="49" fontId="102" fillId="10" borderId="112" xfId="0" applyNumberFormat="1" applyFont="1" applyFill="1" applyBorder="1"/>
    <xf numFmtId="49" fontId="93" fillId="10" borderId="112" xfId="0" applyNumberFormat="1" applyFont="1" applyFill="1" applyBorder="1"/>
    <xf numFmtId="0" fontId="102" fillId="10" borderId="112" xfId="0" applyFont="1" applyFill="1" applyBorder="1" applyAlignment="1">
      <alignment horizontal="center"/>
    </xf>
    <xf numFmtId="167" fontId="102" fillId="13" borderId="112" xfId="19" applyNumberFormat="1" applyFont="1" applyFill="1" applyBorder="1" applyProtection="1">
      <protection locked="0"/>
    </xf>
    <xf numFmtId="0" fontId="96" fillId="10" borderId="112" xfId="0" applyFont="1" applyFill="1" applyBorder="1"/>
    <xf numFmtId="167" fontId="102" fillId="10" borderId="112" xfId="24" applyNumberFormat="1" applyFont="1" applyFill="1" applyBorder="1" applyProtection="1">
      <protection locked="0"/>
    </xf>
    <xf numFmtId="167" fontId="102" fillId="13" borderId="112" xfId="24" applyNumberFormat="1" applyFont="1" applyFill="1" applyBorder="1" applyProtection="1">
      <protection locked="0"/>
    </xf>
    <xf numFmtId="167" fontId="83" fillId="13" borderId="112" xfId="19" applyNumberFormat="1" applyFont="1" applyFill="1" applyBorder="1" applyProtection="1">
      <protection locked="0"/>
    </xf>
    <xf numFmtId="167" fontId="96" fillId="10" borderId="112" xfId="1" applyNumberFormat="1" applyFont="1" applyFill="1" applyBorder="1" applyProtection="1">
      <protection locked="0"/>
    </xf>
    <xf numFmtId="0" fontId="102" fillId="10" borderId="112" xfId="0" applyFont="1" applyFill="1" applyBorder="1" applyAlignment="1">
      <alignment horizontal="left" vertical="center" wrapText="1"/>
    </xf>
    <xf numFmtId="167" fontId="102" fillId="10" borderId="112" xfId="1" applyNumberFormat="1" applyFont="1" applyFill="1" applyBorder="1" applyAlignment="1" applyProtection="1">
      <alignment horizontal="center" vertical="center"/>
      <protection locked="0"/>
    </xf>
    <xf numFmtId="167" fontId="102" fillId="10" borderId="112" xfId="1" applyNumberFormat="1" applyFont="1" applyFill="1" applyBorder="1" applyAlignment="1" applyProtection="1">
      <alignment vertical="center"/>
      <protection locked="0"/>
    </xf>
    <xf numFmtId="0" fontId="83" fillId="10" borderId="112" xfId="0" applyFont="1" applyFill="1" applyBorder="1"/>
    <xf numFmtId="167" fontId="102" fillId="10" borderId="112" xfId="23" applyNumberFormat="1" applyFont="1" applyFill="1" applyBorder="1" applyProtection="1">
      <protection locked="0"/>
    </xf>
    <xf numFmtId="0" fontId="93" fillId="10" borderId="112" xfId="0" applyFont="1" applyFill="1" applyBorder="1" applyAlignment="1">
      <alignment horizontal="center"/>
    </xf>
    <xf numFmtId="0" fontId="83" fillId="0" borderId="112" xfId="0" applyFont="1" applyBorder="1"/>
    <xf numFmtId="0" fontId="83" fillId="0" borderId="112" xfId="0" quotePrefix="1" applyFont="1" applyBorder="1"/>
    <xf numFmtId="0" fontId="83" fillId="0" borderId="112" xfId="0" applyFont="1" applyBorder="1" applyAlignment="1">
      <alignment horizontal="center"/>
    </xf>
    <xf numFmtId="0" fontId="83" fillId="0" borderId="112" xfId="0" applyFont="1" applyBorder="1" applyAlignment="1">
      <alignment horizontal="left" vertical="center" wrapText="1"/>
    </xf>
    <xf numFmtId="0" fontId="95" fillId="10" borderId="112" xfId="0" applyFont="1" applyFill="1" applyBorder="1" applyAlignment="1">
      <alignment horizontal="center"/>
    </xf>
    <xf numFmtId="0" fontId="95" fillId="10" borderId="112" xfId="0" applyFont="1" applyFill="1" applyBorder="1" applyAlignment="1">
      <alignment horizontal="left" vertical="center" wrapText="1"/>
    </xf>
    <xf numFmtId="167" fontId="93" fillId="10" borderId="112" xfId="1" applyNumberFormat="1" applyFont="1" applyFill="1" applyBorder="1" applyProtection="1">
      <protection locked="0"/>
    </xf>
    <xf numFmtId="167" fontId="93" fillId="10" borderId="114" xfId="1" applyNumberFormat="1" applyFont="1" applyFill="1" applyBorder="1"/>
    <xf numFmtId="0" fontId="97" fillId="10" borderId="112" xfId="0" applyFont="1" applyFill="1" applyBorder="1" applyAlignment="1">
      <alignment horizontal="right" vertical="center" wrapText="1"/>
    </xf>
    <xf numFmtId="0" fontId="253" fillId="0" borderId="112" xfId="0" applyFont="1" applyBorder="1"/>
    <xf numFmtId="49" fontId="83" fillId="0" borderId="112" xfId="0" applyNumberFormat="1" applyFont="1" applyBorder="1"/>
    <xf numFmtId="0" fontId="104" fillId="0" borderId="112" xfId="0" applyFont="1" applyBorder="1"/>
    <xf numFmtId="167" fontId="83" fillId="14" borderId="112" xfId="19" applyNumberFormat="1" applyFont="1" applyFill="1" applyBorder="1" applyProtection="1">
      <protection locked="0"/>
    </xf>
    <xf numFmtId="167" fontId="83" fillId="14" borderId="112" xfId="1" applyNumberFormat="1" applyFont="1" applyFill="1" applyBorder="1" applyProtection="1">
      <protection locked="0"/>
    </xf>
    <xf numFmtId="167" fontId="116" fillId="14" borderId="112" xfId="19" applyNumberFormat="1" applyFont="1" applyFill="1" applyBorder="1" applyProtection="1">
      <protection locked="0"/>
    </xf>
    <xf numFmtId="0" fontId="102" fillId="10" borderId="112" xfId="0" applyFont="1" applyFill="1" applyBorder="1"/>
    <xf numFmtId="167" fontId="93" fillId="10" borderId="112" xfId="19" applyNumberFormat="1" applyFont="1" applyFill="1" applyBorder="1" applyAlignment="1">
      <alignment horizontal="center"/>
    </xf>
    <xf numFmtId="167" fontId="86" fillId="14" borderId="112" xfId="19" applyNumberFormat="1" applyFont="1" applyFill="1" applyBorder="1" applyProtection="1">
      <protection locked="0"/>
    </xf>
    <xf numFmtId="0" fontId="93" fillId="21" borderId="112" xfId="0" applyFont="1" applyFill="1" applyBorder="1" applyAlignment="1">
      <alignment horizontal="left" vertical="center" wrapText="1"/>
    </xf>
    <xf numFmtId="0" fontId="93" fillId="10" borderId="112" xfId="0" applyFont="1" applyFill="1" applyBorder="1" applyAlignment="1">
      <alignment horizontal="right" vertical="center" wrapText="1"/>
    </xf>
    <xf numFmtId="167" fontId="86" fillId="13" borderId="112" xfId="19" applyNumberFormat="1" applyFont="1" applyFill="1" applyBorder="1" applyProtection="1">
      <protection locked="0"/>
    </xf>
    <xf numFmtId="167" fontId="102" fillId="10" borderId="112" xfId="1" applyNumberFormat="1" applyFont="1" applyFill="1" applyBorder="1" applyProtection="1">
      <protection locked="0"/>
    </xf>
    <xf numFmtId="167" fontId="102" fillId="21" borderId="112" xfId="19" applyNumberFormat="1" applyFont="1" applyFill="1" applyBorder="1"/>
    <xf numFmtId="167" fontId="96" fillId="13" borderId="112" xfId="19" applyNumberFormat="1" applyFont="1" applyFill="1" applyBorder="1"/>
    <xf numFmtId="49" fontId="83" fillId="0" borderId="112" xfId="0" quotePrefix="1" applyNumberFormat="1" applyFont="1" applyBorder="1"/>
    <xf numFmtId="0" fontId="104" fillId="6" borderId="112" xfId="0" applyFont="1" applyFill="1" applyBorder="1"/>
    <xf numFmtId="167" fontId="104" fillId="14" borderId="112" xfId="19" applyNumberFormat="1" applyFont="1" applyFill="1" applyBorder="1" applyProtection="1">
      <protection locked="0"/>
    </xf>
    <xf numFmtId="0" fontId="93" fillId="27" borderId="112" xfId="0" applyFont="1" applyFill="1" applyBorder="1"/>
    <xf numFmtId="49" fontId="93" fillId="27" borderId="112" xfId="0" applyNumberFormat="1" applyFont="1" applyFill="1" applyBorder="1"/>
    <xf numFmtId="0" fontId="93" fillId="27" borderId="112" xfId="0" applyFont="1" applyFill="1" applyBorder="1" applyAlignment="1">
      <alignment horizontal="center"/>
    </xf>
    <xf numFmtId="0" fontId="93" fillId="27" borderId="112" xfId="0" applyFont="1" applyFill="1" applyBorder="1" applyAlignment="1">
      <alignment horizontal="left" vertical="center" wrapText="1"/>
    </xf>
    <xf numFmtId="167" fontId="102" fillId="27" borderId="112" xfId="19" applyNumberFormat="1" applyFont="1" applyFill="1" applyBorder="1" applyProtection="1">
      <protection locked="0"/>
    </xf>
    <xf numFmtId="167" fontId="96" fillId="27" borderId="112" xfId="19" applyNumberFormat="1" applyFont="1" applyFill="1" applyBorder="1" applyProtection="1">
      <protection locked="0"/>
    </xf>
    <xf numFmtId="0" fontId="206" fillId="0" borderId="112" xfId="0" applyFont="1" applyBorder="1" applyAlignment="1">
      <alignment wrapText="1"/>
    </xf>
    <xf numFmtId="0" fontId="102" fillId="27" borderId="112" xfId="0" applyFont="1" applyFill="1" applyBorder="1"/>
    <xf numFmtId="0" fontId="93" fillId="21" borderId="0" xfId="0" applyFont="1" applyFill="1"/>
    <xf numFmtId="0" fontId="94" fillId="10" borderId="112" xfId="0" applyFont="1" applyFill="1" applyBorder="1"/>
    <xf numFmtId="0" fontId="92" fillId="0" borderId="112" xfId="0" applyFont="1" applyBorder="1"/>
    <xf numFmtId="0" fontId="91" fillId="0" borderId="112" xfId="0" applyFont="1" applyBorder="1"/>
    <xf numFmtId="167" fontId="93" fillId="10" borderId="112" xfId="19" applyNumberFormat="1" applyFont="1" applyFill="1" applyBorder="1"/>
    <xf numFmtId="49" fontId="93" fillId="10" borderId="112" xfId="0" applyNumberFormat="1" applyFont="1" applyFill="1" applyBorder="1" applyAlignment="1">
      <alignment vertical="top"/>
    </xf>
    <xf numFmtId="0" fontId="102" fillId="21" borderId="112" xfId="0" applyFont="1" applyFill="1" applyBorder="1" applyAlignment="1">
      <alignment horizontal="left" vertical="center" wrapText="1"/>
    </xf>
    <xf numFmtId="49" fontId="93" fillId="10" borderId="112" xfId="0" applyNumberFormat="1" applyFont="1" applyFill="1" applyBorder="1" applyAlignment="1">
      <alignment horizontal="right"/>
    </xf>
    <xf numFmtId="49" fontId="83" fillId="0" borderId="112" xfId="0" quotePrefix="1" applyNumberFormat="1" applyFont="1" applyBorder="1" applyAlignment="1">
      <alignment horizontal="right"/>
    </xf>
    <xf numFmtId="167" fontId="105" fillId="10" borderId="112" xfId="19" applyNumberFormat="1" applyFont="1" applyFill="1" applyBorder="1" applyProtection="1">
      <protection locked="0"/>
    </xf>
    <xf numFmtId="167" fontId="101" fillId="10" borderId="112" xfId="19" applyNumberFormat="1" applyFont="1" applyFill="1" applyBorder="1" applyProtection="1">
      <protection locked="0"/>
    </xf>
    <xf numFmtId="167" fontId="104" fillId="13" borderId="112" xfId="19" applyNumberFormat="1" applyFont="1" applyFill="1" applyBorder="1" applyProtection="1">
      <protection locked="0"/>
    </xf>
    <xf numFmtId="0" fontId="94" fillId="34" borderId="112" xfId="0" applyFont="1" applyFill="1" applyBorder="1" applyAlignment="1">
      <alignment horizontal="left" vertical="center" wrapText="1"/>
    </xf>
    <xf numFmtId="167" fontId="201" fillId="10" borderId="112" xfId="19" applyNumberFormat="1" applyFont="1" applyFill="1" applyBorder="1" applyProtection="1">
      <protection locked="0"/>
    </xf>
    <xf numFmtId="0" fontId="92" fillId="10" borderId="112" xfId="0" applyFont="1" applyFill="1" applyBorder="1"/>
    <xf numFmtId="167" fontId="93" fillId="10" borderId="112" xfId="19" applyNumberFormat="1" applyFont="1" applyFill="1" applyBorder="1" applyAlignment="1" applyProtection="1">
      <alignment wrapText="1"/>
      <protection locked="0"/>
    </xf>
    <xf numFmtId="0" fontId="83" fillId="10" borderId="112" xfId="0" applyFont="1" applyFill="1" applyBorder="1" applyAlignment="1">
      <alignment horizontal="left" vertical="center" wrapText="1"/>
    </xf>
    <xf numFmtId="43" fontId="248" fillId="10" borderId="112" xfId="24" applyFont="1" applyFill="1" applyBorder="1" applyAlignment="1" applyProtection="1">
      <alignment horizontal="center"/>
      <protection locked="0"/>
    </xf>
    <xf numFmtId="167" fontId="247" fillId="10" borderId="112" xfId="24" applyNumberFormat="1" applyFont="1" applyFill="1" applyBorder="1" applyProtection="1">
      <protection locked="0"/>
    </xf>
    <xf numFmtId="167" fontId="247" fillId="13" borderId="112" xfId="24" applyNumberFormat="1" applyFont="1" applyFill="1" applyBorder="1" applyProtection="1">
      <protection locked="0"/>
    </xf>
    <xf numFmtId="167" fontId="102" fillId="10" borderId="112" xfId="19" applyNumberFormat="1" applyFont="1" applyFill="1" applyBorder="1" applyAlignment="1" applyProtection="1">
      <alignment horizontal="center"/>
      <protection locked="0"/>
    </xf>
    <xf numFmtId="167" fontId="102" fillId="10" borderId="112" xfId="24" applyNumberFormat="1" applyFont="1" applyFill="1" applyBorder="1" applyAlignment="1" applyProtection="1">
      <alignment horizontal="center"/>
      <protection locked="0"/>
    </xf>
    <xf numFmtId="167" fontId="104" fillId="10" borderId="112" xfId="24" applyNumberFormat="1" applyFont="1" applyFill="1" applyBorder="1" applyAlignment="1" applyProtection="1">
      <alignment horizontal="center"/>
      <protection locked="0"/>
    </xf>
    <xf numFmtId="0" fontId="93" fillId="10" borderId="112" xfId="0" applyFont="1" applyFill="1" applyBorder="1" applyAlignment="1">
      <alignment horizontal="left" vertical="center"/>
    </xf>
    <xf numFmtId="49" fontId="93" fillId="10" borderId="112" xfId="0" applyNumberFormat="1" applyFont="1" applyFill="1" applyBorder="1" applyAlignment="1">
      <alignment horizontal="left" vertical="center"/>
    </xf>
    <xf numFmtId="167" fontId="93" fillId="10" borderId="112" xfId="1" applyNumberFormat="1" applyFont="1" applyFill="1" applyBorder="1" applyAlignment="1" applyProtection="1">
      <alignment horizontal="center" vertical="center"/>
      <protection locked="0"/>
    </xf>
    <xf numFmtId="167" fontId="93" fillId="10" borderId="112" xfId="1" applyNumberFormat="1" applyFont="1" applyFill="1" applyBorder="1" applyAlignment="1" applyProtection="1">
      <alignment vertical="center"/>
      <protection locked="0"/>
    </xf>
    <xf numFmtId="167" fontId="86" fillId="13" borderId="112" xfId="1" applyNumberFormat="1" applyFont="1" applyFill="1" applyBorder="1" applyAlignment="1" applyProtection="1">
      <alignment horizontal="center" vertical="center"/>
      <protection locked="0"/>
    </xf>
    <xf numFmtId="0" fontId="102" fillId="10" borderId="112" xfId="0" applyFont="1" applyFill="1" applyBorder="1" applyAlignment="1">
      <alignment horizontal="center" vertical="center"/>
    </xf>
    <xf numFmtId="167" fontId="201" fillId="10" borderId="112" xfId="1" applyNumberFormat="1" applyFont="1" applyFill="1" applyBorder="1" applyAlignment="1" applyProtection="1">
      <alignment horizontal="center" vertical="center"/>
      <protection locked="0"/>
    </xf>
    <xf numFmtId="167" fontId="102" fillId="13" borderId="112" xfId="1" applyNumberFormat="1" applyFont="1" applyFill="1" applyBorder="1" applyProtection="1">
      <protection locked="0"/>
    </xf>
    <xf numFmtId="0" fontId="102" fillId="10" borderId="112" xfId="0" applyFont="1" applyFill="1" applyBorder="1" applyAlignment="1">
      <alignment horizontal="left" vertical="center"/>
    </xf>
    <xf numFmtId="167" fontId="104" fillId="10" borderId="112" xfId="1" applyNumberFormat="1" applyFont="1" applyFill="1" applyBorder="1" applyAlignment="1" applyProtection="1">
      <alignment horizontal="center" vertical="center"/>
      <protection locked="0"/>
    </xf>
    <xf numFmtId="167" fontId="102" fillId="10" borderId="112" xfId="19" applyNumberFormat="1" applyFont="1" applyFill="1" applyBorder="1" applyAlignment="1" applyProtection="1">
      <alignment vertical="center" wrapText="1"/>
      <protection locked="0"/>
    </xf>
    <xf numFmtId="0" fontId="102" fillId="21" borderId="0" xfId="0" applyFont="1" applyFill="1"/>
    <xf numFmtId="49" fontId="104" fillId="0" borderId="112" xfId="0" quotePrefix="1" applyNumberFormat="1" applyFont="1" applyBorder="1"/>
    <xf numFmtId="0" fontId="104" fillId="0" borderId="112" xfId="0" applyFont="1" applyBorder="1" applyAlignment="1">
      <alignment horizontal="center"/>
    </xf>
    <xf numFmtId="0" fontId="104" fillId="0" borderId="112" xfId="0" applyFont="1" applyBorder="1" applyAlignment="1">
      <alignment horizontal="left" vertical="center" wrapText="1"/>
    </xf>
    <xf numFmtId="0" fontId="93" fillId="21" borderId="112" xfId="0" applyFont="1" applyFill="1" applyBorder="1" applyAlignment="1">
      <alignment horizontal="left" vertical="top" wrapText="1"/>
    </xf>
    <xf numFmtId="0" fontId="112" fillId="10" borderId="112" xfId="0" applyFont="1" applyFill="1" applyBorder="1"/>
    <xf numFmtId="0" fontId="94" fillId="10" borderId="112" xfId="0" applyFont="1" applyFill="1" applyBorder="1" applyAlignment="1">
      <alignment horizontal="left" vertical="center" wrapText="1"/>
    </xf>
    <xf numFmtId="0" fontId="86" fillId="0" borderId="96" xfId="0" quotePrefix="1" applyFont="1" applyBorder="1"/>
    <xf numFmtId="0" fontId="86" fillId="0" borderId="96" xfId="0" applyFont="1" applyBorder="1"/>
    <xf numFmtId="167" fontId="93" fillId="12" borderId="101" xfId="19" applyNumberFormat="1" applyFont="1" applyFill="1" applyBorder="1" applyProtection="1">
      <protection locked="0"/>
    </xf>
    <xf numFmtId="167" fontId="104" fillId="73" borderId="96" xfId="19" applyNumberFormat="1" applyFont="1" applyFill="1" applyBorder="1" applyProtection="1">
      <protection locked="0"/>
    </xf>
    <xf numFmtId="167" fontId="104" fillId="73" borderId="112" xfId="19" applyNumberFormat="1" applyFont="1" applyFill="1" applyBorder="1" applyProtection="1">
      <protection locked="0"/>
    </xf>
    <xf numFmtId="0" fontId="102" fillId="16" borderId="0" xfId="0" applyFont="1" applyFill="1"/>
    <xf numFmtId="167" fontId="104" fillId="68" borderId="101" xfId="1" applyNumberFormat="1" applyFont="1" applyFill="1" applyBorder="1" applyProtection="1">
      <protection locked="0"/>
    </xf>
    <xf numFmtId="0" fontId="91" fillId="0" borderId="96" xfId="0" quotePrefix="1" applyFont="1" applyBorder="1"/>
    <xf numFmtId="167" fontId="91" fillId="14" borderId="97" xfId="19" applyNumberFormat="1" applyFont="1" applyFill="1" applyBorder="1" applyProtection="1">
      <protection locked="0"/>
    </xf>
    <xf numFmtId="167" fontId="94" fillId="10" borderId="0" xfId="19" applyNumberFormat="1" applyFont="1" applyFill="1"/>
    <xf numFmtId="167" fontId="91" fillId="14" borderId="101" xfId="19" applyNumberFormat="1" applyFont="1" applyFill="1" applyBorder="1" applyProtection="1">
      <protection locked="0"/>
    </xf>
    <xf numFmtId="167" fontId="94" fillId="10" borderId="101" xfId="19" applyNumberFormat="1" applyFont="1" applyFill="1" applyBorder="1" applyProtection="1">
      <protection locked="0"/>
    </xf>
    <xf numFmtId="167" fontId="104" fillId="14" borderId="101" xfId="20" applyNumberFormat="1" applyFont="1" applyFill="1" applyBorder="1" applyProtection="1">
      <protection locked="0"/>
    </xf>
    <xf numFmtId="167" fontId="104" fillId="13" borderId="101" xfId="20" applyNumberFormat="1" applyFont="1" applyFill="1" applyBorder="1" applyProtection="1">
      <protection locked="0"/>
    </xf>
    <xf numFmtId="167" fontId="102" fillId="10" borderId="96" xfId="20" applyNumberFormat="1" applyFont="1" applyFill="1" applyBorder="1" applyProtection="1">
      <protection locked="0"/>
    </xf>
    <xf numFmtId="167" fontId="102" fillId="13" borderId="96" xfId="20" applyNumberFormat="1" applyFont="1" applyFill="1" applyBorder="1" applyProtection="1">
      <protection locked="0"/>
    </xf>
    <xf numFmtId="167" fontId="102" fillId="10" borderId="101" xfId="20" applyNumberFormat="1" applyFont="1" applyFill="1" applyBorder="1" applyProtection="1">
      <protection locked="0"/>
    </xf>
    <xf numFmtId="167" fontId="102" fillId="13" borderId="101" xfId="20" applyNumberFormat="1" applyFont="1" applyFill="1" applyBorder="1" applyProtection="1">
      <protection locked="0"/>
    </xf>
    <xf numFmtId="0" fontId="93" fillId="10" borderId="116" xfId="0" applyFont="1" applyFill="1" applyBorder="1"/>
    <xf numFmtId="0" fontId="125" fillId="10" borderId="116" xfId="0" applyFont="1" applyFill="1" applyBorder="1"/>
    <xf numFmtId="0" fontId="93" fillId="10" borderId="116" xfId="0" applyFont="1" applyFill="1" applyBorder="1" applyAlignment="1">
      <alignment horizontal="left" vertical="center" wrapText="1"/>
    </xf>
    <xf numFmtId="167" fontId="102" fillId="10" borderId="116" xfId="19" applyNumberFormat="1" applyFont="1" applyFill="1" applyBorder="1" applyProtection="1">
      <protection locked="0"/>
    </xf>
    <xf numFmtId="167" fontId="83" fillId="73" borderId="116" xfId="19" applyNumberFormat="1" applyFont="1" applyFill="1" applyBorder="1" applyProtection="1">
      <protection locked="0"/>
    </xf>
    <xf numFmtId="167" fontId="96" fillId="13" borderId="116" xfId="19" applyNumberFormat="1" applyFont="1" applyFill="1" applyBorder="1" applyProtection="1">
      <protection locked="0"/>
    </xf>
    <xf numFmtId="167" fontId="96" fillId="10" borderId="116" xfId="19" applyNumberFormat="1" applyFont="1" applyFill="1" applyBorder="1" applyProtection="1">
      <protection locked="0"/>
    </xf>
    <xf numFmtId="167" fontId="93" fillId="10" borderId="116" xfId="19" applyNumberFormat="1" applyFont="1" applyFill="1" applyBorder="1" applyProtection="1">
      <protection locked="0"/>
    </xf>
    <xf numFmtId="167" fontId="94" fillId="10" borderId="101" xfId="19" applyNumberFormat="1" applyFont="1" applyFill="1" applyBorder="1"/>
    <xf numFmtId="49" fontId="253" fillId="0" borderId="101" xfId="0" applyNumberFormat="1" applyFont="1" applyBorder="1"/>
    <xf numFmtId="49" fontId="125" fillId="10" borderId="101" xfId="0" applyNumberFormat="1" applyFont="1" applyFill="1" applyBorder="1"/>
    <xf numFmtId="167" fontId="94" fillId="10" borderId="96" xfId="19" applyNumberFormat="1" applyFont="1" applyFill="1" applyBorder="1" applyProtection="1">
      <protection locked="0"/>
    </xf>
    <xf numFmtId="167" fontId="94" fillId="10" borderId="101" xfId="1" applyNumberFormat="1" applyFont="1" applyFill="1" applyBorder="1" applyProtection="1">
      <protection locked="0"/>
    </xf>
    <xf numFmtId="167" fontId="94" fillId="14" borderId="101" xfId="19" applyNumberFormat="1" applyFont="1" applyFill="1" applyBorder="1" applyProtection="1">
      <protection locked="0"/>
    </xf>
    <xf numFmtId="167" fontId="125" fillId="10" borderId="101" xfId="19" applyNumberFormat="1" applyFont="1" applyFill="1" applyBorder="1" applyProtection="1">
      <protection locked="0"/>
    </xf>
    <xf numFmtId="167" fontId="253" fillId="73" borderId="96" xfId="19" applyNumberFormat="1" applyFont="1" applyFill="1" applyBorder="1" applyProtection="1">
      <protection locked="0"/>
    </xf>
    <xf numFmtId="167" fontId="125" fillId="13" borderId="101" xfId="19" applyNumberFormat="1" applyFont="1" applyFill="1" applyBorder="1" applyProtection="1">
      <protection locked="0"/>
    </xf>
    <xf numFmtId="0" fontId="253" fillId="0" borderId="0" xfId="0" applyFont="1"/>
    <xf numFmtId="0" fontId="109" fillId="34" borderId="116" xfId="0" applyFont="1" applyFill="1" applyBorder="1" applyAlignment="1">
      <alignment horizontal="left" vertical="center" wrapText="1"/>
    </xf>
    <xf numFmtId="167" fontId="102" fillId="13" borderId="116" xfId="19" applyNumberFormat="1" applyFont="1" applyFill="1" applyBorder="1" applyProtection="1">
      <protection locked="0"/>
    </xf>
    <xf numFmtId="167" fontId="101" fillId="10" borderId="116" xfId="19" applyNumberFormat="1" applyFont="1" applyFill="1" applyBorder="1" applyProtection="1">
      <protection locked="0"/>
    </xf>
    <xf numFmtId="0" fontId="253" fillId="0" borderId="101" xfId="0" applyFont="1" applyBorder="1" applyAlignment="1">
      <alignment horizontal="left"/>
    </xf>
    <xf numFmtId="0" fontId="253" fillId="0" borderId="101" xfId="0" applyFont="1" applyBorder="1" applyAlignment="1">
      <alignment horizontal="left" vertical="center" wrapText="1"/>
    </xf>
    <xf numFmtId="167" fontId="253" fillId="14" borderId="101" xfId="19" applyNumberFormat="1" applyFont="1" applyFill="1" applyBorder="1" applyProtection="1">
      <protection locked="0"/>
    </xf>
    <xf numFmtId="167" fontId="125" fillId="14" borderId="101" xfId="19" applyNumberFormat="1" applyFont="1" applyFill="1" applyBorder="1" applyProtection="1">
      <protection locked="0"/>
    </xf>
    <xf numFmtId="167" fontId="253" fillId="13" borderId="101" xfId="19" applyNumberFormat="1" applyFont="1" applyFill="1" applyBorder="1" applyProtection="1">
      <protection locked="0"/>
    </xf>
    <xf numFmtId="0" fontId="125" fillId="10" borderId="109" xfId="0" applyFont="1" applyFill="1" applyBorder="1" applyAlignment="1">
      <alignment horizontal="left" vertical="center" wrapText="1"/>
    </xf>
    <xf numFmtId="167" fontId="125" fillId="10" borderId="109" xfId="19" applyNumberFormat="1" applyFont="1" applyFill="1" applyBorder="1" applyProtection="1">
      <protection locked="0"/>
    </xf>
    <xf numFmtId="167" fontId="125" fillId="13" borderId="109" xfId="19" applyNumberFormat="1" applyFont="1" applyFill="1" applyBorder="1" applyProtection="1">
      <protection locked="0"/>
    </xf>
    <xf numFmtId="0" fontId="253" fillId="0" borderId="101" xfId="0" applyFont="1" applyBorder="1" applyAlignment="1">
      <alignment horizontal="center"/>
    </xf>
    <xf numFmtId="0" fontId="125" fillId="10" borderId="116" xfId="0" applyFont="1" applyFill="1" applyBorder="1" applyAlignment="1">
      <alignment horizontal="left" vertical="center" wrapText="1"/>
    </xf>
    <xf numFmtId="167" fontId="125" fillId="10" borderId="116" xfId="19" applyNumberFormat="1" applyFont="1" applyFill="1" applyBorder="1" applyProtection="1">
      <protection locked="0"/>
    </xf>
    <xf numFmtId="167" fontId="253" fillId="73" borderId="116" xfId="19" applyNumberFormat="1" applyFont="1" applyFill="1" applyBorder="1" applyProtection="1">
      <protection locked="0"/>
    </xf>
    <xf numFmtId="167" fontId="125" fillId="13" borderId="116" xfId="19" applyNumberFormat="1" applyFont="1" applyFill="1" applyBorder="1" applyProtection="1">
      <protection locked="0"/>
    </xf>
    <xf numFmtId="0" fontId="102" fillId="10" borderId="116" xfId="0" applyFont="1" applyFill="1" applyBorder="1" applyAlignment="1">
      <alignment horizontal="left" vertical="center" wrapText="1"/>
    </xf>
    <xf numFmtId="0" fontId="99" fillId="10" borderId="116" xfId="0" applyFont="1" applyFill="1" applyBorder="1"/>
    <xf numFmtId="0" fontId="93" fillId="17" borderId="116" xfId="0" applyFont="1" applyFill="1" applyBorder="1" applyAlignment="1">
      <alignment horizontal="left" vertical="center" wrapText="1"/>
    </xf>
    <xf numFmtId="167" fontId="93" fillId="13" borderId="116" xfId="19" applyNumberFormat="1" applyFont="1" applyFill="1" applyBorder="1" applyProtection="1">
      <protection locked="0"/>
    </xf>
    <xf numFmtId="167" fontId="102" fillId="32" borderId="101" xfId="19" applyNumberFormat="1" applyFont="1" applyFill="1" applyBorder="1"/>
    <xf numFmtId="0" fontId="102" fillId="17" borderId="101" xfId="0" applyFont="1" applyFill="1" applyBorder="1" applyAlignment="1">
      <alignment horizontal="left" vertical="center" wrapText="1"/>
    </xf>
    <xf numFmtId="167" fontId="94" fillId="10" borderId="112" xfId="19" applyNumberFormat="1" applyFont="1" applyFill="1" applyBorder="1" applyProtection="1">
      <protection locked="0"/>
    </xf>
    <xf numFmtId="169" fontId="94" fillId="17" borderId="101" xfId="19" applyNumberFormat="1" applyFont="1" applyFill="1" applyBorder="1" applyAlignment="1" applyProtection="1">
      <protection locked="0"/>
    </xf>
    <xf numFmtId="3" fontId="94" fillId="10" borderId="101" xfId="19" applyNumberFormat="1" applyFont="1" applyFill="1" applyBorder="1" applyProtection="1">
      <protection locked="0"/>
    </xf>
    <xf numFmtId="167" fontId="91" fillId="14" borderId="101" xfId="19" applyNumberFormat="1" applyFont="1" applyFill="1" applyBorder="1" applyAlignment="1" applyProtection="1">
      <alignment wrapText="1"/>
      <protection locked="0"/>
    </xf>
    <xf numFmtId="167" fontId="125" fillId="10" borderId="96" xfId="19" applyNumberFormat="1" applyFont="1" applyFill="1" applyBorder="1" applyProtection="1">
      <protection locked="0"/>
    </xf>
    <xf numFmtId="0" fontId="104" fillId="31" borderId="101" xfId="0" quotePrefix="1" applyFont="1" applyFill="1" applyBorder="1"/>
    <xf numFmtId="0" fontId="104" fillId="31" borderId="101" xfId="0" applyFont="1" applyFill="1" applyBorder="1"/>
    <xf numFmtId="9" fontId="113" fillId="0" borderId="0" xfId="2" applyFont="1"/>
    <xf numFmtId="0" fontId="96" fillId="12" borderId="0" xfId="0" applyFont="1" applyFill="1" applyAlignment="1">
      <alignment wrapText="1"/>
    </xf>
    <xf numFmtId="0" fontId="97" fillId="10" borderId="116" xfId="0" applyFont="1" applyFill="1" applyBorder="1" applyAlignment="1">
      <alignment horizontal="right" vertical="center" wrapText="1"/>
    </xf>
    <xf numFmtId="0" fontId="93" fillId="10" borderId="116" xfId="0" applyFont="1" applyFill="1" applyBorder="1" applyAlignment="1">
      <alignment horizontal="right" vertical="center" wrapText="1"/>
    </xf>
    <xf numFmtId="0" fontId="93" fillId="10" borderId="116" xfId="0" applyFont="1" applyFill="1" applyBorder="1" applyAlignment="1">
      <alignment horizontal="left" wrapText="1"/>
    </xf>
    <xf numFmtId="0" fontId="93" fillId="12" borderId="0" xfId="0" applyFont="1" applyFill="1" applyAlignment="1">
      <alignment wrapText="1"/>
    </xf>
    <xf numFmtId="0" fontId="93" fillId="12" borderId="0" xfId="0" applyFont="1" applyFill="1"/>
    <xf numFmtId="49" fontId="93" fillId="10" borderId="116" xfId="0" applyNumberFormat="1" applyFont="1" applyFill="1" applyBorder="1"/>
    <xf numFmtId="0" fontId="102" fillId="10" borderId="116" xfId="0" applyFont="1" applyFill="1" applyBorder="1"/>
    <xf numFmtId="0" fontId="93" fillId="10" borderId="116" xfId="0" applyFont="1" applyFill="1" applyBorder="1" applyAlignment="1">
      <alignment horizontal="center"/>
    </xf>
    <xf numFmtId="167" fontId="86" fillId="13" borderId="116" xfId="19" applyNumberFormat="1" applyFont="1" applyFill="1" applyBorder="1" applyProtection="1">
      <protection locked="0"/>
    </xf>
    <xf numFmtId="0" fontId="83" fillId="0" borderId="116" xfId="0" applyFont="1" applyBorder="1"/>
    <xf numFmtId="49" fontId="83" fillId="0" borderId="116" xfId="0" applyNumberFormat="1" applyFont="1" applyBorder="1"/>
    <xf numFmtId="0" fontId="104" fillId="0" borderId="116" xfId="0" applyFont="1" applyBorder="1"/>
    <xf numFmtId="0" fontId="83" fillId="0" borderId="116" xfId="0" applyFont="1" applyBorder="1" applyAlignment="1">
      <alignment horizontal="center"/>
    </xf>
    <xf numFmtId="0" fontId="83" fillId="0" borderId="116" xfId="0" applyFont="1" applyBorder="1" applyAlignment="1">
      <alignment horizontal="left" vertical="center" wrapText="1"/>
    </xf>
    <xf numFmtId="167" fontId="83" fillId="14" borderId="116" xfId="19" applyNumberFormat="1" applyFont="1" applyFill="1" applyBorder="1" applyProtection="1">
      <protection locked="0"/>
    </xf>
    <xf numFmtId="0" fontId="95" fillId="10" borderId="116" xfId="0" applyFont="1" applyFill="1" applyBorder="1" applyAlignment="1">
      <alignment horizontal="left" vertical="center" wrapText="1"/>
    </xf>
    <xf numFmtId="0" fontId="142" fillId="10" borderId="116" xfId="0" applyFont="1" applyFill="1" applyBorder="1" applyAlignment="1">
      <alignment horizontal="right" vertical="center" wrapText="1"/>
    </xf>
    <xf numFmtId="49" fontId="104" fillId="0" borderId="116" xfId="0" applyNumberFormat="1" applyFont="1" applyBorder="1"/>
    <xf numFmtId="0" fontId="104" fillId="0" borderId="116" xfId="0" applyFont="1" applyBorder="1" applyAlignment="1">
      <alignment horizontal="center"/>
    </xf>
    <xf numFmtId="0" fontId="104" fillId="0" borderId="116" xfId="0" applyFont="1" applyBorder="1" applyAlignment="1">
      <alignment horizontal="left" vertical="center" wrapText="1"/>
    </xf>
    <xf numFmtId="167" fontId="104" fillId="14" borderId="116" xfId="19" applyNumberFormat="1" applyFont="1" applyFill="1" applyBorder="1" applyProtection="1">
      <protection locked="0"/>
    </xf>
    <xf numFmtId="167" fontId="104" fillId="73" borderId="116" xfId="19" applyNumberFormat="1" applyFont="1" applyFill="1" applyBorder="1" applyProtection="1">
      <protection locked="0"/>
    </xf>
    <xf numFmtId="167" fontId="104" fillId="13" borderId="116" xfId="19" applyNumberFormat="1" applyFont="1" applyFill="1" applyBorder="1" applyProtection="1">
      <protection locked="0"/>
    </xf>
    <xf numFmtId="49" fontId="102" fillId="10" borderId="116" xfId="0" applyNumberFormat="1" applyFont="1" applyFill="1" applyBorder="1"/>
    <xf numFmtId="0" fontId="102" fillId="10" borderId="116" xfId="0" applyFont="1" applyFill="1" applyBorder="1" applyAlignment="1">
      <alignment horizontal="center"/>
    </xf>
    <xf numFmtId="1" fontId="102" fillId="10" borderId="116" xfId="19" applyNumberFormat="1" applyFont="1" applyFill="1" applyBorder="1" applyProtection="1">
      <protection locked="0"/>
    </xf>
    <xf numFmtId="1" fontId="93" fillId="10" borderId="116" xfId="19" applyNumberFormat="1" applyFont="1" applyFill="1" applyBorder="1" applyProtection="1"/>
    <xf numFmtId="167" fontId="96" fillId="13" borderId="116" xfId="19" applyNumberFormat="1" applyFont="1" applyFill="1" applyBorder="1" applyProtection="1"/>
    <xf numFmtId="167" fontId="93" fillId="10" borderId="116" xfId="19" applyNumberFormat="1" applyFont="1" applyFill="1" applyBorder="1" applyProtection="1"/>
    <xf numFmtId="0" fontId="94" fillId="10" borderId="116" xfId="0" applyFont="1" applyFill="1" applyBorder="1"/>
    <xf numFmtId="0" fontId="93" fillId="21" borderId="116" xfId="0" applyFont="1" applyFill="1" applyBorder="1"/>
    <xf numFmtId="49" fontId="93" fillId="21" borderId="116" xfId="0" applyNumberFormat="1" applyFont="1" applyFill="1" applyBorder="1"/>
    <xf numFmtId="0" fontId="102" fillId="21" borderId="116" xfId="0" applyFont="1" applyFill="1" applyBorder="1"/>
    <xf numFmtId="0" fontId="93" fillId="21" borderId="116" xfId="0" applyFont="1" applyFill="1" applyBorder="1" applyAlignment="1">
      <alignment horizontal="center"/>
    </xf>
    <xf numFmtId="0" fontId="93" fillId="21" borderId="116" xfId="0" applyFont="1" applyFill="1" applyBorder="1" applyAlignment="1">
      <alignment horizontal="left" vertical="center" wrapText="1"/>
    </xf>
    <xf numFmtId="1" fontId="93" fillId="21" borderId="116" xfId="19" applyNumberFormat="1" applyFont="1" applyFill="1" applyBorder="1" applyProtection="1"/>
    <xf numFmtId="167" fontId="93" fillId="21" borderId="116" xfId="19" applyNumberFormat="1" applyFont="1" applyFill="1" applyBorder="1" applyProtection="1"/>
    <xf numFmtId="167" fontId="93" fillId="10" borderId="116" xfId="1" applyNumberFormat="1" applyFont="1" applyFill="1" applyBorder="1" applyProtection="1"/>
    <xf numFmtId="167" fontId="96" fillId="13" borderId="116" xfId="1" applyNumberFormat="1" applyFont="1" applyFill="1" applyBorder="1" applyProtection="1"/>
    <xf numFmtId="167" fontId="93" fillId="10" borderId="116" xfId="1" applyNumberFormat="1" applyFont="1" applyFill="1" applyBorder="1" applyProtection="1">
      <protection locked="0"/>
    </xf>
    <xf numFmtId="1" fontId="93" fillId="10" borderId="116" xfId="19" applyNumberFormat="1" applyFont="1" applyFill="1" applyBorder="1" applyProtection="1">
      <protection locked="0"/>
    </xf>
    <xf numFmtId="0" fontId="93" fillId="0" borderId="116" xfId="0" applyFont="1" applyBorder="1"/>
    <xf numFmtId="0" fontId="94" fillId="10" borderId="116" xfId="0" applyFont="1" applyFill="1" applyBorder="1" applyAlignment="1">
      <alignment horizontal="left" vertical="center" wrapText="1"/>
    </xf>
    <xf numFmtId="167" fontId="96" fillId="10" borderId="116" xfId="1" applyNumberFormat="1" applyFont="1" applyFill="1" applyBorder="1" applyProtection="1">
      <protection locked="0"/>
    </xf>
    <xf numFmtId="167" fontId="86" fillId="14" borderId="116" xfId="19" applyNumberFormat="1" applyFont="1" applyFill="1" applyBorder="1" applyProtection="1">
      <protection locked="0"/>
    </xf>
    <xf numFmtId="1" fontId="96" fillId="10" borderId="116" xfId="19" applyNumberFormat="1" applyFont="1" applyFill="1" applyBorder="1" applyProtection="1"/>
    <xf numFmtId="0" fontId="93" fillId="10" borderId="116" xfId="0" applyFont="1" applyFill="1" applyBorder="1" applyAlignment="1">
      <alignment vertical="center" wrapText="1"/>
    </xf>
    <xf numFmtId="167" fontId="96" fillId="10" borderId="116" xfId="1" applyNumberFormat="1" applyFont="1" applyFill="1" applyBorder="1" applyProtection="1"/>
    <xf numFmtId="170" fontId="134" fillId="21" borderId="116" xfId="54" applyFont="1" applyFill="1" applyBorder="1" applyAlignment="1">
      <alignment vertical="center" wrapText="1"/>
    </xf>
    <xf numFmtId="0" fontId="97" fillId="10" borderId="116" xfId="0" applyFont="1" applyFill="1" applyBorder="1" applyAlignment="1">
      <alignment horizontal="left" vertical="center" wrapText="1"/>
    </xf>
    <xf numFmtId="0" fontId="92" fillId="0" borderId="116" xfId="0" applyFont="1" applyBorder="1"/>
    <xf numFmtId="0" fontId="91" fillId="0" borderId="116" xfId="0" applyFont="1" applyBorder="1" applyAlignment="1">
      <alignment horizontal="left" vertical="center" wrapText="1"/>
    </xf>
    <xf numFmtId="167" fontId="96" fillId="13" borderId="116" xfId="1" applyNumberFormat="1" applyFont="1" applyFill="1" applyBorder="1" applyProtection="1">
      <protection locked="0"/>
    </xf>
    <xf numFmtId="0" fontId="99" fillId="0" borderId="116" xfId="0" applyFont="1" applyBorder="1"/>
    <xf numFmtId="0" fontId="93" fillId="0" borderId="116" xfId="0" applyFont="1" applyBorder="1" applyAlignment="1">
      <alignment horizontal="center"/>
    </xf>
    <xf numFmtId="0" fontId="93" fillId="0" borderId="116" xfId="0" applyFont="1" applyBorder="1" applyAlignment="1">
      <alignment horizontal="left" vertical="center" wrapText="1"/>
    </xf>
    <xf numFmtId="173" fontId="93" fillId="10" borderId="116" xfId="19" applyNumberFormat="1" applyFont="1" applyFill="1" applyBorder="1" applyProtection="1">
      <protection locked="0"/>
    </xf>
    <xf numFmtId="0" fontId="104" fillId="6" borderId="101" xfId="0" applyFont="1" applyFill="1" applyBorder="1"/>
    <xf numFmtId="167" fontId="94" fillId="10" borderId="116" xfId="19" applyNumberFormat="1" applyFont="1" applyFill="1" applyBorder="1" applyProtection="1">
      <protection locked="0"/>
    </xf>
    <xf numFmtId="0" fontId="93" fillId="21" borderId="0" xfId="0" applyFont="1" applyFill="1" applyAlignment="1">
      <alignment wrapText="1"/>
    </xf>
    <xf numFmtId="167" fontId="102" fillId="21" borderId="116" xfId="19" applyNumberFormat="1" applyFont="1" applyFill="1" applyBorder="1" applyProtection="1">
      <protection locked="0"/>
    </xf>
    <xf numFmtId="167" fontId="102" fillId="10" borderId="116" xfId="19" applyNumberFormat="1" applyFont="1" applyFill="1" applyBorder="1"/>
    <xf numFmtId="167" fontId="102" fillId="21" borderId="116" xfId="19" applyNumberFormat="1" applyFont="1" applyFill="1" applyBorder="1"/>
    <xf numFmtId="167" fontId="96" fillId="13" borderId="116" xfId="19" applyNumberFormat="1" applyFont="1" applyFill="1" applyBorder="1"/>
    <xf numFmtId="167" fontId="96" fillId="10" borderId="116" xfId="19" applyNumberFormat="1" applyFont="1" applyFill="1" applyBorder="1"/>
    <xf numFmtId="167" fontId="94" fillId="21" borderId="116" xfId="19" applyNumberFormat="1" applyFont="1" applyFill="1" applyBorder="1" applyProtection="1">
      <protection locked="0"/>
    </xf>
    <xf numFmtId="0" fontId="102" fillId="21" borderId="0" xfId="0" applyFont="1" applyFill="1" applyAlignment="1">
      <alignment wrapText="1"/>
    </xf>
    <xf numFmtId="167" fontId="102" fillId="21" borderId="112" xfId="19" applyNumberFormat="1" applyFont="1" applyFill="1" applyBorder="1" applyProtection="1">
      <protection locked="0"/>
    </xf>
    <xf numFmtId="167" fontId="94" fillId="10" borderId="116" xfId="19" applyNumberFormat="1" applyFont="1" applyFill="1" applyBorder="1"/>
    <xf numFmtId="167" fontId="93" fillId="21" borderId="96" xfId="19" applyNumberFormat="1" applyFont="1" applyFill="1" applyBorder="1" applyProtection="1">
      <protection locked="0"/>
    </xf>
    <xf numFmtId="167" fontId="83" fillId="28" borderId="101" xfId="19" applyNumberFormat="1" applyFont="1" applyFill="1" applyBorder="1" applyProtection="1">
      <protection locked="0"/>
    </xf>
    <xf numFmtId="167" fontId="102" fillId="16" borderId="101" xfId="19" applyNumberFormat="1" applyFont="1" applyFill="1" applyBorder="1" applyAlignment="1" applyProtection="1">
      <alignment wrapText="1"/>
      <protection locked="0"/>
    </xf>
    <xf numFmtId="0" fontId="102" fillId="21" borderId="116" xfId="0" applyFont="1" applyFill="1" applyBorder="1" applyAlignment="1">
      <alignment horizontal="left" vertical="center" wrapText="1"/>
    </xf>
    <xf numFmtId="0" fontId="102" fillId="16" borderId="0" xfId="0" applyFont="1" applyFill="1" applyAlignment="1">
      <alignment wrapText="1"/>
    </xf>
    <xf numFmtId="167" fontId="94" fillId="16" borderId="116" xfId="19" applyNumberFormat="1" applyFont="1" applyFill="1" applyBorder="1" applyProtection="1">
      <protection locked="0"/>
    </xf>
    <xf numFmtId="0" fontId="93" fillId="16" borderId="0" xfId="0" applyFont="1" applyFill="1" applyAlignment="1">
      <alignment wrapText="1"/>
    </xf>
    <xf numFmtId="167" fontId="93" fillId="21" borderId="116" xfId="19" applyNumberFormat="1" applyFont="1" applyFill="1" applyBorder="1" applyProtection="1">
      <protection locked="0"/>
    </xf>
    <xf numFmtId="167" fontId="83" fillId="14" borderId="101" xfId="19" applyNumberFormat="1" applyFont="1" applyFill="1" applyBorder="1" applyAlignment="1" applyProtection="1">
      <alignment horizontal="left" vertical="center"/>
      <protection locked="0"/>
    </xf>
    <xf numFmtId="0" fontId="83" fillId="21" borderId="116" xfId="0" applyFont="1" applyFill="1" applyBorder="1" applyAlignment="1">
      <alignment horizontal="left" vertical="center" wrapText="1"/>
    </xf>
    <xf numFmtId="167" fontId="93" fillId="10" borderId="116" xfId="22" applyNumberFormat="1" applyFont="1" applyFill="1" applyBorder="1"/>
    <xf numFmtId="167" fontId="91" fillId="14" borderId="101" xfId="19" applyNumberFormat="1" applyFont="1" applyFill="1" applyBorder="1"/>
    <xf numFmtId="0" fontId="94" fillId="21" borderId="0" xfId="0" applyFont="1" applyFill="1"/>
    <xf numFmtId="167" fontId="253" fillId="14" borderId="101" xfId="19" applyNumberFormat="1" applyFont="1" applyFill="1" applyBorder="1"/>
    <xf numFmtId="167" fontId="253" fillId="13" borderId="101" xfId="19" applyNumberFormat="1" applyFont="1" applyFill="1" applyBorder="1"/>
    <xf numFmtId="0" fontId="125" fillId="21" borderId="0" xfId="0" applyFont="1" applyFill="1"/>
    <xf numFmtId="0" fontId="125" fillId="10" borderId="101" xfId="0" applyFont="1" applyFill="1" applyBorder="1" applyAlignment="1">
      <alignment horizontal="right" vertical="center" wrapText="1"/>
    </xf>
    <xf numFmtId="0" fontId="125" fillId="10" borderId="112" xfId="0" applyFont="1" applyFill="1" applyBorder="1" applyAlignment="1">
      <alignment horizontal="right" vertical="center" wrapText="1"/>
    </xf>
    <xf numFmtId="167" fontId="125" fillId="10" borderId="112" xfId="19" applyNumberFormat="1" applyFont="1" applyFill="1" applyBorder="1" applyProtection="1">
      <protection locked="0"/>
    </xf>
    <xf numFmtId="167" fontId="253" fillId="73" borderId="112" xfId="19" applyNumberFormat="1" applyFont="1" applyFill="1" applyBorder="1" applyProtection="1">
      <protection locked="0"/>
    </xf>
    <xf numFmtId="167" fontId="125" fillId="13" borderId="112" xfId="19" applyNumberFormat="1" applyFont="1" applyFill="1" applyBorder="1" applyProtection="1">
      <protection locked="0"/>
    </xf>
    <xf numFmtId="0" fontId="94" fillId="21" borderId="0" xfId="0" applyFont="1" applyFill="1" applyAlignment="1">
      <alignment wrapText="1"/>
    </xf>
    <xf numFmtId="167" fontId="91" fillId="73" borderId="96" xfId="19" applyNumberFormat="1" applyFont="1" applyFill="1" applyBorder="1" applyProtection="1">
      <protection locked="0"/>
    </xf>
    <xf numFmtId="167" fontId="91" fillId="13" borderId="101" xfId="19" applyNumberFormat="1" applyFont="1" applyFill="1" applyBorder="1"/>
    <xf numFmtId="167" fontId="94" fillId="21" borderId="0" xfId="0" applyNumberFormat="1" applyFont="1" applyFill="1"/>
    <xf numFmtId="0" fontId="94" fillId="10" borderId="101" xfId="0" quotePrefix="1" applyFont="1" applyFill="1" applyBorder="1" applyAlignment="1">
      <alignment horizontal="left" vertical="center" wrapText="1"/>
    </xf>
    <xf numFmtId="0" fontId="94" fillId="34" borderId="101" xfId="0" applyFont="1" applyFill="1" applyBorder="1" applyAlignment="1">
      <alignment horizontal="left" wrapText="1"/>
    </xf>
    <xf numFmtId="167" fontId="94" fillId="10" borderId="101" xfId="22" applyNumberFormat="1" applyFont="1" applyFill="1" applyBorder="1"/>
    <xf numFmtId="167" fontId="94" fillId="13" borderId="101" xfId="19" applyNumberFormat="1" applyFont="1" applyFill="1" applyBorder="1" applyProtection="1">
      <protection locked="0"/>
    </xf>
    <xf numFmtId="0" fontId="229" fillId="0" borderId="0" xfId="0" applyFont="1" applyAlignment="1">
      <alignment wrapText="1"/>
    </xf>
    <xf numFmtId="0" fontId="125" fillId="34" borderId="101" xfId="0" applyFont="1" applyFill="1" applyBorder="1" applyAlignment="1">
      <alignment wrapText="1"/>
    </xf>
    <xf numFmtId="0" fontId="125" fillId="10" borderId="101" xfId="0" applyFont="1" applyFill="1" applyBorder="1" applyAlignment="1">
      <alignment vertical="center" wrapText="1"/>
    </xf>
    <xf numFmtId="167" fontId="67" fillId="14" borderId="101" xfId="19" applyNumberFormat="1" applyFont="1" applyFill="1" applyBorder="1"/>
    <xf numFmtId="167" fontId="94" fillId="10" borderId="96" xfId="19" applyNumberFormat="1" applyFont="1" applyFill="1" applyBorder="1"/>
    <xf numFmtId="0" fontId="125" fillId="10" borderId="96" xfId="0" applyFont="1" applyFill="1" applyBorder="1" applyAlignment="1">
      <alignment horizontal="left" vertical="center" wrapText="1"/>
    </xf>
    <xf numFmtId="167" fontId="125" fillId="10" borderId="101" xfId="19" applyNumberFormat="1" applyFont="1" applyFill="1" applyBorder="1"/>
    <xf numFmtId="167" fontId="125" fillId="13" borderId="101" xfId="19" applyNumberFormat="1" applyFont="1" applyFill="1" applyBorder="1"/>
    <xf numFmtId="167" fontId="125" fillId="10" borderId="96" xfId="19" applyNumberFormat="1" applyFont="1" applyFill="1" applyBorder="1"/>
    <xf numFmtId="167" fontId="125" fillId="13" borderId="96" xfId="19" applyNumberFormat="1" applyFont="1" applyFill="1" applyBorder="1"/>
    <xf numFmtId="167" fontId="94" fillId="10" borderId="109" xfId="22" applyNumberFormat="1" applyFont="1" applyFill="1" applyBorder="1"/>
    <xf numFmtId="167" fontId="94" fillId="10" borderId="109" xfId="19" applyNumberFormat="1" applyFont="1" applyFill="1" applyBorder="1" applyProtection="1">
      <protection locked="0"/>
    </xf>
    <xf numFmtId="0" fontId="96" fillId="10" borderId="116" xfId="0" applyFont="1" applyFill="1" applyBorder="1"/>
    <xf numFmtId="167" fontId="93" fillId="10" borderId="116" xfId="19" applyNumberFormat="1" applyFont="1" applyFill="1" applyBorder="1"/>
    <xf numFmtId="167" fontId="93" fillId="10" borderId="116" xfId="19" applyNumberFormat="1" applyFont="1" applyFill="1" applyBorder="1" applyAlignment="1" applyProtection="1">
      <alignment horizontal="left"/>
      <protection locked="0"/>
    </xf>
    <xf numFmtId="0" fontId="102" fillId="10" borderId="101" xfId="0" applyFont="1" applyFill="1" applyBorder="1" applyAlignment="1">
      <alignment vertical="top"/>
    </xf>
    <xf numFmtId="0" fontId="102" fillId="10" borderId="112" xfId="0" applyFont="1" applyFill="1" applyBorder="1" applyAlignment="1">
      <alignment vertical="top"/>
    </xf>
    <xf numFmtId="167" fontId="93" fillId="10" borderId="101" xfId="22" applyNumberFormat="1" applyFont="1" applyFill="1" applyBorder="1" applyAlignment="1" applyProtection="1">
      <alignment horizontal="center" vertical="center"/>
      <protection locked="0"/>
    </xf>
    <xf numFmtId="167" fontId="93" fillId="10" borderId="116" xfId="22" applyNumberFormat="1" applyFont="1" applyFill="1" applyBorder="1" applyProtection="1">
      <protection locked="0"/>
    </xf>
    <xf numFmtId="167" fontId="93" fillId="13" borderId="116" xfId="22" applyNumberFormat="1" applyFont="1" applyFill="1" applyBorder="1" applyProtection="1">
      <protection locked="0"/>
    </xf>
    <xf numFmtId="167" fontId="96" fillId="10" borderId="116" xfId="22" applyNumberFormat="1" applyFont="1" applyFill="1" applyBorder="1" applyProtection="1">
      <protection locked="0"/>
    </xf>
    <xf numFmtId="167" fontId="102" fillId="10" borderId="101" xfId="22" applyNumberFormat="1" applyFont="1" applyFill="1" applyBorder="1" applyProtection="1">
      <protection locked="0"/>
    </xf>
    <xf numFmtId="167" fontId="102" fillId="10" borderId="96" xfId="22" applyNumberFormat="1" applyFont="1" applyFill="1" applyBorder="1" applyProtection="1">
      <protection locked="0"/>
    </xf>
    <xf numFmtId="167" fontId="102" fillId="13" borderId="96" xfId="22" applyNumberFormat="1" applyFont="1" applyFill="1" applyBorder="1" applyProtection="1">
      <protection locked="0"/>
    </xf>
    <xf numFmtId="167" fontId="102" fillId="13" borderId="101" xfId="22" applyNumberFormat="1" applyFont="1" applyFill="1" applyBorder="1" applyProtection="1">
      <protection locked="0"/>
    </xf>
    <xf numFmtId="0" fontId="102" fillId="0" borderId="0" xfId="0" applyFont="1" applyAlignment="1">
      <alignment horizontal="left" vertical="center" wrapText="1"/>
    </xf>
    <xf numFmtId="167" fontId="102" fillId="10" borderId="109" xfId="22" applyNumberFormat="1" applyFont="1" applyFill="1" applyBorder="1" applyProtection="1">
      <protection locked="0"/>
    </xf>
    <xf numFmtId="167" fontId="102" fillId="13" borderId="109" xfId="22" applyNumberFormat="1" applyFont="1" applyFill="1" applyBorder="1" applyProtection="1">
      <protection locked="0"/>
    </xf>
    <xf numFmtId="0" fontId="62" fillId="0" borderId="0" xfId="0" applyFont="1"/>
    <xf numFmtId="167" fontId="93" fillId="16" borderId="101" xfId="19" applyNumberFormat="1" applyFont="1" applyFill="1" applyBorder="1"/>
    <xf numFmtId="0" fontId="104" fillId="21" borderId="101" xfId="0" applyFont="1" applyFill="1" applyBorder="1"/>
    <xf numFmtId="49" fontId="102" fillId="10" borderId="101" xfId="0" applyNumberFormat="1" applyFont="1" applyFill="1" applyBorder="1" applyAlignment="1">
      <alignment horizontal="right"/>
    </xf>
    <xf numFmtId="49" fontId="104" fillId="0" borderId="101" xfId="0" quotePrefix="1" applyNumberFormat="1" applyFont="1" applyBorder="1" applyAlignment="1">
      <alignment horizontal="right"/>
    </xf>
    <xf numFmtId="0" fontId="102" fillId="21" borderId="101" xfId="0" applyFont="1" applyFill="1" applyBorder="1"/>
    <xf numFmtId="0" fontId="102" fillId="21" borderId="101" xfId="0" applyFont="1" applyFill="1" applyBorder="1" applyAlignment="1">
      <alignment horizontal="center"/>
    </xf>
    <xf numFmtId="0" fontId="201" fillId="4" borderId="101" xfId="0" applyFont="1" applyFill="1" applyBorder="1"/>
    <xf numFmtId="0" fontId="201" fillId="4" borderId="101" xfId="0" applyFont="1" applyFill="1" applyBorder="1" applyAlignment="1">
      <alignment horizontal="center"/>
    </xf>
    <xf numFmtId="0" fontId="201" fillId="4" borderId="101" xfId="0" applyFont="1" applyFill="1" applyBorder="1" applyAlignment="1">
      <alignment horizontal="left" vertical="center" wrapText="1"/>
    </xf>
    <xf numFmtId="167" fontId="201" fillId="4" borderId="101" xfId="19" applyNumberFormat="1" applyFont="1" applyFill="1" applyBorder="1" applyProtection="1">
      <protection locked="0"/>
    </xf>
    <xf numFmtId="167" fontId="201" fillId="13" borderId="101" xfId="19" applyNumberFormat="1" applyFont="1" applyFill="1" applyBorder="1" applyProtection="1">
      <protection locked="0"/>
    </xf>
    <xf numFmtId="167" fontId="102" fillId="10" borderId="116" xfId="1" applyNumberFormat="1" applyFont="1" applyFill="1" applyBorder="1" applyProtection="1">
      <protection locked="0"/>
    </xf>
    <xf numFmtId="49" fontId="93" fillId="10" borderId="116" xfId="0" applyNumberFormat="1" applyFont="1" applyFill="1" applyBorder="1" applyAlignment="1">
      <alignment horizontal="right"/>
    </xf>
    <xf numFmtId="0" fontId="243" fillId="10" borderId="116" xfId="0" applyFont="1" applyFill="1" applyBorder="1"/>
    <xf numFmtId="49" fontId="243" fillId="10" borderId="116" xfId="0" applyNumberFormat="1" applyFont="1" applyFill="1" applyBorder="1" applyAlignment="1">
      <alignment horizontal="right"/>
    </xf>
    <xf numFmtId="0" fontId="243" fillId="10" borderId="116" xfId="0" applyFont="1" applyFill="1" applyBorder="1" applyAlignment="1">
      <alignment horizontal="center"/>
    </xf>
    <xf numFmtId="0" fontId="243" fillId="10" borderId="116" xfId="0" applyFont="1" applyFill="1" applyBorder="1" applyAlignment="1">
      <alignment horizontal="left" vertical="center" wrapText="1"/>
    </xf>
    <xf numFmtId="167" fontId="243" fillId="10" borderId="116" xfId="19" applyNumberFormat="1" applyFont="1" applyFill="1" applyBorder="1" applyProtection="1">
      <protection locked="0"/>
    </xf>
    <xf numFmtId="49" fontId="125" fillId="10" borderId="116" xfId="0" applyNumberFormat="1" applyFont="1" applyFill="1" applyBorder="1" applyAlignment="1">
      <alignment horizontal="right"/>
    </xf>
    <xf numFmtId="0" fontId="125" fillId="10" borderId="116" xfId="0" applyFont="1" applyFill="1" applyBorder="1" applyAlignment="1">
      <alignment horizontal="center"/>
    </xf>
    <xf numFmtId="167" fontId="105" fillId="10" borderId="116" xfId="19" applyNumberFormat="1" applyFont="1" applyFill="1" applyBorder="1" applyProtection="1">
      <protection locked="0"/>
    </xf>
    <xf numFmtId="167" fontId="201" fillId="10" borderId="116" xfId="19" applyNumberFormat="1" applyFont="1" applyFill="1" applyBorder="1" applyProtection="1">
      <protection locked="0"/>
    </xf>
    <xf numFmtId="167" fontId="123" fillId="21" borderId="101" xfId="19" applyNumberFormat="1" applyFont="1" applyFill="1" applyBorder="1" applyProtection="1">
      <protection locked="0"/>
    </xf>
    <xf numFmtId="0" fontId="263" fillId="10" borderId="116" xfId="0" applyFont="1" applyFill="1" applyBorder="1" applyAlignment="1">
      <alignment horizontal="left" vertical="center" wrapText="1"/>
    </xf>
    <xf numFmtId="167" fontId="254" fillId="10" borderId="116" xfId="19" applyNumberFormat="1" applyFont="1" applyFill="1" applyBorder="1" applyProtection="1">
      <protection locked="0"/>
    </xf>
    <xf numFmtId="0" fontId="125" fillId="10" borderId="116" xfId="0" applyFont="1" applyFill="1" applyBorder="1" applyAlignment="1">
      <alignment vertical="center"/>
    </xf>
    <xf numFmtId="49" fontId="125" fillId="10" borderId="116" xfId="0" applyNumberFormat="1" applyFont="1" applyFill="1" applyBorder="1" applyAlignment="1">
      <alignment horizontal="right" vertical="center"/>
    </xf>
    <xf numFmtId="0" fontId="125" fillId="10" borderId="116" xfId="0" applyFont="1" applyFill="1" applyBorder="1" applyAlignment="1">
      <alignment horizontal="center" vertical="center"/>
    </xf>
    <xf numFmtId="167" fontId="125" fillId="10" borderId="116" xfId="19" applyNumberFormat="1" applyFont="1" applyFill="1" applyBorder="1" applyAlignment="1" applyProtection="1">
      <alignment vertical="center"/>
      <protection locked="0"/>
    </xf>
    <xf numFmtId="167" fontId="96" fillId="13" borderId="116" xfId="19" applyNumberFormat="1" applyFont="1" applyFill="1" applyBorder="1" applyAlignment="1" applyProtection="1">
      <alignment vertical="center"/>
      <protection locked="0"/>
    </xf>
    <xf numFmtId="167" fontId="243" fillId="10" borderId="116" xfId="19" applyNumberFormat="1" applyFont="1" applyFill="1" applyBorder="1" applyAlignment="1" applyProtection="1">
      <alignment vertical="center"/>
      <protection locked="0"/>
    </xf>
    <xf numFmtId="167" fontId="102" fillId="10" borderId="116" xfId="19" applyNumberFormat="1" applyFont="1" applyFill="1" applyBorder="1" applyAlignment="1" applyProtection="1">
      <alignment vertical="center"/>
      <protection locked="0"/>
    </xf>
    <xf numFmtId="167" fontId="102" fillId="10" borderId="116" xfId="1" applyNumberFormat="1" applyFont="1" applyFill="1" applyBorder="1" applyAlignment="1" applyProtection="1">
      <alignment vertical="center"/>
      <protection locked="0"/>
    </xf>
    <xf numFmtId="0" fontId="102" fillId="0" borderId="0" xfId="0" applyFont="1" applyAlignment="1">
      <alignment vertical="center"/>
    </xf>
    <xf numFmtId="0" fontId="93" fillId="10" borderId="116" xfId="0" applyFont="1" applyFill="1" applyBorder="1" applyAlignment="1">
      <alignment vertical="top"/>
    </xf>
    <xf numFmtId="49" fontId="93" fillId="10" borderId="116" xfId="0" applyNumberFormat="1" applyFont="1" applyFill="1" applyBorder="1" applyAlignment="1">
      <alignment horizontal="right" vertical="top"/>
    </xf>
    <xf numFmtId="0" fontId="102" fillId="10" borderId="116" xfId="0" applyFont="1" applyFill="1" applyBorder="1" applyAlignment="1">
      <alignment vertical="top"/>
    </xf>
    <xf numFmtId="0" fontId="102" fillId="10" borderId="116" xfId="0" applyFont="1" applyFill="1" applyBorder="1" applyAlignment="1">
      <alignment horizontal="center" vertical="top"/>
    </xf>
    <xf numFmtId="0" fontId="102" fillId="10" borderId="116" xfId="0" applyFont="1" applyFill="1" applyBorder="1" applyAlignment="1">
      <alignment horizontal="left" vertical="top" wrapText="1"/>
    </xf>
    <xf numFmtId="167" fontId="102" fillId="10" borderId="116" xfId="19" applyNumberFormat="1" applyFont="1" applyFill="1" applyBorder="1" applyAlignment="1" applyProtection="1">
      <alignment vertical="top"/>
      <protection locked="0"/>
    </xf>
    <xf numFmtId="167" fontId="102" fillId="13" borderId="116" xfId="19" applyNumberFormat="1" applyFont="1" applyFill="1" applyBorder="1" applyAlignment="1" applyProtection="1">
      <alignment vertical="top"/>
      <protection locked="0"/>
    </xf>
    <xf numFmtId="167" fontId="102" fillId="10" borderId="116" xfId="1" applyNumberFormat="1" applyFont="1" applyFill="1" applyBorder="1" applyAlignment="1" applyProtection="1">
      <alignment vertical="top"/>
      <protection locked="0"/>
    </xf>
    <xf numFmtId="0" fontId="109" fillId="0" borderId="48" xfId="0" applyFont="1" applyBorder="1" applyAlignment="1">
      <alignment horizontal="center" wrapText="1"/>
    </xf>
    <xf numFmtId="0" fontId="94" fillId="34" borderId="116" xfId="0" applyFont="1" applyFill="1" applyBorder="1" applyAlignment="1">
      <alignment horizontal="left" vertical="center" wrapText="1"/>
    </xf>
    <xf numFmtId="0" fontId="102" fillId="21" borderId="101" xfId="0" applyFont="1" applyFill="1" applyBorder="1" applyAlignment="1">
      <alignment horizontal="right" vertical="top" wrapText="1"/>
    </xf>
    <xf numFmtId="0" fontId="102" fillId="34" borderId="101" xfId="0" applyFont="1" applyFill="1" applyBorder="1" applyAlignment="1">
      <alignment horizontal="right" vertical="top" wrapText="1"/>
    </xf>
    <xf numFmtId="0" fontId="104" fillId="0" borderId="0" xfId="0" applyFont="1" applyAlignment="1">
      <alignment horizontal="left" wrapText="1"/>
    </xf>
    <xf numFmtId="167" fontId="102" fillId="14" borderId="116" xfId="19" applyNumberFormat="1" applyFont="1" applyFill="1" applyBorder="1" applyProtection="1">
      <protection locked="0"/>
    </xf>
    <xf numFmtId="167" fontId="83" fillId="74" borderId="116" xfId="19" applyNumberFormat="1" applyFont="1" applyFill="1" applyBorder="1" applyProtection="1">
      <protection locked="0"/>
    </xf>
    <xf numFmtId="0" fontId="109" fillId="0" borderId="48" xfId="0" applyFont="1" applyBorder="1" applyAlignment="1">
      <alignment horizontal="left" wrapText="1"/>
    </xf>
    <xf numFmtId="0" fontId="110" fillId="0" borderId="48" xfId="0" applyFont="1" applyBorder="1" applyAlignment="1">
      <alignment horizontal="left" wrapText="1"/>
    </xf>
    <xf numFmtId="49" fontId="93" fillId="0" borderId="116" xfId="0" applyNumberFormat="1" applyFont="1" applyBorder="1"/>
    <xf numFmtId="167" fontId="93" fillId="0" borderId="116" xfId="19" applyNumberFormat="1" applyFont="1" applyFill="1" applyBorder="1" applyProtection="1">
      <protection locked="0"/>
    </xf>
    <xf numFmtId="0" fontId="110" fillId="21" borderId="116" xfId="0" applyFont="1" applyFill="1" applyBorder="1" applyAlignment="1">
      <alignment vertical="top" wrapText="1"/>
    </xf>
    <xf numFmtId="0" fontId="86" fillId="0" borderId="48" xfId="0" applyFont="1" applyBorder="1" applyAlignment="1">
      <alignment horizontal="left" wrapText="1"/>
    </xf>
    <xf numFmtId="49" fontId="104" fillId="21" borderId="101" xfId="0" applyNumberFormat="1" applyFont="1" applyFill="1" applyBorder="1" applyAlignment="1">
      <alignment horizontal="right"/>
    </xf>
    <xf numFmtId="0" fontId="109" fillId="34" borderId="116" xfId="0" applyFont="1" applyFill="1" applyBorder="1" applyAlignment="1">
      <alignment vertical="top" wrapText="1"/>
    </xf>
    <xf numFmtId="0" fontId="94" fillId="21" borderId="116" xfId="0" applyFont="1" applyFill="1" applyBorder="1" applyAlignment="1">
      <alignment vertical="top" wrapText="1"/>
    </xf>
    <xf numFmtId="0" fontId="94" fillId="34" borderId="116" xfId="0" applyFont="1" applyFill="1" applyBorder="1" applyAlignment="1">
      <alignment vertical="top" wrapText="1"/>
    </xf>
    <xf numFmtId="0" fontId="93" fillId="21" borderId="116" xfId="0" applyFont="1" applyFill="1" applyBorder="1" applyAlignment="1">
      <alignment horizontal="left" vertical="top" wrapText="1"/>
    </xf>
    <xf numFmtId="0" fontId="94" fillId="34" borderId="116" xfId="0" applyFont="1" applyFill="1" applyBorder="1" applyAlignment="1">
      <alignment horizontal="left" vertical="top" wrapText="1"/>
    </xf>
    <xf numFmtId="167" fontId="91" fillId="21" borderId="109" xfId="19" applyNumberFormat="1" applyFont="1" applyFill="1" applyBorder="1" applyProtection="1">
      <protection locked="0"/>
    </xf>
    <xf numFmtId="167" fontId="94" fillId="10" borderId="109" xfId="1" applyNumberFormat="1" applyFont="1" applyFill="1" applyBorder="1" applyProtection="1">
      <protection locked="0"/>
    </xf>
    <xf numFmtId="167" fontId="107" fillId="10" borderId="101" xfId="19" applyNumberFormat="1" applyFont="1" applyFill="1" applyBorder="1" applyProtection="1">
      <protection locked="0"/>
    </xf>
    <xf numFmtId="0" fontId="125" fillId="34" borderId="101" xfId="0" applyFont="1" applyFill="1" applyBorder="1" applyAlignment="1">
      <alignment horizontal="left" vertical="center" wrapText="1"/>
    </xf>
    <xf numFmtId="167" fontId="254" fillId="10" borderId="101" xfId="19" applyNumberFormat="1" applyFont="1" applyFill="1" applyBorder="1" applyProtection="1">
      <protection locked="0"/>
    </xf>
    <xf numFmtId="167" fontId="125" fillId="10" borderId="105" xfId="19" applyNumberFormat="1" applyFont="1" applyFill="1" applyBorder="1" applyProtection="1">
      <protection locked="0"/>
    </xf>
    <xf numFmtId="0" fontId="125" fillId="0" borderId="0" xfId="0" applyFont="1" applyAlignment="1">
      <alignment horizontal="left" wrapText="1"/>
    </xf>
    <xf numFmtId="0" fontId="125" fillId="34" borderId="105" xfId="0" applyFont="1" applyFill="1" applyBorder="1" applyAlignment="1">
      <alignment horizontal="left" vertical="center" wrapText="1"/>
    </xf>
    <xf numFmtId="167" fontId="254" fillId="10" borderId="105" xfId="19" applyNumberFormat="1" applyFont="1" applyFill="1" applyBorder="1" applyProtection="1">
      <protection locked="0"/>
    </xf>
    <xf numFmtId="167" fontId="125" fillId="13" borderId="105" xfId="19" applyNumberFormat="1" applyFont="1" applyFill="1" applyBorder="1" applyProtection="1">
      <protection locked="0"/>
    </xf>
    <xf numFmtId="0" fontId="125" fillId="34" borderId="96" xfId="0" applyFont="1" applyFill="1" applyBorder="1" applyAlignment="1">
      <alignment horizontal="left" vertical="center" wrapText="1"/>
    </xf>
    <xf numFmtId="167" fontId="254" fillId="10" borderId="96" xfId="19" applyNumberFormat="1" applyFont="1" applyFill="1" applyBorder="1" applyProtection="1">
      <protection locked="0"/>
    </xf>
    <xf numFmtId="167" fontId="125" fillId="13" borderId="96" xfId="19" applyNumberFormat="1" applyFont="1" applyFill="1" applyBorder="1" applyProtection="1">
      <protection locked="0"/>
    </xf>
    <xf numFmtId="0" fontId="125" fillId="0" borderId="0" xfId="0" applyFont="1" applyAlignment="1">
      <alignment horizontal="center" wrapText="1"/>
    </xf>
    <xf numFmtId="167" fontId="254" fillId="10" borderId="112" xfId="19" applyNumberFormat="1" applyFont="1" applyFill="1" applyBorder="1" applyProtection="1">
      <protection locked="0"/>
    </xf>
    <xf numFmtId="167" fontId="107" fillId="10" borderId="96" xfId="19" applyNumberFormat="1" applyFont="1" applyFill="1" applyBorder="1" applyProtection="1">
      <protection locked="0"/>
    </xf>
    <xf numFmtId="167" fontId="107" fillId="10" borderId="116" xfId="19" applyNumberFormat="1" applyFont="1" applyFill="1" applyBorder="1" applyProtection="1">
      <protection locked="0"/>
    </xf>
    <xf numFmtId="0" fontId="110" fillId="34" borderId="101" xfId="0" applyFont="1" applyFill="1" applyBorder="1" applyAlignment="1">
      <alignment vertical="center" wrapText="1"/>
    </xf>
    <xf numFmtId="0" fontId="94" fillId="0" borderId="0" xfId="0" applyFont="1" applyAlignment="1">
      <alignment horizontal="center" wrapText="1"/>
    </xf>
    <xf numFmtId="167" fontId="107" fillId="27" borderId="101" xfId="19" applyNumberFormat="1" applyFont="1" applyFill="1" applyBorder="1" applyProtection="1">
      <protection locked="0"/>
    </xf>
    <xf numFmtId="167" fontId="94" fillId="27" borderId="101" xfId="19" applyNumberFormat="1" applyFont="1" applyFill="1" applyBorder="1" applyProtection="1">
      <protection locked="0"/>
    </xf>
    <xf numFmtId="0" fontId="75" fillId="0" borderId="0" xfId="0" applyFont="1" applyAlignment="1">
      <alignment horizontal="center"/>
    </xf>
    <xf numFmtId="167" fontId="94" fillId="16" borderId="101" xfId="19" applyNumberFormat="1" applyFont="1" applyFill="1" applyBorder="1" applyProtection="1">
      <protection locked="0"/>
    </xf>
    <xf numFmtId="167" fontId="107" fillId="10" borderId="105" xfId="19" applyNumberFormat="1" applyFont="1" applyFill="1" applyBorder="1" applyProtection="1">
      <protection locked="0"/>
    </xf>
    <xf numFmtId="167" fontId="94" fillId="10" borderId="105" xfId="19" applyNumberFormat="1" applyFont="1" applyFill="1" applyBorder="1" applyProtection="1">
      <protection locked="0"/>
    </xf>
    <xf numFmtId="0" fontId="125" fillId="21" borderId="101" xfId="0" applyFont="1" applyFill="1" applyBorder="1" applyAlignment="1">
      <alignment vertical="top" wrapText="1"/>
    </xf>
    <xf numFmtId="0" fontId="93" fillId="21" borderId="116" xfId="0" applyFont="1" applyFill="1" applyBorder="1" applyAlignment="1">
      <alignment vertical="top" wrapText="1"/>
    </xf>
    <xf numFmtId="167" fontId="91" fillId="73" borderId="116" xfId="19" applyNumberFormat="1" applyFont="1" applyFill="1" applyBorder="1" applyProtection="1">
      <protection locked="0"/>
    </xf>
    <xf numFmtId="167" fontId="94" fillId="13" borderId="116" xfId="19" applyNumberFormat="1" applyFont="1" applyFill="1" applyBorder="1" applyProtection="1">
      <protection locked="0"/>
    </xf>
    <xf numFmtId="0" fontId="94" fillId="10" borderId="116" xfId="0" applyFont="1" applyFill="1" applyBorder="1" applyAlignment="1">
      <alignment horizontal="left"/>
    </xf>
    <xf numFmtId="0" fontId="109" fillId="21" borderId="116" xfId="0" applyFont="1" applyFill="1" applyBorder="1" applyAlignment="1">
      <alignment vertical="top" wrapText="1"/>
    </xf>
    <xf numFmtId="0" fontId="94" fillId="21" borderId="116" xfId="0" applyFont="1" applyFill="1" applyBorder="1" applyAlignment="1">
      <alignment horizontal="left" vertical="center" wrapText="1"/>
    </xf>
    <xf numFmtId="0" fontId="125" fillId="21" borderId="96" xfId="0" applyFont="1" applyFill="1" applyBorder="1" applyAlignment="1">
      <alignment horizontal="left" vertical="center" wrapText="1"/>
    </xf>
    <xf numFmtId="0" fontId="125" fillId="21" borderId="116" xfId="0" applyFont="1" applyFill="1" applyBorder="1" applyAlignment="1">
      <alignment vertical="top" wrapText="1"/>
    </xf>
    <xf numFmtId="0" fontId="91" fillId="21" borderId="116" xfId="0" applyFont="1" applyFill="1" applyBorder="1" applyAlignment="1">
      <alignment horizontal="left" vertical="center" wrapText="1"/>
    </xf>
    <xf numFmtId="0" fontId="125" fillId="21" borderId="101" xfId="0" applyFont="1" applyFill="1" applyBorder="1" applyAlignment="1">
      <alignment horizontal="left" vertical="center" wrapText="1"/>
    </xf>
    <xf numFmtId="0" fontId="125" fillId="21" borderId="109" xfId="0" applyFont="1" applyFill="1" applyBorder="1" applyAlignment="1">
      <alignment horizontal="left" vertical="center" wrapText="1"/>
    </xf>
    <xf numFmtId="167" fontId="254" fillId="10" borderId="109" xfId="19" applyNumberFormat="1" applyFont="1" applyFill="1" applyBorder="1" applyProtection="1">
      <protection locked="0"/>
    </xf>
    <xf numFmtId="0" fontId="125" fillId="6" borderId="101" xfId="0" applyFont="1" applyFill="1" applyBorder="1" applyAlignment="1">
      <alignment horizontal="center"/>
    </xf>
    <xf numFmtId="0" fontId="253" fillId="6" borderId="101" xfId="0" applyFont="1" applyFill="1" applyBorder="1" applyAlignment="1">
      <alignment horizontal="left" vertical="center" wrapText="1"/>
    </xf>
    <xf numFmtId="0" fontId="91" fillId="0" borderId="96" xfId="0" applyFont="1" applyBorder="1"/>
    <xf numFmtId="167" fontId="91" fillId="14" borderId="0" xfId="19" applyNumberFormat="1" applyFont="1" applyFill="1" applyBorder="1" applyProtection="1">
      <protection locked="0"/>
    </xf>
    <xf numFmtId="0" fontId="125" fillId="21" borderId="101" xfId="0" applyFont="1" applyFill="1" applyBorder="1" applyAlignment="1">
      <alignment horizontal="right" vertical="top" wrapText="1"/>
    </xf>
    <xf numFmtId="0" fontId="125" fillId="21" borderId="101" xfId="0" applyFont="1" applyFill="1" applyBorder="1" applyAlignment="1">
      <alignment horizontal="left" vertical="top" wrapText="1"/>
    </xf>
    <xf numFmtId="0" fontId="125" fillId="21" borderId="116" xfId="0" applyFont="1" applyFill="1" applyBorder="1" applyAlignment="1">
      <alignment horizontal="left" vertical="top" wrapText="1"/>
    </xf>
    <xf numFmtId="0" fontId="125" fillId="21" borderId="109" xfId="0" applyFont="1" applyFill="1" applyBorder="1" applyAlignment="1">
      <alignment vertical="top" wrapText="1"/>
    </xf>
    <xf numFmtId="0" fontId="125" fillId="10" borderId="101" xfId="0" applyFont="1" applyFill="1" applyBorder="1" applyAlignment="1">
      <alignment horizontal="left" wrapText="1"/>
    </xf>
    <xf numFmtId="0" fontId="253" fillId="21" borderId="116" xfId="0" applyFont="1" applyFill="1" applyBorder="1" applyAlignment="1">
      <alignment horizontal="left" vertical="center" wrapText="1"/>
    </xf>
    <xf numFmtId="167" fontId="253" fillId="21" borderId="116" xfId="19" applyNumberFormat="1" applyFont="1" applyFill="1" applyBorder="1" applyProtection="1">
      <protection locked="0"/>
    </xf>
    <xf numFmtId="167" fontId="125" fillId="21" borderId="116" xfId="19" applyNumberFormat="1" applyFont="1" applyFill="1" applyBorder="1" applyProtection="1">
      <protection locked="0"/>
    </xf>
    <xf numFmtId="0" fontId="253" fillId="0" borderId="101" xfId="0" applyFont="1" applyBorder="1" applyAlignment="1">
      <alignment wrapText="1"/>
    </xf>
    <xf numFmtId="167" fontId="91" fillId="14" borderId="101" xfId="23" applyNumberFormat="1" applyFont="1" applyFill="1" applyBorder="1" applyProtection="1">
      <protection locked="0"/>
    </xf>
    <xf numFmtId="167" fontId="94" fillId="10" borderId="101" xfId="23" applyNumberFormat="1" applyFont="1" applyFill="1" applyBorder="1" applyProtection="1">
      <protection locked="0"/>
    </xf>
    <xf numFmtId="167" fontId="94" fillId="0" borderId="0" xfId="23" applyNumberFormat="1" applyFont="1" applyFill="1" applyBorder="1" applyProtection="1">
      <protection locked="0"/>
    </xf>
    <xf numFmtId="167" fontId="94" fillId="10" borderId="96" xfId="23" applyNumberFormat="1" applyFont="1" applyFill="1" applyBorder="1" applyProtection="1">
      <protection locked="0"/>
    </xf>
    <xf numFmtId="9" fontId="91" fillId="0" borderId="0" xfId="2" applyFont="1" applyFill="1"/>
    <xf numFmtId="167" fontId="91" fillId="14" borderId="101" xfId="1" applyNumberFormat="1" applyFont="1" applyFill="1" applyBorder="1" applyProtection="1">
      <protection locked="0"/>
    </xf>
    <xf numFmtId="167" fontId="94" fillId="10" borderId="101" xfId="1" applyNumberFormat="1" applyFont="1" applyFill="1" applyBorder="1"/>
    <xf numFmtId="167" fontId="102" fillId="10" borderId="116" xfId="23" applyNumberFormat="1" applyFont="1" applyFill="1" applyBorder="1" applyProtection="1">
      <protection locked="0"/>
    </xf>
    <xf numFmtId="49" fontId="253" fillId="0" borderId="101" xfId="0" applyNumberFormat="1" applyFont="1" applyBorder="1" applyAlignment="1">
      <alignment horizontal="center"/>
    </xf>
    <xf numFmtId="167" fontId="253" fillId="14" borderId="101" xfId="23" applyNumberFormat="1" applyFont="1" applyFill="1" applyBorder="1" applyProtection="1">
      <protection locked="0"/>
    </xf>
    <xf numFmtId="167" fontId="125" fillId="23" borderId="101" xfId="23" applyNumberFormat="1" applyFont="1" applyFill="1" applyBorder="1"/>
    <xf numFmtId="9" fontId="125" fillId="0" borderId="0" xfId="2" applyFont="1" applyFill="1"/>
    <xf numFmtId="49" fontId="125" fillId="10" borderId="101" xfId="0" applyNumberFormat="1" applyFont="1" applyFill="1" applyBorder="1" applyAlignment="1">
      <alignment horizontal="center"/>
    </xf>
    <xf numFmtId="167" fontId="125" fillId="10" borderId="101" xfId="23" applyNumberFormat="1" applyFont="1" applyFill="1" applyBorder="1"/>
    <xf numFmtId="0" fontId="125" fillId="10" borderId="105" xfId="0" applyFont="1" applyFill="1" applyBorder="1" applyAlignment="1">
      <alignment horizontal="left" vertical="center" wrapText="1"/>
    </xf>
    <xf numFmtId="167" fontId="125" fillId="10" borderId="105" xfId="23" applyNumberFormat="1" applyFont="1" applyFill="1" applyBorder="1"/>
    <xf numFmtId="167" fontId="125" fillId="23" borderId="105" xfId="23" applyNumberFormat="1" applyFont="1" applyFill="1" applyBorder="1"/>
    <xf numFmtId="167" fontId="253" fillId="23" borderId="101" xfId="23" applyNumberFormat="1" applyFont="1" applyFill="1" applyBorder="1" applyProtection="1">
      <protection locked="0"/>
    </xf>
    <xf numFmtId="167" fontId="125" fillId="10" borderId="101" xfId="23" applyNumberFormat="1" applyFont="1" applyFill="1" applyBorder="1" applyProtection="1">
      <protection locked="0"/>
    </xf>
    <xf numFmtId="167" fontId="125" fillId="23" borderId="101" xfId="23" applyNumberFormat="1" applyFont="1" applyFill="1" applyBorder="1" applyProtection="1">
      <protection locked="0"/>
    </xf>
    <xf numFmtId="49" fontId="125" fillId="0" borderId="101" xfId="0" applyNumberFormat="1" applyFont="1" applyBorder="1" applyAlignment="1">
      <alignment horizontal="center"/>
    </xf>
    <xf numFmtId="0" fontId="125" fillId="0" borderId="101" xfId="0" applyFont="1" applyBorder="1" applyAlignment="1">
      <alignment horizontal="left" vertical="center" wrapText="1"/>
    </xf>
    <xf numFmtId="0" fontId="104" fillId="2" borderId="101" xfId="106" applyFont="1" applyBorder="1" applyAlignment="1">
      <alignment horizontal="left" vertical="center" wrapText="1"/>
    </xf>
    <xf numFmtId="164" fontId="102" fillId="0" borderId="0" xfId="0" applyNumberFormat="1" applyFont="1" applyAlignment="1">
      <alignment wrapText="1"/>
    </xf>
    <xf numFmtId="167" fontId="102" fillId="23" borderId="105" xfId="23" applyNumberFormat="1" applyFont="1" applyFill="1" applyBorder="1" applyProtection="1">
      <protection locked="0"/>
    </xf>
    <xf numFmtId="167" fontId="102" fillId="36" borderId="101" xfId="23" applyNumberFormat="1" applyFont="1" applyFill="1" applyBorder="1" applyProtection="1">
      <protection locked="0"/>
    </xf>
    <xf numFmtId="0" fontId="102" fillId="10" borderId="112" xfId="0" applyFont="1" applyFill="1" applyBorder="1" applyAlignment="1">
      <alignment vertical="center" wrapText="1"/>
    </xf>
    <xf numFmtId="167" fontId="102" fillId="23" borderId="112" xfId="23" applyNumberFormat="1" applyFont="1" applyFill="1" applyBorder="1" applyProtection="1">
      <protection locked="0"/>
    </xf>
    <xf numFmtId="0" fontId="102" fillId="0" borderId="0" xfId="0" applyFont="1" applyAlignment="1">
      <alignment horizontal="left"/>
    </xf>
    <xf numFmtId="167" fontId="102" fillId="23" borderId="116" xfId="23" applyNumberFormat="1" applyFont="1" applyFill="1" applyBorder="1" applyProtection="1">
      <protection locked="0"/>
    </xf>
    <xf numFmtId="167" fontId="102" fillId="16" borderId="101" xfId="23" applyNumberFormat="1" applyFont="1" applyFill="1" applyBorder="1" applyProtection="1">
      <protection locked="0"/>
    </xf>
    <xf numFmtId="167" fontId="102" fillId="10" borderId="101" xfId="23" applyNumberFormat="1" applyFont="1" applyFill="1" applyBorder="1" applyAlignment="1" applyProtection="1">
      <alignment horizontal="right"/>
      <protection locked="0"/>
    </xf>
    <xf numFmtId="167" fontId="102" fillId="10" borderId="116" xfId="23" applyNumberFormat="1" applyFont="1" applyFill="1" applyBorder="1" applyAlignment="1" applyProtection="1">
      <alignment horizontal="right"/>
      <protection locked="0"/>
    </xf>
    <xf numFmtId="0" fontId="93" fillId="10" borderId="116" xfId="0" applyFont="1" applyFill="1" applyBorder="1" applyAlignment="1">
      <alignment horizontal="left" vertical="top" wrapText="1"/>
    </xf>
    <xf numFmtId="167" fontId="102" fillId="10" borderId="101" xfId="23" applyNumberFormat="1" applyFont="1" applyFill="1" applyBorder="1" applyAlignment="1"/>
    <xf numFmtId="9" fontId="102" fillId="0" borderId="0" xfId="2" applyFont="1" applyFill="1"/>
    <xf numFmtId="0" fontId="102" fillId="10" borderId="116" xfId="0" applyFont="1" applyFill="1" applyBorder="1" applyAlignment="1">
      <alignment vertical="top" wrapText="1"/>
    </xf>
    <xf numFmtId="0" fontId="102" fillId="10" borderId="101" xfId="0" applyFont="1" applyFill="1" applyBorder="1" applyAlignment="1">
      <alignment vertical="top" wrapText="1"/>
    </xf>
    <xf numFmtId="167" fontId="102" fillId="13" borderId="116" xfId="23" applyNumberFormat="1" applyFont="1" applyFill="1" applyBorder="1" applyProtection="1">
      <protection locked="0"/>
    </xf>
    <xf numFmtId="167" fontId="102" fillId="10" borderId="101" xfId="23" applyNumberFormat="1" applyFont="1" applyFill="1" applyBorder="1" applyAlignment="1" applyProtection="1">
      <protection locked="0"/>
    </xf>
    <xf numFmtId="0" fontId="102" fillId="21" borderId="101" xfId="0" applyFont="1" applyFill="1" applyBorder="1" applyAlignment="1">
      <alignment horizontal="left" vertical="top" wrapText="1"/>
    </xf>
    <xf numFmtId="0" fontId="104" fillId="10" borderId="116" xfId="0" applyFont="1" applyFill="1" applyBorder="1" applyAlignment="1">
      <alignment horizontal="left" vertical="top" wrapText="1"/>
    </xf>
    <xf numFmtId="49" fontId="104" fillId="10" borderId="101" xfId="0" applyNumberFormat="1" applyFont="1" applyFill="1" applyBorder="1"/>
    <xf numFmtId="0" fontId="104" fillId="10" borderId="96" xfId="0" applyFont="1" applyFill="1" applyBorder="1"/>
    <xf numFmtId="0" fontId="102" fillId="10" borderId="96" xfId="0" applyFont="1" applyFill="1" applyBorder="1" applyAlignment="1">
      <alignment horizontal="left" vertical="top" wrapText="1"/>
    </xf>
    <xf numFmtId="167" fontId="102" fillId="10" borderId="96" xfId="23" applyNumberFormat="1" applyFont="1" applyFill="1" applyBorder="1" applyProtection="1">
      <protection locked="0"/>
    </xf>
    <xf numFmtId="167" fontId="102" fillId="13" borderId="96" xfId="23" applyNumberFormat="1" applyFont="1" applyFill="1" applyBorder="1" applyProtection="1">
      <protection locked="0"/>
    </xf>
    <xf numFmtId="0" fontId="104" fillId="10" borderId="116" xfId="0" applyFont="1" applyFill="1" applyBorder="1"/>
    <xf numFmtId="167" fontId="104" fillId="13" borderId="96" xfId="23" applyNumberFormat="1" applyFont="1" applyFill="1" applyBorder="1" applyProtection="1">
      <protection locked="0"/>
    </xf>
    <xf numFmtId="167" fontId="102" fillId="35" borderId="101" xfId="23" applyNumberFormat="1" applyFont="1" applyFill="1" applyBorder="1" applyProtection="1">
      <protection locked="0"/>
    </xf>
    <xf numFmtId="0" fontId="102" fillId="10" borderId="96" xfId="0" applyFont="1" applyFill="1" applyBorder="1" applyAlignment="1">
      <alignment vertical="center"/>
    </xf>
    <xf numFmtId="167" fontId="102" fillId="35" borderId="96" xfId="23" applyNumberFormat="1" applyFont="1" applyFill="1" applyBorder="1" applyProtection="1">
      <protection locked="0"/>
    </xf>
    <xf numFmtId="0" fontId="102" fillId="21" borderId="116" xfId="0" applyFont="1" applyFill="1" applyBorder="1" applyAlignment="1">
      <alignment wrapText="1"/>
    </xf>
    <xf numFmtId="0" fontId="102" fillId="21" borderId="116" xfId="0" applyFont="1" applyFill="1" applyBorder="1" applyAlignment="1">
      <alignment vertical="top" wrapText="1"/>
    </xf>
    <xf numFmtId="167" fontId="102" fillId="10" borderId="116" xfId="23" applyNumberFormat="1" applyFont="1" applyFill="1" applyBorder="1" applyAlignment="1" applyProtection="1">
      <protection locked="0"/>
    </xf>
    <xf numFmtId="0" fontId="102" fillId="10" borderId="116" xfId="0" applyFont="1" applyFill="1" applyBorder="1" applyAlignment="1">
      <alignment vertical="center" wrapText="1"/>
    </xf>
    <xf numFmtId="0" fontId="102" fillId="10" borderId="116" xfId="0" applyFont="1" applyFill="1" applyBorder="1" applyAlignment="1">
      <alignment vertical="center"/>
    </xf>
    <xf numFmtId="0" fontId="102" fillId="10" borderId="112" xfId="0" applyFont="1" applyFill="1" applyBorder="1" applyAlignment="1">
      <alignment horizontal="left" vertical="top" wrapText="1"/>
    </xf>
    <xf numFmtId="0" fontId="247" fillId="0" borderId="0" xfId="0" applyFont="1" applyAlignment="1">
      <alignment wrapText="1"/>
    </xf>
    <xf numFmtId="167" fontId="102" fillId="10" borderId="101" xfId="23" applyNumberFormat="1" applyFont="1" applyFill="1" applyBorder="1" applyAlignment="1" applyProtection="1">
      <alignment vertical="top" wrapText="1"/>
      <protection locked="0"/>
    </xf>
    <xf numFmtId="167" fontId="102" fillId="13" borderId="112" xfId="23" applyNumberFormat="1" applyFont="1" applyFill="1" applyBorder="1" applyProtection="1">
      <protection locked="0"/>
    </xf>
    <xf numFmtId="9" fontId="102" fillId="0" borderId="0" xfId="31" applyFont="1" applyFill="1"/>
    <xf numFmtId="0" fontId="104" fillId="12" borderId="0" xfId="0" applyFont="1" applyFill="1" applyAlignment="1">
      <alignment wrapText="1"/>
    </xf>
    <xf numFmtId="0" fontId="102" fillId="0" borderId="0" xfId="0" applyFont="1" applyAlignment="1">
      <alignment horizontal="left" wrapText="1"/>
    </xf>
    <xf numFmtId="167" fontId="102" fillId="10" borderId="101" xfId="23" applyNumberFormat="1" applyFont="1" applyFill="1" applyBorder="1" applyAlignment="1" applyProtection="1">
      <alignment horizontal="left"/>
      <protection locked="0"/>
    </xf>
    <xf numFmtId="167" fontId="102" fillId="35" borderId="101" xfId="23" applyNumberFormat="1" applyFont="1" applyFill="1" applyBorder="1" applyAlignment="1" applyProtection="1">
      <alignment horizontal="left"/>
      <protection locked="0"/>
    </xf>
    <xf numFmtId="0" fontId="104" fillId="0" borderId="0" xfId="0" applyFont="1" applyAlignment="1">
      <alignment wrapText="1"/>
    </xf>
    <xf numFmtId="167" fontId="102" fillId="10" borderId="116" xfId="23" applyNumberFormat="1" applyFont="1" applyFill="1" applyBorder="1" applyProtection="1"/>
    <xf numFmtId="167" fontId="102" fillId="10" borderId="109" xfId="23" applyNumberFormat="1" applyFont="1" applyFill="1" applyBorder="1" applyProtection="1">
      <protection locked="0"/>
    </xf>
    <xf numFmtId="167" fontId="102" fillId="13" borderId="109" xfId="23" applyNumberFormat="1" applyFont="1" applyFill="1" applyBorder="1" applyProtection="1">
      <protection locked="0"/>
    </xf>
    <xf numFmtId="167" fontId="102" fillId="10" borderId="101" xfId="144" applyNumberFormat="1" applyFont="1" applyFill="1" applyBorder="1" applyProtection="1">
      <protection locked="0"/>
    </xf>
    <xf numFmtId="0" fontId="102" fillId="10" borderId="112" xfId="0" applyFont="1" applyFill="1" applyBorder="1" applyAlignment="1">
      <alignment vertical="center"/>
    </xf>
    <xf numFmtId="167" fontId="102" fillId="10" borderId="116" xfId="144" applyNumberFormat="1" applyFont="1" applyFill="1" applyBorder="1" applyProtection="1">
      <protection locked="0"/>
    </xf>
    <xf numFmtId="14" fontId="104" fillId="10" borderId="116" xfId="0" applyNumberFormat="1" applyFont="1" applyFill="1" applyBorder="1" applyAlignment="1">
      <alignment horizontal="left" vertical="center" wrapText="1"/>
    </xf>
    <xf numFmtId="167" fontId="102" fillId="16" borderId="101" xfId="19" applyNumberFormat="1" applyFont="1" applyFill="1" applyBorder="1" applyProtection="1">
      <protection locked="0"/>
    </xf>
    <xf numFmtId="0" fontId="102" fillId="10" borderId="116" xfId="0" applyFont="1" applyFill="1" applyBorder="1" applyAlignment="1">
      <alignment horizontal="left" vertical="center"/>
    </xf>
    <xf numFmtId="167" fontId="129" fillId="14" borderId="101" xfId="19" applyNumberFormat="1" applyFont="1" applyFill="1" applyBorder="1" applyProtection="1">
      <protection locked="0"/>
    </xf>
    <xf numFmtId="167" fontId="102" fillId="10" borderId="116" xfId="22" applyNumberFormat="1" applyFont="1" applyFill="1" applyBorder="1" applyProtection="1">
      <protection locked="0"/>
    </xf>
    <xf numFmtId="167" fontId="110" fillId="10" borderId="116" xfId="24" applyNumberFormat="1" applyFont="1" applyFill="1" applyBorder="1" applyProtection="1">
      <protection locked="0"/>
    </xf>
    <xf numFmtId="167" fontId="104" fillId="10" borderId="116" xfId="24" applyNumberFormat="1" applyFont="1" applyFill="1" applyBorder="1" applyProtection="1">
      <protection locked="0"/>
    </xf>
    <xf numFmtId="167" fontId="104" fillId="10" borderId="116" xfId="19" applyNumberFormat="1" applyFont="1" applyFill="1" applyBorder="1" applyProtection="1">
      <protection locked="0"/>
    </xf>
    <xf numFmtId="0" fontId="104" fillId="0" borderId="101" xfId="0" applyFont="1" applyBorder="1" applyAlignment="1">
      <alignment wrapText="1"/>
    </xf>
    <xf numFmtId="0" fontId="104" fillId="10" borderId="101" xfId="0" applyFont="1" applyFill="1" applyBorder="1" applyAlignment="1">
      <alignment vertical="center" wrapText="1"/>
    </xf>
    <xf numFmtId="167" fontId="104" fillId="10" borderId="101" xfId="24" applyNumberFormat="1" applyFont="1" applyFill="1" applyBorder="1" applyAlignment="1" applyProtection="1">
      <alignment horizontal="center"/>
      <protection locked="0"/>
    </xf>
    <xf numFmtId="0" fontId="104" fillId="10" borderId="112" xfId="0" applyFont="1" applyFill="1" applyBorder="1" applyAlignment="1">
      <alignment vertical="center" wrapText="1"/>
    </xf>
    <xf numFmtId="185" fontId="93" fillId="11" borderId="0" xfId="0" applyNumberFormat="1" applyFont="1" applyFill="1"/>
    <xf numFmtId="167" fontId="109" fillId="21" borderId="116" xfId="273" applyNumberFormat="1" applyFont="1" applyFill="1" applyBorder="1" applyAlignment="1" applyProtection="1">
      <alignment horizontal="center"/>
      <protection locked="0"/>
    </xf>
    <xf numFmtId="185" fontId="93" fillId="0" borderId="0" xfId="0" applyNumberFormat="1" applyFont="1"/>
    <xf numFmtId="167" fontId="110" fillId="10" borderId="116" xfId="24" applyNumberFormat="1" applyFont="1" applyFill="1" applyBorder="1" applyAlignment="1" applyProtection="1">
      <alignment horizontal="center"/>
      <protection locked="0"/>
    </xf>
    <xf numFmtId="43" fontId="123" fillId="10" borderId="96" xfId="24" applyFont="1" applyFill="1" applyBorder="1" applyAlignment="1" applyProtection="1">
      <alignment horizontal="center"/>
      <protection locked="0"/>
    </xf>
    <xf numFmtId="167" fontId="102" fillId="10" borderId="96" xfId="24" applyNumberFormat="1" applyFont="1" applyFill="1" applyBorder="1" applyAlignment="1" applyProtection="1">
      <alignment horizontal="center"/>
      <protection locked="0"/>
    </xf>
    <xf numFmtId="167" fontId="102" fillId="0" borderId="0" xfId="0" applyNumberFormat="1" applyFont="1"/>
    <xf numFmtId="0" fontId="104" fillId="10" borderId="116" xfId="0" applyFont="1" applyFill="1" applyBorder="1" applyAlignment="1">
      <alignment horizontal="left" vertical="center" wrapText="1"/>
    </xf>
    <xf numFmtId="185" fontId="102" fillId="6" borderId="0" xfId="0" applyNumberFormat="1" applyFont="1" applyFill="1"/>
    <xf numFmtId="43" fontId="125" fillId="14" borderId="101" xfId="24" applyFont="1" applyFill="1" applyBorder="1" applyProtection="1">
      <protection locked="0"/>
    </xf>
    <xf numFmtId="167" fontId="253" fillId="13" borderId="101" xfId="24" applyNumberFormat="1" applyFont="1" applyFill="1" applyBorder="1" applyProtection="1">
      <protection locked="0"/>
    </xf>
    <xf numFmtId="43" fontId="253" fillId="14" borderId="101" xfId="24" applyFont="1" applyFill="1" applyBorder="1" applyProtection="1">
      <protection locked="0"/>
    </xf>
    <xf numFmtId="43" fontId="255" fillId="10" borderId="101" xfId="24" applyFont="1" applyFill="1" applyBorder="1" applyAlignment="1" applyProtection="1">
      <alignment horizontal="center"/>
      <protection locked="0"/>
    </xf>
    <xf numFmtId="167" fontId="125" fillId="10" borderId="101" xfId="24" applyNumberFormat="1" applyFont="1" applyFill="1" applyBorder="1" applyProtection="1">
      <protection locked="0"/>
    </xf>
    <xf numFmtId="167" fontId="125" fillId="13" borderId="101" xfId="24" applyNumberFormat="1" applyFont="1" applyFill="1" applyBorder="1" applyProtection="1">
      <protection locked="0"/>
    </xf>
    <xf numFmtId="167" fontId="253" fillId="10" borderId="101" xfId="24" applyNumberFormat="1" applyFont="1" applyFill="1" applyBorder="1" applyProtection="1">
      <protection locked="0"/>
    </xf>
    <xf numFmtId="0" fontId="83" fillId="10" borderId="116" xfId="0" applyFont="1" applyFill="1" applyBorder="1"/>
    <xf numFmtId="43" fontId="201" fillId="10" borderId="116" xfId="24" applyFont="1" applyFill="1" applyBorder="1" applyAlignment="1" applyProtection="1">
      <alignment horizontal="center"/>
      <protection locked="0"/>
    </xf>
    <xf numFmtId="167" fontId="102" fillId="10" borderId="116" xfId="24" applyNumberFormat="1" applyFont="1" applyFill="1" applyBorder="1" applyProtection="1">
      <protection locked="0"/>
    </xf>
    <xf numFmtId="167" fontId="102" fillId="13" borderId="116" xfId="24" applyNumberFormat="1" applyFont="1" applyFill="1" applyBorder="1" applyProtection="1">
      <protection locked="0"/>
    </xf>
    <xf numFmtId="43" fontId="101" fillId="10" borderId="116" xfId="24" applyFont="1" applyFill="1" applyBorder="1" applyAlignment="1" applyProtection="1">
      <alignment horizontal="center"/>
      <protection locked="0"/>
    </xf>
    <xf numFmtId="0" fontId="253" fillId="10" borderId="101" xfId="0" applyFont="1" applyFill="1" applyBorder="1" applyAlignment="1">
      <alignment vertical="center" wrapText="1"/>
    </xf>
    <xf numFmtId="43" fontId="254" fillId="10" borderId="101" xfId="24" applyFont="1" applyFill="1" applyBorder="1" applyAlignment="1" applyProtection="1">
      <alignment horizontal="center"/>
      <protection locked="0"/>
    </xf>
    <xf numFmtId="167" fontId="125" fillId="10" borderId="101" xfId="24" applyNumberFormat="1" applyFont="1" applyFill="1" applyBorder="1" applyAlignment="1" applyProtection="1">
      <alignment horizontal="center"/>
      <protection locked="0"/>
    </xf>
    <xf numFmtId="0" fontId="83" fillId="10" borderId="116" xfId="0" applyFont="1" applyFill="1" applyBorder="1" applyAlignment="1">
      <alignment horizontal="left" vertical="center" wrapText="1"/>
    </xf>
    <xf numFmtId="167" fontId="110" fillId="10" borderId="102" xfId="24" applyNumberFormat="1" applyFont="1" applyFill="1" applyBorder="1" applyProtection="1">
      <protection locked="0"/>
    </xf>
    <xf numFmtId="167" fontId="91" fillId="14" borderId="101" xfId="24" applyNumberFormat="1" applyFont="1" applyFill="1" applyBorder="1" applyAlignment="1" applyProtection="1">
      <alignment horizontal="center"/>
      <protection locked="0"/>
    </xf>
    <xf numFmtId="43" fontId="89" fillId="14" borderId="101" xfId="24" applyFont="1" applyFill="1" applyBorder="1" applyProtection="1">
      <protection locked="0"/>
    </xf>
    <xf numFmtId="167" fontId="91" fillId="14" borderId="101" xfId="19" applyNumberFormat="1" applyFont="1" applyFill="1" applyBorder="1" applyAlignment="1" applyProtection="1">
      <alignment horizontal="center"/>
      <protection locked="0"/>
    </xf>
    <xf numFmtId="167" fontId="91" fillId="10" borderId="101" xfId="24" applyNumberFormat="1" applyFont="1" applyFill="1" applyBorder="1" applyAlignment="1" applyProtection="1">
      <alignment horizontal="center"/>
      <protection locked="0"/>
    </xf>
    <xf numFmtId="167" fontId="94" fillId="10" borderId="101" xfId="24" applyNumberFormat="1" applyFont="1" applyFill="1" applyBorder="1" applyAlignment="1" applyProtection="1">
      <alignment horizontal="center"/>
      <protection locked="0"/>
    </xf>
    <xf numFmtId="0" fontId="94" fillId="0" borderId="0" xfId="0" applyFont="1" applyAlignment="1">
      <alignment horizontal="left" wrapText="1"/>
    </xf>
    <xf numFmtId="167" fontId="253" fillId="14" borderId="101" xfId="24" applyNumberFormat="1" applyFont="1" applyFill="1" applyBorder="1" applyAlignment="1" applyProtection="1">
      <alignment horizontal="center"/>
      <protection locked="0"/>
    </xf>
    <xf numFmtId="43" fontId="254" fillId="14" borderId="101" xfId="24" applyFont="1" applyFill="1" applyBorder="1" applyProtection="1">
      <protection locked="0"/>
    </xf>
    <xf numFmtId="43" fontId="255" fillId="14" borderId="101" xfId="24" applyFont="1" applyFill="1" applyBorder="1" applyProtection="1">
      <protection locked="0"/>
    </xf>
    <xf numFmtId="167" fontId="253" fillId="10" borderId="116" xfId="24" applyNumberFormat="1" applyFont="1" applyFill="1" applyBorder="1" applyProtection="1">
      <protection locked="0"/>
    </xf>
    <xf numFmtId="0" fontId="125" fillId="27" borderId="101" xfId="0" applyFont="1" applyFill="1" applyBorder="1" applyAlignment="1">
      <alignment horizontal="center"/>
    </xf>
    <xf numFmtId="43" fontId="254" fillId="27" borderId="101" xfId="24" applyFont="1" applyFill="1" applyBorder="1" applyAlignment="1" applyProtection="1">
      <alignment horizontal="center"/>
      <protection locked="0"/>
    </xf>
    <xf numFmtId="167" fontId="125" fillId="27" borderId="101" xfId="24" applyNumberFormat="1" applyFont="1" applyFill="1" applyBorder="1" applyProtection="1">
      <protection locked="0"/>
    </xf>
    <xf numFmtId="43" fontId="254" fillId="10" borderId="96" xfId="24" applyFont="1" applyFill="1" applyBorder="1" applyAlignment="1" applyProtection="1">
      <alignment horizontal="center"/>
      <protection locked="0"/>
    </xf>
    <xf numFmtId="167" fontId="125" fillId="10" borderId="96" xfId="24" applyNumberFormat="1" applyFont="1" applyFill="1" applyBorder="1" applyProtection="1">
      <protection locked="0"/>
    </xf>
    <xf numFmtId="167" fontId="125" fillId="13" borderId="96" xfId="24" applyNumberFormat="1" applyFont="1" applyFill="1" applyBorder="1" applyProtection="1">
      <protection locked="0"/>
    </xf>
    <xf numFmtId="0" fontId="125" fillId="10" borderId="112" xfId="0" applyFont="1" applyFill="1" applyBorder="1" applyAlignment="1">
      <alignment horizontal="left" vertical="center" wrapText="1"/>
    </xf>
    <xf numFmtId="43" fontId="254" fillId="10" borderId="112" xfId="24" applyFont="1" applyFill="1" applyBorder="1" applyAlignment="1" applyProtection="1">
      <alignment horizontal="center"/>
      <protection locked="0"/>
    </xf>
    <xf numFmtId="167" fontId="125" fillId="10" borderId="112" xfId="24" applyNumberFormat="1" applyFont="1" applyFill="1" applyBorder="1" applyProtection="1">
      <protection locked="0"/>
    </xf>
    <xf numFmtId="167" fontId="125" fillId="13" borderId="112" xfId="24" applyNumberFormat="1" applyFont="1" applyFill="1" applyBorder="1" applyProtection="1">
      <protection locked="0"/>
    </xf>
    <xf numFmtId="167" fontId="253" fillId="10" borderId="101" xfId="23" applyNumberFormat="1" applyFont="1" applyFill="1" applyBorder="1" applyProtection="1">
      <protection locked="0"/>
    </xf>
    <xf numFmtId="0" fontId="110" fillId="10" borderId="116" xfId="0" applyFont="1" applyFill="1" applyBorder="1" applyAlignment="1">
      <alignment wrapText="1"/>
    </xf>
    <xf numFmtId="167" fontId="110" fillId="21" borderId="116" xfId="24" applyNumberFormat="1" applyFont="1" applyFill="1" applyBorder="1" applyAlignment="1" applyProtection="1">
      <alignment horizontal="center"/>
      <protection locked="0"/>
    </xf>
    <xf numFmtId="167" fontId="110" fillId="21" borderId="116" xfId="24" applyNumberFormat="1" applyFont="1" applyFill="1" applyBorder="1" applyProtection="1">
      <protection locked="0"/>
    </xf>
    <xf numFmtId="167" fontId="110" fillId="21" borderId="115" xfId="24" applyNumberFormat="1" applyFont="1" applyFill="1" applyBorder="1" applyAlignment="1" applyProtection="1">
      <alignment horizontal="center"/>
      <protection locked="0"/>
    </xf>
    <xf numFmtId="178" fontId="109" fillId="36" borderId="102" xfId="24" applyNumberFormat="1" applyFont="1" applyFill="1" applyBorder="1" applyAlignment="1" applyProtection="1">
      <alignment horizontal="center"/>
      <protection locked="0"/>
    </xf>
    <xf numFmtId="167" fontId="109" fillId="21" borderId="117" xfId="24" applyNumberFormat="1" applyFont="1" applyFill="1" applyBorder="1" applyProtection="1">
      <protection locked="0"/>
    </xf>
    <xf numFmtId="167" fontId="109" fillId="21" borderId="116" xfId="24" applyNumberFormat="1" applyFont="1" applyFill="1" applyBorder="1" applyProtection="1">
      <protection locked="0"/>
    </xf>
    <xf numFmtId="167" fontId="109" fillId="10" borderId="116" xfId="24" applyNumberFormat="1" applyFont="1" applyFill="1" applyBorder="1" applyProtection="1">
      <protection locked="0"/>
    </xf>
    <xf numFmtId="0" fontId="253" fillId="10" borderId="116" xfId="0" applyFont="1" applyFill="1" applyBorder="1" applyAlignment="1">
      <alignment vertical="center" wrapText="1"/>
    </xf>
    <xf numFmtId="185" fontId="125" fillId="0" borderId="0" xfId="0" applyNumberFormat="1" applyFont="1"/>
    <xf numFmtId="43" fontId="254" fillId="14" borderId="101" xfId="24" applyFont="1" applyFill="1" applyBorder="1" applyAlignment="1" applyProtection="1">
      <alignment horizontal="center"/>
      <protection locked="0"/>
    </xf>
    <xf numFmtId="43" fontId="255" fillId="14" borderId="101" xfId="24" applyFont="1" applyFill="1" applyBorder="1" applyAlignment="1" applyProtection="1">
      <alignment horizontal="center"/>
      <protection locked="0"/>
    </xf>
    <xf numFmtId="167" fontId="265" fillId="10" borderId="112" xfId="24" applyNumberFormat="1" applyFont="1" applyFill="1" applyBorder="1" applyProtection="1">
      <protection locked="0"/>
    </xf>
    <xf numFmtId="167" fontId="253" fillId="10" borderId="112" xfId="24" applyNumberFormat="1" applyFont="1" applyFill="1" applyBorder="1" applyProtection="1">
      <protection locked="0"/>
    </xf>
    <xf numFmtId="43" fontId="107" fillId="27" borderId="101" xfId="24" applyFont="1" applyFill="1" applyBorder="1" applyAlignment="1" applyProtection="1">
      <alignment horizontal="center"/>
      <protection locked="0"/>
    </xf>
    <xf numFmtId="0" fontId="93" fillId="10" borderId="116" xfId="0" applyFont="1" applyFill="1" applyBorder="1" applyAlignment="1">
      <alignment wrapText="1"/>
    </xf>
    <xf numFmtId="43" fontId="254" fillId="10" borderId="116" xfId="24" applyFont="1" applyFill="1" applyBorder="1" applyAlignment="1" applyProtection="1">
      <alignment horizontal="center"/>
      <protection locked="0"/>
    </xf>
    <xf numFmtId="167" fontId="253" fillId="21" borderId="116" xfId="24" applyNumberFormat="1" applyFont="1" applyFill="1" applyBorder="1" applyProtection="1">
      <protection locked="0"/>
    </xf>
    <xf numFmtId="0" fontId="253" fillId="10" borderId="116" xfId="0" applyFont="1" applyFill="1" applyBorder="1" applyAlignment="1">
      <alignment horizontal="left" vertical="center" wrapText="1"/>
    </xf>
    <xf numFmtId="43" fontId="254" fillId="10" borderId="101" xfId="24" applyFont="1" applyFill="1" applyBorder="1" applyAlignment="1">
      <alignment horizontal="center"/>
    </xf>
    <xf numFmtId="167" fontId="125" fillId="13" borderId="101" xfId="24" applyNumberFormat="1" applyFont="1" applyFill="1" applyBorder="1"/>
    <xf numFmtId="0" fontId="125" fillId="10" borderId="112" xfId="0" applyFont="1" applyFill="1" applyBorder="1" applyAlignment="1">
      <alignment horizontal="center"/>
    </xf>
    <xf numFmtId="0" fontId="253" fillId="10" borderId="112" xfId="0" applyFont="1" applyFill="1" applyBorder="1" applyAlignment="1">
      <alignment horizontal="left" vertical="center" wrapText="1"/>
    </xf>
    <xf numFmtId="43" fontId="254" fillId="10" borderId="112" xfId="24" applyFont="1" applyFill="1" applyBorder="1" applyAlignment="1">
      <alignment horizontal="center"/>
    </xf>
    <xf numFmtId="167" fontId="125" fillId="10" borderId="112" xfId="24" applyNumberFormat="1" applyFont="1" applyFill="1" applyBorder="1"/>
    <xf numFmtId="167" fontId="125" fillId="13" borderId="112" xfId="24" applyNumberFormat="1" applyFont="1" applyFill="1" applyBorder="1"/>
    <xf numFmtId="167" fontId="253" fillId="10" borderId="116" xfId="1" applyNumberFormat="1" applyFont="1" applyFill="1" applyBorder="1" applyProtection="1">
      <protection locked="0"/>
    </xf>
    <xf numFmtId="167" fontId="125" fillId="10" borderId="116" xfId="1" applyNumberFormat="1" applyFont="1" applyFill="1" applyBorder="1" applyAlignment="1" applyProtection="1">
      <alignment horizontal="center"/>
      <protection locked="0"/>
    </xf>
    <xf numFmtId="167" fontId="125" fillId="10" borderId="116" xfId="24" applyNumberFormat="1" applyFont="1" applyFill="1" applyBorder="1" applyProtection="1">
      <protection locked="0"/>
    </xf>
    <xf numFmtId="167" fontId="125" fillId="13" borderId="116" xfId="24" applyNumberFormat="1" applyFont="1" applyFill="1" applyBorder="1" applyProtection="1">
      <protection locked="0"/>
    </xf>
    <xf numFmtId="178" fontId="125" fillId="10" borderId="116" xfId="24" applyNumberFormat="1" applyFont="1" applyFill="1" applyBorder="1" applyAlignment="1" applyProtection="1">
      <alignment horizontal="center"/>
      <protection locked="0"/>
    </xf>
    <xf numFmtId="167" fontId="93" fillId="10" borderId="116" xfId="23" applyNumberFormat="1" applyFont="1" applyFill="1" applyBorder="1"/>
    <xf numFmtId="167" fontId="93" fillId="13" borderId="116" xfId="23" applyNumberFormat="1" applyFont="1" applyFill="1" applyBorder="1"/>
    <xf numFmtId="167" fontId="253" fillId="13" borderId="101" xfId="23" applyNumberFormat="1" applyFont="1" applyFill="1" applyBorder="1" applyProtection="1">
      <protection locked="0"/>
    </xf>
    <xf numFmtId="167" fontId="125" fillId="13" borderId="101" xfId="23" applyNumberFormat="1" applyFont="1" applyFill="1" applyBorder="1" applyProtection="1">
      <protection locked="0"/>
    </xf>
    <xf numFmtId="49" fontId="125" fillId="27" borderId="101" xfId="0" applyNumberFormat="1" applyFont="1" applyFill="1" applyBorder="1"/>
    <xf numFmtId="0" fontId="125" fillId="27" borderId="116" xfId="0" applyFont="1" applyFill="1" applyBorder="1" applyAlignment="1">
      <alignment horizontal="left" vertical="center" wrapText="1"/>
    </xf>
    <xf numFmtId="167" fontId="253" fillId="10" borderId="116" xfId="19" applyNumberFormat="1" applyFont="1" applyFill="1" applyBorder="1" applyAlignment="1" applyProtection="1">
      <alignment horizontal="center"/>
      <protection locked="0"/>
    </xf>
    <xf numFmtId="43" fontId="254" fillId="10" borderId="109" xfId="24" applyFont="1" applyFill="1" applyBorder="1" applyAlignment="1" applyProtection="1">
      <alignment horizontal="center"/>
      <protection locked="0"/>
    </xf>
    <xf numFmtId="167" fontId="125" fillId="10" borderId="109" xfId="24" applyNumberFormat="1" applyFont="1" applyFill="1" applyBorder="1" applyProtection="1">
      <protection locked="0"/>
    </xf>
    <xf numFmtId="167" fontId="125" fillId="13" borderId="109" xfId="24" applyNumberFormat="1" applyFont="1" applyFill="1" applyBorder="1" applyProtection="1">
      <protection locked="0"/>
    </xf>
    <xf numFmtId="167" fontId="254" fillId="10" borderId="116" xfId="19" applyNumberFormat="1" applyFont="1" applyFill="1" applyBorder="1" applyAlignment="1" applyProtection="1">
      <alignment horizontal="center"/>
      <protection locked="0"/>
    </xf>
    <xf numFmtId="167" fontId="125" fillId="10" borderId="116" xfId="19" applyNumberFormat="1" applyFont="1" applyFill="1" applyBorder="1" applyAlignment="1" applyProtection="1">
      <alignment horizontal="center"/>
      <protection locked="0"/>
    </xf>
    <xf numFmtId="0" fontId="253" fillId="10" borderId="101" xfId="0" applyFont="1" applyFill="1" applyBorder="1" applyAlignment="1">
      <alignment horizontal="left" vertical="center" wrapText="1"/>
    </xf>
    <xf numFmtId="167" fontId="254" fillId="10" borderId="101" xfId="24" applyNumberFormat="1" applyFont="1" applyFill="1" applyBorder="1" applyAlignment="1" applyProtection="1">
      <alignment horizontal="center"/>
      <protection locked="0"/>
    </xf>
    <xf numFmtId="167" fontId="253" fillId="10" borderId="101" xfId="24" applyNumberFormat="1" applyFont="1" applyFill="1" applyBorder="1" applyAlignment="1" applyProtection="1">
      <alignment horizontal="center"/>
      <protection locked="0"/>
    </xf>
    <xf numFmtId="167" fontId="254" fillId="10" borderId="101" xfId="19" applyNumberFormat="1" applyFont="1" applyFill="1" applyBorder="1" applyAlignment="1" applyProtection="1">
      <alignment horizontal="center"/>
      <protection locked="0"/>
    </xf>
    <xf numFmtId="167" fontId="125" fillId="10" borderId="101" xfId="19" applyNumberFormat="1" applyFont="1" applyFill="1" applyBorder="1" applyAlignment="1" applyProtection="1">
      <alignment horizontal="center"/>
      <protection locked="0"/>
    </xf>
    <xf numFmtId="167" fontId="254" fillId="14" borderId="101" xfId="19" applyNumberFormat="1" applyFont="1" applyFill="1" applyBorder="1" applyProtection="1">
      <protection locked="0"/>
    </xf>
    <xf numFmtId="167" fontId="255" fillId="14" borderId="101" xfId="19" applyNumberFormat="1" applyFont="1" applyFill="1" applyBorder="1" applyProtection="1">
      <protection locked="0"/>
    </xf>
    <xf numFmtId="167" fontId="253" fillId="10" borderId="109" xfId="24" applyNumberFormat="1" applyFont="1" applyFill="1" applyBorder="1" applyProtection="1">
      <protection locked="0"/>
    </xf>
    <xf numFmtId="167" fontId="125" fillId="27" borderId="101" xfId="19" applyNumberFormat="1" applyFont="1" applyFill="1" applyBorder="1" applyAlignment="1" applyProtection="1">
      <alignment horizontal="center"/>
      <protection locked="0"/>
    </xf>
    <xf numFmtId="167" fontId="125" fillId="27" borderId="96" xfId="19" applyNumberFormat="1" applyFont="1" applyFill="1" applyBorder="1" applyAlignment="1" applyProtection="1">
      <alignment horizontal="center"/>
      <protection locked="0"/>
    </xf>
    <xf numFmtId="167" fontId="125" fillId="27" borderId="96" xfId="24" applyNumberFormat="1" applyFont="1" applyFill="1" applyBorder="1" applyProtection="1">
      <protection locked="0"/>
    </xf>
    <xf numFmtId="43" fontId="266" fillId="10" borderId="101" xfId="24" applyFont="1" applyFill="1" applyBorder="1" applyAlignment="1" applyProtection="1">
      <alignment horizontal="center"/>
      <protection locked="0"/>
    </xf>
    <xf numFmtId="167" fontId="265" fillId="13" borderId="101" xfId="24" applyNumberFormat="1" applyFont="1" applyFill="1" applyBorder="1" applyProtection="1">
      <protection locked="0"/>
    </xf>
    <xf numFmtId="167" fontId="265" fillId="10" borderId="101" xfId="24" applyNumberFormat="1" applyFont="1" applyFill="1" applyBorder="1" applyProtection="1">
      <protection locked="0"/>
    </xf>
    <xf numFmtId="43" fontId="266" fillId="10" borderId="112" xfId="24" applyFont="1" applyFill="1" applyBorder="1" applyAlignment="1" applyProtection="1">
      <alignment horizontal="center"/>
      <protection locked="0"/>
    </xf>
    <xf numFmtId="167" fontId="265" fillId="13" borderId="112" xfId="24" applyNumberFormat="1" applyFont="1" applyFill="1" applyBorder="1" applyProtection="1">
      <protection locked="0"/>
    </xf>
    <xf numFmtId="43" fontId="254" fillId="10" borderId="102" xfId="24" applyFont="1" applyFill="1" applyBorder="1" applyAlignment="1" applyProtection="1">
      <alignment horizontal="center"/>
      <protection locked="0"/>
    </xf>
    <xf numFmtId="167" fontId="253" fillId="10" borderId="104" xfId="24" applyNumberFormat="1" applyFont="1" applyFill="1" applyBorder="1" applyProtection="1">
      <protection locked="0"/>
    </xf>
    <xf numFmtId="0" fontId="119" fillId="0" borderId="0" xfId="0" quotePrefix="1" applyFont="1"/>
    <xf numFmtId="167" fontId="253" fillId="14" borderId="101" xfId="1" applyNumberFormat="1" applyFont="1" applyFill="1" applyBorder="1" applyProtection="1">
      <protection locked="0"/>
    </xf>
    <xf numFmtId="0" fontId="125" fillId="10" borderId="96" xfId="0" applyFont="1" applyFill="1" applyBorder="1" applyAlignment="1">
      <alignment vertical="center" wrapText="1"/>
    </xf>
    <xf numFmtId="167" fontId="253" fillId="13" borderId="96" xfId="19" applyNumberFormat="1" applyFont="1" applyFill="1" applyBorder="1" applyProtection="1">
      <protection locked="0"/>
    </xf>
    <xf numFmtId="167" fontId="125" fillId="10" borderId="96" xfId="1" applyNumberFormat="1" applyFont="1" applyFill="1" applyBorder="1" applyProtection="1">
      <protection locked="0"/>
    </xf>
    <xf numFmtId="0" fontId="125" fillId="10" borderId="112" xfId="0" applyFont="1" applyFill="1" applyBorder="1" applyAlignment="1">
      <alignment vertical="center" wrapText="1"/>
    </xf>
    <xf numFmtId="167" fontId="253" fillId="13" borderId="112" xfId="19" applyNumberFormat="1" applyFont="1" applyFill="1" applyBorder="1" applyProtection="1">
      <protection locked="0"/>
    </xf>
    <xf numFmtId="167" fontId="125" fillId="10" borderId="112" xfId="1" applyNumberFormat="1" applyFont="1" applyFill="1" applyBorder="1" applyProtection="1">
      <protection locked="0"/>
    </xf>
    <xf numFmtId="167" fontId="125" fillId="10" borderId="101" xfId="1" applyNumberFormat="1" applyFont="1" applyFill="1" applyBorder="1" applyProtection="1">
      <protection locked="0"/>
    </xf>
    <xf numFmtId="167" fontId="125" fillId="10" borderId="109" xfId="1" applyNumberFormat="1" applyFont="1" applyFill="1" applyBorder="1" applyProtection="1">
      <protection locked="0"/>
    </xf>
    <xf numFmtId="167" fontId="102" fillId="10" borderId="112" xfId="19" applyNumberFormat="1" applyFont="1" applyFill="1" applyBorder="1" applyAlignment="1">
      <alignment horizontal="center"/>
    </xf>
    <xf numFmtId="0" fontId="101" fillId="10" borderId="0" xfId="0" applyFont="1" applyFill="1"/>
    <xf numFmtId="0" fontId="234" fillId="10" borderId="0" xfId="0" applyFont="1" applyFill="1"/>
    <xf numFmtId="0" fontId="125" fillId="10" borderId="119" xfId="0" applyFont="1" applyFill="1" applyBorder="1" applyAlignment="1">
      <alignment horizontal="right" vertical="center" wrapText="1"/>
    </xf>
    <xf numFmtId="167" fontId="125" fillId="10" borderId="101" xfId="19" applyNumberFormat="1" applyFont="1" applyFill="1" applyBorder="1" applyAlignment="1" applyProtection="1">
      <alignment wrapText="1"/>
      <protection locked="0"/>
    </xf>
    <xf numFmtId="0" fontId="125" fillId="10" borderId="96" xfId="0" applyFont="1" applyFill="1" applyBorder="1" applyAlignment="1">
      <alignment horizontal="right" vertical="center" wrapText="1"/>
    </xf>
    <xf numFmtId="167" fontId="125" fillId="10" borderId="96" xfId="19" applyNumberFormat="1" applyFont="1" applyFill="1" applyBorder="1" applyAlignment="1" applyProtection="1">
      <alignment wrapText="1"/>
      <protection locked="0"/>
    </xf>
    <xf numFmtId="0" fontId="125" fillId="21" borderId="96" xfId="0" applyFont="1" applyFill="1" applyBorder="1" applyAlignment="1">
      <alignment horizontal="right" vertical="center" wrapText="1"/>
    </xf>
    <xf numFmtId="0" fontId="93" fillId="10" borderId="119" xfId="0" applyFont="1" applyFill="1" applyBorder="1"/>
    <xf numFmtId="167" fontId="93" fillId="10" borderId="119" xfId="19" applyNumberFormat="1" applyFont="1" applyFill="1" applyBorder="1" applyProtection="1">
      <protection locked="0"/>
    </xf>
    <xf numFmtId="167" fontId="83" fillId="73" borderId="119" xfId="19" applyNumberFormat="1" applyFont="1" applyFill="1" applyBorder="1" applyProtection="1">
      <protection locked="0"/>
    </xf>
    <xf numFmtId="167" fontId="96" fillId="10" borderId="119" xfId="19" applyNumberFormat="1" applyFont="1" applyFill="1" applyBorder="1" applyProtection="1">
      <protection locked="0"/>
    </xf>
    <xf numFmtId="0" fontId="125" fillId="21" borderId="101" xfId="0" applyFont="1" applyFill="1" applyBorder="1" applyAlignment="1">
      <alignment horizontal="right" vertical="center" wrapText="1"/>
    </xf>
    <xf numFmtId="167" fontId="125" fillId="10" borderId="119" xfId="19" applyNumberFormat="1" applyFont="1" applyFill="1" applyBorder="1" applyProtection="1">
      <protection locked="0"/>
    </xf>
    <xf numFmtId="167" fontId="125" fillId="10" borderId="119" xfId="19" applyNumberFormat="1" applyFont="1" applyFill="1" applyBorder="1" applyAlignment="1" applyProtection="1">
      <alignment wrapText="1"/>
      <protection locked="0"/>
    </xf>
    <xf numFmtId="167" fontId="253" fillId="73" borderId="119" xfId="19" applyNumberFormat="1" applyFont="1" applyFill="1" applyBorder="1" applyProtection="1">
      <protection locked="0"/>
    </xf>
    <xf numFmtId="167" fontId="125" fillId="13" borderId="119" xfId="19" applyNumberFormat="1" applyFont="1" applyFill="1" applyBorder="1" applyProtection="1">
      <protection locked="0"/>
    </xf>
    <xf numFmtId="0" fontId="93" fillId="10" borderId="119" xfId="0" applyFont="1" applyFill="1" applyBorder="1" applyAlignment="1">
      <alignment horizontal="left" vertical="center" wrapText="1"/>
    </xf>
    <xf numFmtId="0" fontId="125" fillId="10" borderId="119" xfId="0" applyFont="1" applyFill="1" applyBorder="1" applyAlignment="1">
      <alignment horizontal="left" vertical="center" wrapText="1"/>
    </xf>
    <xf numFmtId="0" fontId="125" fillId="10" borderId="116" xfId="0" applyFont="1" applyFill="1" applyBorder="1" applyAlignment="1">
      <alignment horizontal="right" vertical="center" wrapText="1"/>
    </xf>
    <xf numFmtId="167" fontId="125" fillId="10" borderId="116" xfId="19" applyNumberFormat="1" applyFont="1" applyFill="1" applyBorder="1" applyAlignment="1" applyProtection="1">
      <alignment wrapText="1"/>
      <protection locked="0"/>
    </xf>
    <xf numFmtId="167" fontId="125" fillId="10" borderId="112" xfId="19" applyNumberFormat="1" applyFont="1" applyFill="1" applyBorder="1" applyAlignment="1" applyProtection="1">
      <alignment wrapText="1"/>
      <protection locked="0"/>
    </xf>
    <xf numFmtId="0" fontId="102" fillId="10" borderId="119" xfId="0" applyFont="1" applyFill="1" applyBorder="1" applyAlignment="1">
      <alignment horizontal="right" vertical="center" wrapText="1"/>
    </xf>
    <xf numFmtId="0" fontId="75" fillId="70" borderId="0" xfId="0" applyFont="1" applyFill="1"/>
    <xf numFmtId="0" fontId="0" fillId="70" borderId="0" xfId="0" applyFill="1"/>
    <xf numFmtId="167" fontId="96" fillId="13" borderId="119" xfId="19" applyNumberFormat="1" applyFont="1" applyFill="1" applyBorder="1" applyProtection="1">
      <protection locked="0"/>
    </xf>
    <xf numFmtId="0" fontId="93" fillId="10" borderId="119" xfId="0" applyFont="1" applyFill="1" applyBorder="1" applyAlignment="1">
      <alignment vertical="center" wrapText="1"/>
    </xf>
    <xf numFmtId="0" fontId="99" fillId="10" borderId="119" xfId="0" applyFont="1" applyFill="1" applyBorder="1"/>
    <xf numFmtId="167" fontId="102" fillId="10" borderId="119" xfId="19" applyNumberFormat="1" applyFont="1" applyFill="1" applyBorder="1" applyProtection="1">
      <protection locked="0"/>
    </xf>
    <xf numFmtId="167" fontId="102" fillId="10" borderId="119" xfId="1" applyNumberFormat="1" applyFont="1" applyFill="1" applyBorder="1" applyProtection="1">
      <protection locked="0"/>
    </xf>
    <xf numFmtId="167" fontId="102" fillId="0" borderId="0" xfId="0" applyNumberFormat="1" applyFont="1" applyAlignment="1">
      <alignment wrapText="1"/>
    </xf>
    <xf numFmtId="167" fontId="104" fillId="73" borderId="119" xfId="19" applyNumberFormat="1" applyFont="1" applyFill="1" applyBorder="1" applyProtection="1">
      <protection locked="0"/>
    </xf>
    <xf numFmtId="167" fontId="102" fillId="13" borderId="119" xfId="1" applyNumberFormat="1" applyFont="1" applyFill="1" applyBorder="1" applyProtection="1">
      <protection locked="0"/>
    </xf>
    <xf numFmtId="167" fontId="102" fillId="0" borderId="0" xfId="0" applyNumberFormat="1" applyFont="1" applyAlignment="1">
      <alignment horizontal="left"/>
    </xf>
    <xf numFmtId="0" fontId="76" fillId="0" borderId="0" xfId="0" applyFont="1"/>
    <xf numFmtId="0" fontId="102" fillId="10" borderId="119" xfId="0" applyFont="1" applyFill="1" applyBorder="1" applyAlignment="1">
      <alignment horizontal="left" vertical="center" wrapText="1"/>
    </xf>
    <xf numFmtId="49" fontId="102" fillId="0" borderId="0" xfId="0" applyNumberFormat="1" applyFont="1" applyAlignment="1">
      <alignment vertical="top" wrapText="1"/>
    </xf>
    <xf numFmtId="167" fontId="102" fillId="0" borderId="0" xfId="0" applyNumberFormat="1" applyFont="1" applyAlignment="1">
      <alignment vertical="top" wrapText="1"/>
    </xf>
    <xf numFmtId="0" fontId="102" fillId="0" borderId="0" xfId="1" applyNumberFormat="1" applyFont="1" applyFill="1" applyBorder="1" applyAlignment="1" applyProtection="1">
      <alignment wrapText="1"/>
      <protection locked="0"/>
    </xf>
    <xf numFmtId="167" fontId="102" fillId="10" borderId="119" xfId="336" applyNumberFormat="1" applyFont="1" applyFill="1" applyBorder="1" applyProtection="1">
      <protection locked="0"/>
    </xf>
    <xf numFmtId="167" fontId="102" fillId="10" borderId="119" xfId="23" applyNumberFormat="1" applyFont="1" applyFill="1" applyBorder="1" applyProtection="1">
      <protection locked="0"/>
    </xf>
    <xf numFmtId="167" fontId="102" fillId="10" borderId="119" xfId="0" applyNumberFormat="1" applyFont="1" applyFill="1" applyBorder="1" applyAlignment="1">
      <alignment wrapText="1"/>
    </xf>
    <xf numFmtId="167" fontId="268" fillId="13" borderId="101" xfId="24" applyNumberFormat="1" applyFont="1" applyFill="1" applyBorder="1" applyProtection="1">
      <protection locked="0"/>
    </xf>
    <xf numFmtId="167" fontId="102" fillId="75" borderId="119" xfId="19" applyNumberFormat="1" applyFont="1" applyFill="1" applyBorder="1" applyProtection="1">
      <protection locked="0"/>
    </xf>
    <xf numFmtId="167" fontId="102" fillId="76" borderId="119" xfId="19" applyNumberFormat="1" applyFont="1" applyFill="1" applyBorder="1" applyProtection="1">
      <protection locked="0"/>
    </xf>
    <xf numFmtId="167" fontId="102" fillId="13" borderId="119" xfId="19" applyNumberFormat="1" applyFont="1" applyFill="1" applyBorder="1" applyProtection="1">
      <protection locked="0"/>
    </xf>
    <xf numFmtId="167" fontId="102" fillId="10" borderId="123" xfId="336" applyNumberFormat="1" applyFont="1" applyFill="1" applyBorder="1" applyProtection="1">
      <protection locked="0"/>
    </xf>
    <xf numFmtId="167" fontId="102" fillId="10" borderId="97" xfId="1" applyNumberFormat="1" applyFont="1" applyFill="1" applyBorder="1" applyProtection="1">
      <protection locked="0"/>
    </xf>
    <xf numFmtId="167" fontId="102" fillId="10" borderId="124" xfId="1" applyNumberFormat="1" applyFont="1" applyFill="1" applyBorder="1" applyProtection="1">
      <protection locked="0"/>
    </xf>
    <xf numFmtId="167" fontId="102" fillId="10" borderId="76" xfId="1" applyNumberFormat="1" applyFont="1" applyFill="1" applyBorder="1" applyProtection="1">
      <protection locked="0"/>
    </xf>
    <xf numFmtId="167" fontId="102" fillId="13" borderId="119" xfId="336" applyNumberFormat="1" applyFont="1" applyFill="1" applyBorder="1" applyProtection="1">
      <protection locked="0"/>
    </xf>
    <xf numFmtId="167" fontId="102" fillId="0" borderId="0" xfId="0" applyNumberFormat="1" applyFont="1" applyAlignment="1">
      <alignment horizontal="left" vertical="top"/>
    </xf>
    <xf numFmtId="167" fontId="123" fillId="10" borderId="101" xfId="1" applyNumberFormat="1" applyFont="1" applyFill="1" applyBorder="1"/>
    <xf numFmtId="167" fontId="104" fillId="10" borderId="101" xfId="1" applyNumberFormat="1" applyFont="1" applyFill="1" applyBorder="1"/>
    <xf numFmtId="0" fontId="104" fillId="10" borderId="101" xfId="0" applyFont="1" applyFill="1" applyBorder="1" applyAlignment="1">
      <alignment wrapText="1"/>
    </xf>
    <xf numFmtId="0" fontId="104" fillId="10" borderId="119" xfId="0" applyFont="1" applyFill="1" applyBorder="1" applyAlignment="1">
      <alignment wrapText="1"/>
    </xf>
    <xf numFmtId="167" fontId="123" fillId="10" borderId="119" xfId="19" applyNumberFormat="1" applyFont="1" applyFill="1" applyBorder="1"/>
    <xf numFmtId="167" fontId="104" fillId="10" borderId="119" xfId="19" applyNumberFormat="1" applyFont="1" applyFill="1" applyBorder="1"/>
    <xf numFmtId="167" fontId="123" fillId="13" borderId="119" xfId="19" applyNumberFormat="1" applyFont="1" applyFill="1" applyBorder="1"/>
    <xf numFmtId="167" fontId="123" fillId="10" borderId="119" xfId="1" applyNumberFormat="1" applyFont="1" applyFill="1" applyBorder="1"/>
    <xf numFmtId="167" fontId="104" fillId="10" borderId="119" xfId="1" applyNumberFormat="1" applyFont="1" applyFill="1" applyBorder="1"/>
    <xf numFmtId="0" fontId="104" fillId="10" borderId="101" xfId="0" applyFont="1" applyFill="1" applyBorder="1" applyAlignment="1">
      <alignment horizontal="left" wrapText="1"/>
    </xf>
    <xf numFmtId="167" fontId="104" fillId="14" borderId="101" xfId="19" applyNumberFormat="1" applyFont="1" applyFill="1" applyBorder="1" applyAlignment="1" applyProtection="1">
      <protection locked="0"/>
    </xf>
    <xf numFmtId="167" fontId="104" fillId="13" borderId="101" xfId="19" applyNumberFormat="1" applyFont="1" applyFill="1" applyBorder="1" applyAlignment="1" applyProtection="1">
      <protection locked="0"/>
    </xf>
    <xf numFmtId="167" fontId="104" fillId="14" borderId="101" xfId="1" applyNumberFormat="1" applyFont="1" applyFill="1" applyBorder="1" applyAlignment="1" applyProtection="1">
      <protection locked="0"/>
    </xf>
    <xf numFmtId="167" fontId="125" fillId="10" borderId="101" xfId="1" applyNumberFormat="1" applyFont="1" applyFill="1" applyBorder="1"/>
    <xf numFmtId="0" fontId="104" fillId="10" borderId="119" xfId="0" applyFont="1" applyFill="1" applyBorder="1" applyAlignment="1">
      <alignment vertical="top" wrapText="1"/>
    </xf>
    <xf numFmtId="167" fontId="104" fillId="10" borderId="101" xfId="19" applyNumberFormat="1" applyFont="1" applyFill="1" applyBorder="1" applyAlignment="1">
      <alignment vertical="top"/>
    </xf>
    <xf numFmtId="167" fontId="104" fillId="13" borderId="101" xfId="19" applyNumberFormat="1" applyFont="1" applyFill="1" applyBorder="1" applyAlignment="1">
      <alignment vertical="top"/>
    </xf>
    <xf numFmtId="167" fontId="104" fillId="10" borderId="101" xfId="1" applyNumberFormat="1" applyFont="1" applyFill="1" applyBorder="1" applyAlignment="1">
      <alignment vertical="top"/>
    </xf>
    <xf numFmtId="167" fontId="104" fillId="10" borderId="96" xfId="19" applyNumberFormat="1" applyFont="1" applyFill="1" applyBorder="1"/>
    <xf numFmtId="167" fontId="104" fillId="13" borderId="96" xfId="19" applyNumberFormat="1" applyFont="1" applyFill="1" applyBorder="1"/>
    <xf numFmtId="167" fontId="104" fillId="10" borderId="96" xfId="1" applyNumberFormat="1" applyFont="1" applyFill="1" applyBorder="1"/>
    <xf numFmtId="167" fontId="104" fillId="13" borderId="119" xfId="19" applyNumberFormat="1" applyFont="1" applyFill="1" applyBorder="1"/>
    <xf numFmtId="0" fontId="104" fillId="10" borderId="112" xfId="0" applyFont="1" applyFill="1" applyBorder="1" applyAlignment="1">
      <alignment wrapText="1"/>
    </xf>
    <xf numFmtId="167" fontId="104" fillId="10" borderId="112" xfId="19" applyNumberFormat="1" applyFont="1" applyFill="1" applyBorder="1"/>
    <xf numFmtId="167" fontId="104" fillId="13" borderId="112" xfId="19" applyNumberFormat="1" applyFont="1" applyFill="1" applyBorder="1"/>
    <xf numFmtId="167" fontId="104" fillId="10" borderId="112" xfId="1" applyNumberFormat="1" applyFont="1" applyFill="1" applyBorder="1"/>
    <xf numFmtId="167" fontId="102" fillId="10" borderId="112" xfId="1" applyNumberFormat="1" applyFont="1" applyFill="1" applyBorder="1"/>
    <xf numFmtId="167" fontId="102" fillId="10" borderId="119" xfId="19" applyNumberFormat="1" applyFont="1" applyFill="1" applyBorder="1"/>
    <xf numFmtId="167" fontId="102" fillId="13" borderId="119" xfId="19" applyNumberFormat="1" applyFont="1" applyFill="1" applyBorder="1"/>
    <xf numFmtId="167" fontId="102" fillId="10" borderId="119" xfId="1" applyNumberFormat="1" applyFont="1" applyFill="1" applyBorder="1"/>
    <xf numFmtId="167" fontId="102" fillId="10" borderId="96" xfId="1" applyNumberFormat="1" applyFont="1" applyFill="1" applyBorder="1"/>
    <xf numFmtId="43" fontId="102" fillId="10" borderId="101" xfId="19" applyFont="1" applyFill="1" applyBorder="1"/>
    <xf numFmtId="43" fontId="102" fillId="10" borderId="101" xfId="1" applyFont="1" applyFill="1" applyBorder="1"/>
    <xf numFmtId="0" fontId="102" fillId="10" borderId="109" xfId="0" applyFont="1" applyFill="1" applyBorder="1" applyAlignment="1">
      <alignment horizontal="right" vertical="center" wrapText="1"/>
    </xf>
    <xf numFmtId="0" fontId="93" fillId="10" borderId="119" xfId="0" applyFont="1" applyFill="1" applyBorder="1" applyAlignment="1">
      <alignment horizontal="right" vertical="center" wrapText="1"/>
    </xf>
    <xf numFmtId="167" fontId="102" fillId="13" borderId="109" xfId="19" applyNumberFormat="1" applyFont="1" applyFill="1" applyBorder="1"/>
    <xf numFmtId="167" fontId="102" fillId="10" borderId="109" xfId="1" applyNumberFormat="1" applyFont="1" applyFill="1" applyBorder="1"/>
    <xf numFmtId="0" fontId="102" fillId="0" borderId="101" xfId="200" applyFont="1" applyBorder="1" applyAlignment="1">
      <alignment horizontal="center"/>
    </xf>
    <xf numFmtId="0" fontId="104" fillId="0" borderId="101" xfId="200" applyFont="1" applyBorder="1" applyAlignment="1">
      <alignment horizontal="left" vertical="center" wrapText="1"/>
    </xf>
    <xf numFmtId="0" fontId="102" fillId="10" borderId="101" xfId="200" applyFont="1" applyFill="1" applyBorder="1" applyAlignment="1">
      <alignment horizontal="center"/>
    </xf>
    <xf numFmtId="0" fontId="102" fillId="10" borderId="101" xfId="0" applyFont="1" applyFill="1" applyBorder="1" applyAlignment="1">
      <alignment horizontal="right" wrapText="1"/>
    </xf>
    <xf numFmtId="0" fontId="93" fillId="10" borderId="101" xfId="200" applyFont="1" applyFill="1" applyBorder="1" applyAlignment="1">
      <alignment horizontal="right" vertical="center" wrapText="1"/>
    </xf>
    <xf numFmtId="167" fontId="102" fillId="21" borderId="119" xfId="19" applyNumberFormat="1" applyFont="1" applyFill="1" applyBorder="1" applyProtection="1">
      <protection locked="0"/>
    </xf>
    <xf numFmtId="0" fontId="102" fillId="21" borderId="119" xfId="0" applyFont="1" applyFill="1" applyBorder="1" applyAlignment="1">
      <alignment horizontal="right" wrapText="1"/>
    </xf>
    <xf numFmtId="0" fontId="102" fillId="21" borderId="119" xfId="0" applyFont="1" applyFill="1" applyBorder="1" applyAlignment="1">
      <alignment horizontal="right"/>
    </xf>
    <xf numFmtId="0" fontId="93" fillId="21" borderId="96" xfId="0" applyFont="1" applyFill="1" applyBorder="1" applyAlignment="1">
      <alignment horizontal="left" vertical="top" wrapText="1"/>
    </xf>
    <xf numFmtId="0" fontId="83" fillId="10" borderId="119" xfId="0" applyFont="1" applyFill="1" applyBorder="1" applyAlignment="1">
      <alignment horizontal="right" vertical="center" wrapText="1"/>
    </xf>
    <xf numFmtId="0" fontId="102" fillId="21" borderId="96" xfId="0" applyFont="1" applyFill="1" applyBorder="1" applyAlignment="1">
      <alignment horizontal="left" vertical="top" wrapText="1"/>
    </xf>
    <xf numFmtId="0" fontId="104" fillId="10" borderId="119" xfId="0" applyFont="1" applyFill="1" applyBorder="1" applyAlignment="1">
      <alignment horizontal="right" vertical="center" wrapText="1"/>
    </xf>
    <xf numFmtId="0" fontId="83" fillId="0" borderId="96" xfId="274" quotePrefix="1" applyFont="1" applyBorder="1"/>
    <xf numFmtId="167" fontId="102" fillId="10" borderId="119" xfId="144" applyNumberFormat="1" applyFont="1" applyFill="1" applyBorder="1" applyProtection="1">
      <protection locked="0"/>
    </xf>
    <xf numFmtId="167" fontId="96" fillId="10" borderId="119" xfId="336" applyNumberFormat="1" applyFont="1" applyFill="1" applyBorder="1" applyProtection="1">
      <protection locked="0"/>
    </xf>
    <xf numFmtId="167" fontId="83" fillId="10" borderId="119" xfId="19" applyNumberFormat="1" applyFont="1" applyFill="1" applyBorder="1" applyProtection="1">
      <protection locked="0"/>
    </xf>
    <xf numFmtId="0" fontId="104" fillId="10" borderId="101" xfId="0" applyFont="1" applyFill="1" applyBorder="1" applyAlignment="1">
      <alignment horizontal="center"/>
    </xf>
    <xf numFmtId="167" fontId="104" fillId="10" borderId="101" xfId="1" applyNumberFormat="1" applyFont="1" applyFill="1" applyBorder="1" applyProtection="1">
      <protection locked="0"/>
    </xf>
    <xf numFmtId="167" fontId="104" fillId="10" borderId="119" xfId="19" applyNumberFormat="1" applyFont="1" applyFill="1" applyBorder="1" applyProtection="1">
      <protection locked="0"/>
    </xf>
    <xf numFmtId="0" fontId="129" fillId="36" borderId="0" xfId="0" applyFont="1" applyFill="1" applyAlignment="1">
      <alignment wrapText="1"/>
    </xf>
    <xf numFmtId="167" fontId="86" fillId="10" borderId="119" xfId="336" applyNumberFormat="1" applyFont="1" applyFill="1" applyBorder="1" applyProtection="1">
      <protection locked="0"/>
    </xf>
    <xf numFmtId="167" fontId="104" fillId="13" borderId="119" xfId="19" applyNumberFormat="1" applyFont="1" applyFill="1" applyBorder="1" applyProtection="1">
      <protection locked="0"/>
    </xf>
    <xf numFmtId="167" fontId="104" fillId="10" borderId="119" xfId="336" applyNumberFormat="1" applyFont="1" applyFill="1" applyBorder="1" applyProtection="1">
      <protection locked="0"/>
    </xf>
    <xf numFmtId="167" fontId="104" fillId="10" borderId="109" xfId="19" applyNumberFormat="1" applyFont="1" applyFill="1" applyBorder="1" applyProtection="1">
      <protection locked="0"/>
    </xf>
    <xf numFmtId="167" fontId="104" fillId="10" borderId="109" xfId="1" applyNumberFormat="1" applyFont="1" applyFill="1" applyBorder="1" applyProtection="1">
      <protection locked="0"/>
    </xf>
    <xf numFmtId="167" fontId="83" fillId="10" borderId="101" xfId="1" applyNumberFormat="1" applyFont="1" applyFill="1" applyBorder="1" applyProtection="1">
      <protection locked="0"/>
    </xf>
    <xf numFmtId="167" fontId="83" fillId="36" borderId="119" xfId="19" applyNumberFormat="1" applyFont="1" applyFill="1" applyBorder="1" applyProtection="1">
      <protection locked="0"/>
    </xf>
    <xf numFmtId="0" fontId="93" fillId="10" borderId="96" xfId="274" applyFont="1" applyFill="1" applyBorder="1" applyAlignment="1">
      <alignment horizontal="right" vertical="center" wrapText="1"/>
    </xf>
    <xf numFmtId="164" fontId="102" fillId="0" borderId="0" xfId="0" applyNumberFormat="1" applyFont="1"/>
    <xf numFmtId="0" fontId="102" fillId="10" borderId="109" xfId="0" applyFont="1" applyFill="1" applyBorder="1" applyAlignment="1">
      <alignment horizontal="center"/>
    </xf>
    <xf numFmtId="9" fontId="102" fillId="0" borderId="0" xfId="0" applyNumberFormat="1" applyFont="1" applyAlignment="1">
      <alignment wrapText="1"/>
    </xf>
    <xf numFmtId="49" fontId="82" fillId="0" borderId="101" xfId="0" applyNumberFormat="1" applyFont="1" applyBorder="1" applyAlignment="1">
      <alignment wrapText="1"/>
    </xf>
    <xf numFmtId="167" fontId="82" fillId="0" borderId="100" xfId="1" applyNumberFormat="1" applyFont="1" applyFill="1" applyBorder="1" applyAlignment="1" applyProtection="1">
      <alignment horizontal="center" vertical="center" wrapText="1"/>
    </xf>
    <xf numFmtId="167" fontId="91" fillId="10" borderId="119" xfId="24" applyNumberFormat="1" applyFont="1" applyFill="1" applyBorder="1" applyProtection="1">
      <protection locked="0"/>
    </xf>
    <xf numFmtId="0" fontId="93" fillId="27" borderId="119" xfId="0" applyFont="1" applyFill="1" applyBorder="1" applyAlignment="1">
      <alignment horizontal="left" vertical="center" wrapText="1"/>
    </xf>
    <xf numFmtId="43" fontId="201" fillId="27" borderId="119" xfId="24" applyFont="1" applyFill="1" applyBorder="1" applyAlignment="1" applyProtection="1">
      <alignment horizontal="center"/>
      <protection locked="0"/>
    </xf>
    <xf numFmtId="167" fontId="102" fillId="27" borderId="119" xfId="24" applyNumberFormat="1" applyFont="1" applyFill="1" applyBorder="1" applyProtection="1">
      <protection locked="0"/>
    </xf>
    <xf numFmtId="43" fontId="201" fillId="10" borderId="119" xfId="24" applyFont="1" applyFill="1" applyBorder="1" applyAlignment="1" applyProtection="1">
      <alignment horizontal="center"/>
      <protection locked="0"/>
    </xf>
    <xf numFmtId="167" fontId="102" fillId="10" borderId="119" xfId="24" applyNumberFormat="1" applyFont="1" applyFill="1" applyBorder="1" applyProtection="1">
      <protection locked="0"/>
    </xf>
    <xf numFmtId="43" fontId="101" fillId="10" borderId="119" xfId="24" applyFont="1" applyFill="1" applyBorder="1" applyAlignment="1" applyProtection="1">
      <alignment horizontal="center"/>
      <protection locked="0"/>
    </xf>
    <xf numFmtId="167" fontId="102" fillId="13" borderId="119" xfId="24" applyNumberFormat="1" applyFont="1" applyFill="1" applyBorder="1" applyProtection="1">
      <protection locked="0"/>
    </xf>
    <xf numFmtId="167" fontId="102" fillId="21" borderId="119" xfId="24" applyNumberFormat="1" applyFont="1" applyFill="1" applyBorder="1" applyProtection="1">
      <protection locked="0"/>
    </xf>
    <xf numFmtId="167" fontId="110" fillId="27" borderId="119" xfId="24" applyNumberFormat="1" applyFont="1" applyFill="1" applyBorder="1" applyProtection="1">
      <protection locked="0"/>
    </xf>
    <xf numFmtId="167" fontId="83" fillId="10" borderId="119" xfId="19" applyNumberFormat="1" applyFont="1" applyFill="1" applyBorder="1" applyAlignment="1" applyProtection="1">
      <alignment horizontal="center"/>
      <protection locked="0"/>
    </xf>
    <xf numFmtId="167" fontId="125" fillId="27" borderId="119" xfId="19" applyNumberFormat="1" applyFont="1" applyFill="1" applyBorder="1" applyAlignment="1" applyProtection="1">
      <alignment horizontal="center"/>
      <protection locked="0"/>
    </xf>
    <xf numFmtId="167" fontId="125" fillId="27" borderId="119" xfId="24" applyNumberFormat="1" applyFont="1" applyFill="1" applyBorder="1" applyProtection="1">
      <protection locked="0"/>
    </xf>
    <xf numFmtId="0" fontId="110" fillId="27" borderId="119" xfId="0" applyFont="1" applyFill="1" applyBorder="1" applyAlignment="1">
      <alignment wrapText="1"/>
    </xf>
    <xf numFmtId="167" fontId="94" fillId="27" borderId="119" xfId="24" applyNumberFormat="1" applyFont="1" applyFill="1" applyBorder="1" applyProtection="1">
      <protection locked="0"/>
    </xf>
    <xf numFmtId="167" fontId="94" fillId="27" borderId="119" xfId="19" applyNumberFormat="1" applyFont="1" applyFill="1" applyBorder="1" applyAlignment="1" applyProtection="1">
      <alignment horizontal="center"/>
      <protection locked="0"/>
    </xf>
    <xf numFmtId="167" fontId="109" fillId="10" borderId="119" xfId="19" applyNumberFormat="1" applyFont="1" applyFill="1" applyBorder="1" applyAlignment="1">
      <alignment horizontal="center"/>
    </xf>
    <xf numFmtId="0" fontId="109" fillId="11" borderId="0" xfId="0" applyFont="1" applyFill="1"/>
    <xf numFmtId="0" fontId="93" fillId="6" borderId="0" xfId="0" applyFont="1" applyFill="1"/>
    <xf numFmtId="167" fontId="93" fillId="10" borderId="119" xfId="19" applyNumberFormat="1" applyFont="1" applyFill="1" applyBorder="1" applyAlignment="1">
      <alignment horizontal="center"/>
    </xf>
    <xf numFmtId="167" fontId="93" fillId="13" borderId="119" xfId="19" applyNumberFormat="1" applyFont="1" applyFill="1" applyBorder="1" applyProtection="1">
      <protection locked="0"/>
    </xf>
    <xf numFmtId="167" fontId="94" fillId="10" borderId="119" xfId="19" applyNumberFormat="1" applyFont="1" applyFill="1" applyBorder="1" applyAlignment="1">
      <alignment horizontal="center"/>
    </xf>
    <xf numFmtId="0" fontId="109" fillId="6" borderId="0" xfId="0" applyFont="1" applyFill="1"/>
    <xf numFmtId="0" fontId="94" fillId="10" borderId="119" xfId="0" applyFont="1" applyFill="1" applyBorder="1" applyAlignment="1">
      <alignment horizontal="left" vertical="center" wrapText="1"/>
    </xf>
    <xf numFmtId="0" fontId="104" fillId="10" borderId="119" xfId="0" applyFont="1" applyFill="1" applyBorder="1" applyAlignment="1">
      <alignment horizontal="left" vertical="center" wrapText="1"/>
    </xf>
    <xf numFmtId="167" fontId="102" fillId="10" borderId="119" xfId="19" applyNumberFormat="1" applyFont="1" applyFill="1" applyBorder="1" applyAlignment="1">
      <alignment horizontal="center"/>
    </xf>
    <xf numFmtId="167" fontId="102" fillId="27" borderId="101" xfId="19" applyNumberFormat="1" applyFont="1" applyFill="1" applyBorder="1" applyAlignment="1">
      <alignment horizontal="center"/>
    </xf>
    <xf numFmtId="0" fontId="129" fillId="0" borderId="0" xfId="0" applyFont="1" applyAlignment="1">
      <alignment wrapText="1"/>
    </xf>
    <xf numFmtId="167" fontId="102" fillId="21" borderId="119" xfId="19" applyNumberFormat="1" applyFont="1" applyFill="1" applyBorder="1" applyAlignment="1">
      <alignment horizontal="center"/>
    </xf>
    <xf numFmtId="43" fontId="101" fillId="27" borderId="119" xfId="24" applyFont="1" applyFill="1" applyBorder="1" applyAlignment="1" applyProtection="1">
      <alignment horizontal="center"/>
      <protection locked="0"/>
    </xf>
    <xf numFmtId="167" fontId="102" fillId="10" borderId="96" xfId="19" applyNumberFormat="1" applyFont="1" applyFill="1" applyBorder="1" applyAlignment="1">
      <alignment horizontal="center"/>
    </xf>
    <xf numFmtId="0" fontId="93" fillId="11" borderId="0" xfId="0" applyFont="1" applyFill="1" applyAlignment="1">
      <alignment wrapText="1"/>
    </xf>
    <xf numFmtId="167" fontId="102" fillId="10" borderId="116" xfId="19" applyNumberFormat="1" applyFont="1" applyFill="1" applyBorder="1" applyAlignment="1">
      <alignment horizontal="center"/>
    </xf>
    <xf numFmtId="167" fontId="104" fillId="10" borderId="109" xfId="24" applyNumberFormat="1" applyFont="1" applyFill="1" applyBorder="1" applyProtection="1">
      <protection locked="0"/>
    </xf>
    <xf numFmtId="0" fontId="93" fillId="27" borderId="119" xfId="0" applyFont="1" applyFill="1" applyBorder="1" applyAlignment="1">
      <alignment horizontal="center"/>
    </xf>
    <xf numFmtId="167" fontId="93" fillId="27" borderId="119" xfId="19" applyNumberFormat="1" applyFont="1" applyFill="1" applyBorder="1" applyProtection="1">
      <protection locked="0"/>
    </xf>
    <xf numFmtId="167" fontId="93" fillId="27" borderId="119" xfId="19" applyNumberFormat="1" applyFont="1" applyFill="1" applyBorder="1" applyAlignment="1">
      <alignment horizontal="center"/>
    </xf>
    <xf numFmtId="167" fontId="96" fillId="27" borderId="119" xfId="19" applyNumberFormat="1" applyFont="1" applyFill="1" applyBorder="1" applyProtection="1">
      <protection locked="0"/>
    </xf>
    <xf numFmtId="0" fontId="102" fillId="21" borderId="119" xfId="0" applyFont="1" applyFill="1" applyBorder="1" applyAlignment="1">
      <alignment horizontal="left" vertical="center" wrapText="1"/>
    </xf>
    <xf numFmtId="167" fontId="102" fillId="10" borderId="109" xfId="19" applyNumberFormat="1" applyFont="1" applyFill="1" applyBorder="1" applyAlignment="1">
      <alignment horizontal="center"/>
    </xf>
    <xf numFmtId="167" fontId="123" fillId="14" borderId="101" xfId="1" applyNumberFormat="1" applyFont="1" applyFill="1" applyBorder="1" applyAlignment="1" applyProtection="1">
      <alignment horizontal="center" vertical="center"/>
      <protection locked="0"/>
    </xf>
    <xf numFmtId="167" fontId="201" fillId="10" borderId="119" xfId="1" applyNumberFormat="1" applyFont="1" applyFill="1" applyBorder="1" applyAlignment="1" applyProtection="1">
      <alignment horizontal="center" vertical="center"/>
      <protection locked="0"/>
    </xf>
    <xf numFmtId="167" fontId="102" fillId="10" borderId="119" xfId="1" applyNumberFormat="1" applyFont="1" applyFill="1" applyBorder="1" applyAlignment="1" applyProtection="1">
      <alignment horizontal="center" vertical="center"/>
      <protection locked="0"/>
    </xf>
    <xf numFmtId="0" fontId="201" fillId="10" borderId="119" xfId="0" applyFont="1" applyFill="1" applyBorder="1" applyAlignment="1">
      <alignment horizontal="left" vertical="center" wrapText="1"/>
    </xf>
    <xf numFmtId="0" fontId="102" fillId="10" borderId="119" xfId="0" applyFont="1" applyFill="1" applyBorder="1" applyAlignment="1">
      <alignment vertical="center" wrapText="1"/>
    </xf>
    <xf numFmtId="167" fontId="201" fillId="10" borderId="119" xfId="336" applyNumberFormat="1" applyFont="1" applyFill="1" applyBorder="1" applyAlignment="1" applyProtection="1">
      <alignment horizontal="center" vertical="center"/>
      <protection locked="0"/>
    </xf>
    <xf numFmtId="167" fontId="102" fillId="10" borderId="119" xfId="336" applyNumberFormat="1" applyFont="1" applyFill="1" applyBorder="1" applyAlignment="1" applyProtection="1">
      <alignment horizontal="center" vertical="center"/>
      <protection locked="0"/>
    </xf>
    <xf numFmtId="167" fontId="185" fillId="73" borderId="119" xfId="19" applyNumberFormat="1" applyFont="1" applyFill="1" applyBorder="1" applyAlignment="1" applyProtection="1">
      <alignment horizontal="center" vertical="center"/>
      <protection locked="0"/>
    </xf>
    <xf numFmtId="167" fontId="96" fillId="13" borderId="119" xfId="336" applyNumberFormat="1" applyFont="1" applyFill="1" applyBorder="1" applyProtection="1">
      <protection locked="0"/>
    </xf>
    <xf numFmtId="167" fontId="104" fillId="73" borderId="119" xfId="19" applyNumberFormat="1" applyFont="1" applyFill="1" applyBorder="1" applyAlignment="1" applyProtection="1">
      <alignment horizontal="center" vertical="center"/>
      <protection locked="0"/>
    </xf>
    <xf numFmtId="167" fontId="104" fillId="10" borderId="119" xfId="336" applyNumberFormat="1" applyFont="1" applyFill="1" applyBorder="1" applyAlignment="1" applyProtection="1">
      <alignment horizontal="center" vertical="center"/>
      <protection locked="0"/>
    </xf>
    <xf numFmtId="167" fontId="94" fillId="10" borderId="119" xfId="336" applyNumberFormat="1" applyFont="1" applyFill="1" applyBorder="1" applyAlignment="1" applyProtection="1">
      <alignment horizontal="center" vertical="center"/>
      <protection locked="0"/>
    </xf>
    <xf numFmtId="167" fontId="102" fillId="10" borderId="119" xfId="336" applyNumberFormat="1" applyFont="1" applyFill="1" applyBorder="1" applyAlignment="1" applyProtection="1">
      <alignment vertical="center"/>
      <protection locked="0"/>
    </xf>
    <xf numFmtId="167" fontId="102" fillId="21" borderId="0" xfId="0" applyNumberFormat="1" applyFont="1" applyFill="1"/>
    <xf numFmtId="167" fontId="123" fillId="10" borderId="119" xfId="336" applyNumberFormat="1" applyFont="1" applyFill="1" applyBorder="1" applyAlignment="1" applyProtection="1">
      <alignment horizontal="center" vertical="center"/>
      <protection locked="0"/>
    </xf>
    <xf numFmtId="0" fontId="94" fillId="0" borderId="0" xfId="0" applyFont="1" applyAlignment="1">
      <alignment horizontal="left" vertical="center"/>
    </xf>
    <xf numFmtId="0" fontId="201" fillId="10" borderId="101" xfId="0" applyFont="1" applyFill="1" applyBorder="1" applyAlignment="1">
      <alignment horizontal="left" vertical="center" wrapText="1"/>
    </xf>
    <xf numFmtId="0" fontId="102" fillId="0" borderId="0" xfId="0" applyFont="1" applyAlignment="1">
      <alignment horizontal="left" vertical="center"/>
    </xf>
    <xf numFmtId="167" fontId="104" fillId="10" borderId="96" xfId="1" applyNumberFormat="1" applyFont="1" applyFill="1" applyBorder="1" applyAlignment="1" applyProtection="1">
      <alignment horizontal="center" vertical="center"/>
      <protection locked="0"/>
    </xf>
    <xf numFmtId="167" fontId="104" fillId="27" borderId="101" xfId="1" applyNumberFormat="1" applyFont="1" applyFill="1" applyBorder="1" applyAlignment="1" applyProtection="1">
      <alignment horizontal="center" vertical="center"/>
      <protection locked="0"/>
    </xf>
    <xf numFmtId="167" fontId="102" fillId="13" borderId="109" xfId="1" applyNumberFormat="1" applyFont="1" applyFill="1" applyBorder="1" applyProtection="1">
      <protection locked="0"/>
    </xf>
    <xf numFmtId="3" fontId="102" fillId="10" borderId="119" xfId="336" applyNumberFormat="1" applyFont="1" applyFill="1" applyBorder="1" applyAlignment="1" applyProtection="1">
      <alignment horizontal="right" vertical="center"/>
      <protection locked="0"/>
    </xf>
    <xf numFmtId="167" fontId="104" fillId="10" borderId="119" xfId="1" applyNumberFormat="1" applyFont="1" applyFill="1" applyBorder="1" applyAlignment="1" applyProtection="1">
      <alignment horizontal="center" vertical="center"/>
      <protection locked="0"/>
    </xf>
    <xf numFmtId="0" fontId="269" fillId="0" borderId="0" xfId="0" applyFont="1" applyAlignment="1">
      <alignment horizontal="left" vertical="center"/>
    </xf>
    <xf numFmtId="167" fontId="102" fillId="10" borderId="119" xfId="23" applyNumberFormat="1" applyFont="1" applyFill="1" applyBorder="1" applyAlignment="1">
      <alignment horizontal="center" vertical="center"/>
    </xf>
    <xf numFmtId="167" fontId="102" fillId="23" borderId="119" xfId="23" applyNumberFormat="1" applyFont="1" applyFill="1" applyBorder="1" applyAlignment="1">
      <alignment horizontal="center" vertical="center"/>
    </xf>
    <xf numFmtId="167" fontId="123" fillId="73" borderId="119" xfId="19" applyNumberFormat="1" applyFont="1" applyFill="1" applyBorder="1" applyProtection="1">
      <protection locked="0"/>
    </xf>
    <xf numFmtId="167" fontId="201" fillId="13" borderId="119" xfId="336" applyNumberFormat="1" applyFont="1" applyFill="1" applyBorder="1" applyProtection="1">
      <protection locked="0"/>
    </xf>
    <xf numFmtId="0" fontId="104" fillId="0" borderId="101" xfId="0" quotePrefix="1" applyFont="1" applyBorder="1" applyAlignment="1">
      <alignment horizontal="left" vertical="center"/>
    </xf>
    <xf numFmtId="167" fontId="185" fillId="14" borderId="101" xfId="19" applyNumberFormat="1" applyFont="1" applyFill="1" applyBorder="1"/>
    <xf numFmtId="0" fontId="96" fillId="10" borderId="119" xfId="0" applyFont="1" applyFill="1" applyBorder="1"/>
    <xf numFmtId="167" fontId="94" fillId="27" borderId="101" xfId="23" applyNumberFormat="1" applyFont="1" applyFill="1" applyBorder="1" applyProtection="1">
      <protection locked="0"/>
    </xf>
    <xf numFmtId="167" fontId="102" fillId="13" borderId="119" xfId="23" applyNumberFormat="1" applyFont="1" applyFill="1" applyBorder="1" applyProtection="1">
      <protection locked="0"/>
    </xf>
    <xf numFmtId="167" fontId="125" fillId="10" borderId="101" xfId="19" applyNumberFormat="1" applyFont="1" applyFill="1" applyBorder="1" applyAlignment="1">
      <alignment horizontal="center"/>
    </xf>
    <xf numFmtId="0" fontId="125" fillId="10" borderId="101" xfId="0" applyFont="1" applyFill="1" applyBorder="1" applyAlignment="1">
      <alignment horizontal="left" vertical="center"/>
    </xf>
    <xf numFmtId="0" fontId="125" fillId="10" borderId="101" xfId="0" applyFont="1" applyFill="1" applyBorder="1" applyAlignment="1">
      <alignment horizontal="center" vertical="center"/>
    </xf>
    <xf numFmtId="167" fontId="254" fillId="10" borderId="101" xfId="1" applyNumberFormat="1" applyFont="1" applyFill="1" applyBorder="1" applyAlignment="1" applyProtection="1">
      <alignment horizontal="center" vertical="center"/>
      <protection locked="0"/>
    </xf>
    <xf numFmtId="167" fontId="125" fillId="10" borderId="101" xfId="1" applyNumberFormat="1" applyFont="1" applyFill="1" applyBorder="1" applyAlignment="1" applyProtection="1">
      <alignment horizontal="center" vertical="center"/>
      <protection locked="0"/>
    </xf>
    <xf numFmtId="167" fontId="125" fillId="13" borderId="101" xfId="1" applyNumberFormat="1" applyFont="1" applyFill="1" applyBorder="1" applyProtection="1">
      <protection locked="0"/>
    </xf>
    <xf numFmtId="167" fontId="253" fillId="10" borderId="101" xfId="1" applyNumberFormat="1" applyFont="1" applyFill="1" applyBorder="1" applyAlignment="1" applyProtection="1">
      <alignment horizontal="center" vertical="center"/>
      <protection locked="0"/>
    </xf>
    <xf numFmtId="0" fontId="253" fillId="0" borderId="101" xfId="0" applyFont="1" applyBorder="1" applyAlignment="1">
      <alignment horizontal="center" vertical="center"/>
    </xf>
    <xf numFmtId="167" fontId="254" fillId="14" borderId="101" xfId="1" applyNumberFormat="1" applyFont="1" applyFill="1" applyBorder="1" applyAlignment="1" applyProtection="1">
      <alignment horizontal="center" vertical="center"/>
      <protection locked="0"/>
    </xf>
    <xf numFmtId="167" fontId="253" fillId="13" borderId="101" xfId="1" applyNumberFormat="1" applyFont="1" applyFill="1" applyBorder="1" applyProtection="1">
      <protection locked="0"/>
    </xf>
    <xf numFmtId="0" fontId="270" fillId="0" borderId="0" xfId="0" applyFont="1" applyAlignment="1">
      <alignment horizontal="left" vertical="center"/>
    </xf>
    <xf numFmtId="167" fontId="125" fillId="10" borderId="101" xfId="22" applyNumberFormat="1" applyFont="1" applyFill="1" applyBorder="1" applyProtection="1">
      <protection locked="0"/>
    </xf>
    <xf numFmtId="167" fontId="125" fillId="13" borderId="101" xfId="22" applyNumberFormat="1" applyFont="1" applyFill="1" applyBorder="1" applyProtection="1">
      <protection locked="0"/>
    </xf>
    <xf numFmtId="183" fontId="109" fillId="34" borderId="119" xfId="22" applyNumberFormat="1" applyFont="1" applyFill="1" applyBorder="1"/>
    <xf numFmtId="167" fontId="93" fillId="10" borderId="119" xfId="22" applyNumberFormat="1" applyFont="1" applyFill="1" applyBorder="1"/>
    <xf numFmtId="167" fontId="93" fillId="10" borderId="119" xfId="19" applyNumberFormat="1" applyFont="1" applyFill="1" applyBorder="1" applyAlignment="1" applyProtection="1">
      <alignment horizontal="left"/>
      <protection locked="0"/>
    </xf>
    <xf numFmtId="43" fontId="93" fillId="10" borderId="101" xfId="19" applyFont="1" applyFill="1" applyBorder="1" applyAlignment="1">
      <alignment vertical="center" wrapText="1"/>
    </xf>
    <xf numFmtId="167" fontId="93" fillId="10" borderId="101" xfId="19" applyNumberFormat="1" applyFont="1" applyFill="1" applyBorder="1" applyAlignment="1">
      <alignment vertical="center" wrapText="1"/>
    </xf>
    <xf numFmtId="0" fontId="96" fillId="10" borderId="123" xfId="0" applyFont="1" applyFill="1" applyBorder="1"/>
    <xf numFmtId="0" fontId="93" fillId="10" borderId="123" xfId="0" applyFont="1" applyFill="1" applyBorder="1"/>
    <xf numFmtId="49" fontId="93" fillId="10" borderId="123" xfId="0" applyNumberFormat="1" applyFont="1" applyFill="1" applyBorder="1" applyAlignment="1">
      <alignment vertical="top"/>
    </xf>
    <xf numFmtId="0" fontId="93" fillId="10" borderId="123" xfId="0" applyFont="1" applyFill="1" applyBorder="1" applyAlignment="1">
      <alignment horizontal="center"/>
    </xf>
    <xf numFmtId="0" fontId="102" fillId="21" borderId="123" xfId="0" applyFont="1" applyFill="1" applyBorder="1" applyAlignment="1">
      <alignment horizontal="left" vertical="center" wrapText="1"/>
    </xf>
    <xf numFmtId="167" fontId="93" fillId="10" borderId="123" xfId="19" applyNumberFormat="1" applyFont="1" applyFill="1" applyBorder="1" applyProtection="1">
      <protection locked="0"/>
    </xf>
    <xf numFmtId="167" fontId="96" fillId="13" borderId="123" xfId="19" applyNumberFormat="1" applyFont="1" applyFill="1" applyBorder="1" applyProtection="1">
      <protection locked="0"/>
    </xf>
    <xf numFmtId="167" fontId="96" fillId="10" borderId="123" xfId="19" applyNumberFormat="1" applyFont="1" applyFill="1" applyBorder="1" applyProtection="1">
      <protection locked="0"/>
    </xf>
    <xf numFmtId="167" fontId="102" fillId="10" borderId="58" xfId="19" applyNumberFormat="1" applyFont="1" applyFill="1" applyBorder="1" applyProtection="1">
      <protection locked="0"/>
    </xf>
    <xf numFmtId="167" fontId="102" fillId="10" borderId="123" xfId="19" applyNumberFormat="1" applyFont="1" applyFill="1" applyBorder="1" applyProtection="1">
      <protection locked="0"/>
    </xf>
    <xf numFmtId="0" fontId="102" fillId="21" borderId="72" xfId="0" applyFont="1" applyFill="1" applyBorder="1" applyAlignment="1">
      <alignment horizontal="left" vertical="center" wrapText="1"/>
    </xf>
    <xf numFmtId="0" fontId="102" fillId="21" borderId="122" xfId="0" applyFont="1" applyFill="1" applyBorder="1" applyAlignment="1">
      <alignment horizontal="left" vertical="center" wrapText="1"/>
    </xf>
    <xf numFmtId="0" fontId="96" fillId="10" borderId="72" xfId="0" applyFont="1" applyFill="1" applyBorder="1"/>
    <xf numFmtId="0" fontId="93" fillId="10" borderId="72" xfId="0" applyFont="1" applyFill="1" applyBorder="1"/>
    <xf numFmtId="49" fontId="93" fillId="10" borderId="72" xfId="0" applyNumberFormat="1" applyFont="1" applyFill="1" applyBorder="1" applyAlignment="1">
      <alignment vertical="top"/>
    </xf>
    <xf numFmtId="0" fontId="93" fillId="10" borderId="72" xfId="0" applyFont="1" applyFill="1" applyBorder="1" applyAlignment="1">
      <alignment horizontal="center"/>
    </xf>
    <xf numFmtId="167" fontId="93" fillId="10" borderId="72" xfId="19" applyNumberFormat="1" applyFont="1" applyFill="1" applyBorder="1" applyProtection="1">
      <protection locked="0"/>
    </xf>
    <xf numFmtId="167" fontId="102" fillId="10" borderId="72" xfId="19" applyNumberFormat="1" applyFont="1" applyFill="1" applyBorder="1" applyProtection="1">
      <protection locked="0"/>
    </xf>
    <xf numFmtId="167" fontId="104" fillId="73" borderId="117" xfId="19" applyNumberFormat="1" applyFont="1" applyFill="1" applyBorder="1" applyProtection="1">
      <protection locked="0"/>
    </xf>
    <xf numFmtId="167" fontId="96" fillId="13" borderId="72" xfId="19" applyNumberFormat="1" applyFont="1" applyFill="1" applyBorder="1" applyProtection="1">
      <protection locked="0"/>
    </xf>
    <xf numFmtId="167" fontId="96" fillId="10" borderId="72" xfId="19" applyNumberFormat="1" applyFont="1" applyFill="1" applyBorder="1" applyProtection="1">
      <protection locked="0"/>
    </xf>
    <xf numFmtId="0" fontId="96" fillId="10" borderId="122" xfId="0" applyFont="1" applyFill="1" applyBorder="1"/>
    <xf numFmtId="0" fontId="93" fillId="10" borderId="122" xfId="0" applyFont="1" applyFill="1" applyBorder="1"/>
    <xf numFmtId="49" fontId="93" fillId="10" borderId="122" xfId="0" applyNumberFormat="1" applyFont="1" applyFill="1" applyBorder="1" applyAlignment="1">
      <alignment vertical="top"/>
    </xf>
    <xf numFmtId="0" fontId="93" fillId="10" borderId="122" xfId="0" applyFont="1" applyFill="1" applyBorder="1" applyAlignment="1">
      <alignment horizontal="center"/>
    </xf>
    <xf numFmtId="167" fontId="93" fillId="10" borderId="122" xfId="19" applyNumberFormat="1" applyFont="1" applyFill="1" applyBorder="1" applyProtection="1">
      <protection locked="0"/>
    </xf>
    <xf numFmtId="167" fontId="102" fillId="10" borderId="122" xfId="19" applyNumberFormat="1" applyFont="1" applyFill="1" applyBorder="1" applyProtection="1">
      <protection locked="0"/>
    </xf>
    <xf numFmtId="167" fontId="104" fillId="73" borderId="122" xfId="19" applyNumberFormat="1" applyFont="1" applyFill="1" applyBorder="1" applyProtection="1">
      <protection locked="0"/>
    </xf>
    <xf numFmtId="167" fontId="96" fillId="13" borderId="122" xfId="19" applyNumberFormat="1" applyFont="1" applyFill="1" applyBorder="1" applyProtection="1">
      <protection locked="0"/>
    </xf>
    <xf numFmtId="167" fontId="96" fillId="10" borderId="122" xfId="19" applyNumberFormat="1" applyFont="1" applyFill="1" applyBorder="1" applyProtection="1">
      <protection locked="0"/>
    </xf>
    <xf numFmtId="0" fontId="102" fillId="10" borderId="123" xfId="0" applyFont="1" applyFill="1" applyBorder="1"/>
    <xf numFmtId="0" fontId="102" fillId="10" borderId="58" xfId="0" applyFont="1" applyFill="1" applyBorder="1"/>
    <xf numFmtId="49" fontId="102" fillId="10" borderId="58" xfId="0" applyNumberFormat="1" applyFont="1" applyFill="1" applyBorder="1" applyAlignment="1">
      <alignment vertical="top"/>
    </xf>
    <xf numFmtId="0" fontId="102" fillId="10" borderId="58" xfId="0" applyFont="1" applyFill="1" applyBorder="1" applyAlignment="1">
      <alignment vertical="top"/>
    </xf>
    <xf numFmtId="0" fontId="102" fillId="10" borderId="58" xfId="0" applyFont="1" applyFill="1" applyBorder="1" applyAlignment="1">
      <alignment horizontal="center"/>
    </xf>
    <xf numFmtId="167" fontId="102" fillId="13" borderId="123" xfId="19" applyNumberFormat="1" applyFont="1" applyFill="1" applyBorder="1" applyProtection="1">
      <protection locked="0"/>
    </xf>
    <xf numFmtId="0" fontId="102" fillId="10" borderId="122" xfId="0" applyFont="1" applyFill="1" applyBorder="1"/>
    <xf numFmtId="49" fontId="102" fillId="10" borderId="122" xfId="0" applyNumberFormat="1" applyFont="1" applyFill="1" applyBorder="1" applyAlignment="1">
      <alignment vertical="top"/>
    </xf>
    <xf numFmtId="0" fontId="102" fillId="10" borderId="122" xfId="0" applyFont="1" applyFill="1" applyBorder="1" applyAlignment="1">
      <alignment vertical="top"/>
    </xf>
    <xf numFmtId="0" fontId="102" fillId="10" borderId="122" xfId="0" applyFont="1" applyFill="1" applyBorder="1" applyAlignment="1">
      <alignment horizontal="center"/>
    </xf>
    <xf numFmtId="167" fontId="102" fillId="13" borderId="122" xfId="19" applyNumberFormat="1" applyFont="1" applyFill="1" applyBorder="1" applyProtection="1">
      <protection locked="0"/>
    </xf>
    <xf numFmtId="167" fontId="102" fillId="10" borderId="76" xfId="19" applyNumberFormat="1" applyFont="1" applyFill="1" applyBorder="1" applyProtection="1">
      <protection locked="0"/>
    </xf>
    <xf numFmtId="0" fontId="102" fillId="10" borderId="72" xfId="0" applyFont="1" applyFill="1" applyBorder="1" applyAlignment="1">
      <alignment vertical="top"/>
    </xf>
    <xf numFmtId="167" fontId="104" fillId="73" borderId="123" xfId="19" applyNumberFormat="1" applyFont="1" applyFill="1" applyBorder="1" applyProtection="1">
      <protection locked="0"/>
    </xf>
    <xf numFmtId="49" fontId="102" fillId="10" borderId="123" xfId="0" applyNumberFormat="1" applyFont="1" applyFill="1" applyBorder="1" applyAlignment="1">
      <alignment vertical="top"/>
    </xf>
    <xf numFmtId="0" fontId="102" fillId="10" borderId="123" xfId="0" applyFont="1" applyFill="1" applyBorder="1" applyAlignment="1">
      <alignment vertical="top"/>
    </xf>
    <xf numFmtId="0" fontId="102" fillId="10" borderId="123" xfId="0" applyFont="1" applyFill="1" applyBorder="1" applyAlignment="1">
      <alignment horizontal="center"/>
    </xf>
    <xf numFmtId="0" fontId="102" fillId="10" borderId="76" xfId="0" applyFont="1" applyFill="1" applyBorder="1" applyAlignment="1">
      <alignment vertical="top"/>
    </xf>
    <xf numFmtId="167" fontId="93" fillId="10" borderId="119" xfId="23" applyNumberFormat="1" applyFont="1" applyFill="1" applyBorder="1" applyProtection="1">
      <protection locked="0"/>
    </xf>
    <xf numFmtId="167" fontId="93" fillId="73" borderId="119" xfId="23" applyNumberFormat="1" applyFont="1" applyFill="1" applyBorder="1" applyProtection="1">
      <protection locked="0"/>
    </xf>
    <xf numFmtId="0" fontId="93" fillId="27" borderId="119" xfId="0" applyFont="1" applyFill="1" applyBorder="1"/>
    <xf numFmtId="167" fontId="93" fillId="27" borderId="119" xfId="23" applyNumberFormat="1" applyFont="1" applyFill="1" applyBorder="1" applyProtection="1">
      <protection locked="0"/>
    </xf>
    <xf numFmtId="167" fontId="94" fillId="27" borderId="119" xfId="23" applyNumberFormat="1" applyFont="1" applyFill="1" applyBorder="1" applyProtection="1">
      <protection locked="0"/>
    </xf>
    <xf numFmtId="0" fontId="0" fillId="0" borderId="67" xfId="0" applyBorder="1" applyAlignment="1">
      <alignment wrapText="1"/>
    </xf>
    <xf numFmtId="167" fontId="116" fillId="0" borderId="0" xfId="1" applyNumberFormat="1" applyFont="1" applyFill="1" applyBorder="1" applyAlignment="1">
      <alignment wrapText="1"/>
    </xf>
    <xf numFmtId="167" fontId="116" fillId="0" borderId="63" xfId="1" applyNumberFormat="1" applyFont="1" applyBorder="1"/>
    <xf numFmtId="0" fontId="116" fillId="0" borderId="78" xfId="0" applyFont="1" applyBorder="1" applyAlignment="1">
      <alignment wrapText="1"/>
    </xf>
    <xf numFmtId="0" fontId="116" fillId="0" borderId="62" xfId="0" applyFont="1" applyBorder="1" applyAlignment="1">
      <alignment horizontal="left" indent="2"/>
    </xf>
    <xf numFmtId="167" fontId="116" fillId="0" borderId="127" xfId="1" applyNumberFormat="1" applyFont="1" applyFill="1" applyBorder="1"/>
    <xf numFmtId="167" fontId="116" fillId="0" borderId="126" xfId="1" applyNumberFormat="1" applyFont="1" applyBorder="1"/>
    <xf numFmtId="0" fontId="116" fillId="0" borderId="0" xfId="173" applyFont="1" applyAlignment="1">
      <alignment wrapText="1"/>
    </xf>
    <xf numFmtId="167" fontId="102" fillId="10" borderId="112" xfId="19" applyNumberFormat="1" applyFont="1" applyFill="1" applyBorder="1" applyAlignment="1" applyProtection="1">
      <alignment wrapText="1"/>
      <protection locked="0"/>
    </xf>
    <xf numFmtId="167" fontId="102" fillId="16" borderId="112" xfId="19" applyNumberFormat="1" applyFont="1" applyFill="1" applyBorder="1" applyAlignment="1" applyProtection="1">
      <alignment wrapText="1"/>
      <protection locked="0"/>
    </xf>
    <xf numFmtId="167" fontId="102" fillId="27" borderId="101" xfId="19" applyNumberFormat="1" applyFont="1" applyFill="1" applyBorder="1" applyAlignment="1" applyProtection="1">
      <alignment wrapText="1"/>
      <protection locked="0"/>
    </xf>
    <xf numFmtId="167" fontId="102" fillId="77" borderId="96" xfId="19" applyNumberFormat="1" applyFont="1" applyFill="1" applyBorder="1" applyAlignment="1" applyProtection="1">
      <alignment wrapText="1"/>
      <protection locked="0"/>
    </xf>
    <xf numFmtId="167" fontId="102" fillId="77" borderId="101" xfId="19" applyNumberFormat="1" applyFont="1" applyFill="1" applyBorder="1" applyAlignment="1" applyProtection="1">
      <alignment wrapText="1"/>
      <protection locked="0"/>
    </xf>
    <xf numFmtId="0" fontId="116" fillId="0" borderId="78" xfId="0" applyFont="1" applyBorder="1" applyAlignment="1">
      <alignment horizontal="left" wrapText="1"/>
    </xf>
    <xf numFmtId="0" fontId="116" fillId="0" borderId="106" xfId="0" applyFont="1" applyBorder="1" applyAlignment="1">
      <alignment wrapText="1"/>
    </xf>
    <xf numFmtId="167" fontId="116" fillId="0" borderId="106" xfId="1" applyNumberFormat="1" applyFont="1" applyBorder="1"/>
    <xf numFmtId="167" fontId="116" fillId="0" borderId="107" xfId="1" applyNumberFormat="1" applyFont="1" applyFill="1" applyBorder="1"/>
    <xf numFmtId="0" fontId="116" fillId="0" borderId="81" xfId="0" applyFont="1" applyBorder="1" applyAlignment="1">
      <alignment wrapText="1"/>
    </xf>
    <xf numFmtId="0" fontId="116" fillId="0" borderId="128" xfId="0" applyFont="1" applyBorder="1"/>
    <xf numFmtId="0" fontId="116" fillId="0" borderId="128" xfId="0" applyFont="1" applyBorder="1" applyAlignment="1">
      <alignment wrapText="1"/>
    </xf>
    <xf numFmtId="167" fontId="116" fillId="0" borderId="128" xfId="1" applyNumberFormat="1" applyFont="1" applyBorder="1"/>
    <xf numFmtId="167" fontId="116" fillId="0" borderId="129" xfId="1" applyNumberFormat="1" applyFont="1" applyFill="1" applyBorder="1"/>
    <xf numFmtId="167" fontId="184" fillId="0" borderId="128" xfId="1" applyNumberFormat="1" applyFont="1" applyBorder="1"/>
    <xf numFmtId="0" fontId="0" fillId="0" borderId="130" xfId="0" applyBorder="1"/>
    <xf numFmtId="0" fontId="0" fillId="0" borderId="130" xfId="0" applyBorder="1" applyAlignment="1">
      <alignment wrapText="1"/>
    </xf>
    <xf numFmtId="49" fontId="116" fillId="0" borderId="130" xfId="0" applyNumberFormat="1" applyFont="1" applyBorder="1" applyAlignment="1">
      <alignment vertical="center" wrapText="1"/>
    </xf>
    <xf numFmtId="0" fontId="116" fillId="0" borderId="130" xfId="0" applyFont="1" applyBorder="1"/>
    <xf numFmtId="167" fontId="116" fillId="0" borderId="111" xfId="1" applyNumberFormat="1" applyFont="1" applyFill="1" applyBorder="1" applyAlignment="1">
      <alignment wrapText="1"/>
    </xf>
    <xf numFmtId="0" fontId="233" fillId="12" borderId="0" xfId="0" applyFont="1" applyFill="1" applyAlignment="1">
      <alignment horizontal="left" vertical="top" wrapText="1"/>
    </xf>
    <xf numFmtId="0" fontId="116" fillId="12" borderId="0" xfId="0" applyFont="1" applyFill="1"/>
    <xf numFmtId="0" fontId="148" fillId="12" borderId="0" xfId="0" applyFont="1" applyFill="1"/>
    <xf numFmtId="0" fontId="93" fillId="0" borderId="24" xfId="283" applyNumberFormat="1" applyFont="1" applyFill="1" applyBorder="1" applyAlignment="1">
      <alignment wrapText="1"/>
    </xf>
    <xf numFmtId="0" fontId="93" fillId="0" borderId="54" xfId="283" applyNumberFormat="1" applyFont="1" applyFill="1" applyBorder="1" applyAlignment="1">
      <alignment wrapText="1"/>
    </xf>
    <xf numFmtId="0" fontId="96" fillId="0" borderId="101" xfId="283" applyNumberFormat="1" applyFont="1" applyFill="1" applyBorder="1" applyAlignment="1">
      <alignment wrapText="1"/>
    </xf>
    <xf numFmtId="0" fontId="96" fillId="0" borderId="24" xfId="283" applyNumberFormat="1" applyFont="1" applyFill="1" applyBorder="1" applyAlignment="1">
      <alignment wrapText="1"/>
    </xf>
    <xf numFmtId="0" fontId="93" fillId="0" borderId="103" xfId="284" applyFont="1" applyBorder="1" applyAlignment="1">
      <alignment horizontal="left" vertical="center" wrapText="1"/>
    </xf>
    <xf numFmtId="0" fontId="93" fillId="0" borderId="24" xfId="284" applyFont="1" applyBorder="1" applyAlignment="1">
      <alignment horizontal="left" vertical="center" wrapText="1"/>
    </xf>
    <xf numFmtId="0" fontId="102" fillId="17" borderId="96" xfId="0" applyFont="1" applyFill="1" applyBorder="1" applyAlignment="1">
      <alignment horizontal="left" vertical="center" wrapText="1"/>
    </xf>
    <xf numFmtId="0" fontId="102" fillId="17" borderId="112" xfId="0" applyFont="1" applyFill="1" applyBorder="1" applyAlignment="1">
      <alignment horizontal="left" vertical="center" wrapText="1"/>
    </xf>
    <xf numFmtId="167" fontId="253" fillId="14" borderId="101" xfId="22" applyNumberFormat="1" applyFont="1" applyFill="1" applyBorder="1"/>
    <xf numFmtId="167" fontId="125" fillId="10" borderId="101" xfId="22" applyNumberFormat="1" applyFont="1" applyFill="1" applyBorder="1"/>
    <xf numFmtId="0" fontId="125" fillId="17" borderId="112" xfId="0" applyFont="1" applyFill="1" applyBorder="1" applyAlignment="1">
      <alignment horizontal="left" vertical="center" wrapText="1"/>
    </xf>
    <xf numFmtId="167" fontId="125" fillId="10" borderId="119" xfId="22" applyNumberFormat="1" applyFont="1" applyFill="1" applyBorder="1"/>
    <xf numFmtId="0" fontId="94" fillId="10" borderId="119" xfId="0" applyFont="1" applyFill="1" applyBorder="1"/>
    <xf numFmtId="167" fontId="102" fillId="10" borderId="119" xfId="22" applyNumberFormat="1" applyFont="1" applyFill="1" applyBorder="1"/>
    <xf numFmtId="0" fontId="137" fillId="0" borderId="0" xfId="0" applyFont="1"/>
    <xf numFmtId="49" fontId="102" fillId="10" borderId="96" xfId="0" applyNumberFormat="1" applyFont="1" applyFill="1" applyBorder="1"/>
    <xf numFmtId="0" fontId="102" fillId="10" borderId="96" xfId="0" applyFont="1" applyFill="1" applyBorder="1" applyAlignment="1">
      <alignment horizontal="center"/>
    </xf>
    <xf numFmtId="167" fontId="83" fillId="73" borderId="123" xfId="19" applyNumberFormat="1" applyFont="1" applyFill="1" applyBorder="1" applyProtection="1">
      <protection locked="0"/>
    </xf>
    <xf numFmtId="0" fontId="102" fillId="10" borderId="101" xfId="0" quotePrefix="1" applyFont="1" applyFill="1" applyBorder="1" applyAlignment="1">
      <alignment horizontal="right" vertical="center" wrapText="1"/>
    </xf>
    <xf numFmtId="0" fontId="271" fillId="0" borderId="0" xfId="0" applyFont="1"/>
    <xf numFmtId="0" fontId="102" fillId="10" borderId="96" xfId="0" quotePrefix="1" applyFont="1" applyFill="1" applyBorder="1" applyAlignment="1">
      <alignment horizontal="right" vertical="center" wrapText="1"/>
    </xf>
    <xf numFmtId="167" fontId="102" fillId="10" borderId="96" xfId="22" applyNumberFormat="1" applyFont="1" applyFill="1" applyBorder="1"/>
    <xf numFmtId="177" fontId="123" fillId="0" borderId="0" xfId="1" applyNumberFormat="1" applyFont="1" applyFill="1"/>
    <xf numFmtId="43" fontId="104" fillId="10" borderId="101" xfId="8" applyFont="1" applyFill="1" applyBorder="1" applyAlignment="1">
      <alignment horizontal="right" wrapText="1"/>
    </xf>
    <xf numFmtId="0" fontId="104" fillId="15" borderId="101" xfId="0" applyFont="1" applyFill="1" applyBorder="1" applyAlignment="1">
      <alignment horizontal="right" wrapText="1"/>
    </xf>
    <xf numFmtId="167" fontId="104" fillId="70" borderId="101" xfId="19" applyNumberFormat="1" applyFont="1" applyFill="1" applyBorder="1"/>
    <xf numFmtId="167" fontId="102" fillId="70" borderId="101" xfId="19" applyNumberFormat="1" applyFont="1" applyFill="1" applyBorder="1"/>
    <xf numFmtId="167" fontId="104" fillId="13" borderId="112" xfId="23" applyNumberFormat="1" applyFont="1" applyFill="1" applyBorder="1" applyProtection="1">
      <protection locked="0"/>
    </xf>
    <xf numFmtId="0" fontId="125" fillId="21" borderId="101" xfId="0" applyFont="1" applyFill="1" applyBorder="1" applyAlignment="1">
      <alignment horizontal="center"/>
    </xf>
    <xf numFmtId="167" fontId="253" fillId="21" borderId="101" xfId="19" applyNumberFormat="1" applyFont="1" applyFill="1" applyBorder="1" applyProtection="1">
      <protection locked="0"/>
    </xf>
    <xf numFmtId="167" fontId="125" fillId="21" borderId="101" xfId="19" applyNumberFormat="1" applyFont="1" applyFill="1" applyBorder="1" applyProtection="1">
      <protection locked="0"/>
    </xf>
    <xf numFmtId="0" fontId="102" fillId="21" borderId="112" xfId="0" applyFont="1" applyFill="1" applyBorder="1" applyAlignment="1">
      <alignment horizontal="right" vertical="top" wrapText="1"/>
    </xf>
    <xf numFmtId="0" fontId="102" fillId="0" borderId="0" xfId="0" applyFont="1" applyAlignment="1">
      <alignment vertical="center" wrapText="1"/>
    </xf>
    <xf numFmtId="167" fontId="104" fillId="16" borderId="101" xfId="1" applyNumberFormat="1" applyFont="1" applyFill="1" applyBorder="1" applyProtection="1">
      <protection locked="0"/>
    </xf>
    <xf numFmtId="0" fontId="102" fillId="15" borderId="101" xfId="0" applyFont="1" applyFill="1" applyBorder="1" applyAlignment="1">
      <alignment horizontal="right" vertical="center" wrapText="1"/>
    </xf>
    <xf numFmtId="167" fontId="102" fillId="70" borderId="101" xfId="19" applyNumberFormat="1" applyFont="1" applyFill="1" applyBorder="1" applyProtection="1">
      <protection locked="0"/>
    </xf>
    <xf numFmtId="167" fontId="102" fillId="15" borderId="101" xfId="19" applyNumberFormat="1" applyFont="1" applyFill="1" applyBorder="1" applyProtection="1">
      <protection locked="0"/>
    </xf>
    <xf numFmtId="167" fontId="93" fillId="70" borderId="101" xfId="19" applyNumberFormat="1" applyFont="1" applyFill="1" applyBorder="1" applyProtection="1">
      <protection locked="0"/>
    </xf>
    <xf numFmtId="0" fontId="93" fillId="15" borderId="101" xfId="0" applyFont="1" applyFill="1" applyBorder="1" applyAlignment="1">
      <alignment horizontal="right" vertical="center" wrapText="1"/>
    </xf>
    <xf numFmtId="49" fontId="104" fillId="0" borderId="101" xfId="0" quotePrefix="1" applyNumberFormat="1" applyFont="1" applyBorder="1" applyAlignment="1">
      <alignment horizontal="left" vertical="center"/>
    </xf>
    <xf numFmtId="167" fontId="104" fillId="9" borderId="101" xfId="1" applyNumberFormat="1" applyFont="1" applyFill="1" applyBorder="1" applyAlignment="1" applyProtection="1">
      <alignment horizontal="center" vertical="center"/>
      <protection locked="0"/>
    </xf>
    <xf numFmtId="167" fontId="104" fillId="13" borderId="109" xfId="1" applyNumberFormat="1" applyFont="1" applyFill="1" applyBorder="1" applyAlignment="1" applyProtection="1">
      <alignment horizontal="center" vertical="center"/>
      <protection locked="0"/>
    </xf>
    <xf numFmtId="167" fontId="104" fillId="10" borderId="109" xfId="1" applyNumberFormat="1" applyFont="1" applyFill="1" applyBorder="1" applyAlignment="1" applyProtection="1">
      <alignment horizontal="center" vertical="center"/>
      <protection locked="0"/>
    </xf>
    <xf numFmtId="167" fontId="104" fillId="13" borderId="101" xfId="1" applyNumberFormat="1" applyFont="1" applyFill="1" applyBorder="1" applyAlignment="1" applyProtection="1">
      <alignment horizontal="center" vertical="center"/>
      <protection locked="0"/>
    </xf>
    <xf numFmtId="167" fontId="125" fillId="10" borderId="101" xfId="144" applyNumberFormat="1" applyFont="1" applyFill="1" applyBorder="1" applyProtection="1">
      <protection locked="0"/>
    </xf>
    <xf numFmtId="167" fontId="125" fillId="10" borderId="101" xfId="19" applyNumberFormat="1" applyFont="1" applyFill="1" applyBorder="1" applyAlignment="1">
      <alignment vertical="top"/>
    </xf>
    <xf numFmtId="167" fontId="253" fillId="20" borderId="101" xfId="1" applyNumberFormat="1" applyFont="1" applyFill="1" applyBorder="1" applyProtection="1">
      <protection locked="0"/>
    </xf>
    <xf numFmtId="0" fontId="253" fillId="10" borderId="101" xfId="0" applyFont="1" applyFill="1" applyBorder="1" applyAlignment="1">
      <alignment horizontal="right" vertical="center" wrapText="1"/>
    </xf>
    <xf numFmtId="167" fontId="125" fillId="13" borderId="101" xfId="23" applyNumberFormat="1" applyFont="1" applyFill="1" applyBorder="1"/>
    <xf numFmtId="0" fontId="253" fillId="10" borderId="105" xfId="0" applyFont="1" applyFill="1" applyBorder="1" applyAlignment="1">
      <alignment horizontal="right" vertical="center" wrapText="1"/>
    </xf>
    <xf numFmtId="167" fontId="125" fillId="13" borderId="105" xfId="23" applyNumberFormat="1" applyFont="1" applyFill="1" applyBorder="1"/>
    <xf numFmtId="167" fontId="253" fillId="15" borderId="101" xfId="23" applyNumberFormat="1" applyFont="1" applyFill="1" applyBorder="1" applyProtection="1">
      <protection locked="0"/>
    </xf>
    <xf numFmtId="167" fontId="254" fillId="10" borderId="101" xfId="23" applyNumberFormat="1" applyFont="1" applyFill="1" applyBorder="1"/>
    <xf numFmtId="167" fontId="125" fillId="10" borderId="96" xfId="23" applyNumberFormat="1" applyFont="1" applyFill="1" applyBorder="1"/>
    <xf numFmtId="167" fontId="125" fillId="13" borderId="96" xfId="23" applyNumberFormat="1" applyFont="1" applyFill="1" applyBorder="1"/>
    <xf numFmtId="167" fontId="125" fillId="10" borderId="112" xfId="23" applyNumberFormat="1" applyFont="1" applyFill="1" applyBorder="1"/>
    <xf numFmtId="167" fontId="125" fillId="13" borderId="112" xfId="23" applyNumberFormat="1" applyFont="1" applyFill="1" applyBorder="1"/>
    <xf numFmtId="167" fontId="104" fillId="23" borderId="101" xfId="19" applyNumberFormat="1" applyFont="1" applyFill="1" applyBorder="1" applyProtection="1">
      <protection locked="0"/>
    </xf>
    <xf numFmtId="0" fontId="102" fillId="10" borderId="101" xfId="0" quotePrefix="1" applyFont="1" applyFill="1" applyBorder="1"/>
    <xf numFmtId="167" fontId="102" fillId="10" borderId="109" xfId="23" applyNumberFormat="1" applyFont="1" applyFill="1" applyBorder="1"/>
    <xf numFmtId="167" fontId="102" fillId="13" borderId="109" xfId="23" applyNumberFormat="1" applyFont="1" applyFill="1" applyBorder="1"/>
    <xf numFmtId="167" fontId="104" fillId="15" borderId="101" xfId="23" applyNumberFormat="1" applyFont="1" applyFill="1" applyBorder="1" applyProtection="1">
      <protection locked="0"/>
    </xf>
    <xf numFmtId="167" fontId="201" fillId="10" borderId="101" xfId="23" applyNumberFormat="1" applyFont="1" applyFill="1" applyBorder="1"/>
    <xf numFmtId="167" fontId="102" fillId="10" borderId="119" xfId="23" applyNumberFormat="1" applyFont="1" applyFill="1" applyBorder="1"/>
    <xf numFmtId="167" fontId="102" fillId="13" borderId="119" xfId="23" applyNumberFormat="1" applyFont="1" applyFill="1" applyBorder="1"/>
    <xf numFmtId="0" fontId="102" fillId="10" borderId="0" xfId="0" applyFont="1" applyFill="1" applyAlignment="1">
      <alignment wrapText="1"/>
    </xf>
    <xf numFmtId="0" fontId="102" fillId="10" borderId="96" xfId="0" applyFont="1" applyFill="1" applyBorder="1" applyAlignment="1">
      <alignment vertical="center" wrapText="1"/>
    </xf>
    <xf numFmtId="167" fontId="102" fillId="10" borderId="96" xfId="19" applyNumberFormat="1" applyFont="1" applyFill="1" applyBorder="1" applyAlignment="1" applyProtection="1">
      <alignment wrapText="1"/>
      <protection locked="0"/>
    </xf>
    <xf numFmtId="0" fontId="77" fillId="0" borderId="0" xfId="42" applyFont="1"/>
    <xf numFmtId="0" fontId="102" fillId="0" borderId="0" xfId="0" quotePrefix="1" applyFont="1"/>
    <xf numFmtId="0" fontId="102" fillId="10" borderId="119" xfId="0" applyFont="1" applyFill="1" applyBorder="1" applyAlignment="1">
      <alignment wrapText="1"/>
    </xf>
    <xf numFmtId="0" fontId="102" fillId="10" borderId="96" xfId="0" applyFont="1" applyFill="1" applyBorder="1" applyAlignment="1">
      <alignment wrapText="1"/>
    </xf>
    <xf numFmtId="0" fontId="102" fillId="10" borderId="109" xfId="0" applyFont="1" applyFill="1" applyBorder="1" applyAlignment="1">
      <alignment vertical="center" wrapText="1"/>
    </xf>
    <xf numFmtId="0" fontId="93" fillId="0" borderId="119" xfId="0" applyFont="1" applyBorder="1" applyAlignment="1">
      <alignment wrapText="1"/>
    </xf>
    <xf numFmtId="167" fontId="93" fillId="10" borderId="119" xfId="19" applyNumberFormat="1" applyFont="1" applyFill="1" applyBorder="1" applyAlignment="1" applyProtection="1">
      <alignment wrapText="1"/>
      <protection locked="0"/>
    </xf>
    <xf numFmtId="0" fontId="0" fillId="0" borderId="62" xfId="0" applyBorder="1" applyAlignment="1">
      <alignment horizontal="left" wrapText="1"/>
    </xf>
    <xf numFmtId="0" fontId="0" fillId="0" borderId="67" xfId="0" applyBorder="1" applyAlignment="1">
      <alignment horizontal="left" wrapText="1"/>
    </xf>
    <xf numFmtId="167" fontId="100" fillId="27" borderId="101" xfId="23" applyNumberFormat="1" applyFont="1" applyFill="1" applyBorder="1" applyProtection="1">
      <protection locked="0"/>
    </xf>
    <xf numFmtId="167" fontId="100" fillId="27" borderId="119" xfId="23" applyNumberFormat="1" applyFont="1" applyFill="1" applyBorder="1" applyProtection="1">
      <protection locked="0"/>
    </xf>
    <xf numFmtId="0" fontId="108" fillId="0" borderId="0" xfId="0" applyFont="1"/>
    <xf numFmtId="167" fontId="0" fillId="19" borderId="0" xfId="0" applyNumberFormat="1" applyFill="1"/>
    <xf numFmtId="43" fontId="113" fillId="0" borderId="0" xfId="1" applyFont="1" applyAlignment="1">
      <alignment wrapText="1"/>
    </xf>
    <xf numFmtId="43" fontId="62" fillId="6" borderId="51" xfId="1" quotePrefix="1" applyFont="1" applyFill="1" applyBorder="1" applyAlignment="1">
      <alignment wrapText="1"/>
    </xf>
    <xf numFmtId="167" fontId="209" fillId="69" borderId="0" xfId="1" quotePrefix="1" applyNumberFormat="1" applyFont="1" applyFill="1"/>
    <xf numFmtId="43" fontId="62" fillId="4" borderId="51" xfId="1" applyFont="1" applyFill="1" applyBorder="1"/>
    <xf numFmtId="49" fontId="104" fillId="3" borderId="101" xfId="0" applyNumberFormat="1" applyFont="1" applyFill="1" applyBorder="1"/>
    <xf numFmtId="0" fontId="83" fillId="0" borderId="119" xfId="0" applyFont="1" applyBorder="1"/>
    <xf numFmtId="49" fontId="83" fillId="0" borderId="119" xfId="0" applyNumberFormat="1" applyFont="1" applyBorder="1"/>
    <xf numFmtId="0" fontId="104" fillId="0" borderId="119" xfId="0" applyFont="1" applyBorder="1"/>
    <xf numFmtId="0" fontId="104" fillId="0" borderId="119" xfId="0" applyFont="1" applyBorder="1" applyAlignment="1">
      <alignment horizontal="center"/>
    </xf>
    <xf numFmtId="0" fontId="104" fillId="0" borderId="119" xfId="74" applyFont="1" applyBorder="1" applyAlignment="1">
      <alignment horizontal="left" vertical="center" wrapText="1"/>
    </xf>
    <xf numFmtId="167" fontId="104" fillId="14" borderId="119" xfId="75" applyNumberFormat="1" applyFont="1" applyFill="1" applyBorder="1" applyProtection="1">
      <protection locked="0"/>
    </xf>
    <xf numFmtId="167" fontId="104" fillId="14" borderId="119" xfId="1" applyNumberFormat="1" applyFont="1" applyFill="1" applyBorder="1" applyProtection="1">
      <protection locked="0"/>
    </xf>
    <xf numFmtId="167" fontId="104" fillId="13" borderId="119" xfId="1" applyNumberFormat="1" applyFont="1" applyFill="1" applyBorder="1" applyProtection="1">
      <protection locked="0"/>
    </xf>
    <xf numFmtId="49" fontId="93" fillId="10" borderId="119" xfId="0" applyNumberFormat="1" applyFont="1" applyFill="1" applyBorder="1"/>
    <xf numFmtId="0" fontId="104" fillId="10" borderId="119" xfId="0" applyFont="1" applyFill="1" applyBorder="1"/>
    <xf numFmtId="0" fontId="102" fillId="10" borderId="119" xfId="0" applyFont="1" applyFill="1" applyBorder="1" applyAlignment="1">
      <alignment horizontal="center"/>
    </xf>
    <xf numFmtId="167" fontId="119" fillId="10" borderId="119" xfId="1" applyNumberFormat="1" applyFont="1" applyFill="1" applyBorder="1" applyProtection="1">
      <protection locked="0"/>
    </xf>
    <xf numFmtId="167" fontId="185" fillId="14" borderId="119" xfId="1" applyNumberFormat="1" applyFont="1" applyFill="1" applyBorder="1" applyProtection="1">
      <protection locked="0"/>
    </xf>
    <xf numFmtId="0" fontId="104" fillId="0" borderId="119" xfId="0" applyFont="1" applyBorder="1" applyAlignment="1">
      <alignment horizontal="left" vertical="center" wrapText="1"/>
    </xf>
    <xf numFmtId="49" fontId="104" fillId="0" borderId="119" xfId="0" applyNumberFormat="1" applyFont="1" applyBorder="1"/>
    <xf numFmtId="0" fontId="102" fillId="10" borderId="119" xfId="0" applyFont="1" applyFill="1" applyBorder="1"/>
    <xf numFmtId="49" fontId="102" fillId="10" borderId="119" xfId="0" applyNumberFormat="1" applyFont="1" applyFill="1" applyBorder="1"/>
    <xf numFmtId="43" fontId="62" fillId="6" borderId="121" xfId="1" quotePrefix="1" applyFont="1" applyFill="1" applyBorder="1" applyAlignment="1">
      <alignment wrapText="1"/>
    </xf>
    <xf numFmtId="43" fontId="63" fillId="6" borderId="121" xfId="1" quotePrefix="1" applyFont="1" applyFill="1" applyBorder="1" applyAlignment="1">
      <alignment wrapText="1"/>
    </xf>
    <xf numFmtId="43" fontId="63" fillId="6" borderId="121" xfId="1" applyFont="1" applyFill="1" applyBorder="1"/>
    <xf numFmtId="43" fontId="62" fillId="6" borderId="121" xfId="1" applyFont="1" applyFill="1" applyBorder="1"/>
    <xf numFmtId="43" fontId="62" fillId="6" borderId="121" xfId="1" quotePrefix="1" applyFont="1" applyFill="1" applyBorder="1" applyAlignment="1">
      <alignment horizontal="left" wrapText="1"/>
    </xf>
    <xf numFmtId="43" fontId="62" fillId="6" borderId="121" xfId="1" applyFont="1" applyFill="1" applyBorder="1" applyAlignment="1">
      <alignment wrapText="1"/>
    </xf>
    <xf numFmtId="43" fontId="66" fillId="4" borderId="121" xfId="1" applyFont="1" applyFill="1" applyBorder="1"/>
    <xf numFmtId="43" fontId="62" fillId="4" borderId="121" xfId="1" applyFont="1" applyFill="1" applyBorder="1"/>
    <xf numFmtId="43" fontId="258" fillId="4" borderId="9" xfId="1" applyFont="1" applyFill="1" applyBorder="1"/>
    <xf numFmtId="43" fontId="63" fillId="6" borderId="121" xfId="1" applyFont="1" applyFill="1" applyBorder="1" applyAlignment="1">
      <alignment wrapText="1"/>
    </xf>
    <xf numFmtId="167" fontId="93" fillId="10" borderId="119" xfId="19" applyNumberFormat="1" applyFont="1" applyFill="1" applyBorder="1"/>
    <xf numFmtId="167" fontId="96" fillId="13" borderId="119" xfId="19" applyNumberFormat="1" applyFont="1" applyFill="1" applyBorder="1"/>
    <xf numFmtId="43" fontId="62" fillId="0" borderId="121" xfId="1" quotePrefix="1" applyFont="1" applyFill="1" applyBorder="1" applyAlignment="1">
      <alignment wrapText="1"/>
    </xf>
    <xf numFmtId="43" fontId="63" fillId="0" borderId="121" xfId="1" applyFont="1" applyFill="1" applyBorder="1" applyAlignment="1">
      <alignment wrapText="1"/>
    </xf>
    <xf numFmtId="167" fontId="62" fillId="4" borderId="9" xfId="1" applyNumberFormat="1" applyFont="1" applyFill="1" applyBorder="1" applyAlignment="1">
      <alignment wrapText="1"/>
    </xf>
    <xf numFmtId="167" fontId="62" fillId="6" borderId="69" xfId="1" quotePrefix="1" applyNumberFormat="1" applyFont="1" applyFill="1" applyBorder="1" applyAlignment="1">
      <alignment wrapText="1"/>
    </xf>
    <xf numFmtId="167" fontId="62" fillId="6" borderId="9" xfId="1" applyNumberFormat="1" applyFont="1" applyFill="1" applyBorder="1" applyAlignment="1">
      <alignment wrapText="1"/>
    </xf>
    <xf numFmtId="9" fontId="93" fillId="0" borderId="0" xfId="2" applyFont="1" applyFill="1" applyAlignment="1">
      <alignment horizontal="left" vertical="center" wrapText="1"/>
    </xf>
    <xf numFmtId="0" fontId="0" fillId="0" borderId="131" xfId="0" applyBorder="1" applyAlignment="1">
      <alignment wrapText="1"/>
    </xf>
    <xf numFmtId="0" fontId="0" fillId="0" borderId="131" xfId="0" applyBorder="1"/>
    <xf numFmtId="0" fontId="116" fillId="0" borderId="131" xfId="0" applyFont="1" applyBorder="1" applyAlignment="1">
      <alignment wrapText="1"/>
    </xf>
    <xf numFmtId="0" fontId="116" fillId="0" borderId="131" xfId="0" quotePrefix="1" applyFont="1" applyBorder="1" applyAlignment="1">
      <alignment horizontal="left"/>
    </xf>
    <xf numFmtId="49" fontId="116" fillId="0" borderId="131" xfId="0" applyNumberFormat="1" applyFont="1" applyBorder="1" applyAlignment="1">
      <alignment horizontal="left"/>
    </xf>
    <xf numFmtId="0" fontId="116" fillId="0" borderId="131" xfId="0" applyFont="1" applyBorder="1"/>
    <xf numFmtId="167" fontId="116" fillId="0" borderId="131" xfId="1" applyNumberFormat="1" applyFont="1" applyBorder="1"/>
    <xf numFmtId="0" fontId="116" fillId="0" borderId="132" xfId="0" applyFont="1" applyBorder="1"/>
    <xf numFmtId="0" fontId="116" fillId="0" borderId="132" xfId="0" applyFont="1" applyBorder="1" applyAlignment="1">
      <alignment wrapText="1"/>
    </xf>
    <xf numFmtId="167" fontId="116" fillId="0" borderId="125" xfId="1" applyNumberFormat="1" applyFont="1" applyFill="1" applyBorder="1"/>
    <xf numFmtId="167" fontId="116" fillId="0" borderId="132" xfId="1" applyNumberFormat="1" applyFont="1" applyFill="1" applyBorder="1"/>
    <xf numFmtId="167" fontId="122" fillId="0" borderId="132" xfId="1" applyNumberFormat="1" applyFont="1" applyBorder="1"/>
    <xf numFmtId="0" fontId="116" fillId="0" borderId="133" xfId="0" applyFont="1" applyBorder="1"/>
    <xf numFmtId="0" fontId="116" fillId="0" borderId="133" xfId="0" applyFont="1" applyBorder="1" applyAlignment="1">
      <alignment wrapText="1"/>
    </xf>
    <xf numFmtId="167" fontId="116" fillId="0" borderId="134" xfId="1" applyNumberFormat="1" applyFont="1" applyFill="1" applyBorder="1"/>
    <xf numFmtId="167" fontId="116" fillId="0" borderId="133" xfId="1" applyNumberFormat="1" applyFont="1" applyFill="1" applyBorder="1"/>
    <xf numFmtId="167" fontId="122" fillId="0" borderId="133" xfId="1" applyNumberFormat="1" applyFont="1" applyBorder="1"/>
    <xf numFmtId="167" fontId="116" fillId="0" borderId="131" xfId="1" applyNumberFormat="1" applyFont="1" applyFill="1" applyBorder="1"/>
    <xf numFmtId="0" fontId="93" fillId="0" borderId="131" xfId="283" applyNumberFormat="1" applyFont="1" applyFill="1" applyBorder="1" applyAlignment="1">
      <alignment wrapText="1"/>
    </xf>
    <xf numFmtId="0" fontId="93" fillId="0" borderId="131" xfId="283" applyNumberFormat="1" applyFont="1" applyFill="1" applyBorder="1" applyAlignment="1">
      <alignment vertical="center" wrapText="1"/>
    </xf>
    <xf numFmtId="0" fontId="93" fillId="0" borderId="123" xfId="283" applyNumberFormat="1" applyFont="1" applyFill="1" applyBorder="1" applyAlignment="1">
      <alignment wrapText="1"/>
    </xf>
    <xf numFmtId="0" fontId="93" fillId="0" borderId="131" xfId="284" applyFont="1" applyBorder="1" applyAlignment="1">
      <alignment horizontal="left" vertical="center" wrapText="1"/>
    </xf>
    <xf numFmtId="183" fontId="93" fillId="0" borderId="131" xfId="22" applyNumberFormat="1" applyFont="1" applyFill="1" applyBorder="1"/>
    <xf numFmtId="43" fontId="62" fillId="6" borderId="9" xfId="1" quotePrefix="1" applyFont="1" applyFill="1" applyBorder="1" applyAlignment="1">
      <alignment wrapText="1"/>
    </xf>
    <xf numFmtId="0" fontId="113" fillId="0" borderId="0" xfId="0" applyFont="1" applyAlignment="1">
      <alignment horizontal="right"/>
    </xf>
    <xf numFmtId="173" fontId="113" fillId="15" borderId="0" xfId="1" applyNumberFormat="1" applyFont="1" applyFill="1" applyBorder="1"/>
    <xf numFmtId="0" fontId="99" fillId="10" borderId="131" xfId="0" applyFont="1" applyFill="1" applyBorder="1"/>
    <xf numFmtId="0" fontId="102" fillId="10" borderId="131" xfId="0" applyFont="1" applyFill="1" applyBorder="1" applyAlignment="1">
      <alignment horizontal="left" vertical="center" wrapText="1"/>
    </xf>
    <xf numFmtId="167" fontId="93" fillId="10" borderId="131" xfId="19" applyNumberFormat="1" applyFont="1" applyFill="1" applyBorder="1" applyProtection="1">
      <protection locked="0"/>
    </xf>
    <xf numFmtId="167" fontId="83" fillId="73" borderId="131" xfId="19" applyNumberFormat="1" applyFont="1" applyFill="1" applyBorder="1" applyProtection="1">
      <protection locked="0"/>
    </xf>
    <xf numFmtId="167" fontId="96" fillId="13" borderId="131" xfId="19" applyNumberFormat="1" applyFont="1" applyFill="1" applyBorder="1" applyProtection="1">
      <protection locked="0"/>
    </xf>
    <xf numFmtId="167" fontId="96" fillId="10" borderId="131" xfId="19" applyNumberFormat="1" applyFont="1" applyFill="1" applyBorder="1" applyProtection="1">
      <protection locked="0"/>
    </xf>
    <xf numFmtId="0" fontId="93" fillId="10" borderId="123" xfId="0" applyFont="1" applyFill="1" applyBorder="1" applyAlignment="1">
      <alignment horizontal="left" vertical="center" wrapText="1"/>
    </xf>
    <xf numFmtId="0" fontId="125" fillId="10" borderId="117" xfId="0" applyFont="1" applyFill="1" applyBorder="1" applyAlignment="1">
      <alignment horizontal="left" vertical="center" wrapText="1"/>
    </xf>
    <xf numFmtId="167" fontId="125" fillId="10" borderId="117" xfId="19" applyNumberFormat="1" applyFont="1" applyFill="1" applyBorder="1" applyProtection="1">
      <protection locked="0"/>
    </xf>
    <xf numFmtId="167" fontId="125" fillId="13" borderId="117" xfId="19" applyNumberFormat="1" applyFont="1" applyFill="1" applyBorder="1" applyProtection="1">
      <protection locked="0"/>
    </xf>
    <xf numFmtId="167" fontId="102" fillId="10" borderId="55" xfId="19" applyNumberFormat="1" applyFont="1" applyFill="1" applyBorder="1" applyProtection="1">
      <protection locked="0"/>
    </xf>
    <xf numFmtId="167" fontId="102" fillId="10" borderId="131" xfId="19" applyNumberFormat="1" applyFont="1" applyFill="1" applyBorder="1" applyProtection="1">
      <protection locked="0"/>
    </xf>
    <xf numFmtId="167" fontId="102" fillId="10" borderId="139" xfId="19" applyNumberFormat="1" applyFont="1" applyFill="1" applyBorder="1" applyProtection="1">
      <protection locked="0"/>
    </xf>
    <xf numFmtId="0" fontId="102" fillId="10" borderId="135" xfId="0" applyFont="1" applyFill="1" applyBorder="1" applyAlignment="1">
      <alignment horizontal="center"/>
    </xf>
    <xf numFmtId="0" fontId="102" fillId="10" borderId="40" xfId="0" applyFont="1" applyFill="1" applyBorder="1" applyAlignment="1">
      <alignment horizontal="left" vertical="center" wrapText="1"/>
    </xf>
    <xf numFmtId="167" fontId="104" fillId="73" borderId="55" xfId="19" applyNumberFormat="1" applyFont="1" applyFill="1" applyBorder="1" applyProtection="1">
      <protection locked="0"/>
    </xf>
    <xf numFmtId="167" fontId="102" fillId="13" borderId="55" xfId="19" applyNumberFormat="1" applyFont="1" applyFill="1" applyBorder="1" applyProtection="1">
      <protection locked="0"/>
    </xf>
    <xf numFmtId="167" fontId="104" fillId="73" borderId="131" xfId="19" applyNumberFormat="1" applyFont="1" applyFill="1" applyBorder="1" applyProtection="1">
      <protection locked="0"/>
    </xf>
    <xf numFmtId="167" fontId="102" fillId="13" borderId="131" xfId="19" applyNumberFormat="1" applyFont="1" applyFill="1" applyBorder="1" applyProtection="1">
      <protection locked="0"/>
    </xf>
    <xf numFmtId="0" fontId="102" fillId="10" borderId="137" xfId="0" applyFont="1" applyFill="1" applyBorder="1" applyAlignment="1">
      <alignment horizontal="left" vertical="center" wrapText="1"/>
    </xf>
    <xf numFmtId="0" fontId="102" fillId="10" borderId="138" xfId="0" applyFont="1" applyFill="1" applyBorder="1" applyAlignment="1">
      <alignment horizontal="left" vertical="center" wrapText="1"/>
    </xf>
    <xf numFmtId="167" fontId="104" fillId="73" borderId="139" xfId="19" applyNumberFormat="1" applyFont="1" applyFill="1" applyBorder="1" applyProtection="1">
      <protection locked="0"/>
    </xf>
    <xf numFmtId="167" fontId="102" fillId="13" borderId="139" xfId="19" applyNumberFormat="1" applyFont="1" applyFill="1" applyBorder="1" applyProtection="1">
      <protection locked="0"/>
    </xf>
    <xf numFmtId="167" fontId="93" fillId="16" borderId="116" xfId="19" applyNumberFormat="1" applyFont="1" applyFill="1" applyBorder="1" applyProtection="1">
      <protection locked="0"/>
    </xf>
    <xf numFmtId="0" fontId="85" fillId="0" borderId="0" xfId="0" applyFont="1"/>
    <xf numFmtId="167" fontId="125" fillId="25" borderId="101" xfId="1" applyNumberFormat="1" applyFont="1" applyFill="1" applyBorder="1" applyProtection="1">
      <protection locked="0"/>
    </xf>
    <xf numFmtId="167" fontId="116" fillId="0" borderId="78" xfId="1" applyNumberFormat="1" applyFont="1" applyBorder="1" applyAlignment="1">
      <alignment wrapText="1"/>
    </xf>
    <xf numFmtId="167" fontId="215" fillId="26" borderId="62" xfId="1" applyNumberFormat="1" applyFont="1" applyFill="1" applyBorder="1"/>
    <xf numFmtId="167" fontId="116" fillId="26" borderId="62" xfId="1" applyNumberFormat="1" applyFont="1" applyFill="1" applyBorder="1"/>
    <xf numFmtId="0" fontId="116" fillId="11" borderId="0" xfId="0" applyFont="1" applyFill="1"/>
    <xf numFmtId="167" fontId="272" fillId="10" borderId="101" xfId="19" applyNumberFormat="1" applyFont="1" applyFill="1" applyBorder="1" applyProtection="1">
      <protection locked="0"/>
    </xf>
    <xf numFmtId="167" fontId="272" fillId="10" borderId="119" xfId="19" applyNumberFormat="1" applyFont="1" applyFill="1" applyBorder="1" applyProtection="1">
      <protection locked="0"/>
    </xf>
    <xf numFmtId="167" fontId="246" fillId="0" borderId="78" xfId="1" applyNumberFormat="1" applyFont="1" applyFill="1" applyBorder="1"/>
    <xf numFmtId="0" fontId="116" fillId="0" borderId="66" xfId="0" applyFont="1" applyBorder="1" applyAlignment="1">
      <alignment horizontal="left"/>
    </xf>
    <xf numFmtId="0" fontId="116" fillId="0" borderId="123" xfId="0" applyFont="1" applyBorder="1"/>
    <xf numFmtId="0" fontId="116" fillId="0" borderId="123" xfId="0" applyFont="1" applyBorder="1" applyAlignment="1">
      <alignment wrapText="1"/>
    </xf>
    <xf numFmtId="0" fontId="116" fillId="0" borderId="67" xfId="0" applyFont="1" applyBorder="1" applyAlignment="1">
      <alignment horizontal="left"/>
    </xf>
    <xf numFmtId="0" fontId="71" fillId="0" borderId="141" xfId="28" applyFont="1" applyBorder="1"/>
    <xf numFmtId="0" fontId="116" fillId="0" borderId="141" xfId="0" applyFont="1" applyBorder="1" applyAlignment="1">
      <alignment horizontal="left"/>
    </xf>
    <xf numFmtId="0" fontId="116" fillId="0" borderId="55" xfId="0" applyFont="1" applyBorder="1" applyAlignment="1">
      <alignment wrapText="1"/>
    </xf>
    <xf numFmtId="167" fontId="116" fillId="0" borderId="19" xfId="1" applyNumberFormat="1" applyFont="1" applyFill="1" applyBorder="1"/>
    <xf numFmtId="167" fontId="116" fillId="0" borderId="141" xfId="1" applyNumberFormat="1" applyFont="1" applyBorder="1"/>
    <xf numFmtId="0" fontId="116" fillId="0" borderId="126" xfId="0" applyFont="1" applyBorder="1"/>
    <xf numFmtId="167" fontId="86" fillId="73" borderId="96" xfId="19" applyNumberFormat="1" applyFont="1" applyFill="1" applyBorder="1" applyProtection="1">
      <protection locked="0"/>
    </xf>
    <xf numFmtId="167" fontId="185" fillId="73" borderId="96" xfId="19" applyNumberFormat="1" applyFont="1" applyFill="1" applyBorder="1" applyProtection="1">
      <protection locked="0"/>
    </xf>
    <xf numFmtId="0" fontId="102" fillId="10" borderId="45" xfId="0" applyFont="1" applyFill="1" applyBorder="1" applyAlignment="1">
      <alignment horizontal="left" vertical="center" wrapText="1"/>
    </xf>
    <xf numFmtId="167" fontId="102" fillId="10" borderId="117" xfId="19" applyNumberFormat="1" applyFont="1" applyFill="1" applyBorder="1" applyProtection="1">
      <protection locked="0"/>
    </xf>
    <xf numFmtId="167" fontId="102" fillId="13" borderId="117" xfId="19" applyNumberFormat="1" applyFont="1" applyFill="1" applyBorder="1" applyProtection="1">
      <protection locked="0"/>
    </xf>
    <xf numFmtId="167" fontId="274" fillId="73" borderId="96" xfId="19" applyNumberFormat="1" applyFont="1" applyFill="1" applyBorder="1" applyProtection="1">
      <protection locked="0"/>
    </xf>
    <xf numFmtId="167" fontId="274" fillId="73" borderId="116" xfId="19" applyNumberFormat="1" applyFont="1" applyFill="1" applyBorder="1" applyProtection="1">
      <protection locked="0"/>
    </xf>
    <xf numFmtId="0" fontId="93" fillId="10" borderId="131" xfId="0" applyFont="1" applyFill="1" applyBorder="1" applyAlignment="1">
      <alignment horizontal="right" vertical="center" wrapText="1"/>
    </xf>
    <xf numFmtId="0" fontId="104" fillId="19" borderId="101" xfId="0" applyFont="1" applyFill="1" applyBorder="1"/>
    <xf numFmtId="0" fontId="93" fillId="10" borderId="131" xfId="0" applyFont="1" applyFill="1" applyBorder="1" applyAlignment="1">
      <alignment wrapText="1"/>
    </xf>
    <xf numFmtId="167" fontId="116" fillId="0" borderId="111" xfId="1" applyNumberFormat="1" applyFont="1" applyFill="1" applyBorder="1"/>
    <xf numFmtId="49" fontId="233" fillId="0" borderId="62" xfId="0" applyNumberFormat="1" applyFont="1" applyBorder="1" applyAlignment="1">
      <alignment horizontal="left"/>
    </xf>
    <xf numFmtId="0" fontId="233" fillId="0" borderId="62" xfId="0" applyFont="1" applyBorder="1"/>
    <xf numFmtId="167" fontId="233" fillId="0" borderId="88" xfId="1" applyNumberFormat="1" applyFont="1" applyFill="1" applyBorder="1"/>
    <xf numFmtId="167" fontId="142" fillId="0" borderId="0" xfId="1" applyNumberFormat="1" applyFont="1"/>
    <xf numFmtId="0" fontId="71" fillId="0" borderId="66" xfId="28" applyFont="1" applyBorder="1"/>
    <xf numFmtId="0" fontId="71" fillId="0" borderId="67" xfId="28" applyFont="1" applyBorder="1"/>
    <xf numFmtId="49" fontId="116" fillId="0" borderId="117" xfId="0" applyNumberFormat="1" applyFont="1" applyBorder="1" applyAlignment="1">
      <alignment horizontal="left"/>
    </xf>
    <xf numFmtId="0" fontId="116" fillId="0" borderId="117" xfId="0" applyFont="1" applyBorder="1"/>
    <xf numFmtId="0" fontId="116" fillId="0" borderId="117" xfId="0" applyFont="1" applyBorder="1" applyAlignment="1">
      <alignment wrapText="1"/>
    </xf>
    <xf numFmtId="1" fontId="116" fillId="0" borderId="144" xfId="0" applyNumberFormat="1" applyFont="1" applyBorder="1"/>
    <xf numFmtId="1" fontId="116" fillId="0" borderId="145" xfId="0" applyNumberFormat="1" applyFont="1" applyBorder="1"/>
    <xf numFmtId="0" fontId="233" fillId="19" borderId="62" xfId="0" applyFont="1" applyFill="1" applyBorder="1" applyAlignment="1">
      <alignment horizontal="right" wrapText="1"/>
    </xf>
    <xf numFmtId="167" fontId="116" fillId="0" borderId="63" xfId="1" applyNumberFormat="1" applyFont="1" applyBorder="1" applyAlignment="1">
      <alignment wrapText="1"/>
    </xf>
    <xf numFmtId="167" fontId="93" fillId="78" borderId="116" xfId="19" applyNumberFormat="1" applyFont="1" applyFill="1" applyBorder="1" applyAlignment="1" applyProtection="1">
      <alignment horizontal="left"/>
      <protection locked="0"/>
    </xf>
    <xf numFmtId="167" fontId="93" fillId="78" borderId="101" xfId="19" applyNumberFormat="1" applyFont="1" applyFill="1" applyBorder="1" applyProtection="1">
      <protection locked="0"/>
    </xf>
    <xf numFmtId="167" fontId="93" fillId="78" borderId="101" xfId="19" applyNumberFormat="1" applyFont="1" applyFill="1" applyBorder="1"/>
    <xf numFmtId="167" fontId="93" fillId="78" borderId="116" xfId="1" applyNumberFormat="1" applyFont="1" applyFill="1" applyBorder="1" applyProtection="1">
      <protection locked="0"/>
    </xf>
    <xf numFmtId="167" fontId="93" fillId="78" borderId="116" xfId="19" applyNumberFormat="1" applyFont="1" applyFill="1" applyBorder="1" applyProtection="1">
      <protection locked="0"/>
    </xf>
    <xf numFmtId="43" fontId="93" fillId="10" borderId="116" xfId="1" applyFont="1" applyFill="1" applyBorder="1" applyProtection="1">
      <protection locked="0"/>
    </xf>
    <xf numFmtId="0" fontId="0" fillId="0" borderId="131" xfId="0" applyBorder="1" applyAlignment="1">
      <alignment horizontal="center" vertical="center"/>
    </xf>
    <xf numFmtId="0" fontId="93" fillId="10" borderId="131" xfId="0" applyFont="1" applyFill="1" applyBorder="1" applyAlignment="1">
      <alignment vertical="center" wrapText="1"/>
    </xf>
    <xf numFmtId="0" fontId="93" fillId="10" borderId="131" xfId="0" applyFont="1" applyFill="1" applyBorder="1"/>
    <xf numFmtId="167" fontId="93" fillId="10" borderId="131" xfId="19" applyNumberFormat="1" applyFont="1" applyFill="1" applyBorder="1" applyAlignment="1" applyProtection="1">
      <alignment wrapText="1"/>
      <protection locked="0"/>
    </xf>
    <xf numFmtId="0" fontId="102" fillId="10" borderId="131" xfId="0" applyFont="1" applyFill="1" applyBorder="1" applyAlignment="1">
      <alignment vertical="center" wrapText="1"/>
    </xf>
    <xf numFmtId="167" fontId="119" fillId="10" borderId="101" xfId="19" applyNumberFormat="1" applyFont="1" applyFill="1" applyBorder="1" applyProtection="1">
      <protection locked="0"/>
    </xf>
    <xf numFmtId="167" fontId="102" fillId="10" borderId="119" xfId="19" applyNumberFormat="1" applyFont="1" applyFill="1" applyBorder="1" applyAlignment="1" applyProtection="1">
      <alignment wrapText="1"/>
      <protection locked="0"/>
    </xf>
    <xf numFmtId="167" fontId="102" fillId="10" borderId="131" xfId="19" applyNumberFormat="1" applyFont="1" applyFill="1" applyBorder="1" applyAlignment="1" applyProtection="1">
      <alignment wrapText="1"/>
      <protection locked="0"/>
    </xf>
    <xf numFmtId="167" fontId="102" fillId="36" borderId="101" xfId="19" applyNumberFormat="1" applyFont="1" applyFill="1" applyBorder="1" applyProtection="1">
      <protection locked="0"/>
    </xf>
    <xf numFmtId="167" fontId="93" fillId="36" borderId="101" xfId="19" applyNumberFormat="1" applyFont="1" applyFill="1" applyBorder="1" applyProtection="1">
      <protection locked="0"/>
    </xf>
    <xf numFmtId="167" fontId="119" fillId="36" borderId="101" xfId="19" applyNumberFormat="1" applyFont="1" applyFill="1" applyBorder="1" applyProtection="1">
      <protection locked="0"/>
    </xf>
    <xf numFmtId="167" fontId="119" fillId="0" borderId="0" xfId="0" applyNumberFormat="1" applyFont="1"/>
    <xf numFmtId="167" fontId="119" fillId="36" borderId="131" xfId="19" applyNumberFormat="1" applyFont="1" applyFill="1" applyBorder="1" applyProtection="1">
      <protection locked="0"/>
    </xf>
    <xf numFmtId="49" fontId="116" fillId="0" borderId="130" xfId="0" applyNumberFormat="1" applyFont="1" applyBorder="1" applyAlignment="1">
      <alignment horizontal="left"/>
    </xf>
    <xf numFmtId="0" fontId="113" fillId="0" borderId="130" xfId="0" applyFont="1" applyBorder="1" applyAlignment="1">
      <alignment horizontal="left" wrapText="1"/>
    </xf>
    <xf numFmtId="0" fontId="96" fillId="0" borderId="0" xfId="0" applyFont="1" applyAlignment="1">
      <alignment vertical="center"/>
    </xf>
    <xf numFmtId="167" fontId="104" fillId="14" borderId="131" xfId="19" applyNumberFormat="1" applyFont="1" applyFill="1" applyBorder="1" applyProtection="1">
      <protection locked="0"/>
    </xf>
    <xf numFmtId="0" fontId="93" fillId="10" borderId="131" xfId="0" applyFont="1" applyFill="1" applyBorder="1" applyAlignment="1">
      <alignment horizontal="left" vertical="center" wrapText="1"/>
    </xf>
    <xf numFmtId="167" fontId="86" fillId="10" borderId="131" xfId="19" applyNumberFormat="1" applyFont="1" applyFill="1" applyBorder="1" applyProtection="1">
      <protection locked="0"/>
    </xf>
    <xf numFmtId="167" fontId="83" fillId="10" borderId="131" xfId="19" applyNumberFormat="1" applyFont="1" applyFill="1" applyBorder="1" applyProtection="1">
      <protection locked="0"/>
    </xf>
    <xf numFmtId="0" fontId="104" fillId="0" borderId="131" xfId="0" applyFont="1" applyBorder="1" applyAlignment="1">
      <alignment horizontal="left" vertical="center" wrapText="1"/>
    </xf>
    <xf numFmtId="167" fontId="102" fillId="10" borderId="131" xfId="1" applyNumberFormat="1" applyFont="1" applyFill="1" applyBorder="1" applyProtection="1">
      <protection locked="0"/>
    </xf>
    <xf numFmtId="167" fontId="116" fillId="0" borderId="91" xfId="1" applyNumberFormat="1" applyFont="1" applyFill="1" applyBorder="1"/>
    <xf numFmtId="167" fontId="111" fillId="0" borderId="67" xfId="1" applyNumberFormat="1" applyFont="1" applyBorder="1"/>
    <xf numFmtId="49" fontId="116" fillId="0" borderId="144" xfId="0" applyNumberFormat="1" applyFont="1" applyBorder="1" applyAlignment="1">
      <alignment horizontal="left"/>
    </xf>
    <xf numFmtId="0" fontId="116" fillId="0" borderId="141" xfId="0" applyFont="1" applyBorder="1"/>
    <xf numFmtId="0" fontId="116" fillId="0" borderId="141" xfId="0" applyFont="1" applyBorder="1" applyAlignment="1">
      <alignment wrapText="1"/>
    </xf>
    <xf numFmtId="167" fontId="116" fillId="0" borderId="148" xfId="1" applyNumberFormat="1" applyFont="1" applyFill="1" applyBorder="1"/>
    <xf numFmtId="167" fontId="116" fillId="0" borderId="142" xfId="1" applyNumberFormat="1" applyFont="1" applyBorder="1"/>
    <xf numFmtId="49" fontId="116" fillId="0" borderId="146" xfId="0" applyNumberFormat="1" applyFont="1" applyBorder="1" applyAlignment="1">
      <alignment horizontal="left"/>
    </xf>
    <xf numFmtId="0" fontId="116" fillId="0" borderId="126" xfId="0" applyFont="1" applyBorder="1" applyAlignment="1">
      <alignment wrapText="1"/>
    </xf>
    <xf numFmtId="167" fontId="116" fillId="0" borderId="143" xfId="1" applyNumberFormat="1" applyFont="1" applyBorder="1"/>
    <xf numFmtId="0" fontId="91" fillId="0" borderId="0" xfId="0" applyFont="1" applyAlignment="1">
      <alignment vertical="center"/>
    </xf>
    <xf numFmtId="0" fontId="125" fillId="10" borderId="131" xfId="0" applyFont="1" applyFill="1" applyBorder="1" applyAlignment="1">
      <alignment horizontal="left" vertical="center" wrapText="1"/>
    </xf>
    <xf numFmtId="167" fontId="125" fillId="10" borderId="131" xfId="19" applyNumberFormat="1" applyFont="1" applyFill="1" applyBorder="1" applyProtection="1">
      <protection locked="0"/>
    </xf>
    <xf numFmtId="0" fontId="234" fillId="0" borderId="0" xfId="0" applyFont="1" applyAlignment="1">
      <alignment wrapText="1"/>
    </xf>
    <xf numFmtId="167" fontId="62" fillId="6" borderId="9" xfId="1" quotePrefix="1" applyNumberFormat="1" applyFont="1" applyFill="1" applyBorder="1" applyAlignment="1">
      <alignment wrapText="1"/>
    </xf>
    <xf numFmtId="43" fontId="0" fillId="0" borderId="0" xfId="1" applyFont="1" applyAlignment="1">
      <alignment horizontal="left"/>
    </xf>
    <xf numFmtId="167" fontId="96" fillId="0" borderId="0" xfId="2" applyNumberFormat="1" applyFont="1" applyFill="1"/>
    <xf numFmtId="3" fontId="62" fillId="0" borderId="0" xfId="3" applyNumberFormat="1" applyFont="1"/>
    <xf numFmtId="167" fontId="102" fillId="16" borderId="116" xfId="19" applyNumberFormat="1" applyFont="1" applyFill="1" applyBorder="1" applyProtection="1">
      <protection locked="0"/>
    </xf>
    <xf numFmtId="167" fontId="102" fillId="16" borderId="101" xfId="24" applyNumberFormat="1" applyFont="1" applyFill="1" applyBorder="1" applyAlignment="1" applyProtection="1">
      <alignment horizontal="center"/>
      <protection locked="0"/>
    </xf>
    <xf numFmtId="167" fontId="94" fillId="33" borderId="101" xfId="23" applyNumberFormat="1" applyFont="1" applyFill="1" applyBorder="1" applyProtection="1">
      <protection locked="0"/>
    </xf>
    <xf numFmtId="167" fontId="100" fillId="33" borderId="101" xfId="23" applyNumberFormat="1" applyFont="1" applyFill="1" applyBorder="1" applyProtection="1">
      <protection locked="0"/>
    </xf>
    <xf numFmtId="167" fontId="100" fillId="33" borderId="119" xfId="23" applyNumberFormat="1" applyFont="1" applyFill="1" applyBorder="1" applyProtection="1">
      <protection locked="0"/>
    </xf>
    <xf numFmtId="167" fontId="104" fillId="33" borderId="119" xfId="336" applyNumberFormat="1" applyFont="1" applyFill="1" applyBorder="1" applyAlignment="1" applyProtection="1">
      <alignment horizontal="center" vertical="center"/>
      <protection locked="0"/>
    </xf>
    <xf numFmtId="0" fontId="97" fillId="10" borderId="131" xfId="0" applyFont="1" applyFill="1" applyBorder="1" applyAlignment="1">
      <alignment horizontal="right" vertical="center" wrapText="1"/>
    </xf>
    <xf numFmtId="0" fontId="94" fillId="10" borderId="131" xfId="0" applyFont="1" applyFill="1" applyBorder="1" applyAlignment="1">
      <alignment horizontal="left" vertical="center" wrapText="1"/>
    </xf>
    <xf numFmtId="167" fontId="94" fillId="12" borderId="119" xfId="19" applyNumberFormat="1" applyFont="1" applyFill="1" applyBorder="1" applyAlignment="1">
      <alignment horizontal="center"/>
    </xf>
    <xf numFmtId="167" fontId="109" fillId="12" borderId="119" xfId="19" applyNumberFormat="1" applyFont="1" applyFill="1" applyBorder="1" applyAlignment="1">
      <alignment horizontal="center"/>
    </xf>
    <xf numFmtId="43" fontId="62" fillId="0" borderId="121" xfId="1" applyFont="1" applyFill="1" applyBorder="1"/>
    <xf numFmtId="43" fontId="62" fillId="6" borderId="98" xfId="1" applyFont="1" applyFill="1" applyBorder="1" applyAlignment="1">
      <alignment wrapText="1"/>
    </xf>
    <xf numFmtId="43" fontId="62" fillId="6" borderId="28" xfId="1" applyFont="1" applyFill="1" applyBorder="1"/>
    <xf numFmtId="43" fontId="62" fillId="6" borderId="9" xfId="1" applyFont="1" applyFill="1" applyBorder="1" applyAlignment="1">
      <alignment wrapText="1"/>
    </xf>
    <xf numFmtId="43" fontId="62" fillId="6" borderId="9" xfId="1" applyFont="1" applyFill="1" applyBorder="1"/>
    <xf numFmtId="167" fontId="116" fillId="0" borderId="17" xfId="1" applyNumberFormat="1" applyFont="1" applyFill="1" applyBorder="1"/>
    <xf numFmtId="0" fontId="116" fillId="0" borderId="87" xfId="0" applyFont="1" applyBorder="1"/>
    <xf numFmtId="0" fontId="0" fillId="29" borderId="0" xfId="0" applyFill="1"/>
    <xf numFmtId="0" fontId="0" fillId="29" borderId="82" xfId="0" applyFill="1" applyBorder="1"/>
    <xf numFmtId="0" fontId="0" fillId="29" borderId="0" xfId="0" applyFill="1" applyAlignment="1">
      <alignment wrapText="1"/>
    </xf>
    <xf numFmtId="0" fontId="113" fillId="29" borderId="0" xfId="0" applyFont="1" applyFill="1"/>
    <xf numFmtId="0" fontId="116" fillId="29" borderId="0" xfId="0" applyFont="1" applyFill="1"/>
    <xf numFmtId="0" fontId="101" fillId="29" borderId="0" xfId="0" applyFont="1" applyFill="1"/>
    <xf numFmtId="0" fontId="198" fillId="29" borderId="0" xfId="0" applyFont="1" applyFill="1"/>
    <xf numFmtId="0" fontId="91" fillId="29" borderId="0" xfId="0" applyFont="1" applyFill="1"/>
    <xf numFmtId="0" fontId="116" fillId="18" borderId="67" xfId="0" applyFont="1" applyFill="1" applyBorder="1" applyAlignment="1">
      <alignment wrapText="1"/>
    </xf>
    <xf numFmtId="0" fontId="116" fillId="18" borderId="62" xfId="0" applyFont="1" applyFill="1" applyBorder="1" applyAlignment="1">
      <alignment wrapText="1"/>
    </xf>
    <xf numFmtId="0" fontId="116" fillId="18" borderId="66" xfId="0" applyFont="1" applyFill="1" applyBorder="1" applyAlignment="1">
      <alignment wrapText="1"/>
    </xf>
    <xf numFmtId="167" fontId="93" fillId="16" borderId="101" xfId="22" applyNumberFormat="1" applyFont="1" applyFill="1" applyBorder="1" applyProtection="1">
      <protection locked="0"/>
    </xf>
    <xf numFmtId="167" fontId="116" fillId="0" borderId="0" xfId="1" applyNumberFormat="1" applyFont="1" applyBorder="1"/>
    <xf numFmtId="167" fontId="93" fillId="16" borderId="96" xfId="22" applyNumberFormat="1" applyFont="1" applyFill="1" applyBorder="1" applyProtection="1">
      <protection locked="0"/>
    </xf>
    <xf numFmtId="167" fontId="93" fillId="10" borderId="131" xfId="22" applyNumberFormat="1" applyFont="1" applyFill="1" applyBorder="1" applyProtection="1">
      <protection locked="0"/>
    </xf>
    <xf numFmtId="167" fontId="93" fillId="13" borderId="131" xfId="22" applyNumberFormat="1" applyFont="1" applyFill="1" applyBorder="1" applyProtection="1">
      <protection locked="0"/>
    </xf>
    <xf numFmtId="167" fontId="96" fillId="10" borderId="131" xfId="22" applyNumberFormat="1" applyFont="1" applyFill="1" applyBorder="1" applyProtection="1">
      <protection locked="0"/>
    </xf>
    <xf numFmtId="167" fontId="93" fillId="36" borderId="116" xfId="19" applyNumberFormat="1" applyFont="1" applyFill="1" applyBorder="1" applyProtection="1">
      <protection locked="0"/>
    </xf>
    <xf numFmtId="167" fontId="125" fillId="36" borderId="101" xfId="19" applyNumberFormat="1" applyFont="1" applyFill="1" applyBorder="1" applyProtection="1">
      <protection locked="0"/>
    </xf>
    <xf numFmtId="167" fontId="102" fillId="36" borderId="131" xfId="19" applyNumberFormat="1" applyFont="1" applyFill="1" applyBorder="1" applyProtection="1">
      <protection locked="0"/>
    </xf>
    <xf numFmtId="0" fontId="116" fillId="0" borderId="80" xfId="0" applyFont="1" applyBorder="1" applyAlignment="1">
      <alignment horizontal="left"/>
    </xf>
    <xf numFmtId="0" fontId="116" fillId="0" borderId="123" xfId="0" quotePrefix="1" applyFont="1" applyBorder="1" applyAlignment="1">
      <alignment horizontal="left"/>
    </xf>
    <xf numFmtId="0" fontId="116" fillId="0" borderId="40" xfId="0" quotePrefix="1" applyFont="1" applyBorder="1" applyAlignment="1">
      <alignment horizontal="left"/>
    </xf>
    <xf numFmtId="0" fontId="116" fillId="0" borderId="138" xfId="0" quotePrefix="1" applyFont="1" applyBorder="1" applyAlignment="1">
      <alignment horizontal="left"/>
    </xf>
    <xf numFmtId="0" fontId="116" fillId="0" borderId="139" xfId="0" applyFont="1" applyBorder="1"/>
    <xf numFmtId="0" fontId="116" fillId="0" borderId="139" xfId="0" applyFont="1" applyBorder="1" applyAlignment="1">
      <alignment wrapText="1"/>
    </xf>
    <xf numFmtId="167" fontId="277" fillId="0" borderId="0" xfId="1" applyNumberFormat="1" applyFont="1"/>
    <xf numFmtId="168" fontId="235" fillId="0" borderId="0" xfId="0" applyNumberFormat="1" applyFont="1" applyAlignment="1">
      <alignment horizontal="left"/>
    </xf>
    <xf numFmtId="0" fontId="116" fillId="0" borderId="147" xfId="0" applyFont="1" applyBorder="1"/>
    <xf numFmtId="0" fontId="116" fillId="0" borderId="147" xfId="0" applyFont="1" applyBorder="1" applyAlignment="1">
      <alignment wrapText="1"/>
    </xf>
    <xf numFmtId="167" fontId="116" fillId="19" borderId="62" xfId="1" applyNumberFormat="1" applyFont="1" applyFill="1" applyBorder="1"/>
    <xf numFmtId="167" fontId="125" fillId="36" borderId="116" xfId="19" applyNumberFormat="1" applyFont="1" applyFill="1" applyBorder="1" applyProtection="1">
      <protection locked="0"/>
    </xf>
    <xf numFmtId="167" fontId="94" fillId="36" borderId="116" xfId="19" applyNumberFormat="1" applyFont="1" applyFill="1" applyBorder="1" applyProtection="1">
      <protection locked="0"/>
    </xf>
    <xf numFmtId="167" fontId="125" fillId="36" borderId="109" xfId="19" applyNumberFormat="1" applyFont="1" applyFill="1" applyBorder="1" applyProtection="1">
      <protection locked="0"/>
    </xf>
    <xf numFmtId="167" fontId="125" fillId="36" borderId="96" xfId="19" applyNumberFormat="1" applyFont="1" applyFill="1" applyBorder="1" applyProtection="1">
      <protection locked="0"/>
    </xf>
    <xf numFmtId="167" fontId="75" fillId="13" borderId="62" xfId="1" applyNumberFormat="1" applyFont="1" applyFill="1" applyBorder="1"/>
    <xf numFmtId="0" fontId="113" fillId="0" borderId="78" xfId="0" applyFont="1" applyBorder="1"/>
    <xf numFmtId="0" fontId="0" fillId="0" borderId="90" xfId="0" applyBorder="1"/>
    <xf numFmtId="0" fontId="116" fillId="0" borderId="66" xfId="0" applyFont="1" applyBorder="1" applyAlignment="1">
      <alignment horizontal="left" indent="2"/>
    </xf>
    <xf numFmtId="0" fontId="0" fillId="0" borderId="106" xfId="0" applyBorder="1"/>
    <xf numFmtId="0" fontId="0" fillId="0" borderId="149" xfId="0" applyBorder="1"/>
    <xf numFmtId="49" fontId="116" fillId="0" borderId="106" xfId="0" applyNumberFormat="1" applyFont="1" applyBorder="1" applyAlignment="1">
      <alignment horizontal="left"/>
    </xf>
    <xf numFmtId="0" fontId="116" fillId="0" borderId="106" xfId="0" applyFont="1" applyBorder="1" applyAlignment="1">
      <alignment horizontal="left" indent="2"/>
    </xf>
    <xf numFmtId="167" fontId="102" fillId="36" borderId="131" xfId="1" applyNumberFormat="1" applyFont="1" applyFill="1" applyBorder="1" applyProtection="1">
      <protection locked="0"/>
    </xf>
    <xf numFmtId="167" fontId="102" fillId="36" borderId="116" xfId="1" applyNumberFormat="1" applyFont="1" applyFill="1" applyBorder="1" applyProtection="1">
      <protection locked="0"/>
    </xf>
    <xf numFmtId="0" fontId="0" fillId="0" borderId="150" xfId="0" applyBorder="1"/>
    <xf numFmtId="49" fontId="116" fillId="0" borderId="81" xfId="0" applyNumberFormat="1" applyFont="1" applyBorder="1" applyAlignment="1">
      <alignment horizontal="left"/>
    </xf>
    <xf numFmtId="0" fontId="116" fillId="0" borderId="81" xfId="0" applyFont="1" applyBorder="1" applyAlignment="1">
      <alignment horizontal="left" indent="2"/>
    </xf>
    <xf numFmtId="167" fontId="102" fillId="36" borderId="116" xfId="1" applyNumberFormat="1" applyFont="1" applyFill="1" applyBorder="1" applyAlignment="1" applyProtection="1">
      <alignment vertical="center"/>
      <protection locked="0"/>
    </xf>
    <xf numFmtId="0" fontId="102" fillId="10" borderId="131" xfId="0" applyFont="1" applyFill="1" applyBorder="1" applyAlignment="1">
      <alignment horizontal="right" vertical="center" wrapText="1"/>
    </xf>
    <xf numFmtId="167" fontId="102" fillId="10" borderId="131" xfId="19" applyNumberFormat="1" applyFont="1" applyFill="1" applyBorder="1"/>
    <xf numFmtId="167" fontId="102" fillId="13" borderId="131" xfId="19" applyNumberFormat="1" applyFont="1" applyFill="1" applyBorder="1"/>
    <xf numFmtId="167" fontId="104" fillId="13" borderId="131" xfId="19" applyNumberFormat="1" applyFont="1" applyFill="1" applyBorder="1" applyProtection="1">
      <protection locked="0"/>
    </xf>
    <xf numFmtId="167" fontId="102" fillId="10" borderId="131" xfId="22" applyNumberFormat="1" applyFont="1" applyFill="1" applyBorder="1"/>
    <xf numFmtId="0" fontId="94" fillId="10" borderId="131" xfId="0" applyFont="1" applyFill="1" applyBorder="1"/>
    <xf numFmtId="0" fontId="102" fillId="10" borderId="131" xfId="0" quotePrefix="1" applyFont="1" applyFill="1" applyBorder="1" applyAlignment="1">
      <alignment horizontal="left" vertical="center" wrapText="1"/>
    </xf>
    <xf numFmtId="167" fontId="123" fillId="10" borderId="131" xfId="19" applyNumberFormat="1" applyFont="1" applyFill="1" applyBorder="1"/>
    <xf numFmtId="167" fontId="104" fillId="10" borderId="131" xfId="19" applyNumberFormat="1" applyFont="1" applyFill="1" applyBorder="1"/>
    <xf numFmtId="167" fontId="123" fillId="13" borderId="131" xfId="19" applyNumberFormat="1" applyFont="1" applyFill="1" applyBorder="1"/>
    <xf numFmtId="167" fontId="104" fillId="70" borderId="131" xfId="19" applyNumberFormat="1" applyFont="1" applyFill="1" applyBorder="1"/>
    <xf numFmtId="0" fontId="104" fillId="10" borderId="131" xfId="0" applyFont="1" applyFill="1" applyBorder="1" applyAlignment="1">
      <alignment horizontal="right" wrapText="1"/>
    </xf>
    <xf numFmtId="167" fontId="102" fillId="10" borderId="131" xfId="23" applyNumberFormat="1" applyFont="1" applyFill="1" applyBorder="1"/>
    <xf numFmtId="167" fontId="102" fillId="13" borderId="131" xfId="23" applyNumberFormat="1" applyFont="1" applyFill="1" applyBorder="1"/>
    <xf numFmtId="0" fontId="102" fillId="10" borderId="131" xfId="0" applyFont="1" applyFill="1" applyBorder="1"/>
    <xf numFmtId="167" fontId="102" fillId="13" borderId="131" xfId="1" applyNumberFormat="1" applyFont="1" applyFill="1" applyBorder="1" applyProtection="1">
      <protection locked="0"/>
    </xf>
    <xf numFmtId="167" fontId="94" fillId="10" borderId="131" xfId="19" applyNumberFormat="1" applyFont="1" applyFill="1" applyBorder="1" applyProtection="1">
      <protection locked="0"/>
    </xf>
    <xf numFmtId="0" fontId="96" fillId="10" borderId="131" xfId="0" applyFont="1" applyFill="1" applyBorder="1"/>
    <xf numFmtId="0" fontId="102" fillId="10" borderId="131" xfId="0" quotePrefix="1" applyFont="1" applyFill="1" applyBorder="1" applyAlignment="1">
      <alignment horizontal="right" vertical="center" wrapText="1"/>
    </xf>
    <xf numFmtId="167" fontId="102" fillId="10" borderId="131" xfId="23" applyNumberFormat="1" applyFont="1" applyFill="1" applyBorder="1" applyProtection="1">
      <protection locked="0"/>
    </xf>
    <xf numFmtId="167" fontId="104" fillId="13" borderId="131" xfId="23" applyNumberFormat="1" applyFont="1" applyFill="1" applyBorder="1" applyProtection="1">
      <protection locked="0"/>
    </xf>
    <xf numFmtId="43" fontId="96" fillId="10" borderId="101" xfId="1" applyFont="1" applyFill="1" applyBorder="1" applyProtection="1">
      <protection locked="0"/>
    </xf>
    <xf numFmtId="167" fontId="109" fillId="16" borderId="116" xfId="24" applyNumberFormat="1" applyFont="1" applyFill="1" applyBorder="1" applyAlignment="1" applyProtection="1">
      <alignment horizontal="center"/>
      <protection locked="0"/>
    </xf>
    <xf numFmtId="167" fontId="94" fillId="36" borderId="101" xfId="19" applyNumberFormat="1" applyFont="1" applyFill="1" applyBorder="1" applyProtection="1">
      <protection locked="0"/>
    </xf>
    <xf numFmtId="0" fontId="83" fillId="0" borderId="131" xfId="0" applyFont="1" applyBorder="1" applyAlignment="1">
      <alignment horizontal="left" vertical="center" wrapText="1"/>
    </xf>
    <xf numFmtId="0" fontId="83" fillId="0" borderId="131" xfId="0" applyFont="1" applyBorder="1" applyAlignment="1">
      <alignment horizontal="center"/>
    </xf>
    <xf numFmtId="0" fontId="93" fillId="10" borderId="131" xfId="0" applyFont="1" applyFill="1" applyBorder="1" applyAlignment="1">
      <alignment horizontal="center"/>
    </xf>
    <xf numFmtId="0" fontId="93" fillId="27" borderId="131" xfId="0" applyFont="1" applyFill="1" applyBorder="1"/>
    <xf numFmtId="0" fontId="93" fillId="27" borderId="131" xfId="0" applyFont="1" applyFill="1" applyBorder="1" applyAlignment="1">
      <alignment horizontal="left" vertical="center" wrapText="1"/>
    </xf>
    <xf numFmtId="43" fontId="201" fillId="27" borderId="131" xfId="24" applyFont="1" applyFill="1" applyBorder="1" applyAlignment="1" applyProtection="1">
      <alignment horizontal="center"/>
      <protection locked="0"/>
    </xf>
    <xf numFmtId="167" fontId="102" fillId="27" borderId="131" xfId="24" applyNumberFormat="1" applyFont="1" applyFill="1" applyBorder="1" applyProtection="1">
      <protection locked="0"/>
    </xf>
    <xf numFmtId="43" fontId="107" fillId="27" borderId="131" xfId="24" applyFont="1" applyFill="1" applyBorder="1" applyAlignment="1" applyProtection="1">
      <alignment horizontal="center"/>
      <protection locked="0"/>
    </xf>
    <xf numFmtId="167" fontId="110" fillId="27" borderId="131" xfId="24" applyNumberFormat="1" applyFont="1" applyFill="1" applyBorder="1" applyProtection="1">
      <protection locked="0"/>
    </xf>
    <xf numFmtId="0" fontId="83" fillId="27" borderId="131" xfId="0" applyFont="1" applyFill="1" applyBorder="1" applyAlignment="1">
      <alignment horizontal="left" vertical="center" wrapText="1"/>
    </xf>
    <xf numFmtId="167" fontId="125" fillId="36" borderId="116" xfId="24" applyNumberFormat="1" applyFont="1" applyFill="1" applyBorder="1" applyProtection="1">
      <protection locked="0"/>
    </xf>
    <xf numFmtId="167" fontId="253" fillId="36" borderId="101" xfId="24" applyNumberFormat="1" applyFont="1" applyFill="1" applyBorder="1" applyAlignment="1" applyProtection="1">
      <alignment horizontal="center"/>
      <protection locked="0"/>
    </xf>
    <xf numFmtId="0" fontId="110" fillId="27" borderId="131" xfId="0" applyFont="1" applyFill="1" applyBorder="1" applyAlignment="1">
      <alignment wrapText="1"/>
    </xf>
    <xf numFmtId="167" fontId="102" fillId="36" borderId="101" xfId="19" applyNumberFormat="1" applyFont="1" applyFill="1" applyBorder="1" applyAlignment="1">
      <alignment horizontal="center"/>
    </xf>
    <xf numFmtId="0" fontId="102" fillId="27" borderId="131" xfId="0" applyFont="1" applyFill="1" applyBorder="1" applyAlignment="1">
      <alignment horizontal="left" vertical="center" wrapText="1"/>
    </xf>
    <xf numFmtId="167" fontId="102" fillId="27" borderId="131" xfId="19" applyNumberFormat="1" applyFont="1" applyFill="1" applyBorder="1" applyProtection="1">
      <protection locked="0"/>
    </xf>
    <xf numFmtId="167" fontId="102" fillId="27" borderId="131" xfId="19" applyNumberFormat="1" applyFont="1" applyFill="1" applyBorder="1" applyAlignment="1">
      <alignment horizontal="center"/>
    </xf>
    <xf numFmtId="167" fontId="93" fillId="36" borderId="101" xfId="19" applyNumberFormat="1" applyFont="1" applyFill="1" applyBorder="1" applyAlignment="1">
      <alignment horizontal="center"/>
    </xf>
    <xf numFmtId="167" fontId="102" fillId="36" borderId="119" xfId="19" applyNumberFormat="1" applyFont="1" applyFill="1" applyBorder="1" applyAlignment="1">
      <alignment horizontal="center"/>
    </xf>
    <xf numFmtId="167" fontId="109" fillId="27" borderId="131" xfId="19" applyNumberFormat="1" applyFont="1" applyFill="1" applyBorder="1" applyAlignment="1">
      <alignment horizontal="center"/>
    </xf>
    <xf numFmtId="167" fontId="253" fillId="36" borderId="116" xfId="24" applyNumberFormat="1" applyFont="1" applyFill="1" applyBorder="1" applyProtection="1">
      <protection locked="0"/>
    </xf>
    <xf numFmtId="167" fontId="110" fillId="36" borderId="116" xfId="24" applyNumberFormat="1" applyFont="1" applyFill="1" applyBorder="1" applyProtection="1">
      <protection locked="0"/>
    </xf>
    <xf numFmtId="167" fontId="109" fillId="36" borderId="116" xfId="24" applyNumberFormat="1" applyFont="1" applyFill="1" applyBorder="1" applyProtection="1">
      <protection locked="0"/>
    </xf>
    <xf numFmtId="43" fontId="62" fillId="0" borderId="121" xfId="1" quotePrefix="1" applyFont="1" applyFill="1" applyBorder="1"/>
    <xf numFmtId="167" fontId="102" fillId="16" borderId="101" xfId="23" applyNumberFormat="1" applyFont="1" applyFill="1" applyBorder="1" applyAlignment="1" applyProtection="1">
      <protection locked="0"/>
    </xf>
    <xf numFmtId="167" fontId="127" fillId="13" borderId="0" xfId="1" applyNumberFormat="1" applyFont="1" applyFill="1" applyBorder="1" applyAlignment="1">
      <alignment horizontal="center" wrapText="1"/>
    </xf>
    <xf numFmtId="167" fontId="116" fillId="0" borderId="0" xfId="0" applyNumberFormat="1" applyFont="1" applyAlignment="1">
      <alignment horizontal="center" wrapText="1"/>
    </xf>
    <xf numFmtId="167" fontId="116" fillId="0" borderId="0" xfId="1" applyNumberFormat="1" applyFont="1" applyBorder="1" applyAlignment="1">
      <alignment wrapText="1"/>
    </xf>
    <xf numFmtId="167" fontId="116" fillId="0" borderId="0" xfId="1" applyNumberFormat="1" applyFont="1" applyBorder="1" applyAlignment="1">
      <alignment horizontal="center"/>
    </xf>
    <xf numFmtId="167" fontId="113" fillId="0" borderId="0" xfId="1" applyNumberFormat="1" applyFont="1" applyBorder="1"/>
    <xf numFmtId="167" fontId="122" fillId="0" borderId="0" xfId="1" applyNumberFormat="1" applyFont="1" applyBorder="1"/>
    <xf numFmtId="167" fontId="111" fillId="0" borderId="0" xfId="1" applyNumberFormat="1" applyFont="1" applyBorder="1"/>
    <xf numFmtId="167" fontId="184" fillId="0" borderId="0" xfId="1" applyNumberFormat="1" applyFont="1" applyBorder="1"/>
    <xf numFmtId="167" fontId="107" fillId="0" borderId="0" xfId="1" applyNumberFormat="1" applyFont="1" applyAlignment="1">
      <alignment horizontal="center" vertical="center" wrapText="1"/>
    </xf>
    <xf numFmtId="167" fontId="107" fillId="0" borderId="0" xfId="1" applyNumberFormat="1" applyFont="1" applyAlignment="1">
      <alignment horizontal="center" wrapText="1"/>
    </xf>
    <xf numFmtId="49" fontId="116" fillId="0" borderId="0" xfId="0" quotePrefix="1" applyNumberFormat="1" applyFont="1" applyAlignment="1">
      <alignment horizontal="left"/>
    </xf>
    <xf numFmtId="49" fontId="116" fillId="0" borderId="131" xfId="0" quotePrefix="1" applyNumberFormat="1" applyFont="1" applyBorder="1" applyAlignment="1">
      <alignment horizontal="left"/>
    </xf>
    <xf numFmtId="167" fontId="116" fillId="0" borderId="81" xfId="1" applyNumberFormat="1" applyFont="1" applyFill="1" applyBorder="1"/>
    <xf numFmtId="167" fontId="113" fillId="0" borderId="62" xfId="1" applyNumberFormat="1" applyFont="1" applyBorder="1" applyAlignment="1">
      <alignment wrapText="1"/>
    </xf>
    <xf numFmtId="167" fontId="116" fillId="79" borderId="62" xfId="1" applyNumberFormat="1" applyFont="1" applyFill="1" applyBorder="1" applyAlignment="1">
      <alignment horizontal="center" wrapText="1"/>
    </xf>
    <xf numFmtId="167" fontId="116" fillId="79" borderId="62" xfId="1" applyNumberFormat="1" applyFont="1" applyFill="1" applyBorder="1" applyAlignment="1">
      <alignment wrapText="1"/>
    </xf>
    <xf numFmtId="167" fontId="116" fillId="79" borderId="62" xfId="0" applyNumberFormat="1" applyFont="1" applyFill="1" applyBorder="1" applyAlignment="1">
      <alignment horizontal="center" wrapText="1"/>
    </xf>
    <xf numFmtId="167" fontId="116" fillId="79" borderId="62" xfId="1" applyNumberFormat="1" applyFont="1" applyFill="1" applyBorder="1"/>
    <xf numFmtId="167" fontId="207" fillId="79" borderId="62" xfId="1" applyNumberFormat="1" applyFont="1" applyFill="1" applyBorder="1"/>
    <xf numFmtId="167" fontId="0" fillId="79" borderId="62" xfId="1" applyNumberFormat="1" applyFont="1" applyFill="1" applyBorder="1" applyAlignment="1">
      <alignment wrapText="1"/>
    </xf>
    <xf numFmtId="167" fontId="116" fillId="79" borderId="62" xfId="1" applyNumberFormat="1" applyFont="1" applyFill="1" applyBorder="1" applyAlignment="1">
      <alignment horizontal="center"/>
    </xf>
    <xf numFmtId="167" fontId="122" fillId="79" borderId="62" xfId="1" applyNumberFormat="1" applyFont="1" applyFill="1" applyBorder="1"/>
    <xf numFmtId="167" fontId="111" fillId="79" borderId="62" xfId="1" applyNumberFormat="1" applyFont="1" applyFill="1" applyBorder="1"/>
    <xf numFmtId="167" fontId="127" fillId="79" borderId="62" xfId="1" applyNumberFormat="1" applyFont="1" applyFill="1" applyBorder="1"/>
    <xf numFmtId="167" fontId="127" fillId="0" borderId="91" xfId="1" applyNumberFormat="1" applyFont="1" applyFill="1" applyBorder="1"/>
    <xf numFmtId="0" fontId="187" fillId="0" borderId="0" xfId="173" applyBorder="1" applyAlignment="1">
      <alignment wrapText="1"/>
    </xf>
    <xf numFmtId="0" fontId="116" fillId="0" borderId="152" xfId="0" applyFont="1" applyBorder="1" applyAlignment="1">
      <alignment wrapText="1"/>
    </xf>
    <xf numFmtId="0" fontId="116" fillId="0" borderId="90" xfId="0" applyFont="1" applyBorder="1"/>
    <xf numFmtId="167" fontId="111" fillId="0" borderId="64" xfId="1" applyNumberFormat="1" applyFont="1" applyBorder="1"/>
    <xf numFmtId="167" fontId="116" fillId="0" borderId="64" xfId="1" applyNumberFormat="1" applyFont="1" applyBorder="1"/>
    <xf numFmtId="167" fontId="116" fillId="0" borderId="66" xfId="1" applyNumberFormat="1" applyFont="1" applyBorder="1" applyAlignment="1"/>
    <xf numFmtId="49" fontId="116" fillId="0" borderId="153" xfId="0" applyNumberFormat="1" applyFont="1" applyBorder="1" applyAlignment="1">
      <alignment horizontal="left"/>
    </xf>
    <xf numFmtId="167" fontId="116" fillId="0" borderId="142" xfId="1" applyNumberFormat="1" applyFont="1" applyFill="1" applyBorder="1"/>
    <xf numFmtId="49" fontId="116" fillId="0" borderId="154" xfId="0" applyNumberFormat="1" applyFont="1" applyBorder="1" applyAlignment="1">
      <alignment horizontal="left"/>
    </xf>
    <xf numFmtId="167" fontId="116" fillId="0" borderId="143" xfId="1" applyNumberFormat="1" applyFont="1" applyFill="1" applyBorder="1"/>
    <xf numFmtId="49" fontId="116" fillId="0" borderId="145" xfId="0" applyNumberFormat="1" applyFont="1" applyBorder="1" applyAlignment="1">
      <alignment horizontal="left"/>
    </xf>
    <xf numFmtId="0" fontId="0" fillId="0" borderId="126" xfId="0" applyBorder="1"/>
    <xf numFmtId="167" fontId="116" fillId="0" borderId="155" xfId="1" applyNumberFormat="1" applyFont="1" applyBorder="1"/>
    <xf numFmtId="167" fontId="116" fillId="0" borderId="126" xfId="1" applyNumberFormat="1" applyFont="1" applyFill="1" applyBorder="1"/>
    <xf numFmtId="49" fontId="0" fillId="0" borderId="67" xfId="0" applyNumberFormat="1" applyBorder="1" applyAlignment="1">
      <alignment horizontal="left"/>
    </xf>
    <xf numFmtId="0" fontId="0" fillId="0" borderId="63" xfId="0" applyBorder="1" applyAlignment="1">
      <alignment wrapText="1"/>
    </xf>
    <xf numFmtId="49" fontId="0" fillId="0" borderId="62" xfId="0" applyNumberFormat="1" applyBorder="1" applyAlignment="1">
      <alignment horizontal="left"/>
    </xf>
    <xf numFmtId="167" fontId="116" fillId="0" borderId="147" xfId="1" applyNumberFormat="1" applyFont="1" applyFill="1" applyBorder="1"/>
    <xf numFmtId="167" fontId="122" fillId="0" borderId="147" xfId="1" applyNumberFormat="1" applyFont="1" applyBorder="1"/>
    <xf numFmtId="49" fontId="116" fillId="0" borderId="156" xfId="0" applyNumberFormat="1" applyFont="1" applyBorder="1" applyAlignment="1">
      <alignment horizontal="left"/>
    </xf>
    <xf numFmtId="0" fontId="0" fillId="0" borderId="157" xfId="0" applyBorder="1"/>
    <xf numFmtId="0" fontId="116" fillId="0" borderId="157" xfId="0" applyFont="1" applyBorder="1" applyAlignment="1">
      <alignment wrapText="1"/>
    </xf>
    <xf numFmtId="167" fontId="116" fillId="0" borderId="120" xfId="1" applyNumberFormat="1" applyFont="1" applyFill="1" applyBorder="1"/>
    <xf numFmtId="167" fontId="116" fillId="0" borderId="157" xfId="1" applyNumberFormat="1" applyFont="1" applyBorder="1"/>
    <xf numFmtId="167" fontId="116" fillId="0" borderId="158" xfId="1" applyNumberFormat="1" applyFont="1" applyBorder="1"/>
    <xf numFmtId="49" fontId="93" fillId="10" borderId="131" xfId="0" applyNumberFormat="1" applyFont="1" applyFill="1" applyBorder="1"/>
    <xf numFmtId="49" fontId="102" fillId="10" borderId="131" xfId="0" applyNumberFormat="1" applyFont="1" applyFill="1" applyBorder="1"/>
    <xf numFmtId="43" fontId="62" fillId="0" borderId="98" xfId="1" applyFont="1" applyFill="1" applyBorder="1" applyAlignment="1">
      <alignment wrapText="1"/>
    </xf>
    <xf numFmtId="167" fontId="184" fillId="0" borderId="78" xfId="1" applyNumberFormat="1" applyFont="1" applyBorder="1"/>
    <xf numFmtId="167" fontId="67" fillId="0" borderId="0" xfId="1" applyNumberFormat="1" applyFont="1" applyFill="1" applyBorder="1"/>
    <xf numFmtId="0" fontId="228" fillId="26" borderId="62" xfId="0" applyFont="1" applyFill="1" applyBorder="1" applyAlignment="1">
      <alignment wrapText="1"/>
    </xf>
    <xf numFmtId="49" fontId="0" fillId="0" borderId="62" xfId="0" applyNumberFormat="1" applyBorder="1" applyAlignment="1">
      <alignment wrapText="1"/>
    </xf>
    <xf numFmtId="0" fontId="93" fillId="0" borderId="0" xfId="283" applyNumberFormat="1" applyFont="1" applyFill="1" applyBorder="1" applyAlignment="1">
      <alignment vertical="center" wrapText="1"/>
    </xf>
    <xf numFmtId="0" fontId="93" fillId="0" borderId="147" xfId="283" applyNumberFormat="1" applyFont="1" applyFill="1" applyBorder="1" applyAlignment="1">
      <alignment vertical="center" wrapText="1"/>
    </xf>
    <xf numFmtId="0" fontId="93" fillId="0" borderId="147" xfId="284" applyFont="1" applyBorder="1" applyAlignment="1">
      <alignment horizontal="left" vertical="center" wrapText="1"/>
    </xf>
    <xf numFmtId="167" fontId="148" fillId="0" borderId="62" xfId="1" applyNumberFormat="1" applyFont="1" applyBorder="1"/>
    <xf numFmtId="167" fontId="116" fillId="0" borderId="66" xfId="1" applyNumberFormat="1" applyFont="1" applyBorder="1" applyAlignment="1">
      <alignment wrapText="1"/>
    </xf>
    <xf numFmtId="0" fontId="233" fillId="0" borderId="0" xfId="0" applyFont="1" applyAlignment="1">
      <alignment horizontal="left" vertical="top" wrapText="1"/>
    </xf>
    <xf numFmtId="0" fontId="262" fillId="0" borderId="1" xfId="0" applyFont="1" applyBorder="1"/>
    <xf numFmtId="0" fontId="262" fillId="0" borderId="2" xfId="0" applyFont="1" applyBorder="1"/>
    <xf numFmtId="0" fontId="262" fillId="0" borderId="3" xfId="0" applyFont="1" applyBorder="1"/>
    <xf numFmtId="0" fontId="0" fillId="0" borderId="117" xfId="0" applyBorder="1" applyAlignment="1">
      <alignment horizontal="center" vertical="center"/>
    </xf>
    <xf numFmtId="0" fontId="149" fillId="0" borderId="117" xfId="0" applyFont="1" applyBorder="1" applyAlignment="1">
      <alignment wrapText="1"/>
    </xf>
    <xf numFmtId="0" fontId="0" fillId="8" borderId="117" xfId="0" applyFill="1" applyBorder="1" applyAlignment="1">
      <alignment wrapText="1"/>
    </xf>
    <xf numFmtId="0" fontId="149" fillId="0" borderId="131" xfId="0" applyFont="1" applyBorder="1" applyAlignment="1">
      <alignment wrapText="1"/>
    </xf>
    <xf numFmtId="0" fontId="0" fillId="24" borderId="131" xfId="0" applyFill="1" applyBorder="1" applyAlignment="1">
      <alignment wrapText="1"/>
    </xf>
    <xf numFmtId="0" fontId="0" fillId="11" borderId="131" xfId="0" applyFill="1" applyBorder="1"/>
    <xf numFmtId="0" fontId="0" fillId="8" borderId="131" xfId="0" applyFill="1" applyBorder="1" applyAlignment="1">
      <alignment wrapText="1"/>
    </xf>
    <xf numFmtId="0" fontId="0" fillId="24" borderId="131" xfId="0" applyFill="1" applyBorder="1"/>
    <xf numFmtId="167" fontId="116" fillId="78" borderId="62" xfId="0" applyNumberFormat="1" applyFont="1" applyFill="1" applyBorder="1" applyAlignment="1">
      <alignment horizontal="center" wrapText="1"/>
    </xf>
    <xf numFmtId="167" fontId="116" fillId="78" borderId="62" xfId="1" applyNumberFormat="1" applyFont="1" applyFill="1" applyBorder="1"/>
    <xf numFmtId="167" fontId="102" fillId="78" borderId="119" xfId="19" applyNumberFormat="1" applyFont="1" applyFill="1" applyBorder="1" applyProtection="1">
      <protection locked="0"/>
    </xf>
    <xf numFmtId="49" fontId="116" fillId="0" borderId="159" xfId="0" applyNumberFormat="1" applyFont="1" applyBorder="1" applyAlignment="1">
      <alignment horizontal="left"/>
    </xf>
    <xf numFmtId="167" fontId="116" fillId="0" borderId="160" xfId="1" applyNumberFormat="1" applyFont="1" applyBorder="1"/>
    <xf numFmtId="167" fontId="116" fillId="0" borderId="161" xfId="1" applyNumberFormat="1" applyFont="1" applyFill="1" applyBorder="1"/>
    <xf numFmtId="3" fontId="186" fillId="0" borderId="0" xfId="0" applyNumberFormat="1" applyFont="1"/>
    <xf numFmtId="0" fontId="191" fillId="0" borderId="3" xfId="7" applyFont="1" applyBorder="1" applyAlignment="1">
      <alignment horizontal="center" vertical="center" wrapText="1"/>
    </xf>
    <xf numFmtId="167" fontId="175" fillId="0" borderId="0" xfId="1" applyNumberFormat="1" applyFont="1"/>
    <xf numFmtId="49" fontId="66" fillId="5" borderId="14" xfId="43" applyNumberFormat="1" applyFont="1" applyFill="1" applyBorder="1" applyAlignment="1">
      <alignment horizontal="left" indent="2"/>
    </xf>
    <xf numFmtId="43" fontId="62" fillId="4" borderId="51" xfId="1" quotePrefix="1" applyFont="1" applyFill="1" applyBorder="1" applyAlignment="1">
      <alignment wrapText="1"/>
    </xf>
    <xf numFmtId="49" fontId="175" fillId="6" borderId="7" xfId="43" applyNumberFormat="1" applyFont="1" applyFill="1" applyBorder="1" applyAlignment="1">
      <alignment horizontal="left" indent="1"/>
    </xf>
    <xf numFmtId="43" fontId="190" fillId="6" borderId="51" xfId="1" applyFont="1" applyFill="1" applyBorder="1"/>
    <xf numFmtId="49" fontId="190" fillId="6" borderId="7" xfId="43" applyNumberFormat="1" applyFont="1" applyFill="1" applyBorder="1" applyAlignment="1">
      <alignment horizontal="left" indent="1"/>
    </xf>
    <xf numFmtId="43" fontId="190" fillId="6" borderId="121" xfId="1" applyFont="1" applyFill="1" applyBorder="1"/>
    <xf numFmtId="167" fontId="193" fillId="0" borderId="0" xfId="0" applyNumberFormat="1" applyFont="1"/>
    <xf numFmtId="49" fontId="175" fillId="6" borderId="8" xfId="43" applyNumberFormat="1" applyFont="1" applyFill="1" applyBorder="1" applyAlignment="1">
      <alignment horizontal="right" wrapText="1" indent="2"/>
    </xf>
    <xf numFmtId="43" fontId="175" fillId="6" borderId="121" xfId="1" applyFont="1" applyFill="1" applyBorder="1"/>
    <xf numFmtId="49" fontId="190" fillId="6" borderId="41" xfId="43" applyNumberFormat="1" applyFont="1" applyFill="1" applyBorder="1" applyAlignment="1">
      <alignment horizontal="right" wrapText="1" indent="2"/>
    </xf>
    <xf numFmtId="3" fontId="66" fillId="4" borderId="9" xfId="3" applyNumberFormat="1" applyFont="1" applyFill="1" applyBorder="1"/>
    <xf numFmtId="49" fontId="190" fillId="6" borderId="26" xfId="43" applyNumberFormat="1" applyFont="1" applyFill="1" applyBorder="1" applyAlignment="1">
      <alignment horizontal="left" indent="1"/>
    </xf>
    <xf numFmtId="49" fontId="190" fillId="6" borderId="42" xfId="43" applyNumberFormat="1" applyFont="1" applyFill="1" applyBorder="1" applyAlignment="1">
      <alignment horizontal="left" indent="1"/>
    </xf>
    <xf numFmtId="43" fontId="190" fillId="6" borderId="9" xfId="1" applyFont="1" applyFill="1" applyBorder="1"/>
    <xf numFmtId="49" fontId="190" fillId="0" borderId="99" xfId="43" applyNumberFormat="1" applyFont="1" applyBorder="1" applyAlignment="1">
      <alignment horizontal="left" indent="1"/>
    </xf>
    <xf numFmtId="43" fontId="190" fillId="0" borderId="98" xfId="1" quotePrefix="1" applyFont="1" applyFill="1" applyBorder="1" applyAlignment="1">
      <alignment wrapText="1"/>
    </xf>
    <xf numFmtId="43" fontId="190" fillId="6" borderId="43" xfId="1" applyFont="1" applyFill="1" applyBorder="1"/>
    <xf numFmtId="167" fontId="190" fillId="6" borderId="9" xfId="1" applyNumberFormat="1" applyFont="1" applyFill="1" applyBorder="1"/>
    <xf numFmtId="0" fontId="190" fillId="6" borderId="23" xfId="43" applyFont="1" applyFill="1" applyBorder="1" applyAlignment="1">
      <alignment horizontal="right" indent="3"/>
    </xf>
    <xf numFmtId="0" fontId="62" fillId="6" borderId="89" xfId="43" applyFont="1" applyFill="1" applyBorder="1" applyAlignment="1">
      <alignment horizontal="right" indent="3"/>
    </xf>
    <xf numFmtId="43" fontId="62" fillId="6" borderId="110" xfId="1" applyFont="1" applyFill="1" applyBorder="1"/>
    <xf numFmtId="43" fontId="190" fillId="6" borderId="28" xfId="1" applyFont="1" applyFill="1" applyBorder="1"/>
    <xf numFmtId="43" fontId="279" fillId="6" borderId="9" xfId="1" applyFont="1" applyFill="1" applyBorder="1"/>
    <xf numFmtId="49" fontId="190" fillId="6" borderId="52" xfId="43" applyNumberFormat="1" applyFont="1" applyFill="1" applyBorder="1" applyAlignment="1">
      <alignment horizontal="left" indent="1"/>
    </xf>
    <xf numFmtId="49" fontId="190" fillId="6" borderId="113" xfId="43" applyNumberFormat="1" applyFont="1" applyFill="1" applyBorder="1" applyAlignment="1">
      <alignment horizontal="left" indent="1"/>
    </xf>
    <xf numFmtId="167" fontId="190" fillId="6" borderId="110" xfId="1" applyNumberFormat="1" applyFont="1" applyFill="1" applyBorder="1"/>
    <xf numFmtId="3" fontId="190" fillId="0" borderId="43" xfId="43" applyNumberFormat="1" applyFont="1" applyBorder="1"/>
    <xf numFmtId="167" fontId="190" fillId="6" borderId="43" xfId="1" applyNumberFormat="1" applyFont="1" applyFill="1" applyBorder="1"/>
    <xf numFmtId="167" fontId="62" fillId="7" borderId="9" xfId="1" applyNumberFormat="1" applyFont="1" applyFill="1" applyBorder="1" applyAlignment="1">
      <alignment wrapText="1"/>
    </xf>
    <xf numFmtId="167" fontId="190" fillId="0" borderId="98" xfId="1" applyNumberFormat="1" applyFont="1" applyFill="1" applyBorder="1"/>
    <xf numFmtId="49" fontId="190" fillId="6" borderId="49" xfId="43" applyNumberFormat="1" applyFont="1" applyFill="1" applyBorder="1" applyAlignment="1">
      <alignment horizontal="left" indent="1"/>
    </xf>
    <xf numFmtId="167" fontId="190" fillId="6" borderId="50" xfId="1" applyNumberFormat="1" applyFont="1" applyFill="1" applyBorder="1"/>
    <xf numFmtId="167" fontId="190" fillId="6" borderId="51" xfId="1" applyNumberFormat="1" applyFont="1" applyFill="1" applyBorder="1"/>
    <xf numFmtId="49" fontId="190" fillId="6" borderId="68" xfId="43" applyNumberFormat="1" applyFont="1" applyFill="1" applyBorder="1" applyAlignment="1">
      <alignment horizontal="left" indent="1"/>
    </xf>
    <xf numFmtId="167" fontId="190" fillId="6" borderId="69" xfId="1" applyNumberFormat="1" applyFont="1" applyFill="1" applyBorder="1"/>
    <xf numFmtId="167" fontId="62" fillId="6" borderId="9" xfId="1" quotePrefix="1" applyNumberFormat="1" applyFont="1" applyFill="1" applyBorder="1" applyAlignment="1">
      <alignment horizontal="left" wrapText="1"/>
    </xf>
    <xf numFmtId="9" fontId="190" fillId="6" borderId="51" xfId="2" applyFont="1" applyFill="1" applyBorder="1" applyAlignment="1">
      <alignment horizontal="right"/>
    </xf>
    <xf numFmtId="49" fontId="190" fillId="0" borderId="26" xfId="43" applyNumberFormat="1" applyFont="1" applyBorder="1" applyAlignment="1">
      <alignment horizontal="left" indent="1"/>
    </xf>
    <xf numFmtId="43" fontId="190" fillId="0" borderId="121" xfId="1" applyFont="1" applyFill="1" applyBorder="1"/>
    <xf numFmtId="49" fontId="139" fillId="71" borderId="0" xfId="43" applyNumberFormat="1" applyFont="1" applyFill="1" applyAlignment="1">
      <alignment horizontal="left" indent="1"/>
    </xf>
    <xf numFmtId="49" fontId="66" fillId="71" borderId="0" xfId="43" applyNumberFormat="1" applyFont="1" applyFill="1" applyAlignment="1">
      <alignment horizontal="left" wrapText="1" indent="2"/>
    </xf>
    <xf numFmtId="3" fontId="66" fillId="71" borderId="0" xfId="3" applyNumberFormat="1" applyFont="1" applyFill="1"/>
    <xf numFmtId="167" fontId="250" fillId="71" borderId="0" xfId="1" applyNumberFormat="1" applyFont="1" applyFill="1" applyBorder="1" applyAlignment="1">
      <alignment horizontal="right"/>
    </xf>
    <xf numFmtId="167" fontId="72" fillId="0" borderId="0" xfId="1" applyNumberFormat="1" applyFont="1"/>
    <xf numFmtId="167" fontId="72" fillId="71" borderId="0" xfId="1" applyNumberFormat="1" applyFont="1" applyFill="1"/>
    <xf numFmtId="9" fontId="72" fillId="0" borderId="0" xfId="2" applyFont="1"/>
    <xf numFmtId="9" fontId="72" fillId="71" borderId="0" xfId="2" applyFont="1" applyFill="1"/>
    <xf numFmtId="0" fontId="116" fillId="0" borderId="0" xfId="0" applyFont="1" applyAlignment="1">
      <alignment horizontal="right"/>
    </xf>
    <xf numFmtId="43" fontId="116" fillId="0" borderId="0" xfId="1" applyFont="1" applyAlignment="1">
      <alignment horizontal="right"/>
    </xf>
    <xf numFmtId="167" fontId="116" fillId="0" borderId="0" xfId="1" applyNumberFormat="1" applyFont="1" applyAlignment="1">
      <alignment horizontal="right"/>
    </xf>
    <xf numFmtId="49" fontId="66" fillId="6" borderId="86" xfId="43" applyNumberFormat="1" applyFont="1" applyFill="1" applyBorder="1" applyAlignment="1">
      <alignment horizontal="right" wrapText="1" indent="2"/>
    </xf>
    <xf numFmtId="49" fontId="62" fillId="6" borderId="86" xfId="43" applyNumberFormat="1" applyFont="1" applyFill="1" applyBorder="1" applyAlignment="1">
      <alignment horizontal="right" wrapText="1" indent="2"/>
    </xf>
    <xf numFmtId="49" fontId="72" fillId="6" borderId="86" xfId="43" applyNumberFormat="1" applyFont="1" applyFill="1" applyBorder="1" applyAlignment="1">
      <alignment horizontal="right" wrapText="1" indent="2"/>
    </xf>
    <xf numFmtId="49" fontId="66" fillId="0" borderId="8" xfId="43" applyNumberFormat="1" applyFont="1" applyBorder="1" applyAlignment="1">
      <alignment horizontal="right" wrapText="1" indent="2"/>
    </xf>
    <xf numFmtId="49" fontId="66" fillId="0" borderId="27" xfId="43" applyNumberFormat="1" applyFont="1" applyBorder="1" applyAlignment="1">
      <alignment horizontal="right" wrapText="1" indent="2"/>
    </xf>
    <xf numFmtId="49" fontId="73" fillId="0" borderId="8" xfId="43" applyNumberFormat="1" applyFont="1" applyBorder="1" applyAlignment="1">
      <alignment horizontal="right" wrapText="1" indent="2"/>
    </xf>
    <xf numFmtId="49" fontId="66" fillId="6" borderId="8" xfId="43" applyNumberFormat="1" applyFont="1" applyFill="1" applyBorder="1" applyAlignment="1">
      <alignment horizontal="right" wrapText="1" indent="2"/>
    </xf>
    <xf numFmtId="49" fontId="66" fillId="6" borderId="27" xfId="43" applyNumberFormat="1" applyFont="1" applyFill="1" applyBorder="1" applyAlignment="1">
      <alignment horizontal="right" wrapText="1" indent="2"/>
    </xf>
    <xf numFmtId="49" fontId="62" fillId="6" borderId="47" xfId="43" applyNumberFormat="1" applyFont="1" applyFill="1" applyBorder="1" applyAlignment="1">
      <alignment horizontal="right" wrapText="1" indent="2"/>
    </xf>
    <xf numFmtId="173" fontId="116" fillId="0" borderId="18" xfId="1" applyNumberFormat="1" applyFont="1" applyFill="1" applyBorder="1"/>
    <xf numFmtId="49" fontId="127" fillId="18" borderId="18" xfId="1" applyNumberFormat="1" applyFont="1" applyFill="1" applyBorder="1" applyAlignment="1">
      <alignment horizontal="right"/>
    </xf>
    <xf numFmtId="49" fontId="215" fillId="23" borderId="18" xfId="1" applyNumberFormat="1" applyFont="1" applyFill="1" applyBorder="1" applyAlignment="1">
      <alignment horizontal="right"/>
    </xf>
    <xf numFmtId="167" fontId="116" fillId="0" borderId="87" xfId="1" applyNumberFormat="1" applyFont="1" applyBorder="1" applyAlignment="1">
      <alignment wrapText="1"/>
    </xf>
    <xf numFmtId="167" fontId="116" fillId="0" borderId="81" xfId="1" applyNumberFormat="1" applyFont="1" applyBorder="1" applyAlignment="1">
      <alignment wrapText="1"/>
    </xf>
    <xf numFmtId="167" fontId="116" fillId="0" borderId="63" xfId="1" applyNumberFormat="1" applyFont="1" applyFill="1" applyBorder="1" applyAlignment="1"/>
    <xf numFmtId="167" fontId="116" fillId="0" borderId="66" xfId="1" applyNumberFormat="1" applyFont="1" applyFill="1" applyBorder="1" applyAlignment="1"/>
    <xf numFmtId="167" fontId="116" fillId="0" borderId="106" xfId="1" applyNumberFormat="1" applyFont="1" applyBorder="1" applyAlignment="1">
      <alignment wrapText="1"/>
    </xf>
    <xf numFmtId="167" fontId="62" fillId="6" borderId="51" xfId="1" quotePrefix="1" applyNumberFormat="1" applyFont="1" applyFill="1" applyBorder="1" applyAlignment="1">
      <alignment wrapText="1"/>
    </xf>
    <xf numFmtId="167" fontId="198" fillId="0" borderId="0" xfId="1" applyNumberFormat="1" applyFont="1" applyBorder="1"/>
    <xf numFmtId="167" fontId="116" fillId="8" borderId="62" xfId="1" applyNumberFormat="1" applyFont="1" applyFill="1" applyBorder="1"/>
    <xf numFmtId="167" fontId="105" fillId="10" borderId="119" xfId="19" applyNumberFormat="1" applyFont="1" applyFill="1" applyBorder="1" applyProtection="1">
      <protection locked="0"/>
    </xf>
    <xf numFmtId="167" fontId="82" fillId="10" borderId="101" xfId="19" applyNumberFormat="1" applyFont="1" applyFill="1" applyBorder="1" applyProtection="1">
      <protection locked="0"/>
    </xf>
    <xf numFmtId="167" fontId="82" fillId="10" borderId="119" xfId="19" applyNumberFormat="1" applyFont="1" applyFill="1" applyBorder="1" applyProtection="1">
      <protection locked="0"/>
    </xf>
    <xf numFmtId="43" fontId="62" fillId="0" borderId="121" xfId="1" applyFont="1" applyFill="1" applyBorder="1" applyAlignment="1">
      <alignment wrapText="1"/>
    </xf>
    <xf numFmtId="167" fontId="62" fillId="0" borderId="9" xfId="1" applyNumberFormat="1" applyFont="1" applyFill="1" applyBorder="1" applyAlignment="1">
      <alignment wrapText="1"/>
    </xf>
    <xf numFmtId="167" fontId="116" fillId="0" borderId="118" xfId="1" applyNumberFormat="1" applyFont="1" applyFill="1" applyBorder="1"/>
    <xf numFmtId="167" fontId="122" fillId="79" borderId="66" xfId="1" applyNumberFormat="1" applyFont="1" applyFill="1" applyBorder="1"/>
    <xf numFmtId="0" fontId="116" fillId="0" borderId="130" xfId="0" applyFont="1" applyBorder="1" applyAlignment="1">
      <alignment wrapText="1"/>
    </xf>
    <xf numFmtId="167" fontId="67" fillId="0" borderId="67" xfId="1" applyNumberFormat="1" applyFont="1" applyBorder="1" applyAlignment="1">
      <alignment wrapText="1"/>
    </xf>
    <xf numFmtId="167" fontId="67" fillId="79" borderId="67" xfId="1" applyNumberFormat="1" applyFont="1" applyFill="1" applyBorder="1" applyAlignment="1">
      <alignment wrapText="1"/>
    </xf>
    <xf numFmtId="0" fontId="0" fillId="0" borderId="157" xfId="0" applyBorder="1" applyAlignment="1">
      <alignment wrapText="1"/>
    </xf>
    <xf numFmtId="49" fontId="116" fillId="0" borderId="157" xfId="0" applyNumberFormat="1" applyFont="1" applyBorder="1" applyAlignment="1">
      <alignment vertical="center" wrapText="1"/>
    </xf>
    <xf numFmtId="0" fontId="116" fillId="0" borderId="157" xfId="0" applyFont="1" applyBorder="1"/>
    <xf numFmtId="167" fontId="116" fillId="0" borderId="120" xfId="1" applyNumberFormat="1" applyFont="1" applyFill="1" applyBorder="1" applyAlignment="1">
      <alignment wrapText="1"/>
    </xf>
    <xf numFmtId="0" fontId="0" fillId="0" borderId="164" xfId="0" applyBorder="1" applyAlignment="1">
      <alignment wrapText="1"/>
    </xf>
    <xf numFmtId="49" fontId="116" fillId="0" borderId="164" xfId="0" applyNumberFormat="1" applyFont="1" applyBorder="1" applyAlignment="1">
      <alignment vertical="center" wrapText="1"/>
    </xf>
    <xf numFmtId="0" fontId="116" fillId="0" borderId="164" xfId="0" applyFont="1" applyBorder="1"/>
    <xf numFmtId="167" fontId="116" fillId="0" borderId="17" xfId="1" applyNumberFormat="1" applyFont="1" applyFill="1" applyBorder="1" applyAlignment="1">
      <alignment wrapText="1"/>
    </xf>
    <xf numFmtId="167" fontId="116" fillId="0" borderId="141" xfId="1" applyNumberFormat="1" applyFont="1" applyBorder="1" applyAlignment="1">
      <alignment wrapText="1"/>
    </xf>
    <xf numFmtId="167" fontId="116" fillId="0" borderId="126" xfId="1" applyNumberFormat="1" applyFont="1" applyBorder="1" applyAlignment="1">
      <alignment wrapText="1"/>
    </xf>
    <xf numFmtId="0" fontId="93" fillId="6" borderId="0" xfId="0" applyFont="1" applyFill="1" applyAlignment="1">
      <alignment horizontal="left" vertical="top" wrapText="1"/>
    </xf>
    <xf numFmtId="43" fontId="102" fillId="27" borderId="96" xfId="1" applyFont="1" applyFill="1" applyBorder="1" applyAlignment="1" applyProtection="1">
      <alignment wrapText="1"/>
      <protection locked="0"/>
    </xf>
    <xf numFmtId="167" fontId="125" fillId="10" borderId="131" xfId="19" applyNumberFormat="1" applyFont="1" applyFill="1" applyBorder="1" applyAlignment="1" applyProtection="1">
      <alignment wrapText="1"/>
      <protection locked="0"/>
    </xf>
    <xf numFmtId="167" fontId="253" fillId="73" borderId="131" xfId="19" applyNumberFormat="1" applyFont="1" applyFill="1" applyBorder="1" applyProtection="1">
      <protection locked="0"/>
    </xf>
    <xf numFmtId="167" fontId="125" fillId="13" borderId="131" xfId="19" applyNumberFormat="1" applyFont="1" applyFill="1" applyBorder="1" applyProtection="1">
      <protection locked="0"/>
    </xf>
    <xf numFmtId="0" fontId="83" fillId="0" borderId="131" xfId="0" applyFont="1" applyBorder="1"/>
    <xf numFmtId="0" fontId="104" fillId="10" borderId="131" xfId="0" applyFont="1" applyFill="1" applyBorder="1" applyAlignment="1">
      <alignment horizontal="left" vertical="center" wrapText="1"/>
    </xf>
    <xf numFmtId="49" fontId="83" fillId="0" borderId="131" xfId="0" applyNumberFormat="1" applyFont="1" applyBorder="1"/>
    <xf numFmtId="167" fontId="83" fillId="10" borderId="101" xfId="1" applyNumberFormat="1" applyFont="1" applyFill="1" applyBorder="1"/>
    <xf numFmtId="167" fontId="82" fillId="10" borderId="101" xfId="1" applyNumberFormat="1" applyFont="1" applyFill="1" applyBorder="1"/>
    <xf numFmtId="0" fontId="83" fillId="10" borderId="131" xfId="0" applyFont="1" applyFill="1" applyBorder="1"/>
    <xf numFmtId="43" fontId="93" fillId="10" borderId="131" xfId="24" applyFont="1" applyFill="1" applyBorder="1" applyAlignment="1" applyProtection="1">
      <alignment horizontal="center"/>
      <protection locked="0"/>
    </xf>
    <xf numFmtId="167" fontId="83" fillId="10" borderId="131" xfId="24" applyNumberFormat="1" applyFont="1" applyFill="1" applyBorder="1" applyProtection="1">
      <protection locked="0"/>
    </xf>
    <xf numFmtId="49" fontId="96" fillId="10" borderId="101" xfId="0" applyNumberFormat="1" applyFont="1" applyFill="1" applyBorder="1" applyAlignment="1">
      <alignment horizontal="left" vertical="center"/>
    </xf>
    <xf numFmtId="167" fontId="83" fillId="10" borderId="101" xfId="1" applyNumberFormat="1" applyFont="1" applyFill="1" applyBorder="1" applyAlignment="1" applyProtection="1">
      <alignment horizontal="center" vertical="center"/>
      <protection locked="0"/>
    </xf>
    <xf numFmtId="0" fontId="93" fillId="21" borderId="131" xfId="0" applyFont="1" applyFill="1" applyBorder="1" applyAlignment="1">
      <alignment horizontal="left" vertical="center" wrapText="1"/>
    </xf>
    <xf numFmtId="167" fontId="183" fillId="10" borderId="131" xfId="19" applyNumberFormat="1" applyFont="1" applyFill="1" applyBorder="1" applyProtection="1">
      <protection locked="0"/>
    </xf>
    <xf numFmtId="167" fontId="100" fillId="10" borderId="131" xfId="19" applyNumberFormat="1" applyFont="1" applyFill="1" applyBorder="1" applyProtection="1">
      <protection locked="0"/>
    </xf>
    <xf numFmtId="167" fontId="105" fillId="10" borderId="0" xfId="19" applyNumberFormat="1" applyFont="1" applyFill="1"/>
    <xf numFmtId="167" fontId="86" fillId="14" borderId="0" xfId="19" applyNumberFormat="1" applyFont="1" applyFill="1" applyBorder="1" applyProtection="1">
      <protection locked="0"/>
    </xf>
    <xf numFmtId="167" fontId="91" fillId="13" borderId="97" xfId="19" applyNumberFormat="1" applyFont="1" applyFill="1" applyBorder="1" applyProtection="1">
      <protection locked="0"/>
    </xf>
    <xf numFmtId="167" fontId="94" fillId="13" borderId="0" xfId="19" applyNumberFormat="1" applyFont="1" applyFill="1"/>
    <xf numFmtId="167" fontId="253" fillId="10" borderId="101" xfId="19" applyNumberFormat="1" applyFont="1" applyFill="1" applyBorder="1" applyProtection="1">
      <protection locked="0"/>
    </xf>
    <xf numFmtId="167" fontId="253" fillId="9" borderId="101" xfId="24" applyNumberFormat="1" applyFont="1" applyFill="1" applyBorder="1" applyAlignment="1" applyProtection="1">
      <alignment horizontal="center"/>
      <protection locked="0"/>
    </xf>
    <xf numFmtId="167" fontId="253" fillId="13" borderId="101" xfId="24" applyNumberFormat="1" applyFont="1" applyFill="1" applyBorder="1" applyAlignment="1" applyProtection="1">
      <alignment horizontal="center" vertical="center"/>
      <protection locked="0"/>
    </xf>
    <xf numFmtId="43" fontId="125" fillId="10" borderId="101" xfId="24" applyFont="1" applyFill="1" applyBorder="1" applyAlignment="1" applyProtection="1">
      <alignment horizontal="center"/>
      <protection locked="0"/>
    </xf>
    <xf numFmtId="167" fontId="253" fillId="10" borderId="101" xfId="1" applyNumberFormat="1" applyFont="1" applyFill="1" applyBorder="1" applyProtection="1">
      <protection locked="0"/>
    </xf>
    <xf numFmtId="167" fontId="253" fillId="0" borderId="101" xfId="19" applyNumberFormat="1" applyFont="1" applyFill="1" applyBorder="1" applyAlignment="1">
      <alignment wrapText="1"/>
    </xf>
    <xf numFmtId="167" fontId="253" fillId="9" borderId="101" xfId="1" applyNumberFormat="1" applyFont="1" applyFill="1" applyBorder="1" applyAlignment="1" applyProtection="1">
      <alignment horizontal="center"/>
      <protection locked="0"/>
    </xf>
    <xf numFmtId="0" fontId="254" fillId="10" borderId="101" xfId="0" applyFont="1" applyFill="1" applyBorder="1" applyAlignment="1">
      <alignment horizontal="right" vertical="center" wrapText="1"/>
    </xf>
    <xf numFmtId="0" fontId="125" fillId="10" borderId="109" xfId="0" applyFont="1" applyFill="1" applyBorder="1" applyAlignment="1">
      <alignment horizontal="right" vertical="center" wrapText="1"/>
    </xf>
    <xf numFmtId="167" fontId="253" fillId="13" borderId="131" xfId="24" applyNumberFormat="1" applyFont="1" applyFill="1" applyBorder="1" applyAlignment="1" applyProtection="1">
      <alignment horizontal="center" vertical="center"/>
      <protection locked="0"/>
    </xf>
    <xf numFmtId="43" fontId="125" fillId="10" borderId="131" xfId="24" applyFont="1" applyFill="1" applyBorder="1" applyAlignment="1" applyProtection="1">
      <alignment horizontal="center"/>
      <protection locked="0"/>
    </xf>
    <xf numFmtId="167" fontId="253" fillId="10" borderId="131" xfId="1" applyNumberFormat="1" applyFont="1" applyFill="1" applyBorder="1" applyProtection="1">
      <protection locked="0"/>
    </xf>
    <xf numFmtId="167" fontId="253" fillId="13" borderId="109" xfId="24" applyNumberFormat="1" applyFont="1" applyFill="1" applyBorder="1" applyAlignment="1" applyProtection="1">
      <alignment horizontal="center" vertical="center"/>
      <protection locked="0"/>
    </xf>
    <xf numFmtId="43" fontId="125" fillId="10" borderId="109" xfId="24" applyFont="1" applyFill="1" applyBorder="1" applyAlignment="1" applyProtection="1">
      <alignment horizontal="center"/>
      <protection locked="0"/>
    </xf>
    <xf numFmtId="167" fontId="91" fillId="9" borderId="101" xfId="24" applyNumberFormat="1" applyFont="1" applyFill="1" applyBorder="1" applyAlignment="1" applyProtection="1">
      <alignment horizontal="center"/>
      <protection locked="0"/>
    </xf>
    <xf numFmtId="43" fontId="104" fillId="10" borderId="101" xfId="1" applyFont="1" applyFill="1" applyBorder="1" applyProtection="1">
      <protection locked="0"/>
    </xf>
    <xf numFmtId="167" fontId="102" fillId="10" borderId="101" xfId="1" applyNumberFormat="1" applyFont="1" applyFill="1" applyBorder="1" applyAlignment="1" applyProtection="1">
      <alignment horizontal="center"/>
      <protection locked="0"/>
    </xf>
    <xf numFmtId="43" fontId="187" fillId="0" borderId="0" xfId="173" applyNumberFormat="1" applyAlignment="1">
      <alignment wrapText="1"/>
    </xf>
    <xf numFmtId="167" fontId="116" fillId="69" borderId="62" xfId="0" applyNumberFormat="1" applyFont="1" applyFill="1" applyBorder="1" applyAlignment="1">
      <alignment horizontal="center" wrapText="1"/>
    </xf>
    <xf numFmtId="167" fontId="116" fillId="69" borderId="62" xfId="1" applyNumberFormat="1" applyFont="1" applyFill="1" applyBorder="1" applyAlignment="1">
      <alignment wrapText="1"/>
    </xf>
    <xf numFmtId="167" fontId="116" fillId="69" borderId="62" xfId="1" applyNumberFormat="1" applyFont="1" applyFill="1" applyBorder="1"/>
    <xf numFmtId="0" fontId="104" fillId="6" borderId="96" xfId="0" applyFont="1" applyFill="1" applyBorder="1"/>
    <xf numFmtId="0" fontId="95" fillId="10" borderId="131" xfId="0" applyFont="1" applyFill="1" applyBorder="1" applyAlignment="1">
      <alignment horizontal="right" vertical="center" wrapText="1"/>
    </xf>
    <xf numFmtId="0" fontId="253" fillId="6" borderId="101" xfId="0" applyFont="1" applyFill="1" applyBorder="1"/>
    <xf numFmtId="0" fontId="104" fillId="0" borderId="131" xfId="0" quotePrefix="1" applyFont="1" applyBorder="1"/>
    <xf numFmtId="167" fontId="83" fillId="14" borderId="131" xfId="1" applyNumberFormat="1" applyFont="1" applyFill="1" applyBorder="1"/>
    <xf numFmtId="167" fontId="86" fillId="14" borderId="131" xfId="1" applyNumberFormat="1" applyFont="1" applyFill="1" applyBorder="1"/>
    <xf numFmtId="167" fontId="86" fillId="13" borderId="131" xfId="1" applyNumberFormat="1" applyFont="1" applyFill="1" applyBorder="1"/>
    <xf numFmtId="0" fontId="97" fillId="10" borderId="131" xfId="0" applyFont="1" applyFill="1" applyBorder="1" applyAlignment="1">
      <alignment vertical="center" wrapText="1"/>
    </xf>
    <xf numFmtId="167" fontId="93" fillId="10" borderId="131" xfId="1" applyNumberFormat="1" applyFont="1" applyFill="1" applyBorder="1" applyAlignment="1"/>
    <xf numFmtId="167" fontId="96" fillId="10" borderId="131" xfId="1" applyNumberFormat="1" applyFont="1" applyFill="1" applyBorder="1"/>
    <xf numFmtId="167" fontId="96" fillId="13" borderId="131" xfId="1" applyNumberFormat="1" applyFont="1" applyFill="1" applyBorder="1"/>
    <xf numFmtId="167" fontId="93" fillId="10" borderId="131" xfId="1" applyNumberFormat="1" applyFont="1" applyFill="1" applyBorder="1"/>
    <xf numFmtId="167" fontId="116" fillId="69" borderId="62" xfId="1" applyNumberFormat="1" applyFont="1" applyFill="1" applyBorder="1" applyAlignment="1">
      <alignment horizontal="center" wrapText="1"/>
    </xf>
    <xf numFmtId="167" fontId="113" fillId="0" borderId="87" xfId="1" applyNumberFormat="1" applyFont="1" applyBorder="1" applyAlignment="1">
      <alignment wrapText="1"/>
    </xf>
    <xf numFmtId="167" fontId="116" fillId="69" borderId="62" xfId="1" applyNumberFormat="1" applyFont="1" applyFill="1" applyBorder="1" applyAlignment="1">
      <alignment horizontal="center"/>
    </xf>
    <xf numFmtId="49" fontId="113" fillId="0" borderId="55" xfId="0" quotePrefix="1" applyNumberFormat="1" applyFont="1" applyBorder="1" applyAlignment="1">
      <alignment horizontal="left"/>
    </xf>
    <xf numFmtId="0" fontId="104" fillId="8" borderId="101" xfId="0" applyFont="1" applyFill="1" applyBorder="1" applyAlignment="1">
      <alignment horizontal="left"/>
    </xf>
    <xf numFmtId="167" fontId="0" fillId="69" borderId="62" xfId="1" applyNumberFormat="1" applyFont="1" applyFill="1" applyBorder="1"/>
    <xf numFmtId="167" fontId="111" fillId="69" borderId="62" xfId="1" applyNumberFormat="1" applyFont="1" applyFill="1" applyBorder="1"/>
    <xf numFmtId="167" fontId="122" fillId="69" borderId="62" xfId="1" applyNumberFormat="1" applyFont="1" applyFill="1" applyBorder="1"/>
    <xf numFmtId="167" fontId="122" fillId="69" borderId="66" xfId="1" applyNumberFormat="1" applyFont="1" applyFill="1" applyBorder="1"/>
    <xf numFmtId="167" fontId="113" fillId="69" borderId="141" xfId="1" applyNumberFormat="1" applyFont="1" applyFill="1" applyBorder="1" applyAlignment="1">
      <alignment wrapText="1"/>
    </xf>
    <xf numFmtId="167" fontId="116" fillId="69" borderId="141" xfId="1" applyNumberFormat="1" applyFont="1" applyFill="1" applyBorder="1"/>
    <xf numFmtId="167" fontId="113" fillId="69" borderId="126" xfId="1" applyNumberFormat="1" applyFont="1" applyFill="1" applyBorder="1" applyAlignment="1">
      <alignment wrapText="1"/>
    </xf>
    <xf numFmtId="167" fontId="116" fillId="69" borderId="126" xfId="1" applyNumberFormat="1" applyFont="1" applyFill="1" applyBorder="1"/>
    <xf numFmtId="167" fontId="94" fillId="10" borderId="109" xfId="19" applyNumberFormat="1" applyFont="1" applyFill="1" applyBorder="1"/>
    <xf numFmtId="167" fontId="94" fillId="10" borderId="131" xfId="19" applyNumberFormat="1" applyFont="1" applyFill="1" applyBorder="1"/>
    <xf numFmtId="167" fontId="67" fillId="69" borderId="67" xfId="1" applyNumberFormat="1" applyFont="1" applyFill="1" applyBorder="1" applyAlignment="1">
      <alignment wrapText="1"/>
    </xf>
    <xf numFmtId="167" fontId="67" fillId="69" borderId="67" xfId="1" applyNumberFormat="1" applyFont="1" applyFill="1" applyBorder="1"/>
    <xf numFmtId="167" fontId="67" fillId="0" borderId="62" xfId="1" applyNumberFormat="1" applyFont="1" applyBorder="1"/>
    <xf numFmtId="167" fontId="67" fillId="0" borderId="87" xfId="1" applyNumberFormat="1" applyFont="1" applyBorder="1" applyAlignment="1">
      <alignment wrapText="1"/>
    </xf>
    <xf numFmtId="167" fontId="67" fillId="0" borderId="123" xfId="1" applyNumberFormat="1" applyFont="1" applyBorder="1"/>
    <xf numFmtId="167" fontId="67" fillId="0" borderId="157" xfId="1" applyNumberFormat="1" applyFont="1" applyFill="1" applyBorder="1"/>
    <xf numFmtId="167" fontId="67" fillId="0" borderId="164" xfId="1" applyNumberFormat="1" applyFont="1" applyFill="1" applyBorder="1"/>
    <xf numFmtId="167" fontId="67" fillId="0" borderId="130" xfId="1" applyNumberFormat="1" applyFont="1" applyFill="1" applyBorder="1"/>
    <xf numFmtId="167" fontId="67" fillId="0" borderId="147" xfId="1" applyNumberFormat="1" applyFont="1" applyFill="1" applyBorder="1"/>
    <xf numFmtId="167" fontId="94" fillId="10" borderId="112" xfId="19" applyNumberFormat="1" applyFont="1" applyFill="1" applyBorder="1" applyAlignment="1">
      <alignment horizontal="center"/>
    </xf>
    <xf numFmtId="167" fontId="91" fillId="14" borderId="112" xfId="1" applyNumberFormat="1" applyFont="1" applyFill="1" applyBorder="1" applyProtection="1">
      <protection locked="0"/>
    </xf>
    <xf numFmtId="167" fontId="67" fillId="14" borderId="112" xfId="19" applyNumberFormat="1" applyFont="1" applyFill="1" applyBorder="1" applyProtection="1">
      <protection locked="0"/>
    </xf>
    <xf numFmtId="167" fontId="94" fillId="10" borderId="112" xfId="1" applyNumberFormat="1" applyFont="1" applyFill="1" applyBorder="1" applyProtection="1">
      <protection locked="0"/>
    </xf>
    <xf numFmtId="43" fontId="94" fillId="10" borderId="112" xfId="1" applyFont="1" applyFill="1" applyBorder="1" applyAlignment="1">
      <alignment horizontal="center"/>
    </xf>
    <xf numFmtId="167" fontId="91" fillId="14" borderId="112" xfId="19" applyNumberFormat="1" applyFont="1" applyFill="1" applyBorder="1" applyProtection="1">
      <protection locked="0"/>
    </xf>
    <xf numFmtId="43" fontId="93" fillId="10" borderId="112" xfId="1" applyFont="1" applyFill="1" applyBorder="1" applyAlignment="1">
      <alignment horizontal="center"/>
    </xf>
    <xf numFmtId="167" fontId="67" fillId="0" borderId="62" xfId="1" applyNumberFormat="1" applyFont="1" applyBorder="1" applyAlignment="1">
      <alignment wrapText="1"/>
    </xf>
    <xf numFmtId="167" fontId="67" fillId="0" borderId="141" xfId="1" applyNumberFormat="1" applyFont="1" applyBorder="1" applyAlignment="1">
      <alignment wrapText="1"/>
    </xf>
    <xf numFmtId="167" fontId="233" fillId="69" borderId="62" xfId="1" applyNumberFormat="1" applyFont="1" applyFill="1" applyBorder="1"/>
    <xf numFmtId="167" fontId="113" fillId="0" borderId="67" xfId="1" applyNumberFormat="1" applyFont="1" applyFill="1" applyBorder="1" applyAlignment="1">
      <alignment wrapText="1"/>
    </xf>
    <xf numFmtId="167" fontId="67" fillId="0" borderId="67" xfId="1" applyNumberFormat="1" applyFont="1" applyBorder="1"/>
    <xf numFmtId="167" fontId="116" fillId="69" borderId="67" xfId="1" applyNumberFormat="1" applyFont="1" applyFill="1" applyBorder="1"/>
    <xf numFmtId="1" fontId="116" fillId="0" borderId="166" xfId="0" applyNumberFormat="1" applyFont="1" applyBorder="1"/>
    <xf numFmtId="0" fontId="71" fillId="0" borderId="87" xfId="28" applyFont="1" applyBorder="1"/>
    <xf numFmtId="0" fontId="116" fillId="0" borderId="87" xfId="0" applyFont="1" applyBorder="1" applyAlignment="1">
      <alignment horizontal="left"/>
    </xf>
    <xf numFmtId="0" fontId="233" fillId="19" borderId="87" xfId="0" applyFont="1" applyFill="1" applyBorder="1" applyAlignment="1">
      <alignment horizontal="right" wrapText="1"/>
    </xf>
    <xf numFmtId="167" fontId="116" fillId="69" borderId="87" xfId="1" applyNumberFormat="1" applyFont="1" applyFill="1" applyBorder="1"/>
    <xf numFmtId="167" fontId="116" fillId="69" borderId="87" xfId="0" applyNumberFormat="1" applyFont="1" applyFill="1" applyBorder="1" applyAlignment="1">
      <alignment horizontal="center" wrapText="1"/>
    </xf>
    <xf numFmtId="167" fontId="113" fillId="0" borderId="0" xfId="1" applyNumberFormat="1" applyFont="1" applyFill="1" applyBorder="1" applyAlignment="1">
      <alignment wrapText="1"/>
    </xf>
    <xf numFmtId="167" fontId="116" fillId="0" borderId="141" xfId="1" applyNumberFormat="1" applyFont="1" applyFill="1" applyBorder="1"/>
    <xf numFmtId="167" fontId="113" fillId="0" borderId="66" xfId="1" applyNumberFormat="1" applyFont="1" applyFill="1" applyBorder="1" applyAlignment="1"/>
    <xf numFmtId="167" fontId="113" fillId="0" borderId="0" xfId="1" applyNumberFormat="1" applyFont="1" applyFill="1" applyBorder="1" applyAlignment="1">
      <alignment horizontal="center"/>
    </xf>
    <xf numFmtId="167" fontId="113" fillId="0" borderId="88" xfId="1" applyNumberFormat="1" applyFont="1" applyFill="1" applyBorder="1"/>
    <xf numFmtId="167" fontId="113" fillId="0" borderId="107" xfId="1" applyNumberFormat="1" applyFont="1" applyFill="1" applyBorder="1"/>
    <xf numFmtId="167" fontId="116" fillId="25" borderId="62" xfId="1" applyNumberFormat="1" applyFont="1" applyFill="1" applyBorder="1"/>
    <xf numFmtId="49" fontId="94" fillId="10" borderId="101" xfId="0" applyNumberFormat="1" applyFont="1" applyFill="1" applyBorder="1" applyAlignment="1">
      <alignment horizontal="left" vertical="center"/>
    </xf>
    <xf numFmtId="167" fontId="105" fillId="10" borderId="101" xfId="23" applyNumberFormat="1" applyFont="1" applyFill="1" applyBorder="1"/>
    <xf numFmtId="167" fontId="91" fillId="16" borderId="101" xfId="19" applyNumberFormat="1" applyFont="1" applyFill="1" applyBorder="1" applyProtection="1">
      <protection locked="0"/>
    </xf>
    <xf numFmtId="167" fontId="91" fillId="21" borderId="101" xfId="19" applyNumberFormat="1" applyFont="1" applyFill="1" applyBorder="1" applyProtection="1">
      <protection locked="0"/>
    </xf>
    <xf numFmtId="0" fontId="93" fillId="21" borderId="131" xfId="0" applyFont="1" applyFill="1" applyBorder="1" applyAlignment="1">
      <alignment horizontal="right" vertical="center" wrapText="1"/>
    </xf>
    <xf numFmtId="167" fontId="93" fillId="16" borderId="96" xfId="1" applyNumberFormat="1" applyFont="1" applyFill="1" applyBorder="1" applyAlignment="1" applyProtection="1">
      <alignment wrapText="1"/>
      <protection locked="0"/>
    </xf>
    <xf numFmtId="167" fontId="93" fillId="10" borderId="101" xfId="1" applyNumberFormat="1" applyFont="1" applyFill="1" applyBorder="1" applyAlignment="1" applyProtection="1">
      <alignment wrapText="1"/>
      <protection locked="0"/>
    </xf>
    <xf numFmtId="0" fontId="116" fillId="0" borderId="87" xfId="0" applyFont="1" applyBorder="1" applyAlignment="1">
      <alignment horizontal="left" wrapText="1"/>
    </xf>
    <xf numFmtId="167" fontId="116" fillId="0" borderId="130" xfId="1" applyNumberFormat="1" applyFont="1" applyBorder="1"/>
    <xf numFmtId="167" fontId="93" fillId="10" borderId="101" xfId="1" applyNumberFormat="1" applyFont="1" applyFill="1" applyBorder="1" applyAlignment="1">
      <alignment horizontal="center"/>
    </xf>
    <xf numFmtId="167" fontId="82" fillId="14" borderId="101" xfId="1" applyNumberFormat="1" applyFont="1" applyFill="1" applyBorder="1" applyProtection="1">
      <protection locked="0"/>
    </xf>
    <xf numFmtId="167" fontId="83" fillId="16" borderId="101" xfId="1" applyNumberFormat="1" applyFont="1" applyFill="1" applyBorder="1" applyAlignment="1" applyProtection="1">
      <alignment horizontal="center"/>
      <protection locked="0"/>
    </xf>
    <xf numFmtId="167" fontId="83" fillId="16" borderId="101" xfId="24" applyNumberFormat="1" applyFont="1" applyFill="1" applyBorder="1" applyAlignment="1" applyProtection="1">
      <alignment horizontal="center"/>
      <protection locked="0"/>
    </xf>
    <xf numFmtId="167" fontId="82" fillId="14" borderId="101" xfId="1" applyNumberFormat="1" applyFont="1" applyFill="1" applyBorder="1" applyAlignment="1" applyProtection="1">
      <alignment horizontal="center" vertical="center"/>
      <protection locked="0"/>
    </xf>
    <xf numFmtId="167" fontId="83" fillId="10" borderId="112" xfId="1" applyNumberFormat="1" applyFont="1" applyFill="1" applyBorder="1" applyAlignment="1" applyProtection="1">
      <alignment horizontal="center" vertical="center"/>
      <protection locked="0"/>
    </xf>
    <xf numFmtId="167" fontId="93" fillId="25" borderId="101" xfId="1" applyNumberFormat="1" applyFont="1" applyFill="1" applyBorder="1" applyProtection="1">
      <protection locked="0"/>
    </xf>
    <xf numFmtId="43" fontId="113" fillId="0" borderId="0" xfId="1" applyFont="1"/>
    <xf numFmtId="167" fontId="83" fillId="14" borderId="97" xfId="1" applyNumberFormat="1" applyFont="1" applyFill="1" applyBorder="1" applyProtection="1">
      <protection locked="0"/>
    </xf>
    <xf numFmtId="167" fontId="86" fillId="14" borderId="97" xfId="1" applyNumberFormat="1" applyFont="1" applyFill="1" applyBorder="1" applyProtection="1">
      <protection locked="0"/>
    </xf>
    <xf numFmtId="0" fontId="280" fillId="0" borderId="101" xfId="0" applyFont="1" applyBorder="1"/>
    <xf numFmtId="0" fontId="281" fillId="10" borderId="101" xfId="0" applyFont="1" applyFill="1" applyBorder="1"/>
    <xf numFmtId="0" fontId="281" fillId="10" borderId="96" xfId="0" applyFont="1" applyFill="1" applyBorder="1"/>
    <xf numFmtId="0" fontId="281" fillId="10" borderId="131" xfId="0" applyFont="1" applyFill="1" applyBorder="1"/>
    <xf numFmtId="0" fontId="281" fillId="10" borderId="101" xfId="0" applyFont="1" applyFill="1" applyBorder="1" applyAlignment="1">
      <alignment vertical="top"/>
    </xf>
    <xf numFmtId="0" fontId="280" fillId="0" borderId="119" xfId="0" applyFont="1" applyBorder="1"/>
    <xf numFmtId="0" fontId="281" fillId="10" borderId="119" xfId="0" applyFont="1" applyFill="1" applyBorder="1"/>
    <xf numFmtId="0" fontId="281" fillId="0" borderId="101" xfId="0" applyFont="1" applyBorder="1"/>
    <xf numFmtId="0" fontId="280" fillId="10" borderId="101" xfId="0" applyFont="1" applyFill="1" applyBorder="1"/>
    <xf numFmtId="0" fontId="281" fillId="10" borderId="112" xfId="0" applyFont="1" applyFill="1" applyBorder="1"/>
    <xf numFmtId="0" fontId="280" fillId="0" borderId="116" xfId="0" applyFont="1" applyBorder="1"/>
    <xf numFmtId="0" fontId="281" fillId="10" borderId="116" xfId="0" applyFont="1" applyFill="1" applyBorder="1"/>
    <xf numFmtId="0" fontId="281" fillId="0" borderId="116" xfId="0" applyFont="1" applyBorder="1"/>
    <xf numFmtId="0" fontId="280" fillId="0" borderId="101" xfId="0" quotePrefix="1" applyFont="1" applyBorder="1"/>
    <xf numFmtId="0" fontId="281" fillId="10" borderId="101" xfId="0" quotePrefix="1" applyFont="1" applyFill="1" applyBorder="1"/>
    <xf numFmtId="0" fontId="281" fillId="27" borderId="101" xfId="0" applyFont="1" applyFill="1" applyBorder="1"/>
    <xf numFmtId="20" fontId="280" fillId="0" borderId="101" xfId="0" applyNumberFormat="1" applyFont="1" applyBorder="1"/>
    <xf numFmtId="0" fontId="280" fillId="10" borderId="112" xfId="0" applyFont="1" applyFill="1" applyBorder="1"/>
    <xf numFmtId="0" fontId="280" fillId="0" borderId="112" xfId="0" applyFont="1" applyBorder="1"/>
    <xf numFmtId="0" fontId="280" fillId="21" borderId="101" xfId="0" applyFont="1" applyFill="1" applyBorder="1"/>
    <xf numFmtId="0" fontId="282" fillId="4" borderId="101" xfId="0" applyFont="1" applyFill="1" applyBorder="1"/>
    <xf numFmtId="0" fontId="281" fillId="10" borderId="116" xfId="0" applyFont="1" applyFill="1" applyBorder="1" applyAlignment="1">
      <alignment vertical="center"/>
    </xf>
    <xf numFmtId="0" fontId="281" fillId="10" borderId="116" xfId="0" applyFont="1" applyFill="1" applyBorder="1" applyAlignment="1">
      <alignment vertical="top"/>
    </xf>
    <xf numFmtId="0" fontId="281" fillId="6" borderId="101" xfId="0" applyFont="1" applyFill="1" applyBorder="1"/>
    <xf numFmtId="0" fontId="281" fillId="10" borderId="105" xfId="0" applyFont="1" applyFill="1" applyBorder="1"/>
    <xf numFmtId="0" fontId="280" fillId="0" borderId="101" xfId="200" applyFont="1" applyBorder="1"/>
    <xf numFmtId="0" fontId="281" fillId="10" borderId="101" xfId="200" applyFont="1" applyFill="1" applyBorder="1"/>
    <xf numFmtId="43" fontId="281" fillId="10" borderId="101" xfId="24" applyFont="1" applyFill="1" applyBorder="1" applyProtection="1">
      <protection locked="0"/>
    </xf>
    <xf numFmtId="0" fontId="281" fillId="10" borderId="109" xfId="0" applyFont="1" applyFill="1" applyBorder="1"/>
    <xf numFmtId="0" fontId="281" fillId="27" borderId="112" xfId="0" applyFont="1" applyFill="1" applyBorder="1"/>
    <xf numFmtId="0" fontId="280" fillId="0" borderId="131" xfId="0" applyFont="1" applyBorder="1"/>
    <xf numFmtId="0" fontId="280" fillId="0" borderId="96" xfId="0" applyFont="1" applyBorder="1"/>
    <xf numFmtId="0" fontId="281" fillId="10" borderId="101" xfId="0" applyFont="1" applyFill="1" applyBorder="1" applyAlignment="1">
      <alignment wrapText="1"/>
    </xf>
    <xf numFmtId="0" fontId="281" fillId="10" borderId="58" xfId="0" applyFont="1" applyFill="1" applyBorder="1"/>
    <xf numFmtId="0" fontId="281" fillId="10" borderId="123" xfId="0" applyFont="1" applyFill="1" applyBorder="1"/>
    <xf numFmtId="0" fontId="281" fillId="10" borderId="122" xfId="0" applyFont="1" applyFill="1" applyBorder="1"/>
    <xf numFmtId="0" fontId="281" fillId="10" borderId="72" xfId="0" applyFont="1" applyFill="1" applyBorder="1"/>
    <xf numFmtId="0" fontId="281" fillId="10" borderId="76" xfId="0" applyFont="1" applyFill="1" applyBorder="1"/>
    <xf numFmtId="0" fontId="283" fillId="0" borderId="0" xfId="0" applyFont="1"/>
    <xf numFmtId="43" fontId="136" fillId="0" borderId="101" xfId="1" applyFont="1" applyFill="1" applyBorder="1" applyAlignment="1" applyProtection="1">
      <alignment horizontal="center" vertical="center" wrapText="1"/>
    </xf>
    <xf numFmtId="43" fontId="104" fillId="14" borderId="101" xfId="1" applyFont="1" applyFill="1" applyBorder="1" applyProtection="1">
      <protection locked="0"/>
    </xf>
    <xf numFmtId="43" fontId="102" fillId="10" borderId="131" xfId="1" applyFont="1" applyFill="1" applyBorder="1"/>
    <xf numFmtId="43" fontId="102" fillId="10" borderId="112" xfId="1" applyFont="1" applyFill="1" applyBorder="1"/>
    <xf numFmtId="43" fontId="102" fillId="10" borderId="101" xfId="1" applyFont="1" applyFill="1" applyBorder="1" applyProtection="1">
      <protection locked="0"/>
    </xf>
    <xf numFmtId="43" fontId="102" fillId="10" borderId="131" xfId="1" applyFont="1" applyFill="1" applyBorder="1" applyProtection="1">
      <protection locked="0"/>
    </xf>
    <xf numFmtId="43" fontId="91" fillId="14" borderId="101" xfId="1" applyFont="1" applyFill="1" applyBorder="1" applyProtection="1">
      <protection locked="0"/>
    </xf>
    <xf numFmtId="43" fontId="94" fillId="10" borderId="101" xfId="1" applyFont="1" applyFill="1" applyBorder="1" applyProtection="1">
      <protection locked="0"/>
    </xf>
    <xf numFmtId="43" fontId="94" fillId="10" borderId="101" xfId="1" applyFont="1" applyFill="1" applyBorder="1"/>
    <xf numFmtId="43" fontId="102" fillId="10" borderId="96" xfId="1" applyFont="1" applyFill="1" applyBorder="1" applyProtection="1">
      <protection locked="0"/>
    </xf>
    <xf numFmtId="43" fontId="102" fillId="14" borderId="101" xfId="1" applyFont="1" applyFill="1" applyBorder="1" applyProtection="1">
      <protection locked="0"/>
    </xf>
    <xf numFmtId="43" fontId="125" fillId="10" borderId="101" xfId="1" applyFont="1" applyFill="1" applyBorder="1" applyProtection="1">
      <protection locked="0"/>
    </xf>
    <xf numFmtId="43" fontId="102" fillId="10" borderId="101" xfId="1" applyFont="1" applyFill="1" applyBorder="1" applyAlignment="1" applyProtection="1">
      <alignment vertical="center"/>
      <protection locked="0"/>
    </xf>
    <xf numFmtId="43" fontId="96" fillId="10" borderId="96" xfId="1" applyFont="1" applyFill="1" applyBorder="1" applyAlignment="1" applyProtection="1">
      <alignment vertical="center"/>
      <protection locked="0"/>
    </xf>
    <xf numFmtId="43" fontId="93" fillId="10" borderId="101" xfId="1" applyFont="1" applyFill="1" applyBorder="1" applyAlignment="1" applyProtection="1">
      <alignment vertical="center"/>
      <protection locked="0"/>
    </xf>
    <xf numFmtId="43" fontId="93" fillId="10" borderId="101" xfId="1" applyFont="1" applyFill="1" applyBorder="1" applyProtection="1">
      <protection locked="0"/>
    </xf>
    <xf numFmtId="43" fontId="93" fillId="10" borderId="131" xfId="1" applyFont="1" applyFill="1" applyBorder="1" applyProtection="1">
      <protection locked="0"/>
    </xf>
    <xf numFmtId="43" fontId="96" fillId="10" borderId="109" xfId="1" applyFont="1" applyFill="1" applyBorder="1" applyProtection="1">
      <protection locked="0"/>
    </xf>
    <xf numFmtId="43" fontId="96" fillId="10" borderId="119" xfId="1" applyFont="1" applyFill="1" applyBorder="1" applyProtection="1">
      <protection locked="0"/>
    </xf>
    <xf numFmtId="43" fontId="94" fillId="14" borderId="101" xfId="1" applyFont="1" applyFill="1" applyBorder="1" applyProtection="1">
      <protection locked="0"/>
    </xf>
    <xf numFmtId="43" fontId="93" fillId="14" borderId="101" xfId="1" applyFont="1" applyFill="1" applyBorder="1" applyProtection="1">
      <protection locked="0"/>
    </xf>
    <xf numFmtId="43" fontId="93" fillId="10" borderId="96" xfId="1" applyFont="1" applyFill="1" applyBorder="1" applyProtection="1">
      <protection locked="0"/>
    </xf>
    <xf numFmtId="43" fontId="93" fillId="12" borderId="101" xfId="1" applyFont="1" applyFill="1" applyBorder="1" applyProtection="1">
      <protection locked="0"/>
    </xf>
    <xf numFmtId="43" fontId="96" fillId="10" borderId="96" xfId="1" applyFont="1" applyFill="1" applyBorder="1" applyProtection="1">
      <protection locked="0"/>
    </xf>
    <xf numFmtId="43" fontId="93" fillId="10" borderId="123" xfId="1" applyFont="1" applyFill="1" applyBorder="1" applyProtection="1">
      <protection locked="0"/>
    </xf>
    <xf numFmtId="43" fontId="273" fillId="10" borderId="16" xfId="1" applyFont="1" applyFill="1" applyBorder="1" applyProtection="1">
      <protection locked="0"/>
    </xf>
    <xf numFmtId="43" fontId="273" fillId="10" borderId="136" xfId="1" applyFont="1" applyFill="1" applyBorder="1" applyProtection="1">
      <protection locked="0"/>
    </xf>
    <xf numFmtId="43" fontId="273" fillId="10" borderId="56" xfId="1" applyFont="1" applyFill="1" applyBorder="1" applyProtection="1">
      <protection locked="0"/>
    </xf>
    <xf numFmtId="43" fontId="273" fillId="10" borderId="140" xfId="1" applyFont="1" applyFill="1" applyBorder="1" applyProtection="1">
      <protection locked="0"/>
    </xf>
    <xf numFmtId="43" fontId="125" fillId="10" borderId="117" xfId="1" applyFont="1" applyFill="1" applyBorder="1" applyProtection="1">
      <protection locked="0"/>
    </xf>
    <xf numFmtId="43" fontId="96" fillId="14" borderId="101" xfId="1" applyFont="1" applyFill="1" applyBorder="1" applyProtection="1">
      <protection locked="0"/>
    </xf>
    <xf numFmtId="43" fontId="94" fillId="10" borderId="96" xfId="1" applyFont="1" applyFill="1" applyBorder="1" applyProtection="1">
      <protection locked="0"/>
    </xf>
    <xf numFmtId="43" fontId="102" fillId="10" borderId="116" xfId="1" applyFont="1" applyFill="1" applyBorder="1" applyProtection="1">
      <protection locked="0"/>
    </xf>
    <xf numFmtId="43" fontId="93" fillId="10" borderId="112" xfId="1" applyFont="1" applyFill="1" applyBorder="1" applyProtection="1">
      <protection locked="0"/>
    </xf>
    <xf numFmtId="43" fontId="273" fillId="10" borderId="96" xfId="1" applyFont="1" applyFill="1" applyBorder="1" applyProtection="1">
      <protection locked="0"/>
    </xf>
    <xf numFmtId="43" fontId="102" fillId="10" borderId="96" xfId="1" applyFont="1" applyFill="1" applyBorder="1" applyAlignment="1" applyProtection="1">
      <alignment vertical="center"/>
      <protection locked="0"/>
    </xf>
    <xf numFmtId="43" fontId="273" fillId="10" borderId="101" xfId="1" applyFont="1" applyFill="1" applyBorder="1" applyProtection="1">
      <protection locked="0"/>
    </xf>
    <xf numFmtId="43" fontId="93" fillId="10" borderId="101" xfId="1" applyFont="1" applyFill="1" applyBorder="1" applyAlignment="1">
      <alignment vertical="top"/>
    </xf>
    <xf numFmtId="43" fontId="125" fillId="14" borderId="101" xfId="1" applyFont="1" applyFill="1" applyBorder="1" applyProtection="1">
      <protection locked="0"/>
    </xf>
    <xf numFmtId="43" fontId="125" fillId="10" borderId="116" xfId="1" applyFont="1" applyFill="1" applyBorder="1" applyProtection="1">
      <protection locked="0"/>
    </xf>
    <xf numFmtId="43" fontId="102" fillId="10" borderId="112" xfId="1" applyFont="1" applyFill="1" applyBorder="1" applyProtection="1">
      <protection locked="0"/>
    </xf>
    <xf numFmtId="43" fontId="93" fillId="19" borderId="101" xfId="1" applyFont="1" applyFill="1" applyBorder="1" applyProtection="1">
      <protection locked="0"/>
    </xf>
    <xf numFmtId="43" fontId="201" fillId="14" borderId="101" xfId="1" applyFont="1" applyFill="1" applyBorder="1" applyProtection="1">
      <protection locked="0"/>
    </xf>
    <xf numFmtId="43" fontId="233" fillId="0" borderId="0" xfId="1" applyFont="1"/>
    <xf numFmtId="3" fontId="62" fillId="78" borderId="9" xfId="3" applyNumberFormat="1" applyFont="1" applyFill="1" applyBorder="1"/>
    <xf numFmtId="0" fontId="116" fillId="78" borderId="67" xfId="0" applyFont="1" applyFill="1" applyBorder="1" applyAlignment="1">
      <alignment wrapText="1"/>
    </xf>
    <xf numFmtId="43" fontId="93" fillId="78" borderId="131" xfId="1" applyFont="1" applyFill="1" applyBorder="1" applyProtection="1">
      <protection locked="0"/>
    </xf>
    <xf numFmtId="0" fontId="116" fillId="78" borderId="151" xfId="0" applyFont="1" applyFill="1" applyBorder="1" applyAlignment="1">
      <alignment wrapText="1"/>
    </xf>
    <xf numFmtId="167" fontId="102" fillId="78" borderId="112" xfId="19" applyNumberFormat="1" applyFont="1" applyFill="1" applyBorder="1" applyProtection="1">
      <protection locked="0"/>
    </xf>
    <xf numFmtId="167" fontId="116" fillId="69" borderId="62" xfId="1" applyNumberFormat="1" applyFont="1" applyFill="1" applyBorder="1" applyAlignment="1"/>
    <xf numFmtId="167" fontId="116" fillId="69" borderId="66" xfId="1" applyNumberFormat="1" applyFont="1" applyFill="1" applyBorder="1"/>
    <xf numFmtId="167" fontId="116" fillId="69" borderId="141" xfId="1" applyNumberFormat="1" applyFont="1" applyFill="1" applyBorder="1" applyAlignment="1">
      <alignment wrapText="1"/>
    </xf>
    <xf numFmtId="167" fontId="116" fillId="69" borderId="126" xfId="1" applyNumberFormat="1" applyFont="1" applyFill="1" applyBorder="1" applyAlignment="1">
      <alignment wrapText="1"/>
    </xf>
    <xf numFmtId="167" fontId="116" fillId="69" borderId="67" xfId="1" applyNumberFormat="1" applyFont="1" applyFill="1" applyBorder="1" applyAlignment="1">
      <alignment wrapText="1"/>
    </xf>
    <xf numFmtId="167" fontId="116" fillId="80" borderId="62" xfId="1" applyNumberFormat="1" applyFont="1" applyFill="1" applyBorder="1"/>
    <xf numFmtId="167" fontId="116" fillId="0" borderId="79" xfId="1" applyNumberFormat="1" applyFont="1" applyBorder="1"/>
    <xf numFmtId="167" fontId="116" fillId="0" borderId="62" xfId="1" applyNumberFormat="1" applyFont="1" applyBorder="1" applyAlignment="1"/>
    <xf numFmtId="167" fontId="116" fillId="0" borderId="155" xfId="1" applyNumberFormat="1" applyFont="1" applyFill="1" applyBorder="1"/>
    <xf numFmtId="167" fontId="116" fillId="81" borderId="62" xfId="1" applyNumberFormat="1" applyFont="1" applyFill="1" applyBorder="1" applyAlignment="1">
      <alignment wrapText="1"/>
    </xf>
    <xf numFmtId="0" fontId="0" fillId="81" borderId="0" xfId="0" applyFill="1"/>
    <xf numFmtId="0" fontId="116" fillId="81" borderId="0" xfId="0" applyFont="1" applyFill="1"/>
    <xf numFmtId="167" fontId="116" fillId="81" borderId="62" xfId="1" applyNumberFormat="1" applyFont="1" applyFill="1" applyBorder="1"/>
    <xf numFmtId="167" fontId="116" fillId="81" borderId="106" xfId="1" applyNumberFormat="1" applyFont="1" applyFill="1" applyBorder="1"/>
    <xf numFmtId="0" fontId="82" fillId="0" borderId="0" xfId="0" applyFont="1"/>
    <xf numFmtId="167" fontId="93" fillId="81" borderId="116" xfId="1" applyNumberFormat="1" applyFont="1" applyFill="1" applyBorder="1" applyProtection="1">
      <protection locked="0"/>
    </xf>
    <xf numFmtId="167" fontId="93" fillId="81" borderId="116" xfId="19" applyNumberFormat="1" applyFont="1" applyFill="1" applyBorder="1" applyProtection="1">
      <protection locked="0"/>
    </xf>
    <xf numFmtId="167" fontId="93" fillId="81" borderId="116" xfId="1" applyNumberFormat="1" applyFont="1" applyFill="1" applyBorder="1" applyProtection="1"/>
    <xf numFmtId="167" fontId="93" fillId="81" borderId="131" xfId="1" applyNumberFormat="1" applyFont="1" applyFill="1" applyBorder="1" applyProtection="1">
      <protection locked="0"/>
    </xf>
    <xf numFmtId="167" fontId="116" fillId="81" borderId="78" xfId="1" applyNumberFormat="1" applyFont="1" applyFill="1" applyBorder="1"/>
    <xf numFmtId="0" fontId="116" fillId="81" borderId="78" xfId="0" applyFont="1" applyFill="1" applyBorder="1" applyAlignment="1">
      <alignment wrapText="1"/>
    </xf>
    <xf numFmtId="167" fontId="116" fillId="81" borderId="80" xfId="1" applyNumberFormat="1" applyFont="1" applyFill="1" applyBorder="1" applyAlignment="1">
      <alignment wrapText="1"/>
    </xf>
    <xf numFmtId="167" fontId="198" fillId="0" borderId="0" xfId="1" quotePrefix="1" applyNumberFormat="1" applyFont="1" applyBorder="1"/>
    <xf numFmtId="167" fontId="93" fillId="81" borderId="101" xfId="22" applyNumberFormat="1" applyFont="1" applyFill="1" applyBorder="1" applyProtection="1">
      <protection locked="0"/>
    </xf>
    <xf numFmtId="167" fontId="94" fillId="81" borderId="116" xfId="19" applyNumberFormat="1" applyFont="1" applyFill="1" applyBorder="1" applyProtection="1">
      <protection locked="0"/>
    </xf>
    <xf numFmtId="167" fontId="94" fillId="81" borderId="101" xfId="1" applyNumberFormat="1" applyFont="1" applyFill="1" applyBorder="1"/>
    <xf numFmtId="167" fontId="116" fillId="81" borderId="66" xfId="1" applyNumberFormat="1" applyFont="1" applyFill="1" applyBorder="1" applyAlignment="1"/>
    <xf numFmtId="167" fontId="198" fillId="0" borderId="0" xfId="1" applyNumberFormat="1" applyFont="1" applyBorder="1" applyAlignment="1">
      <alignment horizontal="center"/>
    </xf>
    <xf numFmtId="167" fontId="116" fillId="81" borderId="66" xfId="1" applyNumberFormat="1" applyFont="1" applyFill="1" applyBorder="1"/>
    <xf numFmtId="167" fontId="116" fillId="81" borderId="132" xfId="1" applyNumberFormat="1" applyFont="1" applyFill="1" applyBorder="1"/>
    <xf numFmtId="167" fontId="116" fillId="81" borderId="62" xfId="0" applyNumberFormat="1" applyFont="1" applyFill="1" applyBorder="1" applyAlignment="1">
      <alignment horizontal="center" wrapText="1"/>
    </xf>
    <xf numFmtId="167" fontId="93" fillId="81" borderId="0" xfId="0" applyNumberFormat="1" applyFont="1" applyFill="1"/>
    <xf numFmtId="167" fontId="105" fillId="0" borderId="0" xfId="0" applyNumberFormat="1" applyFont="1"/>
    <xf numFmtId="0" fontId="201" fillId="10" borderId="131" xfId="0" applyFont="1" applyFill="1" applyBorder="1" applyAlignment="1">
      <alignment horizontal="left" vertical="center" wrapText="1"/>
    </xf>
    <xf numFmtId="167" fontId="201" fillId="10" borderId="131" xfId="336" applyNumberFormat="1" applyFont="1" applyFill="1" applyBorder="1" applyAlignment="1" applyProtection="1">
      <alignment horizontal="center" vertical="center"/>
      <protection locked="0"/>
    </xf>
    <xf numFmtId="167" fontId="123" fillId="73" borderId="131" xfId="19" applyNumberFormat="1" applyFont="1" applyFill="1" applyBorder="1" applyProtection="1">
      <protection locked="0"/>
    </xf>
    <xf numFmtId="167" fontId="201" fillId="13" borderId="131" xfId="336" applyNumberFormat="1" applyFont="1" applyFill="1" applyBorder="1" applyProtection="1">
      <protection locked="0"/>
    </xf>
    <xf numFmtId="167" fontId="102" fillId="10" borderId="131" xfId="336" applyNumberFormat="1" applyFont="1" applyFill="1" applyBorder="1" applyAlignment="1" applyProtection="1">
      <alignment horizontal="center" vertical="center"/>
      <protection locked="0"/>
    </xf>
    <xf numFmtId="167" fontId="123" fillId="10" borderId="131" xfId="336" applyNumberFormat="1" applyFont="1" applyFill="1" applyBorder="1" applyAlignment="1" applyProtection="1">
      <alignment horizontal="center" vertical="center"/>
      <protection locked="0"/>
    </xf>
    <xf numFmtId="3" fontId="62" fillId="81" borderId="51" xfId="43" applyNumberFormat="1" applyFont="1" applyFill="1" applyBorder="1"/>
    <xf numFmtId="0" fontId="116" fillId="0" borderId="130" xfId="0" applyFont="1" applyBorder="1" applyAlignment="1">
      <alignment horizontal="left" wrapText="1"/>
    </xf>
    <xf numFmtId="0" fontId="116" fillId="0" borderId="63" xfId="0" applyFont="1" applyBorder="1"/>
    <xf numFmtId="0" fontId="116" fillId="0" borderId="63" xfId="0" applyFont="1" applyBorder="1" applyAlignment="1">
      <alignment wrapText="1"/>
    </xf>
    <xf numFmtId="167" fontId="116" fillId="81" borderId="63" xfId="1" applyNumberFormat="1" applyFont="1" applyFill="1" applyBorder="1"/>
    <xf numFmtId="167" fontId="184" fillId="0" borderId="63" xfId="1" applyNumberFormat="1" applyFont="1" applyBorder="1"/>
    <xf numFmtId="173" fontId="116" fillId="81" borderId="0" xfId="1" applyNumberFormat="1" applyFont="1" applyFill="1" applyBorder="1"/>
    <xf numFmtId="0" fontId="91" fillId="81" borderId="0" xfId="0" applyFont="1" applyFill="1" applyAlignment="1">
      <alignment wrapText="1"/>
    </xf>
    <xf numFmtId="167" fontId="94" fillId="81" borderId="0" xfId="19" applyNumberFormat="1" applyFont="1" applyFill="1"/>
    <xf numFmtId="43" fontId="116" fillId="81" borderId="0" xfId="1" applyFont="1" applyFill="1" applyAlignment="1">
      <alignment wrapText="1"/>
    </xf>
    <xf numFmtId="167" fontId="116" fillId="81" borderId="81" xfId="1" applyNumberFormat="1" applyFont="1" applyFill="1" applyBorder="1"/>
    <xf numFmtId="167" fontId="241" fillId="69" borderId="62" xfId="0" applyNumberFormat="1" applyFont="1" applyFill="1" applyBorder="1" applyAlignment="1">
      <alignment horizontal="center" wrapText="1"/>
    </xf>
    <xf numFmtId="167" fontId="241" fillId="0" borderId="62" xfId="1" applyNumberFormat="1" applyFont="1" applyBorder="1" applyAlignment="1">
      <alignment wrapText="1"/>
    </xf>
    <xf numFmtId="167" fontId="241" fillId="81" borderId="62" xfId="1" applyNumberFormat="1" applyFont="1" applyFill="1" applyBorder="1" applyAlignment="1">
      <alignment wrapText="1"/>
    </xf>
    <xf numFmtId="167" fontId="0" fillId="81" borderId="62" xfId="1" applyNumberFormat="1" applyFont="1" applyFill="1" applyBorder="1"/>
    <xf numFmtId="167" fontId="0" fillId="6" borderId="0" xfId="1" applyNumberFormat="1" applyFont="1" applyFill="1"/>
    <xf numFmtId="167" fontId="193" fillId="0" borderId="0" xfId="1" applyNumberFormat="1" applyFont="1"/>
    <xf numFmtId="167" fontId="91" fillId="15" borderId="101" xfId="1" applyNumberFormat="1" applyFont="1" applyFill="1" applyBorder="1" applyProtection="1">
      <protection locked="0"/>
    </xf>
    <xf numFmtId="167" fontId="89" fillId="10" borderId="101" xfId="1" applyNumberFormat="1" applyFont="1" applyFill="1" applyBorder="1"/>
    <xf numFmtId="167" fontId="91" fillId="10" borderId="101" xfId="1" applyNumberFormat="1" applyFont="1" applyFill="1" applyBorder="1"/>
    <xf numFmtId="167" fontId="89" fillId="10" borderId="101" xfId="19" applyNumberFormat="1" applyFont="1" applyFill="1" applyBorder="1"/>
    <xf numFmtId="167" fontId="253" fillId="15" borderId="101" xfId="1" applyNumberFormat="1" applyFont="1" applyFill="1" applyBorder="1" applyProtection="1">
      <protection locked="0"/>
    </xf>
    <xf numFmtId="167" fontId="255" fillId="10" borderId="101" xfId="1" applyNumberFormat="1" applyFont="1" applyFill="1" applyBorder="1"/>
    <xf numFmtId="167" fontId="253" fillId="10" borderId="101" xfId="1" applyNumberFormat="1" applyFont="1" applyFill="1" applyBorder="1"/>
    <xf numFmtId="167" fontId="67" fillId="82" borderId="0" xfId="1" applyNumberFormat="1" applyFont="1" applyFill="1" applyBorder="1"/>
    <xf numFmtId="0" fontId="132" fillId="82" borderId="0" xfId="0" applyFont="1" applyFill="1"/>
    <xf numFmtId="0" fontId="86" fillId="82" borderId="0" xfId="0" applyFont="1" applyFill="1"/>
    <xf numFmtId="167" fontId="67" fillId="0" borderId="130" xfId="1" applyNumberFormat="1" applyFont="1" applyBorder="1"/>
    <xf numFmtId="167" fontId="93" fillId="10" borderId="131" xfId="19" applyNumberFormat="1" applyFont="1" applyFill="1" applyBorder="1"/>
    <xf numFmtId="179" fontId="93" fillId="34" borderId="131" xfId="0" applyNumberFormat="1" applyFont="1" applyFill="1" applyBorder="1"/>
    <xf numFmtId="167" fontId="96" fillId="13" borderId="131" xfId="19" applyNumberFormat="1" applyFont="1" applyFill="1" applyBorder="1"/>
    <xf numFmtId="0" fontId="104" fillId="3" borderId="101" xfId="0" applyFont="1" applyFill="1" applyBorder="1"/>
    <xf numFmtId="0" fontId="284" fillId="0" borderId="96" xfId="0" applyFont="1" applyBorder="1"/>
    <xf numFmtId="0" fontId="285" fillId="0" borderId="96" xfId="0" applyFont="1" applyBorder="1"/>
    <xf numFmtId="0" fontId="286" fillId="10" borderId="96" xfId="0" applyFont="1" applyFill="1" applyBorder="1"/>
    <xf numFmtId="0" fontId="285" fillId="0" borderId="112" xfId="0" applyFont="1" applyBorder="1"/>
    <xf numFmtId="0" fontId="286" fillId="10" borderId="112" xfId="0" applyFont="1" applyFill="1" applyBorder="1"/>
    <xf numFmtId="0" fontId="285" fillId="0" borderId="96" xfId="274" applyFont="1" applyBorder="1"/>
    <xf numFmtId="0" fontId="286" fillId="10" borderId="96" xfId="274" applyFont="1" applyFill="1" applyBorder="1"/>
    <xf numFmtId="0" fontId="286" fillId="10" borderId="109" xfId="274" applyFont="1" applyFill="1" applyBorder="1"/>
    <xf numFmtId="0" fontId="287" fillId="0" borderId="0" xfId="0" applyFont="1"/>
    <xf numFmtId="0" fontId="116" fillId="81" borderId="62" xfId="0" applyFont="1" applyFill="1" applyBorder="1"/>
    <xf numFmtId="0" fontId="116" fillId="81" borderId="62" xfId="0" applyFont="1" applyFill="1" applyBorder="1" applyAlignment="1">
      <alignment wrapText="1"/>
    </xf>
    <xf numFmtId="167" fontId="116" fillId="83" borderId="62" xfId="1" applyNumberFormat="1" applyFont="1" applyFill="1" applyBorder="1"/>
    <xf numFmtId="167" fontId="116" fillId="83" borderId="66" xfId="1" applyNumberFormat="1" applyFont="1" applyFill="1" applyBorder="1" applyAlignment="1"/>
    <xf numFmtId="3" fontId="62" fillId="81" borderId="0" xfId="3" applyNumberFormat="1" applyFont="1" applyFill="1"/>
    <xf numFmtId="167" fontId="93" fillId="81" borderId="131" xfId="1" applyNumberFormat="1" applyFont="1" applyFill="1" applyBorder="1" applyProtection="1"/>
    <xf numFmtId="0" fontId="102" fillId="0" borderId="116" xfId="0" applyFont="1" applyBorder="1"/>
    <xf numFmtId="0" fontId="116" fillId="0" borderId="62" xfId="0" quotePrefix="1" applyFont="1" applyBorder="1"/>
    <xf numFmtId="0" fontId="102" fillId="6" borderId="101" xfId="0" applyFont="1" applyFill="1" applyBorder="1"/>
    <xf numFmtId="0" fontId="125" fillId="10" borderId="96" xfId="0" applyFont="1" applyFill="1" applyBorder="1"/>
    <xf numFmtId="173" fontId="67" fillId="81" borderId="0" xfId="1" quotePrefix="1" applyNumberFormat="1" applyFont="1" applyFill="1" applyBorder="1"/>
    <xf numFmtId="167" fontId="0" fillId="81" borderId="0" xfId="1" applyNumberFormat="1" applyFont="1" applyFill="1"/>
    <xf numFmtId="167" fontId="241" fillId="84" borderId="62" xfId="1" applyNumberFormat="1" applyFont="1" applyFill="1" applyBorder="1" applyAlignment="1">
      <alignment wrapText="1"/>
    </xf>
    <xf numFmtId="49" fontId="116" fillId="0" borderId="67" xfId="0" applyNumberFormat="1" applyFont="1" applyBorder="1" applyAlignment="1">
      <alignment wrapText="1"/>
    </xf>
    <xf numFmtId="167" fontId="241" fillId="84" borderId="80" xfId="1" applyNumberFormat="1" applyFont="1" applyFill="1" applyBorder="1" applyAlignment="1">
      <alignment wrapText="1"/>
    </xf>
    <xf numFmtId="167" fontId="116" fillId="84" borderId="80" xfId="1" applyNumberFormat="1" applyFont="1" applyFill="1" applyBorder="1"/>
    <xf numFmtId="0" fontId="116" fillId="84" borderId="0" xfId="0" applyFont="1" applyFill="1"/>
    <xf numFmtId="167" fontId="116" fillId="84" borderId="62" xfId="1" applyNumberFormat="1" applyFont="1" applyFill="1" applyBorder="1"/>
    <xf numFmtId="0" fontId="0" fillId="84" borderId="0" xfId="0" applyFill="1"/>
    <xf numFmtId="0" fontId="288" fillId="0" borderId="0" xfId="16" applyFont="1"/>
    <xf numFmtId="0" fontId="289" fillId="0" borderId="0" xfId="357" applyFont="1"/>
    <xf numFmtId="0" fontId="77" fillId="0" borderId="0" xfId="16" applyFont="1"/>
    <xf numFmtId="0" fontId="290" fillId="0" borderId="0" xfId="16" applyFont="1"/>
    <xf numFmtId="0" fontId="290" fillId="0" borderId="0" xfId="16" applyFont="1" applyAlignment="1">
      <alignment horizontal="center"/>
    </xf>
    <xf numFmtId="164" fontId="288" fillId="0" borderId="0" xfId="16" applyNumberFormat="1" applyFont="1"/>
    <xf numFmtId="167" fontId="288" fillId="0" borderId="0" xfId="16" applyNumberFormat="1" applyFont="1"/>
    <xf numFmtId="0" fontId="291" fillId="0" borderId="0" xfId="10" applyFont="1"/>
    <xf numFmtId="167" fontId="290" fillId="0" borderId="0" xfId="16" applyNumberFormat="1" applyFont="1" applyAlignment="1">
      <alignment horizontal="center"/>
    </xf>
    <xf numFmtId="0" fontId="292" fillId="0" borderId="0" xfId="10" applyFont="1"/>
    <xf numFmtId="0" fontId="245" fillId="8" borderId="0" xfId="16" applyFont="1" applyFill="1"/>
    <xf numFmtId="1" fontId="288" fillId="0" borderId="0" xfId="16" applyNumberFormat="1" applyFont="1"/>
    <xf numFmtId="0" fontId="288" fillId="0" borderId="0" xfId="16" applyFont="1" applyAlignment="1">
      <alignment horizontal="center" vertical="center"/>
    </xf>
    <xf numFmtId="0" fontId="293" fillId="15" borderId="135" xfId="16" applyFont="1" applyFill="1" applyBorder="1" applyAlignment="1">
      <alignment horizontal="center" vertical="center"/>
    </xf>
    <xf numFmtId="0" fontId="293" fillId="15" borderId="131" xfId="16" applyFont="1" applyFill="1" applyBorder="1" applyAlignment="1">
      <alignment horizontal="center" vertical="center" wrapText="1"/>
    </xf>
    <xf numFmtId="0" fontId="293" fillId="15" borderId="131" xfId="16" applyFont="1" applyFill="1" applyBorder="1" applyAlignment="1">
      <alignment horizontal="center" vertical="center"/>
    </xf>
    <xf numFmtId="0" fontId="245" fillId="15" borderId="131" xfId="16" applyFont="1" applyFill="1" applyBorder="1" applyAlignment="1">
      <alignment horizontal="center" vertical="center" wrapText="1"/>
    </xf>
    <xf numFmtId="0" fontId="290" fillId="15" borderId="131" xfId="16" applyFont="1" applyFill="1" applyBorder="1" applyAlignment="1">
      <alignment horizontal="center" vertical="center" wrapText="1"/>
    </xf>
    <xf numFmtId="0" fontId="245" fillId="15" borderId="135" xfId="16" applyFont="1" applyFill="1" applyBorder="1" applyAlignment="1">
      <alignment horizontal="center" vertical="center" wrapText="1"/>
    </xf>
    <xf numFmtId="0" fontId="288" fillId="0" borderId="125" xfId="16" applyFont="1" applyBorder="1" applyAlignment="1">
      <alignment horizontal="center" vertical="center"/>
    </xf>
    <xf numFmtId="0" fontId="293" fillId="0" borderId="0" xfId="16" applyFont="1"/>
    <xf numFmtId="0" fontId="293" fillId="0" borderId="125" xfId="16" applyFont="1" applyBorder="1"/>
    <xf numFmtId="0" fontId="294" fillId="0" borderId="118" xfId="16" applyFont="1" applyBorder="1"/>
    <xf numFmtId="0" fontId="294" fillId="0" borderId="125" xfId="16" applyFont="1" applyBorder="1"/>
    <xf numFmtId="0" fontId="203" fillId="0" borderId="125" xfId="16" applyFont="1" applyBorder="1"/>
    <xf numFmtId="0" fontId="295" fillId="0" borderId="125" xfId="16" applyFont="1" applyBorder="1"/>
    <xf numFmtId="167" fontId="203" fillId="0" borderId="125" xfId="358" applyNumberFormat="1" applyFont="1" applyBorder="1"/>
    <xf numFmtId="167" fontId="292" fillId="0" borderId="125" xfId="358" applyNumberFormat="1" applyFont="1" applyBorder="1"/>
    <xf numFmtId="177" fontId="292" fillId="0" borderId="125" xfId="358" applyNumberFormat="1" applyFont="1" applyBorder="1"/>
    <xf numFmtId="167" fontId="292" fillId="0" borderId="123" xfId="358" applyNumberFormat="1" applyFont="1" applyBorder="1"/>
    <xf numFmtId="167" fontId="296" fillId="31" borderId="123" xfId="358" applyNumberFormat="1" applyFont="1" applyFill="1" applyBorder="1"/>
    <xf numFmtId="167" fontId="295" fillId="0" borderId="0" xfId="16" applyNumberFormat="1" applyFont="1"/>
    <xf numFmtId="167" fontId="292" fillId="0" borderId="118" xfId="358" applyNumberFormat="1" applyFont="1" applyBorder="1"/>
    <xf numFmtId="167" fontId="292" fillId="31" borderId="123" xfId="358" applyNumberFormat="1" applyFont="1" applyFill="1" applyBorder="1"/>
    <xf numFmtId="167" fontId="293" fillId="0" borderId="0" xfId="16" applyNumberFormat="1" applyFont="1"/>
    <xf numFmtId="0" fontId="288" fillId="0" borderId="111" xfId="16" applyFont="1" applyBorder="1"/>
    <xf numFmtId="0" fontId="295" fillId="0" borderId="73" xfId="16" applyFont="1" applyBorder="1"/>
    <xf numFmtId="0" fontId="294" fillId="0" borderId="111" xfId="16" applyFont="1" applyBorder="1"/>
    <xf numFmtId="0" fontId="203" fillId="0" borderId="111" xfId="16" applyFont="1" applyBorder="1"/>
    <xf numFmtId="0" fontId="295" fillId="0" borderId="111" xfId="16" applyFont="1" applyBorder="1"/>
    <xf numFmtId="167" fontId="203" fillId="0" borderId="111" xfId="358" applyNumberFormat="1" applyFont="1" applyBorder="1"/>
    <xf numFmtId="167" fontId="297" fillId="0" borderId="111" xfId="358" applyNumberFormat="1" applyFont="1" applyBorder="1"/>
    <xf numFmtId="177" fontId="203" fillId="0" borderId="111" xfId="358" applyNumberFormat="1" applyFont="1" applyFill="1" applyBorder="1"/>
    <xf numFmtId="177" fontId="203" fillId="27" borderId="111" xfId="358" applyNumberFormat="1" applyFont="1" applyFill="1" applyBorder="1"/>
    <xf numFmtId="177" fontId="203" fillId="0" borderId="111" xfId="358" applyNumberFormat="1" applyFont="1" applyBorder="1"/>
    <xf numFmtId="167" fontId="203" fillId="0" borderId="117" xfId="358" applyNumberFormat="1" applyFont="1" applyBorder="1"/>
    <xf numFmtId="167" fontId="298" fillId="31" borderId="117" xfId="358" applyNumberFormat="1" applyFont="1" applyFill="1" applyBorder="1"/>
    <xf numFmtId="167" fontId="203" fillId="0" borderId="73" xfId="358" applyNumberFormat="1" applyFont="1" applyBorder="1"/>
    <xf numFmtId="167" fontId="203" fillId="31" borderId="117" xfId="358" applyNumberFormat="1" applyFont="1" applyFill="1" applyBorder="1"/>
    <xf numFmtId="177" fontId="299" fillId="0" borderId="125" xfId="358" applyNumberFormat="1" applyFont="1" applyFill="1" applyBorder="1"/>
    <xf numFmtId="167" fontId="203" fillId="0" borderId="111" xfId="358" applyNumberFormat="1" applyFont="1" applyFill="1" applyBorder="1"/>
    <xf numFmtId="167" fontId="292" fillId="18" borderId="123" xfId="358" applyNumberFormat="1" applyFont="1" applyFill="1" applyBorder="1"/>
    <xf numFmtId="0" fontId="245" fillId="0" borderId="125" xfId="16" applyFont="1" applyBorder="1"/>
    <xf numFmtId="0" fontId="292" fillId="0" borderId="118" xfId="16" applyFont="1" applyBorder="1"/>
    <xf numFmtId="0" fontId="292" fillId="0" borderId="125" xfId="16" applyFont="1" applyBorder="1"/>
    <xf numFmtId="167" fontId="203" fillId="0" borderId="0" xfId="16" applyNumberFormat="1" applyFont="1"/>
    <xf numFmtId="0" fontId="245" fillId="0" borderId="0" xfId="16" applyFont="1"/>
    <xf numFmtId="0" fontId="77" fillId="0" borderId="111" xfId="16" applyFont="1" applyBorder="1"/>
    <xf numFmtId="0" fontId="203" fillId="0" borderId="73" xfId="16" applyFont="1" applyBorder="1"/>
    <xf numFmtId="0" fontId="292" fillId="0" borderId="111" xfId="16" applyFont="1" applyBorder="1"/>
    <xf numFmtId="0" fontId="294" fillId="30" borderId="118" xfId="16" applyFont="1" applyFill="1" applyBorder="1"/>
    <xf numFmtId="177" fontId="292" fillId="30" borderId="125" xfId="358" applyNumberFormat="1" applyFont="1" applyFill="1" applyBorder="1"/>
    <xf numFmtId="167" fontId="292" fillId="30" borderId="123" xfId="358" applyNumberFormat="1" applyFont="1" applyFill="1" applyBorder="1"/>
    <xf numFmtId="177" fontId="203" fillId="30" borderId="111" xfId="358" applyNumberFormat="1" applyFont="1" applyFill="1" applyBorder="1"/>
    <xf numFmtId="167" fontId="292" fillId="22" borderId="123" xfId="358" applyNumberFormat="1" applyFont="1" applyFill="1" applyBorder="1"/>
    <xf numFmtId="177" fontId="292" fillId="0" borderId="125" xfId="358" applyNumberFormat="1" applyFont="1" applyFill="1" applyBorder="1"/>
    <xf numFmtId="167" fontId="292" fillId="0" borderId="123" xfId="358" applyNumberFormat="1" applyFont="1" applyFill="1" applyBorder="1"/>
    <xf numFmtId="0" fontId="292" fillId="30" borderId="118" xfId="16" applyFont="1" applyFill="1" applyBorder="1"/>
    <xf numFmtId="167" fontId="292" fillId="81" borderId="123" xfId="358" applyNumberFormat="1" applyFont="1" applyFill="1" applyBorder="1"/>
    <xf numFmtId="167" fontId="292" fillId="0" borderId="125" xfId="358" applyNumberFormat="1" applyFont="1" applyFill="1" applyBorder="1"/>
    <xf numFmtId="167" fontId="297" fillId="0" borderId="111" xfId="358" applyNumberFormat="1" applyFont="1" applyFill="1" applyBorder="1"/>
    <xf numFmtId="14" fontId="203" fillId="0" borderId="125" xfId="16" applyNumberFormat="1" applyFont="1" applyBorder="1"/>
    <xf numFmtId="167" fontId="203" fillId="0" borderId="125" xfId="358" applyNumberFormat="1" applyFont="1" applyFill="1" applyBorder="1"/>
    <xf numFmtId="177" fontId="297" fillId="0" borderId="125" xfId="358" applyNumberFormat="1" applyFont="1" applyFill="1" applyBorder="1"/>
    <xf numFmtId="177" fontId="203" fillId="0" borderId="125" xfId="358" applyNumberFormat="1" applyFont="1" applyFill="1" applyBorder="1"/>
    <xf numFmtId="167" fontId="292" fillId="0" borderId="118" xfId="358" applyNumberFormat="1" applyFont="1" applyFill="1" applyBorder="1"/>
    <xf numFmtId="0" fontId="292" fillId="0" borderId="73" xfId="16" applyFont="1" applyBorder="1"/>
    <xf numFmtId="167" fontId="203" fillId="0" borderId="117" xfId="358" applyNumberFormat="1" applyFont="1" applyFill="1" applyBorder="1"/>
    <xf numFmtId="167" fontId="203" fillId="0" borderId="73" xfId="358" applyNumberFormat="1" applyFont="1" applyFill="1" applyBorder="1"/>
    <xf numFmtId="0" fontId="118" fillId="0" borderId="125" xfId="16" applyFont="1" applyBorder="1"/>
    <xf numFmtId="0" fontId="300" fillId="0" borderId="118" xfId="16" applyFont="1" applyBorder="1"/>
    <xf numFmtId="0" fontId="300" fillId="0" borderId="125" xfId="16" applyFont="1" applyBorder="1"/>
    <xf numFmtId="0" fontId="158" fillId="0" borderId="125" xfId="16" applyFont="1" applyBorder="1"/>
    <xf numFmtId="14" fontId="158" fillId="0" borderId="125" xfId="16" applyNumberFormat="1" applyFont="1" applyBorder="1"/>
    <xf numFmtId="167" fontId="158" fillId="0" borderId="125" xfId="358" applyNumberFormat="1" applyFont="1" applyFill="1" applyBorder="1"/>
    <xf numFmtId="167" fontId="297" fillId="0" borderId="125" xfId="358" applyNumberFormat="1" applyFont="1" applyBorder="1"/>
    <xf numFmtId="167" fontId="158" fillId="0" borderId="125" xfId="358" applyNumberFormat="1" applyFont="1" applyBorder="1"/>
    <xf numFmtId="177" fontId="158" fillId="0" borderId="125" xfId="358" applyNumberFormat="1" applyFont="1" applyBorder="1"/>
    <xf numFmtId="177" fontId="300" fillId="0" borderId="125" xfId="358" applyNumberFormat="1" applyFont="1" applyBorder="1"/>
    <xf numFmtId="167" fontId="300" fillId="0" borderId="123" xfId="358" applyNumberFormat="1" applyFont="1" applyBorder="1"/>
    <xf numFmtId="167" fontId="300" fillId="31" borderId="123" xfId="358" applyNumberFormat="1" applyFont="1" applyFill="1" applyBorder="1"/>
    <xf numFmtId="167" fontId="158" fillId="0" borderId="0" xfId="16" applyNumberFormat="1" applyFont="1"/>
    <xf numFmtId="167" fontId="300" fillId="0" borderId="118" xfId="358" applyNumberFormat="1" applyFont="1" applyBorder="1"/>
    <xf numFmtId="0" fontId="1" fillId="0" borderId="0" xfId="16" applyFont="1"/>
    <xf numFmtId="0" fontId="118" fillId="0" borderId="0" xfId="16" applyFont="1"/>
    <xf numFmtId="167" fontId="118" fillId="0" borderId="0" xfId="16" applyNumberFormat="1" applyFont="1"/>
    <xf numFmtId="0" fontId="1" fillId="0" borderId="111" xfId="16" applyFont="1" applyBorder="1"/>
    <xf numFmtId="0" fontId="300" fillId="0" borderId="73" xfId="16" applyFont="1" applyBorder="1"/>
    <xf numFmtId="0" fontId="300" fillId="0" borderId="111" xfId="16" applyFont="1" applyBorder="1"/>
    <xf numFmtId="0" fontId="158" fillId="0" borderId="111" xfId="16" applyFont="1" applyBorder="1"/>
    <xf numFmtId="167" fontId="158" fillId="0" borderId="111" xfId="358" applyNumberFormat="1" applyFont="1" applyFill="1" applyBorder="1"/>
    <xf numFmtId="167" fontId="158" fillId="0" borderId="111" xfId="358" applyNumberFormat="1" applyFont="1" applyBorder="1"/>
    <xf numFmtId="177" fontId="158" fillId="0" borderId="111" xfId="358" applyNumberFormat="1" applyFont="1" applyBorder="1"/>
    <xf numFmtId="167" fontId="158" fillId="0" borderId="117" xfId="358" applyNumberFormat="1" applyFont="1" applyBorder="1"/>
    <xf numFmtId="167" fontId="158" fillId="31" borderId="117" xfId="358" applyNumberFormat="1" applyFont="1" applyFill="1" applyBorder="1"/>
    <xf numFmtId="167" fontId="158" fillId="0" borderId="73" xfId="358" applyNumberFormat="1" applyFont="1" applyBorder="1"/>
    <xf numFmtId="0" fontId="300" fillId="29" borderId="125" xfId="16" applyFont="1" applyFill="1" applyBorder="1"/>
    <xf numFmtId="0" fontId="158" fillId="29" borderId="125" xfId="16" applyFont="1" applyFill="1" applyBorder="1"/>
    <xf numFmtId="0" fontId="300" fillId="29" borderId="111" xfId="16" applyFont="1" applyFill="1" applyBorder="1"/>
    <xf numFmtId="0" fontId="158" fillId="29" borderId="111" xfId="16" applyFont="1" applyFill="1" applyBorder="1"/>
    <xf numFmtId="0" fontId="301" fillId="0" borderId="125" xfId="16" applyFont="1" applyBorder="1"/>
    <xf numFmtId="0" fontId="302" fillId="0" borderId="118" xfId="16" applyFont="1" applyBorder="1"/>
    <xf numFmtId="0" fontId="302" fillId="0" borderId="125" xfId="16" applyFont="1" applyBorder="1"/>
    <xf numFmtId="0" fontId="303" fillId="0" borderId="125" xfId="16" applyFont="1" applyBorder="1"/>
    <xf numFmtId="167" fontId="303" fillId="0" borderId="125" xfId="358" applyNumberFormat="1" applyFont="1" applyFill="1" applyBorder="1"/>
    <xf numFmtId="167" fontId="303" fillId="0" borderId="125" xfId="358" applyNumberFormat="1" applyFont="1" applyBorder="1"/>
    <xf numFmtId="177" fontId="303" fillId="0" borderId="125" xfId="358" applyNumberFormat="1" applyFont="1" applyBorder="1"/>
    <xf numFmtId="177" fontId="302" fillId="0" borderId="125" xfId="358" applyNumberFormat="1" applyFont="1" applyBorder="1"/>
    <xf numFmtId="167" fontId="302" fillId="0" borderId="123" xfId="358" applyNumberFormat="1" applyFont="1" applyBorder="1"/>
    <xf numFmtId="167" fontId="302" fillId="31" borderId="123" xfId="358" applyNumberFormat="1" applyFont="1" applyFill="1" applyBorder="1"/>
    <xf numFmtId="167" fontId="303" fillId="0" borderId="0" xfId="16" applyNumberFormat="1" applyFont="1"/>
    <xf numFmtId="167" fontId="302" fillId="0" borderId="118" xfId="358" applyNumberFormat="1" applyFont="1" applyBorder="1"/>
    <xf numFmtId="0" fontId="301" fillId="0" borderId="0" xfId="16" applyFont="1"/>
    <xf numFmtId="0" fontId="304" fillId="0" borderId="0" xfId="16" applyFont="1"/>
    <xf numFmtId="0" fontId="304" fillId="0" borderId="111" xfId="16" applyFont="1" applyBorder="1"/>
    <xf numFmtId="0" fontId="302" fillId="0" borderId="73" xfId="16" applyFont="1" applyBorder="1"/>
    <xf numFmtId="0" fontId="303" fillId="0" borderId="111" xfId="16" applyFont="1" applyBorder="1"/>
    <xf numFmtId="167" fontId="303" fillId="0" borderId="111" xfId="358" applyNumberFormat="1" applyFont="1" applyFill="1" applyBorder="1"/>
    <xf numFmtId="167" fontId="303" fillId="0" borderId="111" xfId="358" applyNumberFormat="1" applyFont="1" applyBorder="1"/>
    <xf numFmtId="177" fontId="303" fillId="0" borderId="111" xfId="358" applyNumberFormat="1" applyFont="1" applyBorder="1"/>
    <xf numFmtId="167" fontId="303" fillId="0" borderId="117" xfId="358" applyNumberFormat="1" applyFont="1" applyBorder="1"/>
    <xf numFmtId="167" fontId="303" fillId="31" borderId="117" xfId="358" applyNumberFormat="1" applyFont="1" applyFill="1" applyBorder="1"/>
    <xf numFmtId="167" fontId="303" fillId="0" borderId="111" xfId="16" applyNumberFormat="1" applyFont="1" applyBorder="1"/>
    <xf numFmtId="167" fontId="303" fillId="0" borderId="73" xfId="358" applyNumberFormat="1" applyFont="1" applyBorder="1"/>
    <xf numFmtId="167" fontId="203" fillId="0" borderId="0" xfId="358" applyNumberFormat="1" applyFont="1" applyFill="1" applyBorder="1"/>
    <xf numFmtId="177" fontId="203" fillId="0" borderId="0" xfId="358" applyNumberFormat="1" applyFont="1" applyFill="1" applyBorder="1"/>
    <xf numFmtId="177" fontId="205" fillId="0" borderId="0" xfId="358" applyNumberFormat="1" applyFont="1" applyFill="1" applyBorder="1"/>
    <xf numFmtId="167" fontId="245" fillId="15" borderId="0" xfId="16" applyNumberFormat="1" applyFont="1" applyFill="1"/>
    <xf numFmtId="167" fontId="68" fillId="0" borderId="0" xfId="358" applyNumberFormat="1"/>
    <xf numFmtId="0" fontId="293" fillId="0" borderId="0" xfId="16" applyFont="1" applyAlignment="1">
      <alignment horizontal="right"/>
    </xf>
    <xf numFmtId="167" fontId="293" fillId="15" borderId="0" xfId="16" applyNumberFormat="1" applyFont="1" applyFill="1"/>
    <xf numFmtId="177" fontId="293" fillId="15" borderId="0" xfId="16" applyNumberFormat="1" applyFont="1" applyFill="1"/>
    <xf numFmtId="177" fontId="292" fillId="0" borderId="0" xfId="358" applyNumberFormat="1" applyFont="1" applyFill="1" applyBorder="1" applyAlignment="1">
      <alignment horizontal="right"/>
    </xf>
    <xf numFmtId="167" fontId="292" fillId="71" borderId="123" xfId="358" applyNumberFormat="1" applyFont="1" applyFill="1" applyBorder="1"/>
    <xf numFmtId="177" fontId="203" fillId="0" borderId="0" xfId="358" applyNumberFormat="1" applyFont="1" applyFill="1" applyBorder="1" applyAlignment="1">
      <alignment horizontal="right"/>
    </xf>
    <xf numFmtId="167" fontId="203" fillId="71" borderId="117" xfId="358" applyNumberFormat="1" applyFont="1" applyFill="1" applyBorder="1"/>
    <xf numFmtId="167" fontId="245" fillId="0" borderId="0" xfId="16" applyNumberFormat="1" applyFont="1"/>
    <xf numFmtId="167" fontId="245" fillId="71" borderId="117" xfId="16" applyNumberFormat="1" applyFont="1" applyFill="1" applyBorder="1"/>
    <xf numFmtId="167" fontId="305" fillId="0" borderId="0" xfId="16" applyNumberFormat="1" applyFont="1"/>
    <xf numFmtId="0" fontId="293" fillId="0" borderId="0" xfId="16" applyFont="1" applyAlignment="1">
      <alignment wrapText="1"/>
    </xf>
    <xf numFmtId="0" fontId="245" fillId="0" borderId="0" xfId="16" applyFont="1" applyAlignment="1">
      <alignment wrapText="1"/>
    </xf>
    <xf numFmtId="167" fontId="306" fillId="0" borderId="0" xfId="358" applyNumberFormat="1" applyFont="1"/>
    <xf numFmtId="167" fontId="61" fillId="0" borderId="0" xfId="16" applyNumberFormat="1" applyFont="1"/>
    <xf numFmtId="167" fontId="77" fillId="0" borderId="0" xfId="16" applyNumberFormat="1" applyFont="1"/>
    <xf numFmtId="0" fontId="294" fillId="0" borderId="0" xfId="16" applyFont="1"/>
    <xf numFmtId="0" fontId="295" fillId="0" borderId="0" xfId="16" applyFont="1"/>
    <xf numFmtId="14" fontId="295" fillId="0" borderId="125" xfId="16" applyNumberFormat="1" applyFont="1" applyBorder="1"/>
    <xf numFmtId="0" fontId="292" fillId="0" borderId="0" xfId="16" applyFont="1"/>
    <xf numFmtId="0" fontId="292" fillId="0" borderId="0" xfId="16" applyFont="1" applyAlignment="1">
      <alignment horizontal="right"/>
    </xf>
    <xf numFmtId="167" fontId="292" fillId="71" borderId="117" xfId="16" applyNumberFormat="1" applyFont="1" applyFill="1" applyBorder="1"/>
    <xf numFmtId="167" fontId="292" fillId="71" borderId="131" xfId="358" applyNumberFormat="1" applyFont="1" applyFill="1" applyBorder="1"/>
    <xf numFmtId="167" fontId="292" fillId="71" borderId="131" xfId="16" applyNumberFormat="1" applyFont="1" applyFill="1" applyBorder="1"/>
    <xf numFmtId="0" fontId="77" fillId="0" borderId="0" xfId="10" applyFont="1" applyAlignment="1">
      <alignment horizontal="right"/>
    </xf>
    <xf numFmtId="167" fontId="77" fillId="0" borderId="72" xfId="16" applyNumberFormat="1" applyFont="1" applyBorder="1"/>
    <xf numFmtId="167" fontId="292" fillId="31" borderId="72" xfId="358" applyNumberFormat="1" applyFont="1" applyFill="1" applyBorder="1"/>
    <xf numFmtId="167" fontId="203" fillId="0" borderId="72" xfId="358" applyNumberFormat="1" applyFont="1" applyBorder="1"/>
    <xf numFmtId="0" fontId="245" fillId="0" borderId="0" xfId="16" applyFont="1" applyAlignment="1">
      <alignment horizontal="right"/>
    </xf>
    <xf numFmtId="167" fontId="245" fillId="71" borderId="131" xfId="16" applyNumberFormat="1" applyFont="1" applyFill="1" applyBorder="1"/>
    <xf numFmtId="168" fontId="245" fillId="0" borderId="131" xfId="9" applyNumberFormat="1" applyFont="1" applyFill="1" applyBorder="1"/>
    <xf numFmtId="168" fontId="245" fillId="0" borderId="0" xfId="9" applyNumberFormat="1" applyFont="1" applyFill="1"/>
    <xf numFmtId="0" fontId="307" fillId="0" borderId="0" xfId="10" applyFont="1" applyAlignment="1">
      <alignment horizontal="right"/>
    </xf>
    <xf numFmtId="167" fontId="308" fillId="0" borderId="0" xfId="358" applyNumberFormat="1" applyFont="1" applyFill="1"/>
    <xf numFmtId="168" fontId="61" fillId="0" borderId="0" xfId="9" applyNumberFormat="1" applyFont="1"/>
    <xf numFmtId="167" fontId="297" fillId="0" borderId="0" xfId="358" applyNumberFormat="1" applyFont="1"/>
    <xf numFmtId="9" fontId="288" fillId="0" borderId="0" xfId="16" applyNumberFormat="1" applyFont="1"/>
    <xf numFmtId="167" fontId="203" fillId="0" borderId="0" xfId="358" applyNumberFormat="1" applyFont="1" applyAlignment="1">
      <alignment horizontal="right"/>
    </xf>
    <xf numFmtId="0" fontId="309" fillId="0" borderId="0" xfId="16" applyFont="1"/>
    <xf numFmtId="0" fontId="309" fillId="0" borderId="0" xfId="16" applyFont="1" applyAlignment="1">
      <alignment horizontal="right"/>
    </xf>
    <xf numFmtId="0" fontId="293" fillId="33" borderId="131" xfId="16" applyFont="1" applyFill="1" applyBorder="1" applyAlignment="1">
      <alignment horizontal="center" vertical="center"/>
    </xf>
    <xf numFmtId="0" fontId="293" fillId="33" borderId="131" xfId="16" applyFont="1" applyFill="1" applyBorder="1" applyAlignment="1">
      <alignment horizontal="center" vertical="center" wrapText="1"/>
    </xf>
    <xf numFmtId="0" fontId="309" fillId="0" borderId="0" xfId="10" applyFont="1" applyAlignment="1">
      <alignment horizontal="right"/>
    </xf>
    <xf numFmtId="0" fontId="310" fillId="0" borderId="0" xfId="16" applyFont="1"/>
    <xf numFmtId="0" fontId="310" fillId="0" borderId="0" xfId="16" applyFont="1" applyAlignment="1">
      <alignment horizontal="right"/>
    </xf>
    <xf numFmtId="168" fontId="245" fillId="33" borderId="131" xfId="9" applyNumberFormat="1" applyFont="1" applyFill="1" applyBorder="1"/>
    <xf numFmtId="0" fontId="311" fillId="0" borderId="0" xfId="16" applyFont="1" applyAlignment="1">
      <alignment horizontal="right"/>
    </xf>
    <xf numFmtId="0" fontId="312" fillId="0" borderId="0" xfId="16" applyFont="1" applyAlignment="1">
      <alignment horizontal="right"/>
    </xf>
    <xf numFmtId="43" fontId="126" fillId="0" borderId="0" xfId="358" applyFont="1" applyAlignment="1">
      <alignment horizontal="right"/>
    </xf>
    <xf numFmtId="167" fontId="313" fillId="0" borderId="0" xfId="358" applyNumberFormat="1" applyFont="1" applyFill="1"/>
    <xf numFmtId="43" fontId="126" fillId="0" borderId="0" xfId="358" applyFont="1" applyFill="1"/>
    <xf numFmtId="167" fontId="126" fillId="0" borderId="0" xfId="358" applyNumberFormat="1" applyFont="1" applyFill="1"/>
    <xf numFmtId="0" fontId="294" fillId="0" borderId="0" xfId="16" applyFont="1" applyAlignment="1">
      <alignment horizontal="right"/>
    </xf>
    <xf numFmtId="0" fontId="288" fillId="0" borderId="167" xfId="16" applyFont="1" applyBorder="1"/>
    <xf numFmtId="0" fontId="288" fillId="0" borderId="19" xfId="16" applyFont="1" applyBorder="1"/>
    <xf numFmtId="167" fontId="288" fillId="0" borderId="19" xfId="16" applyNumberFormat="1" applyFont="1" applyBorder="1"/>
    <xf numFmtId="0" fontId="288" fillId="0" borderId="168" xfId="16" applyFont="1" applyBorder="1"/>
    <xf numFmtId="0" fontId="288" fillId="0" borderId="169" xfId="16" applyFont="1" applyBorder="1"/>
    <xf numFmtId="167" fontId="68" fillId="0" borderId="0" xfId="358" applyNumberFormat="1" applyBorder="1"/>
    <xf numFmtId="0" fontId="288" fillId="0" borderId="170" xfId="16" applyFont="1" applyBorder="1"/>
    <xf numFmtId="167" fontId="68" fillId="30" borderId="0" xfId="358" applyNumberFormat="1" applyFill="1" applyBorder="1"/>
    <xf numFmtId="167" fontId="68" fillId="0" borderId="170" xfId="358" applyNumberFormat="1" applyBorder="1"/>
    <xf numFmtId="0" fontId="288" fillId="0" borderId="171" xfId="16" applyFont="1" applyBorder="1"/>
    <xf numFmtId="0" fontId="288" fillId="0" borderId="17" xfId="16" applyFont="1" applyBorder="1"/>
    <xf numFmtId="43" fontId="68" fillId="0" borderId="17" xfId="358" applyBorder="1"/>
    <xf numFmtId="0" fontId="288" fillId="0" borderId="172" xfId="16" applyFont="1" applyBorder="1"/>
    <xf numFmtId="0" fontId="56" fillId="0" borderId="0" xfId="43"/>
    <xf numFmtId="167" fontId="93" fillId="10" borderId="115" xfId="19" applyNumberFormat="1" applyFont="1" applyFill="1" applyBorder="1" applyAlignment="1">
      <alignment horizontal="center"/>
    </xf>
    <xf numFmtId="167" fontId="93" fillId="10" borderId="117" xfId="19" applyNumberFormat="1" applyFont="1" applyFill="1" applyBorder="1" applyAlignment="1">
      <alignment horizontal="center"/>
    </xf>
    <xf numFmtId="167" fontId="83" fillId="73" borderId="115" xfId="19" applyNumberFormat="1" applyFont="1" applyFill="1" applyBorder="1" applyAlignment="1" applyProtection="1">
      <alignment horizontal="center"/>
      <protection locked="0"/>
    </xf>
    <xf numFmtId="167" fontId="83" fillId="73" borderId="117" xfId="19" applyNumberFormat="1" applyFont="1" applyFill="1" applyBorder="1" applyAlignment="1" applyProtection="1">
      <alignment horizontal="center"/>
      <protection locked="0"/>
    </xf>
    <xf numFmtId="167" fontId="93" fillId="73" borderId="123" xfId="23" applyNumberFormat="1" applyFont="1" applyFill="1" applyBorder="1" applyAlignment="1" applyProtection="1">
      <alignment vertical="center"/>
      <protection locked="0"/>
    </xf>
    <xf numFmtId="167" fontId="93" fillId="73" borderId="72" xfId="23" applyNumberFormat="1" applyFont="1" applyFill="1" applyBorder="1" applyAlignment="1" applyProtection="1">
      <alignment vertical="center"/>
      <protection locked="0"/>
    </xf>
    <xf numFmtId="167" fontId="93" fillId="73" borderId="117" xfId="23" applyNumberFormat="1" applyFont="1" applyFill="1" applyBorder="1" applyAlignment="1" applyProtection="1">
      <alignment vertical="center"/>
      <protection locked="0"/>
    </xf>
    <xf numFmtId="167" fontId="93" fillId="10" borderId="72" xfId="23" applyNumberFormat="1" applyFont="1" applyFill="1" applyBorder="1" applyAlignment="1" applyProtection="1">
      <alignment vertical="center"/>
      <protection locked="0"/>
    </xf>
    <xf numFmtId="167" fontId="93" fillId="10" borderId="117" xfId="23" applyNumberFormat="1" applyFont="1" applyFill="1" applyBorder="1" applyAlignment="1" applyProtection="1">
      <alignment vertical="center"/>
      <protection locked="0"/>
    </xf>
    <xf numFmtId="0" fontId="102" fillId="0" borderId="48" xfId="0" applyFont="1" applyBorder="1" applyAlignment="1">
      <alignment horizontal="left" vertical="center" wrapText="1"/>
    </xf>
    <xf numFmtId="0" fontId="125" fillId="0" borderId="48" xfId="0" applyFont="1" applyBorder="1" applyAlignment="1">
      <alignment horizontal="center" wrapText="1"/>
    </xf>
    <xf numFmtId="0" fontId="94" fillId="0" borderId="48" xfId="0" applyFont="1" applyBorder="1" applyAlignment="1">
      <alignment horizontal="center" wrapText="1"/>
    </xf>
    <xf numFmtId="0" fontId="0" fillId="0" borderId="153" xfId="0" applyBorder="1" applyAlignment="1">
      <alignment horizontal="center"/>
    </xf>
    <xf numFmtId="0" fontId="0" fillId="0" borderId="163" xfId="0" applyBorder="1" applyAlignment="1">
      <alignment horizontal="center"/>
    </xf>
    <xf numFmtId="167" fontId="207" fillId="79" borderId="162" xfId="1" applyNumberFormat="1" applyFont="1" applyFill="1" applyBorder="1" applyAlignment="1">
      <alignment horizontal="center"/>
    </xf>
    <xf numFmtId="167" fontId="207" fillId="79" borderId="165" xfId="1" applyNumberFormat="1" applyFont="1" applyFill="1" applyBorder="1" applyAlignment="1">
      <alignment horizontal="center"/>
    </xf>
    <xf numFmtId="0" fontId="127" fillId="33" borderId="62" xfId="0" applyFont="1" applyFill="1" applyBorder="1" applyAlignment="1">
      <alignment horizontal="center"/>
    </xf>
    <xf numFmtId="0" fontId="75" fillId="13" borderId="62" xfId="0" applyFont="1" applyFill="1" applyBorder="1" applyAlignment="1">
      <alignment horizontal="center" wrapText="1"/>
    </xf>
    <xf numFmtId="0" fontId="75" fillId="33" borderId="62" xfId="0" applyFont="1" applyFill="1" applyBorder="1" applyAlignment="1">
      <alignment horizontal="center" wrapText="1"/>
    </xf>
    <xf numFmtId="0" fontId="127" fillId="33" borderId="62" xfId="0" applyFont="1" applyFill="1" applyBorder="1" applyAlignment="1">
      <alignment horizontal="center" wrapText="1"/>
    </xf>
    <xf numFmtId="0" fontId="127" fillId="13" borderId="62" xfId="0" applyFont="1" applyFill="1" applyBorder="1" applyAlignment="1">
      <alignment horizontal="center" wrapText="1"/>
    </xf>
    <xf numFmtId="0" fontId="127" fillId="13" borderId="66" xfId="0" applyFont="1" applyFill="1" applyBorder="1" applyAlignment="1">
      <alignment horizontal="center" wrapText="1"/>
    </xf>
    <xf numFmtId="0" fontId="127" fillId="13" borderId="62" xfId="0" applyFont="1" applyFill="1" applyBorder="1" applyAlignment="1">
      <alignment horizontal="center"/>
    </xf>
    <xf numFmtId="0" fontId="127" fillId="0" borderId="62" xfId="0" applyFont="1" applyBorder="1" applyAlignment="1">
      <alignment horizontal="center" wrapText="1"/>
    </xf>
    <xf numFmtId="0" fontId="75" fillId="33" borderId="66" xfId="0" applyFont="1" applyFill="1" applyBorder="1" applyAlignment="1">
      <alignment horizontal="center" wrapText="1"/>
    </xf>
    <xf numFmtId="0" fontId="75" fillId="33" borderId="67" xfId="0" applyFont="1" applyFill="1" applyBorder="1" applyAlignment="1">
      <alignment horizontal="center" wrapText="1"/>
    </xf>
    <xf numFmtId="0" fontId="75" fillId="13" borderId="66" xfId="0" applyFont="1" applyFill="1" applyBorder="1" applyAlignment="1">
      <alignment horizontal="center" wrapText="1"/>
    </xf>
    <xf numFmtId="0" fontId="75" fillId="13" borderId="63" xfId="0" applyFont="1" applyFill="1" applyBorder="1" applyAlignment="1">
      <alignment horizontal="center" wrapText="1"/>
    </xf>
    <xf numFmtId="167" fontId="207" fillId="79" borderId="62" xfId="1" applyNumberFormat="1" applyFont="1" applyFill="1" applyBorder="1" applyAlignment="1">
      <alignment horizontal="center" vertical="center"/>
    </xf>
    <xf numFmtId="167" fontId="116" fillId="79" borderId="62" xfId="1" applyNumberFormat="1" applyFont="1" applyFill="1" applyBorder="1" applyAlignment="1">
      <alignment horizontal="center" vertical="center"/>
    </xf>
    <xf numFmtId="167" fontId="75" fillId="19" borderId="66" xfId="1" applyNumberFormat="1" applyFont="1" applyFill="1" applyBorder="1" applyAlignment="1">
      <alignment horizontal="center" wrapText="1"/>
    </xf>
    <xf numFmtId="167" fontId="75" fillId="19" borderId="67" xfId="1" applyNumberFormat="1" applyFont="1" applyFill="1" applyBorder="1" applyAlignment="1">
      <alignment horizontal="center" wrapText="1"/>
    </xf>
    <xf numFmtId="0" fontId="217" fillId="0" borderId="62" xfId="0" applyFont="1" applyBorder="1" applyAlignment="1">
      <alignment horizontal="center" wrapText="1"/>
    </xf>
    <xf numFmtId="0" fontId="208" fillId="0" borderId="82" xfId="0" applyFont="1" applyBorder="1" applyAlignment="1">
      <alignment horizontal="center"/>
    </xf>
    <xf numFmtId="0" fontId="75" fillId="13" borderId="62" xfId="0" applyFont="1" applyFill="1" applyBorder="1" applyAlignment="1">
      <alignment horizontal="center"/>
    </xf>
  </cellXfs>
  <cellStyles count="359">
    <cellStyle name="20% - Accent1 2" xfId="178" xr:uid="{363495CB-4EFD-4075-8AF2-8C15E33F265E}"/>
    <cellStyle name="20% - Accent1 3" xfId="254" xr:uid="{E5B18DE7-613F-46E6-83F3-B8D166189AAE}"/>
    <cellStyle name="20% - Accent2 2" xfId="181" xr:uid="{A18B77CC-0EE2-4068-8D7D-EF36B82D4569}"/>
    <cellStyle name="20% - Accent2 3" xfId="257" xr:uid="{0B5741FD-8B26-42B3-AD92-C666C48C2E56}"/>
    <cellStyle name="20% - Accent3 2" xfId="184" xr:uid="{828B7FC4-D874-45AB-90C4-80E102CDA5BC}"/>
    <cellStyle name="20% - Accent3 3" xfId="260" xr:uid="{1E6C9157-3BCC-462D-A9DA-092044DD508A}"/>
    <cellStyle name="20% - Accent4 2" xfId="187" xr:uid="{D6C29F7D-F1D1-4B50-B51D-8C757C4F426E}"/>
    <cellStyle name="20% - Accent4 3" xfId="263" xr:uid="{C8AB55DE-1FCC-4428-9A86-267BA79876C2}"/>
    <cellStyle name="20% - Accent5 2" xfId="190" xr:uid="{FCD4D055-3930-49A6-8889-90B080C6E772}"/>
    <cellStyle name="20% - Accent5 3" xfId="266" xr:uid="{F587695F-375B-4967-B352-43DE04DA1E20}"/>
    <cellStyle name="20% - Accent6 2" xfId="193" xr:uid="{27DC87F4-78AB-4578-80CF-0B1BFA91BF76}"/>
    <cellStyle name="20% - Accent6 3" xfId="269" xr:uid="{6401CBB4-6642-461B-ACAA-8610AEB4F886}"/>
    <cellStyle name="20% no 1. izcēluma" xfId="118" builtinId="30" customBuiltin="1"/>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xfId="122" builtinId="34" customBuiltin="1"/>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xfId="126" builtinId="38" customBuiltin="1"/>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xfId="130" builtinId="42" customBuiltin="1"/>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xfId="134" builtinId="46" customBuiltin="1"/>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xfId="138" builtinId="50" customBuiltin="1"/>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2" xfId="179" xr:uid="{52F15773-EEB9-4FAB-B1D0-72EF0155F97D}"/>
    <cellStyle name="40% - Accent1 3" xfId="255" xr:uid="{3E5A396A-0448-4C32-9011-01F9C66BC61D}"/>
    <cellStyle name="40% - Accent2 2" xfId="182" xr:uid="{3B8FAB79-3B2B-45F3-A5EB-B230A3278B50}"/>
    <cellStyle name="40% - Accent2 3" xfId="258" xr:uid="{1181E458-A323-45CD-9455-A05C791EED05}"/>
    <cellStyle name="40% - Accent3 2" xfId="185" xr:uid="{2B662775-B899-4B35-8D7E-FCE4CD58456D}"/>
    <cellStyle name="40% - Accent3 3" xfId="261" xr:uid="{9AF3EAC6-520A-4CDF-9CAA-4E7F85768EEB}"/>
    <cellStyle name="40% - Accent4 2" xfId="188" xr:uid="{64C688F0-7CEF-4FE8-9E4F-59C5F7B42BEF}"/>
    <cellStyle name="40% - Accent4 3" xfId="264" xr:uid="{4CD6D80D-3FF9-4D61-B545-31BC888C668F}"/>
    <cellStyle name="40% - Accent5 2" xfId="191" xr:uid="{AF63A63F-2393-4DDD-B11E-1E8547F0F85D}"/>
    <cellStyle name="40% - Accent5 3" xfId="267" xr:uid="{549B5969-3EB4-4DD1-BDD8-95D7A6E0C93E}"/>
    <cellStyle name="40% - Accent6 2" xfId="194" xr:uid="{3A5C1458-F927-4ED5-9DF6-2B52D0C9B7BA}"/>
    <cellStyle name="40% - Accent6 3" xfId="270" xr:uid="{0D42A310-8352-4F0C-A4E1-061959AAB9CB}"/>
    <cellStyle name="40% no 1. izcēluma" xfId="119" builtinId="31" customBuiltin="1"/>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xfId="123" builtinId="35" customBuiltin="1"/>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xfId="127" builtinId="39" customBuiltin="1"/>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xfId="131" builtinId="43" customBuiltin="1"/>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xfId="135" builtinId="47" customBuiltin="1"/>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xfId="139" builtinId="51" customBuiltin="1"/>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2" xfId="180" xr:uid="{2FF805B4-7736-476D-9441-E38DA002F17C}"/>
    <cellStyle name="60% - Accent1 3" xfId="256" xr:uid="{1D71ECB8-1786-4327-A481-1DBC41CD12F6}"/>
    <cellStyle name="60% - Accent2 2" xfId="183" xr:uid="{C36BDC48-DDDB-44C7-9E4B-3FEFC6C7EE83}"/>
    <cellStyle name="60% - Accent2 3" xfId="259" xr:uid="{1FE7452F-6B7B-4BB2-8685-1812FF4DC364}"/>
    <cellStyle name="60% - Accent3 2" xfId="186" xr:uid="{129DABD0-E58B-4402-90C0-1CDA297E49E8}"/>
    <cellStyle name="60% - Accent3 3" xfId="262" xr:uid="{08802A62-7D09-45F3-ADFC-7526242635C2}"/>
    <cellStyle name="60% - Accent4 2" xfId="189" xr:uid="{4DF1C865-0303-4E8E-8163-9614765FC054}"/>
    <cellStyle name="60% - Accent4 3" xfId="265" xr:uid="{68A38B11-F7FC-4586-93CC-9F039F4577DA}"/>
    <cellStyle name="60% - Accent5 2" xfId="192" xr:uid="{49CE04F7-7C67-4035-B478-D5A0BC67A4F9}"/>
    <cellStyle name="60% - Accent5 3" xfId="268" xr:uid="{B7B32AEA-8954-41E2-ACA2-AF1C9415F3A5}"/>
    <cellStyle name="60% - Accent6 2" xfId="195" xr:uid="{E49FFC8E-C988-475A-9C83-E9CFCB701DBF}"/>
    <cellStyle name="60% - Accent6 3" xfId="271" xr:uid="{CE0272C9-98EC-4F79-8EFD-9FFA00968D36}"/>
    <cellStyle name="60% no 1. izcēluma" xfId="120" builtinId="32" customBuiltin="1"/>
    <cellStyle name="60% no 1. izcēluma 2" xfId="223" xr:uid="{BACF85F9-4A7D-4C85-89B8-81505C9E67CC}"/>
    <cellStyle name="60% no 1. izcēluma 3" xfId="293" xr:uid="{6E6DDF74-1124-452E-8DEA-BE136C66FD35}"/>
    <cellStyle name="60% no 1. izcēluma 4" xfId="313" xr:uid="{FD9E8D96-C712-462C-8C77-1F9F40495FB6}"/>
    <cellStyle name="60% no 2. izcēluma" xfId="124" builtinId="36" customBuiltin="1"/>
    <cellStyle name="60% no 2. izcēluma 2" xfId="226" xr:uid="{E8127104-1405-4FB8-A7A8-A9AC3EFE9E68}"/>
    <cellStyle name="60% no 2. izcēluma 3" xfId="296" xr:uid="{8E8CF635-DE1E-48BD-9894-6B0ED7F30586}"/>
    <cellStyle name="60% no 2. izcēluma 4" xfId="316" xr:uid="{8C110840-DBE8-42A4-B129-6FA4AE31D5A2}"/>
    <cellStyle name="60% no 3. izcēluma" xfId="128" builtinId="40" customBuiltin="1"/>
    <cellStyle name="60% no 3. izcēluma 2" xfId="229" xr:uid="{DF56DC40-6B6E-4ECB-9EB0-25F22FE902E7}"/>
    <cellStyle name="60% no 3. izcēluma 3" xfId="299" xr:uid="{AB6F73AB-E870-4C67-BCB8-91DE26B16151}"/>
    <cellStyle name="60% no 3. izcēluma 4" xfId="319" xr:uid="{05C04937-C729-444E-A89F-DD3EBC717066}"/>
    <cellStyle name="60% no 4. izcēluma" xfId="132" builtinId="44" customBuiltin="1"/>
    <cellStyle name="60% no 4. izcēluma 2" xfId="232" xr:uid="{B21BC850-C4D2-4CC5-A843-4B748E0B26A3}"/>
    <cellStyle name="60% no 4. izcēluma 3" xfId="302" xr:uid="{BB661609-EFCF-49F1-9834-CB5B796206BC}"/>
    <cellStyle name="60% no 4. izcēluma 4" xfId="322" xr:uid="{317F5FFD-B391-49E0-B954-B8BF4F0E3CEF}"/>
    <cellStyle name="60% no 5. izcēluma" xfId="136" builtinId="48" customBuiltin="1"/>
    <cellStyle name="60% no 5. izcēluma 2" xfId="235" xr:uid="{93DD5956-1773-4ED8-803E-11AD19B3C5C4}"/>
    <cellStyle name="60% no 5. izcēluma 3" xfId="305" xr:uid="{8E15DA69-81B4-4F76-BEB8-D54236B4D5FB}"/>
    <cellStyle name="60% no 5. izcēluma 4" xfId="325" xr:uid="{0895A06E-5B5E-4177-BD65-3E77CEDF170B}"/>
    <cellStyle name="60% no 6. izcēluma" xfId="140" builtinId="52" customBuiltin="1"/>
    <cellStyle name="60% no 6. izcēluma 2" xfId="238" xr:uid="{521FF28F-DC94-43B6-BBAC-663C1ED4DF4C}"/>
    <cellStyle name="60% no 6. izcēluma 3" xfId="308" xr:uid="{74A471CA-D70E-4D05-8BB8-D0BDEEE83208}"/>
    <cellStyle name="60% no 6. izcēluma 4" xfId="328" xr:uid="{8B75D909-116E-4F22-A6F2-2861B219AE89}"/>
    <cellStyle name="Aprēķināšana" xfId="111" builtinId="22" customBuiltin="1"/>
    <cellStyle name="Brīdinājuma teksts" xfId="114" builtinId="11" customBuiltin="1"/>
    <cellStyle name="Comma 10" xfId="346" xr:uid="{4AEB9CA1-D5D0-4EB5-9E5B-8AF3960B2AA6}"/>
    <cellStyle name="Comma 11" xfId="355" xr:uid="{D360B394-E1A9-47C9-8189-31944E82ED6E}"/>
    <cellStyle name="Comma 12" xfId="358" xr:uid="{8C236F75-3654-4AB8-9EA9-687D12345F76}"/>
    <cellStyle name="Comma 2" xfId="217" xr:uid="{A6C95BC1-19F2-4D14-8F05-F1BCAFFD66B6}"/>
    <cellStyle name="Comma 2 2" xfId="25" xr:uid="{00000000-0005-0000-0000-000020000000}"/>
    <cellStyle name="Comma 2 3" xfId="275" xr:uid="{F9D5D71F-661B-4307-A0AF-6B2ED6BF2B9D}"/>
    <cellStyle name="Comma 2 4" xfId="349" xr:uid="{AE970975-841F-4898-894E-0F08D0BD3029}"/>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omma 9" xfId="336" xr:uid="{26B5D914-D3F0-4FCB-AF52-C2533471B040}"/>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Normal 2" xfId="340" xr:uid="{620B331D-89B2-49E7-AB45-45365CACB7DE}"/>
    <cellStyle name="Excel Built-in Percent" xfId="68" xr:uid="{00000000-0005-0000-0000-00002A000000}"/>
    <cellStyle name="Explanatory Text 2" xfId="207" xr:uid="{A0498B9A-D992-4E78-BF25-546CAE2BE786}"/>
    <cellStyle name="Heading 1 2" xfId="204" xr:uid="{E98B7448-A897-4EA1-9906-18A8FE0D192D}"/>
    <cellStyle name="Heading 2 2" xfId="208" xr:uid="{FF1DA6CD-3B3A-4E9F-90B0-39C524CC5C89}"/>
    <cellStyle name="Heading 3 2" xfId="211" xr:uid="{EC5204E5-D883-4752-94D0-7259464FE54C}"/>
    <cellStyle name="Heading 4 2" xfId="212" xr:uid="{5BE628C0-8046-4E7E-9D76-388CC31BADE7}"/>
    <cellStyle name="Hipersaite" xfId="173" builtinId="8"/>
    <cellStyle name="Hipersaite 2" xfId="41" xr:uid="{00000000-0005-0000-0000-00002C000000}"/>
    <cellStyle name="Hipersaite 3" xfId="91" xr:uid="{00000000-0005-0000-0000-00002D000000}"/>
    <cellStyle name="Hipersaite 4" xfId="197" xr:uid="{6744AC71-A348-4DB4-9CF9-D7854F4985EF}"/>
    <cellStyle name="Hyperlink 2" xfId="334" xr:uid="{F95411F1-DA76-4DD5-A910-76A15CEB3EAE}"/>
    <cellStyle name="Hyperlink 3" xfId="335" xr:uid="{9B7BA1C6-BD62-44EA-8EED-CEA290CA7D57}"/>
    <cellStyle name="Hyperlink 4" xfId="356" xr:uid="{F84425BD-07C7-47FD-AEA9-F519333DAC29}"/>
    <cellStyle name="Ievade" xfId="109" builtinId="20" customBuiltin="1"/>
    <cellStyle name="Izcēlums (1. veids)" xfId="117" builtinId="29" customBuiltin="1"/>
    <cellStyle name="Izcēlums (2. veids)" xfId="121" builtinId="33" customBuiltin="1"/>
    <cellStyle name="Izcēlums (3. veids)" xfId="125" builtinId="37" customBuiltin="1"/>
    <cellStyle name="Izcēlums (4. veids)" xfId="129" builtinId="41" customBuiltin="1"/>
    <cellStyle name="Izcēlums (5. veids)" xfId="133" builtinId="45" customBuiltin="1"/>
    <cellStyle name="Izcēlums (6. veids)" xfId="137" builtinId="49" customBuiltin="1"/>
    <cellStyle name="Izvade" xfId="110" builtinId="21" customBuiltin="1"/>
    <cellStyle name="Komats" xfId="1" builtinId="3"/>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8" xr:uid="{440F2FA2-8C4D-40B8-B2C0-4F53F3D6CCBD}"/>
    <cellStyle name="Komats 14" xfId="145" xr:uid="{00000000-0005-0000-0000-00003D000000}"/>
    <cellStyle name="Komats 15" xfId="201" xr:uid="{B05EB464-085D-4EEA-BAF8-CC5AD2B4A2D0}"/>
    <cellStyle name="Komats 16" xfId="280" xr:uid="{AD548885-FD29-4088-8317-79BA9DC61C67}"/>
    <cellStyle name="Komats 17" xfId="330"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20 6" xfId="347"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2" xr:uid="{C34E2C00-0D92-448C-B0EB-5A110AA20781}"/>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Kopsumma" xfId="116" builtinId="25" customBuiltin="1"/>
    <cellStyle name="Labs" xfId="106" builtinId="26" customBuiltin="1"/>
    <cellStyle name="Labs 2" xfId="27" xr:uid="{00000000-0005-0000-0000-000056000000}"/>
    <cellStyle name="Neitrāls" xfId="108" builtinId="28" customBuiltin="1"/>
    <cellStyle name="Neitrāls 2" xfId="219" xr:uid="{E6A96BF4-61AC-4D2C-811D-29F06C7D1AE5}"/>
    <cellStyle name="Neutral 2" xfId="176" xr:uid="{3B14C34B-77DA-4AF7-A04A-380F8ABDA04A}"/>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16" xfId="338" xr:uid="{A9AEFFD9-19C6-492D-80CC-92B62533031B}"/>
    <cellStyle name="Normal 17" xfId="339" xr:uid="{C80E5B2A-9567-4222-B247-41EA50EAE90D}"/>
    <cellStyle name="Normal 18" xfId="345" xr:uid="{DCCF1C3E-180C-4FA4-8014-054AAEF7C2C6}"/>
    <cellStyle name="Normal 19" xfId="354" xr:uid="{19029BA8-94E2-4F6D-9B0F-AC75D1C6FD04}"/>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3" xr:uid="{4E6C777C-44D1-4CA1-A5AB-B297299DD3F0}"/>
    <cellStyle name="Normal 2 2 3 2" xfId="351" xr:uid="{CDB092AD-4678-4DA7-B692-8F5469150626}"/>
    <cellStyle name="Normal 2 3" xfId="64" xr:uid="{00000000-0005-0000-0000-00005D000000}"/>
    <cellStyle name="Normal 2 4" xfId="167" xr:uid="{00000000-0005-0000-0000-00005E000000}"/>
    <cellStyle name="Normal 2 5" xfId="274" xr:uid="{700C907F-C361-4212-BDF9-43011535042A}"/>
    <cellStyle name="Normal 2 6" xfId="353" xr:uid="{317713BA-54D8-4B34-AAEA-DB1774D4541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2 3" xfId="333" xr:uid="{8A3427C7-D1FE-467B-A2F0-E532BFDE58AC}"/>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rmal 9 2 2" xfId="342" xr:uid="{DFD4CD40-CD05-447F-8511-8DCFD9AFDEDA}"/>
    <cellStyle name="Normal 9 2 2 2" xfId="350" xr:uid="{FB45D700-E899-4091-9A37-223BA843F996}"/>
    <cellStyle name="Nosaukums" xfId="101" builtinId="15" customBuiltin="1"/>
    <cellStyle name="Note 2" xfId="177" xr:uid="{AA97006D-4E69-4CC6-8481-354EBBA19CC9}"/>
    <cellStyle name="Note 3" xfId="215" xr:uid="{C0D84A79-D75B-4349-B990-6E2C649B60A1}"/>
    <cellStyle name="Note 4" xfId="253" xr:uid="{AF2C6C55-2CA7-4924-A4AC-240F6A75F761}"/>
    <cellStyle name="Parastais_Lapa2" xfId="40" xr:uid="{00000000-0005-0000-0000-00006D000000}"/>
    <cellStyle name="Parasts" xfId="0" builtinId="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xfId="357" xr:uid="{FE324583-936C-4050-9283-83FA3C22E73B}"/>
    <cellStyle name="Parasts 2 2 2 2 2 2" xfId="246" xr:uid="{AC96DA57-6BDC-46BB-80C2-D97C9371E98E}"/>
    <cellStyle name="Parasts 2 2 3" xfId="32" xr:uid="{00000000-0005-0000-0000-00007E000000}"/>
    <cellStyle name="Parasts 2 2 4" xfId="35" xr:uid="{00000000-0005-0000-0000-00007F000000}"/>
    <cellStyle name="Parasts 2 2 4 2" xfId="344"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0 5" xfId="332" xr:uid="{A06035B0-D00F-4E1C-B621-40568198CEA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4 2 6" xfId="341" xr:uid="{7669E774-1AE4-453B-976A-E864A4E3E4CE}"/>
    <cellStyle name="Parasts 3 5" xfId="163" xr:uid="{00000000-0005-0000-0000-00008D000000}"/>
    <cellStyle name="Parasts 3 6" xfId="331" xr:uid="{A4ED9927-E779-45D0-B085-45C116419499}"/>
    <cellStyle name="Parasts 30" xfId="329"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askaidrojošs teksts" xfId="115" builtinId="53" customBuiltin="1"/>
    <cellStyle name="Pārbaudes šūna" xfId="113" builtinId="23" customBuiltin="1"/>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xfId="2" builtinId="5"/>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aistīta šūna" xfId="112" builtinId="24" customBuiltin="1"/>
    <cellStyle name="Slikts" xfId="107" builtinId="27" customBuiltin="1"/>
    <cellStyle name="Style 1" xfId="169" xr:uid="{00000000-0005-0000-0000-0000AA000000}"/>
    <cellStyle name="TableStyleLight1" xfId="285" xr:uid="{564DE8A6-361E-4F9C-9BA7-769CB6522B45}"/>
    <cellStyle name="Tālruņa numurs" xfId="210" xr:uid="{B8C2BBA4-491B-4C8E-967C-8909EA0A9A6D}"/>
    <cellStyle name="Title 2" xfId="205" xr:uid="{F7EDA3B8-B2E2-476D-9C0C-F20AEF5341CE}"/>
    <cellStyle name="Valūta 2" xfId="21" xr:uid="{00000000-0005-0000-0000-0000AC000000}"/>
    <cellStyle name="Valūta 3" xfId="79" xr:uid="{00000000-0005-0000-0000-0000AD000000}"/>
    <cellStyle name="Valūta 4" xfId="242" xr:uid="{E97C5B63-0097-415C-A38C-0E0328028B59}"/>
    <cellStyle name="Virsraksts 1" xfId="102" builtinId="16" customBuiltin="1"/>
    <cellStyle name="Virsraksts 2" xfId="103" builtinId="17" customBuiltin="1"/>
    <cellStyle name="Virsraksts 2 2" xfId="85" xr:uid="{00000000-0005-0000-0000-0000B0000000}"/>
    <cellStyle name="Virsraksts 3" xfId="104" builtinId="18" customBuiltin="1"/>
    <cellStyle name="Virsraksts 4" xfId="105" builtinId="19" customBuiltin="1"/>
    <cellStyle name="Обычный_saulkrasti_tame" xfId="337" xr:uid="{25277645-674A-41C3-BDF5-EFCAFE6AE402}"/>
  </cellStyles>
  <dxfs count="1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color theme="1"/>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167" formatCode="_-* #,##0_-;\-* #,##0_-;_-* &quot;-&quot;??_-;_-@_-"/>
    </dxf>
    <dxf>
      <numFmt numFmtId="167" formatCode="_-* #,##0_-;\-* #,##0_-;_-* &quot;-&quot;??_-;_-@_-"/>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bgColor theme="7" tint="0.79998168889431442"/>
        </patternFill>
      </fill>
    </dxf>
    <dxf>
      <fill>
        <patternFill patternType="solid">
          <bgColor theme="7" tint="0.79998168889431442"/>
        </patternFill>
      </fill>
    </dxf>
    <dxf>
      <fill>
        <patternFill patternType="solid">
          <bgColor rgb="FFFFC000"/>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36"/>
      <tableStyleElement type="headerRow" dxfId="135"/>
      <tableStyleElement type="totalRow" dxfId="134"/>
      <tableStyleElement type="lastColumn" dxfId="133"/>
      <tableStyleElement type="lastTotalCell" dxfId="132"/>
    </tableStyle>
  </tableStyles>
  <colors>
    <mruColors>
      <color rgb="FF0FE3F9"/>
      <color rgb="FFFFC1C1"/>
      <color rgb="FF6CA644"/>
      <color rgb="FFFF8B8B"/>
      <color rgb="FFFFCC66"/>
      <color rgb="FF0FA8C1"/>
      <color rgb="FFFFFFCC"/>
      <color rgb="FF99FFCC"/>
      <color rgb="FFFFFF99"/>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Baiba Kanča" id="{1EB0768F-5385-43E3-BD9C-EE04ECCD3CA8}" userId="S::Baiba.Kanca@Adazi.lv::0db31ad2-e64c-43ed-ae3b-59cdaf422e1b"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rmīte Mūze" refreshedDate="46039.428220949078" createdVersion="8" refreshedVersion="8" minRefreshableVersion="3" recordCount="438" xr:uid="{69A4EC21-6DBA-4301-9974-EB1D2EC62F2F}">
  <cacheSource type="worksheet">
    <worksheetSource ref="A1:L439" sheet="Ieņēmumi"/>
  </cacheSource>
  <cacheFields count="12">
    <cacheField name=" " numFmtId="0">
      <sharedItems containsNonDate="0" containsString="0" containsBlank="1"/>
    </cacheField>
    <cacheField name="Funkcija" numFmtId="0">
      <sharedItems/>
    </cacheField>
    <cacheField name="Nodaļas kods" numFmtId="0">
      <sharedItems containsBlank="1" containsMixedTypes="1" containsNumber="1" minValue="1010" maxValue="1030"/>
    </cacheField>
    <cacheField name="Nodaļas nosaukums" numFmtId="0">
      <sharedItems containsBlank="1"/>
    </cacheField>
    <cacheField name="EKK" numFmtId="0">
      <sharedItems count="64">
        <s v="1.1.1.2."/>
        <s v="4.1.1.1."/>
        <s v="4.1.1.2."/>
        <s v="4.1.2.1."/>
        <s v="4.1.2.2."/>
        <s v="4.1.3.1."/>
        <s v="4.1.3.2."/>
        <s v="5.4.1.0."/>
        <s v="8.3.9.0."/>
        <s v="12.2.3.0."/>
        <s v="18.6.4.0."/>
        <s v="8.6.1.2."/>
        <s v="9.4.5.0."/>
        <s v="9.4.9.0."/>
        <s v="9.5.1.1."/>
        <s v="9.5.1.2."/>
        <s v="9.5.1.4."/>
        <s v="9.5.2.9."/>
        <s v="12.3.9.9."/>
        <s v="13.4.0.0."/>
        <s v="18.6.2.9."/>
        <s v="21.3.8.4."/>
        <s v="21.3.9.9.4."/>
        <s v="21.4.9.0.1."/>
        <s v="10.1.4.0."/>
        <s v="10.1.5.4."/>
        <s v="5.5.3.1."/>
        <s v="23.4.1.0."/>
        <s v="9.5.1.7."/>
        <s v="9.5.2.1."/>
        <s v="17.2.0.0."/>
        <s v="18.6.3.20."/>
        <s v="18.6.3.5."/>
        <s v="21.3.8.1."/>
        <s v="21.3.8.9."/>
        <s v="8.6.4.0."/>
        <s v="12.3.9.5."/>
        <s v="13.2.1.0."/>
        <s v="21.3.9.9.2."/>
        <s v="21.3.9.9.3."/>
        <s v="21.3.7.9."/>
        <s v="21.3.9.3."/>
        <s v="21.3.9.9.1."/>
        <s v="21.3.5.2."/>
        <s v="18.6.2.2."/>
        <s v="18.6.2.5."/>
        <s v="18.6.3.7."/>
        <s v="21.1.9.1."/>
        <s v="18.6.2.6.1."/>
        <s v="19.2.1.0."/>
        <s v="18.6.2.14."/>
        <s v="18.6.2.1."/>
        <s v="18.6.2.10."/>
        <s v="21.3.5.9."/>
        <s v="18.6.2.3."/>
        <s v="18.6.2.4."/>
        <s v="18.6.2.11."/>
        <s v="23.5.1.0."/>
        <s v="18.6.2.7."/>
        <s v="18.6.3.13."/>
        <s v="18.6.3.4."/>
        <s v="18.6.2.20."/>
        <s v="18.6.2.21."/>
        <s v="9.4.2.0."/>
      </sharedItems>
    </cacheField>
    <cacheField name="Nosaukums" numFmtId="0">
      <sharedItems containsBlank="1" count="201">
        <s v=" Saņemts no Valsts kases sadales konta pārskata gadā ieskaitītais iedzīvotāju ienākuma nodoklis"/>
        <s v="IIN"/>
        <s v="EUR 947'155 no IIN klasificējas kā IIN dotācijas, kas jāatspoguļo valsts budžeta transfertu sadaļā (10.p.) 18.6.4.0."/>
        <s v="Nekustamā īpašuma nodokļa par zemi kārtējā saimnieciskā gada ieņēmumi"/>
        <s v="Nekustamā īpašuma nodokļa par zemi iepriekšējo gadu parādi"/>
        <s v="Nekustamā īpašuma nodokļa par ēkām kārtējā gada maksājumi"/>
        <s v="Nekustamā īpašuma nodokļa par ēkām parādi par iepriekšējiem gadiem"/>
        <s v="Nekustamā īpašuma nodokļa par mājokļiem kārtējā saimnieciskā gada ieņēmumi"/>
        <s v="Nekustamā īpašuma nodokļa par mājokļiem parādi par iepriekšējiem gadiem"/>
        <s v="Azartspēļu nodoklis"/>
        <s v="Pārējie ieņēmumi no dividendēm (ieņēmumi no valsts (pašvaldību) kapitāla izmantošanas)"/>
        <m/>
        <s v="Ieņēmumi no ūdenstilpju un zvejas tiesību nomas un zvejas tiesību rūpnieciskas izmantošanas (licences)"/>
        <s v="EUR 952'269 no IIN klasificējas kā IIN dotācijas, kas jāatspoguļo valsts budžeta transfertu sadaļā (10.p.)"/>
        <s v="Pašvaldību budžeta procentu ieņēmumi par noguldījumiem depozītā kontos Valsts kasē vai kredītiestādēs"/>
        <s v="Valsts nodeva par civilstāvokļa aktu reģistrēšanu, grozīšanu un papildināšanu"/>
        <s v="Pārējās valsts nodevas, kuras ieskaita pašvaldību budžetā"/>
        <s v="Pašvaldības nodeva par domes izstrādāto oficiālo dokumentu un apliecinātu to kopiju saņemšanu"/>
        <s v="Pašvaldības nodeva par izklaidējoša rakstura pasākumu sarīkošanu publiskās vietās"/>
        <s v="Pašvaldības nodeva par tirdzniecību publiskās vietās"/>
        <s v="Pārējās nodevas, ko uzliek pašvaldības"/>
        <s v="Pārējie dažādi nenodokļu ieņēmumi, kas nav iepriekš klasificēti šajā klasifikācijā"/>
        <s v="Ieņēmumi no pašvaldību kustamā īpašuma un mantas realizācijas"/>
        <s v="Pagātnes dialogs ar tagadni - 10 EUR par grāmatu"/>
        <s v="Pārējās mērķdotācijas - investi"/>
        <s v="Latvijas Republikas Vides aizsardzības un reģionālās attīstības ministrija VB dotācija KAC uzturēšanai un publisko pakalpojumu sistēmas pilnveidei 2023 gadā, rīkojumam Nr. 1-2/72"/>
        <s v="Ieņēmumi par zemes nomu"/>
        <s v="Karuseļi (ATRAKCIJU AĢENTŪRA SIA) "/>
        <s v="Cirks"/>
        <s v="Tirgus organizēšana"/>
        <s v="Citi ieņēmumi - pārējie"/>
        <s v="Pakalpojumi dzimtsarakstu nodaļā"/>
        <s v="Citi iepriekš neklasificētie pašu ieņēmumi"/>
        <s v="Apdrošināšanas atlīdzība"/>
        <s v="Drošības nauda saraksta iesniegšanai Ādažu novada pašvaldību vēlēšanās"/>
        <s v="Centrālā vēlēšanu komisija Finansējums EP vēlēšanu nodrošināšanai, saskaņā ar Vienošanos Nr.CVK/2024/EPV-58"/>
        <s v="Naudas sodi, ko uzliek pašvaldības"/>
        <s v="Naudas sodi, ko uzliek pašvaldību institūcijas par pārkāpumiem ceļu satiksmē"/>
        <s v="Dalība Zivju fonda projektā par videonovērošanas kameru iegādi. Realizē pašvaldības policija."/>
        <s v="Autoceļu mērķdotācija"/>
        <s v="Dabas resursu nodoklis par dabas resursu ieguvi un vides piesārņošanu"/>
        <s v="Juridisku personu ziedojumi un dāvinājumi naudā"/>
        <s v="Pašvaldības nodeva par reklāmas, afišu un sludinājumu izvietošanu publiskās vietās"/>
        <s v="Pašvaldības nodeva par būvatļaujas saņemšanu"/>
        <s v="Būvvaldes dokumentu saņemšana"/>
        <s v="Pašvaldību saņemtie transferti no valsts budžeta daļēji finansētām atvasinātām publiskām personām un no budžeta nefinansētām iestādēm"/>
        <s v="Rīgas plānošanas reģions Saskaņā ar Vienošanos Nr. 5.3/2023/41. RPR Remigrācijas konkurss. Uzņēmējdarbības veicināšana"/>
        <s v="Uzņēmējdarbības veicināšana"/>
        <s v="Meža dienu projekts"/>
        <s v="Piekrastes apsaimniekošana"/>
        <s v="Pārējie saņemtie transferti ārvalstu finanšu projektiem"/>
        <s v="Projekts “Bioloģiskās daudzveidības saglabāšana un antropogēnās slodzes mazināšana Natura2000 teritorijās Ādažu novadā”"/>
        <s v="Multimodāls sabiedriskā transporta tīkls, 2. kārta” attīstot staciju “Gauja&quot;"/>
        <s v="Multimodāls sabiedriskā transporta tīkls, 2. kārta” attīstot staciju “Carnikava&quot;"/>
        <s v="Multimodāls sabiedriskā transporta tīkls, 2. kārta” attīstot staciju “Kalngale&quot;"/>
        <s v="Multimodāls sabiedriskā transporta tīkls, 2. kārta” attīstot staciju “Garupe&quot;"/>
        <s v="Multimodāls sabiedriskā transporta tīkls, 2. kārta” attīstot staciju “Lilaste&quot;"/>
        <s v="Multimodāls sabiedriskā transporta tīkls, 2. kārta” attīstot staciju “Garciems&quot;"/>
        <s v="Patvertņu pielāgošana un aprīkošana civiliem aizsardzības mērķiem"/>
        <s v="Krastupes ielas projekts"/>
        <s v="Publiskās ārtelpas izveide Gaujas ielā 31 Ādažos"/>
        <s v="Projekts “Infrastruktūras uzlabošana uzņēmējdarbības attīstībai Ādažos” 1.kārta"/>
        <s v="Projekts “Infrastruktūras uzlabošana uzņēmējdarbības attīstībai Ādažos” 2., 3.kārta"/>
        <s v="Ieņēmumi no citu Eiropas Savienības politiku instrumentu līdzfinansēto projektu un pasākumu īstenošanas un saņemtās ārvalstu finanšu palīdzības, kas nav Eiropas Savienības struktūrfondi"/>
        <s v="&quot;Blusu&quot; kroga pārbūves tehniskā projekta izstrāde"/>
        <s v="&quot;Sporta laukuma ierīkošana Garciemā&quot; LEADER"/>
        <s v=" &quot;Veloapkopes stenda ierīkošana Kadagā un Garkalnē&quot; LEADER"/>
        <s v="&quot;Garezeru apkārtnes biotopu saudzēšana veicinot koncentrētu gājēju plūsmas vadīšanu ar mērķi mazināt augsnes degradāciju&quot;"/>
        <s v="LIFE NewBauhaus projekts"/>
        <s v="&quot;Upesceļi II/Ūdenstūrisma pieejamības veicināšana (RiverwaysII/Facilitating access to watertourism activities)&quot;."/>
        <s v=" ”Mobilitātes punkta infrastruktūras izveidošana Rīgas metropoles areālā – “Carnikava””"/>
        <s v="Maģistrālā  veloceļa izbūve Rīga-Carnikava"/>
        <s v="EKII projekts noslēdzies, tiks ieskaitīts gala maksājums, kas jānovirza kredīta atmaksai"/>
        <s v=" Jaunais plūdu projekts - 2.1.3.2. &quot;Nacionālas nozīmes plūdu un krasta erozijas pasākumi&quot; 1.daļa"/>
        <s v="Ieņēmumi par telpu nomu"/>
        <s v="Latvijas Mobilais Telefons SIA Telpu noma un elektrību Gaujas ielā 33A (EUR86,08/mēn.)"/>
        <s v="Maxisushi SIA Telpu noma un komunālie pakalpojumi Ādažu Kultūrcentrā (EUR 605/mēn)"/>
        <s v="MM MEDICAL SIA Telpu noma Garā iela 20. Līgums JUR 2024-04/339. EUR 102,17/mēm"/>
        <s v="INDRĀNE MAIRA Telpu noma Garā iela 20. Līgums JUR 2023-04/399. EUR 89,68/mēm"/>
        <s v="Veinberga Zigrīda Telpu noma Garā iela 20. Līgums JUR 2023-04/398. EUR 285,46/mēm"/>
        <s v="ĀDAŽU GLĀBŠANAS DIENESTS SIA Telpu noma Gaujas ielā 16, Ādaži (227.01/mēn)"/>
        <s v="ĀDAŽU NAMSAIMNIEKS SIA Telpu noma Gaujas ielā 16, Ādaži Vienošanās JUR 2024-09/968 (EUR 793.61/mēn)"/>
        <s v="MARIO MM SIA Telpu noma Gaujas ielā 16. LīgumsJUR 2024-09/904 (119.79/mēn)"/>
        <s v="Nodrošinājuma valsts aģentūra Telpu noma, komunālie pakalpojumi, Gaujas 16, Ādaži. Vienošanās JUR 2023-05/604 (459.03/mēn)"/>
        <s v="Krasinskis Raimonds telpu noma Gaujas ielā 16. Līgums 2024-09/905 (53,24/mēn)"/>
        <s v="ĻAUNU SIRŽU MĪKSTINĀTĀJA ĀDAŽU VISSVĒTĀS DIEVMĀTES IKONAS PAREIZTICĪGO DRAUDZE Telpu noma Gaujas ielā 16. Līgums JUR 2024-09/903 (53,24/mēn)"/>
        <s v="ĀDAŽU ŪDENS SIA . Telpu noma Gaujas ielā 16. Vienošanās JUR 2024-09/946 (676.81/mēn.)"/>
        <s v="VEINBERGA ZIGRĪDA Telpu noma Garā iela 20, Carnikava. Līgums JUR 2023-04/398 (113.96/mēn.)"/>
        <s v="LIEPZIEDI ĀRSTA PRAKSE SIA  Telpu noma Garā iela 20, Carnikava. Līgums JUR JUR 2023-08/882 (259.44/mēn.)"/>
        <s v="INDRĀNE MAIRA Telpu noma Garā iela 20, Carnikava. Līgums JUR 2023-04/399 (304.53/ mēn.)"/>
        <s v="E.GULBJA LABORATORIJA SIA Telpu noma Garā iela 20, Carnikava. Līgums JUR 2023-05/640 (260.45/mēn.)"/>
        <s v="MM MEDICAL SIA Telpu noma Garā iela 20, Carnikava. Līgums JUR 2024-04/339 (258,42/mēn"/>
        <s v="GRAND JETE BIEDRĪBA  Telpu noma Gaujas ielā 16. Līgums JUR 2024-08/771 (Vienošanās JUR 2025-05/587)"/>
        <s v="DZINTARS ROŽKALNS Telpu noma Gaujas ielā 16, Nomas Līgums JUR 2025-08/865, EUR 59,90/mēn"/>
        <s v="Aprūpe dzīvesvietā SIA Telpu noma Garā ielā 20, Carnikavā. Līgums JUR 2025-02/100 (110,35/mēn)"/>
        <s v="Citi"/>
        <s v="Pārējie ieņēmumi par nomu un īri"/>
        <s v="ĀDAŽU SLIMNĪCA PSIA Ģeneratora noma noma. Līgums JUR 2022-01/94. Līdz 31.12.2026. EUR 15+PVN/mēn"/>
        <s v="ROPAŽU NOVADA PAŠVALDĪBA Līdzfinansējums Baltezera kapu apsaimniekošanai 2025.gadam. Par sadarbību ar Ropažu novada pašvaldību; Līgums JUR 2021-02/126 un vienošanās JUR 2025-04/339"/>
        <s v="Procentu ieņēmumi par atlikto maksājumu no vēl nesamaksātās pirkuma maksas daļas un pārējie procentu maksājumi, kas nav klasificēti citur"/>
        <s v="Baltic Bearing Company-Riga, SIA 5.maksājums saskaņā ar pirkuma  līgumu Nr.02-14.6/21/138 Procentu maksājumi par nekustamo īpašumu Sintēzes iela 2, Mežgarciems, Carnikavas pagasts, Ādažu novads_x000a_Zemes vienības kadastra apzīmējums 8052 008 1472._x000a_Pirk"/>
        <s v="Līgumsodi un procentu maksājumi par saistību neizpildi"/>
        <s v="Nodrošinājuma maksas par izsolēm"/>
        <s v="Ieņēmumi no zemes īpašuma pārdošanas"/>
        <s v="AM FOOD telpu noma Lilastē pie jūras kafeinīcai (9 mēn/gadā)"/>
        <s v="BALTENEKO SIA Telpu noma Kadagas katlu mājā. Līgums JUR 2020-08/636"/>
        <s v="Latvijas Pasts VAS Telpu noma Stacijas ielā, Carnikava (63,86/mēn)"/>
        <s v="Korekcija pret ielikto budžetā"/>
        <s v="Baseins, zāles, futbola laukums Rožu ielā, stadions."/>
        <s v="Citi ieņēmumi - baseins, florbols, futbols, džudo, basketbols, volejbols u.c."/>
        <s v="Citi ieņēmumi - sports (dalības maksas)"/>
        <s v="Ieņēmumi par pārējo dokumentu izsniegšanu un pārējiem kancelejas pakalpojumiem"/>
        <s v="Par printēšanas un kopēšanas pakalpojumiem"/>
        <s v="dotācija māksliniecisko kolektīvu vadītāju atalgojumam"/>
        <s v="BIĻEŠU PARADĪZE SIA Rēķ: R24.0585 52.03. Telpu noma Ādažu K/c. Līgums JUR 2022-12/1382"/>
        <s v="Ieņēmumi par biļešu realizāciju"/>
        <s v="BIĻEŠU PARADĪZE SIA. Par sadarbību kultūras pasākuma organizēšanā"/>
        <s v="Citi ieņēmumi suvenīri"/>
        <s v="Ieņēmumi no vecāku maksām"/>
        <s v="Samazinājums, atceļot peldētapmācības pulciņu maksu"/>
        <s v="Ieturētais no ēdinātāja par ūdeni un kanalizāciju"/>
        <s v="Pašv.izgl.iest. 5 un 6 gad.apm"/>
        <s v="Mācību grāmatu iegāde"/>
        <s v="Grants jaunas pirmskolas izglītības iestādes būvniecībai"/>
        <s v="Izglītības iestāžu nodrošinājums pilnveidotā vispārējās izglītības satura kvalitatīvai ieviešanai Ādažu novadā"/>
        <s v="Baseina pakalpojumi"/>
        <s v="Valsts izglītības attīstības aģentūra &quot;Atbalsts Ukrainas un Latvijas bērnu un jauniešu nometnēm&quot;"/>
        <s v="Valsts izglītības attīstības aģentūras finansējums EUR 5'643 dalībai projektā “Neformālās izglītības pasākumi, t.sk., latviešu valodas apguve, Ukrainas bērniem un jauniešiem”"/>
        <s v="EUR 2'193 pedagogu profesionālās kompetences pilnveidei, vardarbības novēršanai un labbūtībasveicināšanai izglītības vidē."/>
        <s v="Erasmus +"/>
        <s v="Valsts izglītības attīstības aģentūra Līg.Nr.2021-1-LV01-KA122-SCH-000014123, Carnikavas psk. noslēg. maks., Mācību mobilitātes skolu sektorā"/>
        <s v="ERASMUS programmas projekts &quot;Nacionālie koordinatori dalības pieaugušo izglītībā veicināšanai Latvijā&quot; (realizē Izglītības nodaļa)."/>
        <s v="Izglītības licences"/>
        <s v="Bezdarbnieku atlīdzība , koord. darba samaksa"/>
        <s v="Projekts Digitālā darba ar jaunatni sistēmas attīstība pašvaldībā"/>
        <s v="EUR 30'428 projekta “Digitālā darba ar jaunatni sistēmas attīstība pašvaldībās” ārfinansējums (0932)."/>
        <s v="Apstiprināts projekts Pedagogu profesionālā atbalsta sistēmas izveidei. Precizēts finansējums 35'581 un no pašvaldības nepieciešams 20% avanss (EUR 8'896), ko atgūsim, noslēdzoties projektam"/>
        <s v="Projektā &quot;Pedagogu profesionālā atbalsta sistēmas izveide&quot; paredzēti papildus līdzekļi mācību literatūras iegādei. 2025.gadā EUR 14'838 (realizē Izglītības nodaļa)"/>
        <s v="Projekts Atbalsts jaunatnes politikas īstenošanai vietējā līmenī"/>
        <s v="Dalība konkursā &quot;Atbalsts jaunatnes politikas īstenošanai vietējā līmenī&quot; - ārfinansējums EUR 8'781"/>
        <s v="Projekts Skola- kopienā  "/>
        <s v="Dalība ESF projektu konkursā “Skola – kopienā”. Plānots ienākošais finansējums EUR 38'003"/>
        <s v=" &quot;Bērnu un jauniešu centra izveide Ādažos&quot;. "/>
        <s v="Ieņēmumi izglītības funkciju nodrošināšanai"/>
        <s v="Atkārtotu e-talonu izsniegšana"/>
        <s v="Latvijas skolas soma"/>
        <s v="Valsts kase-skolotāju algas"/>
        <s v="MD"/>
        <s v="MD mazākumtautībām"/>
        <s v="Vidusskolas brīvpusdienu nodrošināšanai"/>
        <s v="MD skola"/>
        <s v="MD privātajiem"/>
        <s v="Koriģēts interešu izgl. finansējums saskaņā ar 30.01. rīkojumu"/>
        <s v="Koriģēts interešu izgl. finansējums saskaņā ar 30.01. rīkojumu (privātajiem pakalpojuma sniedzējiem)"/>
        <s v="Ieņēmumi no citu Eiropas Savienības politiku instrumentu līdzfinansēto projektu un pasākumu īstenošanas, kas nav Eiropas strukturālie un investīciju fondi, un citu valstu finanšu palīdzības programmu īstenošanas"/>
        <s v="Erasmus + projekti"/>
        <s v="VALSTS KULTŪRKAPITĀLA FONDS Līgums Nr. 2023-2TEM039, 20.07.2023."/>
        <s v="Pārējie ieņēmumi par izglītības pakalpojumiem"/>
        <s v="COFFEE ADDRESS. SIA Nr. Telpu noma Ādažu MMS un Ādažu Sporta centrā. Līgums JUR 2019-08/641. EUR 170+PVN/mēn*9"/>
        <s v="Par dalību konkursos"/>
        <s v="MMS pedagogu darba samaksa"/>
        <s v="Precizēts mērķdotācijas apjoms sept.- dec."/>
        <s v="Līdzmaksājums nometnēm"/>
        <s v="Pierīgas BJSS"/>
        <s v="Valdorfa skolas interešu izglītība"/>
        <s v="Valsts kase-skolotāju algas - interešu izglītība"/>
        <s v="Valdorfa skolas brīvpusdienu nodrošināšanai"/>
        <s v="Fizisku personu ziedojumi un dāvinājumi naudā"/>
        <s v="Carnikavas vsk. priekšfinansējuma maks., Mācību mobilitātes skolu sektorā Erasmus +"/>
        <s v="Projekts &quot;Nordplus Junior&quot; Carnikava pamatskola"/>
        <s v="EUR 17'940 NordPlus projekts Carnikavas vsk."/>
        <s v="Apstiprināts valsts finansējums dziesmu un deju svētku dalībnieku ēdināšanai EUR 16'359"/>
        <s v="Pārējās mērķdotācijas - investi "/>
        <s v="Vardarbībā cietušo rehabilitācijas pakalpojums"/>
        <s v="Atbalsta pasākumi pilngadību sasniegušam bērnam"/>
        <s v="Nodrošinātajiem sociāliem pakalpojumiem dzīvesvietā. Dienas aprūpes centri citā pašvaldībā (EKK 6419)."/>
        <s v="GMI Dzīvokļa pabalsti natūrā 30 % kompensē LM"/>
        <s v="GMI 30 % kompensē LM"/>
        <s v="Dzīvokļa pabalsti naudā (30% dotācija no LM 18000 EUR)"/>
        <s v="LM kompensācija par supervīzijām. ESF projekts Nr. 9.2.1.1/15/I/001."/>
        <s v="Budžeta iestāžu maksas pakalpojumi"/>
        <s v="Līdzfinansējumi aprūpes namos"/>
        <s v="Aprūpes mājās pakalpojumam bērniem MD (50%)"/>
        <s v="MD audžuģimenēm"/>
        <s v="Projekts &quot;Labklājības nozares un pašvaldību sociālās sfēras platformas &quot;DigiSoc&quot; izstrāde un ieviešana"/>
        <s v="Asistenta pakalpojumu nodrošināšanai "/>
        <s v="Asistenta pakalpojumu nodrošināšanai"/>
        <s v="Pasākumi vietējās sabiedrības veselības veicināšanai/ SAM 9.2.4.2."/>
        <s v="Projekts &quot;Pasākumi vietējās sabiedrības veselības veicināšanai&quot;/ SAM 9.2.4.2. Ādaži"/>
        <s v="Labklājības ministrija par dienas centra personām ar garīga rakstura traucējumiem"/>
        <s v="Citi ieņēmumi - pārējie "/>
        <s v="Deinstitucionalizācijas pakalpojumi"/>
        <s v="Deinstitucionalizācijas projekts"/>
        <s v="Ukrainas civiliedzīvotāju mērķdotācija"/>
        <s v="Energoresursu atbalsts mērķdotācija"/>
        <s v="Valsts nodeva par apliecinājumiem un citu funkciju pildīšanu bāriņtiesās"/>
        <s v="EUR 952'269 no IIN klasificējas kā IIN dotācijas, kas jāatspoguļo valsts budžeta transfertu sadaļā (10.p.) 18.6.4.0." u="1"/>
        <s v="Projekts “Infrastruktūras uzlabošana uzņēmējdarbības attīstībai Ādažos”" u="1"/>
        <s v=" &quot;Bērnu un jauniešu centra izveide Ādažos&quot;. Komentārs budžetā ir, bet skaitlis nav ielikts (korekcija)" u="1"/>
        <s v="Nodrošinātajiem sociāliem pakalpojumiem dzīvesvietā. Dienas aprūpes centri citā pašvaldībā." u="1"/>
        <s v="GMI Mājokļa pabalsts 30 % kompensē LM" u="1"/>
      </sharedItems>
    </cacheField>
    <cacheField name=" 2025.gada plāns EUR " numFmtId="167">
      <sharedItems containsString="0" containsBlank="1" containsNumber="1" minValue="0" maxValue="38486849"/>
    </cacheField>
    <cacheField name=" 2025.gada plāns/ detaļas " numFmtId="167">
      <sharedItems containsString="0" containsBlank="1" containsNumber="1" minValue="-952269" maxValue="39439118"/>
    </cacheField>
    <cacheField name=" Faktiskā izpilde 05.11." numFmtId="167">
      <sharedItems containsString="0" containsBlank="1" containsNumber="1" minValue="0" maxValue="25112671.969999999"/>
    </cacheField>
    <cacheField name=" V " numFmtId="167">
      <sharedItems containsNonDate="0" containsString="0" containsBlank="1"/>
    </cacheField>
    <cacheField name=" 2026.gada plāns EUR " numFmtId="167">
      <sharedItems containsString="0" containsBlank="1" containsNumber="1" minValue="0" maxValue="41652563"/>
    </cacheField>
    <cacheField name=" 2026.gada plāns/ detaļas " numFmtId="167">
      <sharedItems containsString="0" containsBlank="1" containsNumber="1" minValue="-947155" maxValue="4259971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8">
  <r>
    <m/>
    <s v="Bāze"/>
    <s v="0100"/>
    <s v="0100 Dome"/>
    <x v="0"/>
    <x v="0"/>
    <n v="38486849"/>
    <m/>
    <n v="25112671.969999999"/>
    <m/>
    <n v="41652563"/>
    <m/>
  </r>
  <r>
    <m/>
    <s v="Bāze"/>
    <m/>
    <s v="0100 Dome"/>
    <x v="0"/>
    <x v="1"/>
    <m/>
    <n v="39439118"/>
    <m/>
    <m/>
    <m/>
    <n v="42599718"/>
  </r>
  <r>
    <m/>
    <s v="Bāze"/>
    <m/>
    <s v="0100 Dome"/>
    <x v="0"/>
    <x v="2"/>
    <m/>
    <n v="-952269"/>
    <m/>
    <m/>
    <m/>
    <n v="-947155"/>
  </r>
  <r>
    <m/>
    <s v="Bāze"/>
    <s v="0100"/>
    <s v="0100 Dome"/>
    <x v="1"/>
    <x v="3"/>
    <n v="1945625.2941176472"/>
    <m/>
    <n v="1802710.67"/>
    <m/>
    <n v="1945590.9982352939"/>
    <m/>
  </r>
  <r>
    <m/>
    <s v="Bāze"/>
    <m/>
    <s v="0100 Dome"/>
    <x v="1"/>
    <x v="3"/>
    <m/>
    <n v="1945625.2941176472"/>
    <m/>
    <m/>
    <m/>
    <n v="1945590.9982352939"/>
  </r>
  <r>
    <m/>
    <s v="Bāze"/>
    <s v="0100"/>
    <s v="0100 Dome"/>
    <x v="2"/>
    <x v="4"/>
    <n v="137000"/>
    <m/>
    <n v="60745"/>
    <m/>
    <n v="101202"/>
    <m/>
  </r>
  <r>
    <m/>
    <s v="Bāze"/>
    <m/>
    <s v="0100 Dome"/>
    <x v="2"/>
    <x v="4"/>
    <m/>
    <n v="137000"/>
    <m/>
    <m/>
    <m/>
    <n v="101202"/>
  </r>
  <r>
    <m/>
    <s v="Bāze"/>
    <s v="0100"/>
    <s v="0100 Dome"/>
    <x v="3"/>
    <x v="5"/>
    <n v="362227.76470588235"/>
    <m/>
    <n v="477669.31"/>
    <m/>
    <n v="392303.99941176467"/>
    <m/>
  </r>
  <r>
    <m/>
    <s v="Bāze"/>
    <m/>
    <s v="0100 Dome"/>
    <x v="3"/>
    <x v="5"/>
    <m/>
    <n v="362227.76470588235"/>
    <m/>
    <m/>
    <m/>
    <n v="392303.99941176467"/>
  </r>
  <r>
    <m/>
    <s v="Bāze"/>
    <s v="0100"/>
    <s v="0100 Dome"/>
    <x v="4"/>
    <x v="6"/>
    <n v="30000"/>
    <m/>
    <n v="22262.53"/>
    <m/>
    <n v="54624"/>
    <m/>
  </r>
  <r>
    <m/>
    <s v="Bāze"/>
    <m/>
    <s v="0100 Dome"/>
    <x v="4"/>
    <x v="6"/>
    <m/>
    <n v="30000"/>
    <m/>
    <m/>
    <m/>
    <n v="54624"/>
  </r>
  <r>
    <m/>
    <s v="Bāze"/>
    <s v="0100"/>
    <s v="0100 Dome"/>
    <x v="5"/>
    <x v="7"/>
    <n v="665898.5294117647"/>
    <m/>
    <n v="655938.93999999994"/>
    <m/>
    <n v="670098.99529411772"/>
    <m/>
  </r>
  <r>
    <m/>
    <s v="Bāze"/>
    <m/>
    <s v="0100 Dome"/>
    <x v="5"/>
    <x v="7"/>
    <m/>
    <n v="665898.5294117647"/>
    <m/>
    <m/>
    <m/>
    <n v="670098.99529411772"/>
  </r>
  <r>
    <m/>
    <s v="Bāze"/>
    <s v="0100"/>
    <s v="0100 Dome"/>
    <x v="6"/>
    <x v="8"/>
    <n v="70588"/>
    <m/>
    <n v="29025.3"/>
    <m/>
    <n v="60185"/>
    <m/>
  </r>
  <r>
    <m/>
    <s v="Bāze"/>
    <m/>
    <s v="0100 Dome"/>
    <x v="6"/>
    <x v="8"/>
    <m/>
    <n v="70588"/>
    <m/>
    <m/>
    <m/>
    <n v="60185"/>
  </r>
  <r>
    <m/>
    <s v="Bāze"/>
    <s v="0100"/>
    <s v="0100 Dome"/>
    <x v="7"/>
    <x v="9"/>
    <n v="5000"/>
    <m/>
    <n v="4808.1000000000004"/>
    <m/>
    <n v="5000"/>
    <m/>
  </r>
  <r>
    <m/>
    <s v="Bāze"/>
    <m/>
    <s v="0100 Dome"/>
    <x v="7"/>
    <x v="9"/>
    <m/>
    <n v="5000"/>
    <m/>
    <m/>
    <m/>
    <n v="5000"/>
  </r>
  <r>
    <m/>
    <s v="Bāze"/>
    <s v="0100"/>
    <s v="0100 Dome"/>
    <x v="8"/>
    <x v="10"/>
    <n v="0"/>
    <m/>
    <m/>
    <m/>
    <n v="0"/>
    <m/>
  </r>
  <r>
    <m/>
    <s v="Bāze"/>
    <m/>
    <s v="0100 Dome"/>
    <x v="8"/>
    <x v="11"/>
    <m/>
    <m/>
    <m/>
    <m/>
    <m/>
    <m/>
  </r>
  <r>
    <m/>
    <s v="Bāze"/>
    <s v="0100"/>
    <s v="0100 Dome"/>
    <x v="9"/>
    <x v="12"/>
    <n v="10000"/>
    <m/>
    <n v="8495.74"/>
    <m/>
    <n v="10000"/>
    <m/>
  </r>
  <r>
    <m/>
    <s v="Bāze"/>
    <m/>
    <s v="0100 Dome"/>
    <x v="9"/>
    <x v="12"/>
    <m/>
    <n v="10000"/>
    <m/>
    <m/>
    <m/>
    <n v="10000"/>
  </r>
  <r>
    <m/>
    <s v="Bāze"/>
    <s v="0100"/>
    <s v="0100 Dome"/>
    <x v="10"/>
    <x v="11"/>
    <n v="952269"/>
    <m/>
    <n v="634484"/>
    <m/>
    <n v="947155"/>
    <m/>
  </r>
  <r>
    <m/>
    <s v="Bāze"/>
    <m/>
    <s v="0100 Dome"/>
    <x v="10"/>
    <x v="13"/>
    <m/>
    <n v="952269"/>
    <m/>
    <m/>
    <m/>
    <n v="947155"/>
  </r>
  <r>
    <m/>
    <s v="Bāze"/>
    <s v="0110"/>
    <s v="0110 Pārvalde"/>
    <x v="11"/>
    <x v="14"/>
    <n v="20000"/>
    <m/>
    <n v="22228"/>
    <m/>
    <n v="23000"/>
    <m/>
  </r>
  <r>
    <m/>
    <s v="Bāze"/>
    <m/>
    <s v="0110 Pārvalde"/>
    <x v="11"/>
    <x v="14"/>
    <m/>
    <n v="20000"/>
    <m/>
    <m/>
    <m/>
    <n v="23000"/>
  </r>
  <r>
    <m/>
    <s v="Bāze"/>
    <s v="0110"/>
    <s v="0110 Pārvalde"/>
    <x v="12"/>
    <x v="15"/>
    <n v="4500"/>
    <m/>
    <n v="2880"/>
    <m/>
    <n v="4500"/>
    <m/>
  </r>
  <r>
    <m/>
    <s v="Bāze"/>
    <m/>
    <s v="0110 Pārvalde"/>
    <x v="12"/>
    <x v="15"/>
    <m/>
    <n v="4500"/>
    <m/>
    <m/>
    <m/>
    <n v="4500"/>
  </r>
  <r>
    <m/>
    <s v="Bāze"/>
    <s v="0110"/>
    <s v="0110 Pārvalde"/>
    <x v="13"/>
    <x v="16"/>
    <n v="500"/>
    <m/>
    <n v="184"/>
    <m/>
    <n v="500"/>
    <m/>
  </r>
  <r>
    <m/>
    <s v="Bāze"/>
    <m/>
    <s v="0110 Pārvalde"/>
    <x v="13"/>
    <x v="16"/>
    <m/>
    <n v="500"/>
    <m/>
    <m/>
    <m/>
    <n v="500"/>
  </r>
  <r>
    <m/>
    <s v="Bāze"/>
    <s v="0110"/>
    <s v="0110 Pārvalde"/>
    <x v="14"/>
    <x v="17"/>
    <n v="100"/>
    <m/>
    <n v="35"/>
    <m/>
    <n v="100"/>
    <m/>
  </r>
  <r>
    <m/>
    <s v="Bāze"/>
    <m/>
    <s v="0110 Pārvalde"/>
    <x v="14"/>
    <x v="17"/>
    <m/>
    <n v="100"/>
    <m/>
    <m/>
    <m/>
    <n v="100"/>
  </r>
  <r>
    <m/>
    <s v="Bāze"/>
    <s v="0110"/>
    <s v="0110 Pārvalde"/>
    <x v="15"/>
    <x v="18"/>
    <n v="1600"/>
    <m/>
    <n v="2117"/>
    <m/>
    <n v="4000"/>
    <m/>
  </r>
  <r>
    <m/>
    <s v="Bāze"/>
    <m/>
    <s v="0110 Pārvalde"/>
    <x v="15"/>
    <x v="18"/>
    <m/>
    <n v="1600"/>
    <m/>
    <m/>
    <m/>
    <n v="4000"/>
  </r>
  <r>
    <m/>
    <s v="Bāze"/>
    <s v="0110"/>
    <s v="0110 Pārvalde"/>
    <x v="16"/>
    <x v="19"/>
    <n v="10000"/>
    <m/>
    <n v="10693"/>
    <m/>
    <n v="14000"/>
    <m/>
  </r>
  <r>
    <m/>
    <s v="Bāze"/>
    <m/>
    <s v="0110 Pārvalde"/>
    <x v="16"/>
    <x v="19"/>
    <m/>
    <n v="10000"/>
    <m/>
    <m/>
    <m/>
    <n v="14000"/>
  </r>
  <r>
    <m/>
    <s v="Bāze"/>
    <s v="0110"/>
    <s v="0110 Pārvalde"/>
    <x v="17"/>
    <x v="20"/>
    <n v="4500"/>
    <m/>
    <n v="1819"/>
    <m/>
    <n v="4500"/>
    <m/>
  </r>
  <r>
    <m/>
    <s v="Bāze"/>
    <m/>
    <s v="0110 Pārvalde"/>
    <x v="17"/>
    <x v="20"/>
    <m/>
    <n v="4500"/>
    <m/>
    <m/>
    <m/>
    <n v="4500"/>
  </r>
  <r>
    <m/>
    <s v="Bāze"/>
    <s v="0110"/>
    <s v="0110 Pārvalde"/>
    <x v="18"/>
    <x v="21"/>
    <n v="0"/>
    <m/>
    <n v="6075"/>
    <m/>
    <n v="0"/>
    <m/>
  </r>
  <r>
    <m/>
    <s v="Bāze"/>
    <m/>
    <s v="0110 Pārvalde"/>
    <x v="18"/>
    <x v="11"/>
    <m/>
    <n v="0"/>
    <m/>
    <m/>
    <m/>
    <n v="0"/>
  </r>
  <r>
    <m/>
    <s v="Bāze"/>
    <s v="0110"/>
    <s v="0110 Pārvalde"/>
    <x v="19"/>
    <x v="22"/>
    <n v="0"/>
    <m/>
    <n v="21.96"/>
    <m/>
    <n v="0"/>
    <m/>
  </r>
  <r>
    <m/>
    <s v="Bāze"/>
    <m/>
    <s v="0110 Pārvalde"/>
    <x v="19"/>
    <x v="23"/>
    <m/>
    <m/>
    <m/>
    <m/>
    <m/>
    <m/>
  </r>
  <r>
    <m/>
    <s v="Mērķdotācija"/>
    <s v="0110"/>
    <s v="0110 Pārvalde"/>
    <x v="20"/>
    <x v="24"/>
    <n v="0"/>
    <m/>
    <n v="4568"/>
    <m/>
    <n v="0"/>
    <m/>
  </r>
  <r>
    <m/>
    <s v="Mērķdotācija"/>
    <m/>
    <s v="0110 Pārvalde"/>
    <x v="20"/>
    <x v="25"/>
    <m/>
    <n v="0"/>
    <m/>
    <m/>
    <m/>
    <n v="0"/>
  </r>
  <r>
    <m/>
    <s v="Bāze"/>
    <s v="0110"/>
    <s v="0110 Pārvalde"/>
    <x v="21"/>
    <x v="26"/>
    <n v="0"/>
    <m/>
    <n v="6651"/>
    <m/>
    <n v="6000"/>
    <m/>
  </r>
  <r>
    <m/>
    <s v="Bāze"/>
    <m/>
    <s v="0110 Pārvalde"/>
    <x v="21"/>
    <x v="27"/>
    <m/>
    <m/>
    <m/>
    <m/>
    <m/>
    <n v="1250"/>
  </r>
  <r>
    <m/>
    <s v="Bāze"/>
    <m/>
    <s v="0110 Pārvalde"/>
    <x v="21"/>
    <x v="28"/>
    <m/>
    <m/>
    <m/>
    <m/>
    <m/>
    <n v="1700"/>
  </r>
  <r>
    <m/>
    <s v="Bāze"/>
    <m/>
    <s v="0110 Pārvalde"/>
    <x v="21"/>
    <x v="29"/>
    <m/>
    <m/>
    <m/>
    <m/>
    <m/>
    <n v="3050"/>
  </r>
  <r>
    <m/>
    <s v="Bāze"/>
    <s v="0110"/>
    <s v="0110 Pārvalde"/>
    <x v="22"/>
    <x v="30"/>
    <n v="15000"/>
    <m/>
    <n v="8581.27"/>
    <m/>
    <n v="11000"/>
    <m/>
  </r>
  <r>
    <m/>
    <s v="Bāze"/>
    <m/>
    <s v="0110 Pārvalde"/>
    <x v="22"/>
    <x v="31"/>
    <m/>
    <n v="15000"/>
    <m/>
    <m/>
    <m/>
    <n v="11000"/>
  </r>
  <r>
    <m/>
    <s v="Bāze"/>
    <s v="0110"/>
    <s v="0110 Pārvalde"/>
    <x v="23"/>
    <x v="32"/>
    <n v="0"/>
    <m/>
    <n v="8.4700000000000006"/>
    <m/>
    <n v="0"/>
    <m/>
  </r>
  <r>
    <m/>
    <s v="Bāze"/>
    <m/>
    <s v="0110 Pārvalde"/>
    <x v="23"/>
    <x v="33"/>
    <m/>
    <n v="0"/>
    <m/>
    <m/>
    <m/>
    <n v="0"/>
  </r>
  <r>
    <m/>
    <s v="Mērķdotācija"/>
    <s v="0120"/>
    <s v="0120 Vēlēšanu komisija"/>
    <x v="18"/>
    <x v="21"/>
    <n v="0"/>
    <m/>
    <n v="1800"/>
    <m/>
    <n v="0"/>
    <m/>
  </r>
  <r>
    <m/>
    <s v="Mērķdotācija"/>
    <m/>
    <s v="0120 Vēlēšanu komisija"/>
    <x v="18"/>
    <x v="34"/>
    <m/>
    <n v="0"/>
    <m/>
    <m/>
    <m/>
    <m/>
  </r>
  <r>
    <m/>
    <s v="Mērķdotācija"/>
    <s v="0120"/>
    <s v="0120 Vēlēšanu komisija"/>
    <x v="20"/>
    <x v="24"/>
    <n v="0"/>
    <m/>
    <n v="0"/>
    <m/>
    <n v="88984"/>
    <m/>
  </r>
  <r>
    <m/>
    <s v="Mērķdotācija"/>
    <m/>
    <s v="0120 Vēlēšanu komisija"/>
    <x v="20"/>
    <x v="35"/>
    <m/>
    <n v="0"/>
    <m/>
    <m/>
    <m/>
    <n v="88984"/>
  </r>
  <r>
    <m/>
    <s v="Bāze"/>
    <s v="0130"/>
    <s v="0130 Administratīvā komisija"/>
    <x v="24"/>
    <x v="36"/>
    <n v="85000"/>
    <m/>
    <n v="88800.62"/>
    <m/>
    <n v="85000"/>
    <m/>
  </r>
  <r>
    <m/>
    <s v="Bāze"/>
    <m/>
    <s v="0130 Administratīvā komisija"/>
    <x v="24"/>
    <x v="11"/>
    <m/>
    <n v="85000"/>
    <m/>
    <m/>
    <m/>
    <n v="85000"/>
  </r>
  <r>
    <m/>
    <s v="Bāze"/>
    <s v="0340"/>
    <s v="0340 Pašvaldības policija"/>
    <x v="24"/>
    <x v="36"/>
    <n v="5000"/>
    <m/>
    <n v="6840.48"/>
    <m/>
    <n v="5000"/>
    <m/>
  </r>
  <r>
    <m/>
    <s v="Bāze"/>
    <m/>
    <s v="0340 Pašvaldības policija"/>
    <x v="24"/>
    <x v="11"/>
    <m/>
    <n v="5000"/>
    <m/>
    <m/>
    <m/>
    <n v="5000"/>
  </r>
  <r>
    <m/>
    <s v="Bāze"/>
    <s v="0340"/>
    <s v="0340 Pašvaldības policija"/>
    <x v="25"/>
    <x v="37"/>
    <n v="40000"/>
    <m/>
    <n v="28197"/>
    <m/>
    <n v="40000"/>
    <m/>
  </r>
  <r>
    <m/>
    <s v="Bāze"/>
    <m/>
    <s v="0340 Pašvaldības policija"/>
    <x v="25"/>
    <x v="11"/>
    <m/>
    <n v="40000"/>
    <m/>
    <m/>
    <m/>
    <n v="40000"/>
  </r>
  <r>
    <m/>
    <s v="Mērķdotācija"/>
    <s v="0340"/>
    <s v="0340 Pašvaldības policija"/>
    <x v="20"/>
    <x v="24"/>
    <n v="15586"/>
    <m/>
    <n v="15151.85"/>
    <m/>
    <n v="0"/>
    <m/>
  </r>
  <r>
    <m/>
    <s v="Mērķdotācija"/>
    <m/>
    <s v="0340 Pašvaldības policija"/>
    <x v="20"/>
    <x v="38"/>
    <m/>
    <n v="15586"/>
    <m/>
    <m/>
    <m/>
    <m/>
  </r>
  <r>
    <m/>
    <s v="Mērķdotācija"/>
    <s v="0420"/>
    <s v="0420 Autoceļu dotācijas izlietojums"/>
    <x v="20"/>
    <x v="24"/>
    <n v="406576"/>
    <m/>
    <n v="306325.88"/>
    <m/>
    <n v="406576"/>
    <m/>
  </r>
  <r>
    <m/>
    <s v="Mērķdotācija"/>
    <m/>
    <s v="0420 Autoceļu dotācijas izlietojums"/>
    <x v="20"/>
    <x v="39"/>
    <m/>
    <n v="406576"/>
    <m/>
    <m/>
    <m/>
    <n v="406576"/>
  </r>
  <r>
    <m/>
    <s v="Mērķdotācija"/>
    <s v="0510"/>
    <s v="0510 Dabas resursa nodokļa izlietojums"/>
    <x v="26"/>
    <x v="24"/>
    <n v="60000"/>
    <m/>
    <n v="89775.38"/>
    <m/>
    <n v="70000"/>
    <m/>
  </r>
  <r>
    <m/>
    <s v="Mērķdotācija"/>
    <m/>
    <s v="0510 Dabas resursa nodokļa izlietojums"/>
    <x v="26"/>
    <x v="40"/>
    <m/>
    <n v="60000"/>
    <m/>
    <m/>
    <m/>
    <n v="70000"/>
  </r>
  <r>
    <m/>
    <s v="Ziedojumi"/>
    <s v="0540"/>
    <s v="0540 Ziedojumi"/>
    <x v="27"/>
    <x v="41"/>
    <n v="0"/>
    <m/>
    <n v="0"/>
    <m/>
    <n v="0"/>
    <m/>
  </r>
  <r>
    <m/>
    <s v="Ziedojumi"/>
    <m/>
    <s v="0540 Ziedojumi"/>
    <x v="27"/>
    <x v="41"/>
    <m/>
    <n v="0"/>
    <m/>
    <m/>
    <m/>
    <n v="0"/>
  </r>
  <r>
    <m/>
    <s v="Bāze"/>
    <s v="0620"/>
    <s v="0620 Būvvalde"/>
    <x v="28"/>
    <x v="42"/>
    <n v="13000"/>
    <m/>
    <n v="24564"/>
    <m/>
    <n v="22000"/>
    <m/>
  </r>
  <r>
    <m/>
    <s v="Bāze"/>
    <m/>
    <s v="0620 Būvvalde"/>
    <x v="28"/>
    <x v="42"/>
    <m/>
    <n v="13000"/>
    <m/>
    <m/>
    <m/>
    <n v="22000"/>
  </r>
  <r>
    <m/>
    <s v="Bāze"/>
    <s v="0620"/>
    <s v="0620 Būvvalde"/>
    <x v="29"/>
    <x v="43"/>
    <n v="85000"/>
    <m/>
    <n v="68127"/>
    <m/>
    <n v="70000"/>
    <m/>
  </r>
  <r>
    <m/>
    <s v="Bāze"/>
    <m/>
    <s v="0620 Būvvalde"/>
    <x v="29"/>
    <x v="43"/>
    <m/>
    <n v="85000"/>
    <m/>
    <m/>
    <m/>
    <n v="70000"/>
  </r>
  <r>
    <m/>
    <s v="Bāze"/>
    <s v="0620"/>
    <s v="0620 Būvvalde"/>
    <x v="17"/>
    <x v="20"/>
    <n v="500"/>
    <m/>
    <n v="102"/>
    <m/>
    <n v="300"/>
    <m/>
  </r>
  <r>
    <m/>
    <s v="Bāze"/>
    <m/>
    <s v="0620 Būvvalde"/>
    <x v="17"/>
    <x v="44"/>
    <m/>
    <n v="500"/>
    <m/>
    <m/>
    <m/>
    <n v="300"/>
  </r>
  <r>
    <m/>
    <s v="Projekti"/>
    <s v="0630"/>
    <s v="0630 Attīstības un projektu nodaļa"/>
    <x v="30"/>
    <x v="45"/>
    <n v="0"/>
    <m/>
    <n v="0"/>
    <m/>
    <n v="0"/>
    <m/>
  </r>
  <r>
    <m/>
    <s v="Projekti"/>
    <m/>
    <s v="0630 Attīstības un projektu nodaļa"/>
    <x v="30"/>
    <x v="46"/>
    <m/>
    <n v="0"/>
    <m/>
    <m/>
    <m/>
    <m/>
  </r>
  <r>
    <m/>
    <s v="Projekti"/>
    <s v="0630"/>
    <s v="0630 Attīstības un projektu nodaļa"/>
    <x v="20"/>
    <x v="24"/>
    <n v="18000"/>
    <m/>
    <m/>
    <m/>
    <n v="13000"/>
    <m/>
  </r>
  <r>
    <m/>
    <s v="Projekti"/>
    <m/>
    <s v="0630 Attīstības un projektu nodaļa"/>
    <x v="20"/>
    <x v="47"/>
    <m/>
    <n v="18000"/>
    <m/>
    <m/>
    <m/>
    <n v="12000"/>
  </r>
  <r>
    <m/>
    <s v="Projekti"/>
    <m/>
    <s v="0630 Attīstības un projektu nodaļa"/>
    <x v="20"/>
    <x v="48"/>
    <m/>
    <m/>
    <m/>
    <m/>
    <m/>
    <n v="1000"/>
  </r>
  <r>
    <m/>
    <s v="Projekti"/>
    <s v="0630"/>
    <s v="0630 Attīstības un projektu nodaļa"/>
    <x v="22"/>
    <x v="21"/>
    <n v="10623"/>
    <m/>
    <m/>
    <m/>
    <n v="10622"/>
    <m/>
  </r>
  <r>
    <m/>
    <s v="Projekti"/>
    <m/>
    <s v="0630 Attīstības un projektu nodaļa"/>
    <x v="22"/>
    <x v="49"/>
    <m/>
    <n v="10623"/>
    <m/>
    <m/>
    <m/>
    <n v="10622"/>
  </r>
  <r>
    <m/>
    <s v="Projekti"/>
    <s v="0630"/>
    <s v="0630 Attīstības un projektu nodaļa"/>
    <x v="31"/>
    <x v="50"/>
    <m/>
    <m/>
    <m/>
    <m/>
    <n v="1176054.389"/>
    <m/>
  </r>
  <r>
    <m/>
    <s v="Projekti"/>
    <m/>
    <s v="0630 Attīstības un projektu nodaļa"/>
    <x v="31"/>
    <x v="51"/>
    <m/>
    <m/>
    <m/>
    <m/>
    <m/>
    <n v="768794.7790000001"/>
  </r>
  <r>
    <m/>
    <s v="Projekti"/>
    <m/>
    <s v="0630 Attīstības un projektu nodaļa"/>
    <x v="31"/>
    <x v="52"/>
    <m/>
    <m/>
    <m/>
    <m/>
    <m/>
    <n v="36542"/>
  </r>
  <r>
    <m/>
    <s v="Projekti"/>
    <m/>
    <s v="0630 Attīstības un projektu nodaļa"/>
    <x v="31"/>
    <x v="53"/>
    <m/>
    <m/>
    <m/>
    <m/>
    <m/>
    <n v="76315"/>
  </r>
  <r>
    <m/>
    <s v="Projekti"/>
    <m/>
    <s v="0630 Attīstības un projektu nodaļa"/>
    <x v="31"/>
    <x v="54"/>
    <m/>
    <m/>
    <m/>
    <m/>
    <m/>
    <n v="35684.11"/>
  </r>
  <r>
    <m/>
    <s v="Projekti"/>
    <m/>
    <s v="0630 Attīstības un projektu nodaļa"/>
    <x v="31"/>
    <x v="55"/>
    <m/>
    <m/>
    <m/>
    <m/>
    <m/>
    <n v="63719"/>
  </r>
  <r>
    <m/>
    <s v="Projekti"/>
    <m/>
    <s v="0630 Attīstības un projektu nodaļa"/>
    <x v="31"/>
    <x v="56"/>
    <m/>
    <m/>
    <m/>
    <m/>
    <m/>
    <n v="58080"/>
  </r>
  <r>
    <m/>
    <s v="Projekti"/>
    <m/>
    <s v="0630 Attīstības un projektu nodaļa"/>
    <x v="31"/>
    <x v="57"/>
    <m/>
    <m/>
    <m/>
    <m/>
    <m/>
    <n v="39567"/>
  </r>
  <r>
    <m/>
    <s v="Projekti"/>
    <m/>
    <s v="0630 Attīstības un projektu nodaļa"/>
    <x v="31"/>
    <x v="58"/>
    <m/>
    <m/>
    <m/>
    <m/>
    <m/>
    <n v="97352.5"/>
  </r>
  <r>
    <m/>
    <s v="Projekti"/>
    <s v="0631.2"/>
    <s v="0631.2 Krastupes ielas projekts"/>
    <x v="31"/>
    <x v="50"/>
    <n v="308658.84952242271"/>
    <m/>
    <m/>
    <m/>
    <n v="971940"/>
    <m/>
  </r>
  <r>
    <m/>
    <s v="Projekti"/>
    <m/>
    <s v="0631.2 Krastupes ielas projekts"/>
    <x v="31"/>
    <x v="59"/>
    <m/>
    <n v="308658.84952242271"/>
    <m/>
    <m/>
    <m/>
    <n v="971940"/>
  </r>
  <r>
    <m/>
    <s v="Projekti"/>
    <s v="0631.3"/>
    <s v="0631.3 Publiskās ārtelpas izveide Gaujas ielā 31 Ādažos"/>
    <x v="31"/>
    <x v="50"/>
    <n v="103070"/>
    <m/>
    <n v="66588.62"/>
    <m/>
    <n v="357425"/>
    <m/>
  </r>
  <r>
    <m/>
    <s v="Projekti"/>
    <m/>
    <s v="0631.3 Publiskās ārtelpas izveide Gaujas ielā 31 Ādažos"/>
    <x v="31"/>
    <x v="60"/>
    <m/>
    <n v="103070"/>
    <m/>
    <m/>
    <m/>
    <n v="357425"/>
  </r>
  <r>
    <m/>
    <s v="Projekti"/>
    <s v="0631.4"/>
    <s v="0631.4 Projekts “Infrastruktūras uzlabošana uzņēmējdarbības attīstībai Ādažos”"/>
    <x v="31"/>
    <x v="50"/>
    <n v="638646"/>
    <m/>
    <m/>
    <m/>
    <n v="918723.47"/>
    <m/>
  </r>
  <r>
    <m/>
    <s v="Projekti"/>
    <m/>
    <s v="0631.4 Projekts “Infrastruktūras uzlabošana uzņēmējdarbības attīstībai Ādažos”"/>
    <x v="31"/>
    <x v="61"/>
    <m/>
    <n v="638646"/>
    <m/>
    <m/>
    <m/>
    <n v="634996"/>
  </r>
  <r>
    <m/>
    <s v="Projekti"/>
    <m/>
    <s v="0631.4 Projekts “Infrastruktūras uzlabošana uzņēmējdarbības attīstībai Ādažos”"/>
    <x v="31"/>
    <x v="62"/>
    <m/>
    <m/>
    <m/>
    <m/>
    <m/>
    <n v="283727.46999999997"/>
  </r>
  <r>
    <m/>
    <s v="Projekti"/>
    <s v="0631.5"/>
    <s v="0631.5 &quot;Blusu&quot; kroga pārbūve"/>
    <x v="32"/>
    <x v="63"/>
    <n v="333333"/>
    <m/>
    <n v="75000"/>
    <m/>
    <n v="0"/>
    <m/>
  </r>
  <r>
    <m/>
    <s v="Projekti"/>
    <m/>
    <s v="0631.5 &quot;Blusu&quot; kroga pārbūve"/>
    <x v="32"/>
    <x v="64"/>
    <m/>
    <n v="333333"/>
    <m/>
    <m/>
    <m/>
    <m/>
  </r>
  <r>
    <m/>
    <s v="Projekti"/>
    <s v="0631.7"/>
    <s v="0631.7 &quot;Sporta laukuma ierīkošana Garciemā&quot; LEADER"/>
    <x v="32"/>
    <x v="63"/>
    <n v="5400"/>
    <m/>
    <n v="6422.37"/>
    <m/>
    <n v="19267"/>
    <m/>
  </r>
  <r>
    <m/>
    <s v="Projekti"/>
    <m/>
    <s v="0631.7 &quot;Sporta laukuma ierīkošana Garciemā&quot; LEADER"/>
    <x v="32"/>
    <x v="65"/>
    <m/>
    <n v="5400"/>
    <m/>
    <m/>
    <m/>
    <n v="19267"/>
  </r>
  <r>
    <m/>
    <s v="Projekti"/>
    <s v="0631.8"/>
    <s v="0631.8 &quot;Veloapkopes stenda ierīkošana Kadagā un Garkalnē&quot; LEADER"/>
    <x v="32"/>
    <x v="63"/>
    <n v="900"/>
    <m/>
    <m/>
    <m/>
    <n v="0"/>
    <m/>
  </r>
  <r>
    <m/>
    <s v="Projekti"/>
    <m/>
    <s v="0631.8 &quot;Veloapkopes stenda ierīkošana Kadagā un Garkalnē&quot; LEADER"/>
    <x v="32"/>
    <x v="66"/>
    <m/>
    <n v="900"/>
    <m/>
    <m/>
    <m/>
    <m/>
  </r>
  <r>
    <m/>
    <s v="Projekti"/>
    <s v="0631.9"/>
    <s v="0631.9 &quot;Garezeru apkārtnes biotopu saudzēšana veicinot koncentrētu gājēju plūsmas vadīšanu ar mērķi mazināt augsnes degradāciju&quot; LEADER"/>
    <x v="32"/>
    <x v="63"/>
    <n v="1800"/>
    <m/>
    <n v="2250"/>
    <m/>
    <n v="0"/>
    <m/>
  </r>
  <r>
    <m/>
    <s v="Projekti"/>
    <m/>
    <s v="0631.9 &quot;Garezeru apkārtnes biotopu saudzēšana veicinot koncentrētu gājēju plūsmas vadīšanu ar mērķi mazināt augsnes degradāciju&quot; LEADER"/>
    <x v="32"/>
    <x v="67"/>
    <m/>
    <n v="1800"/>
    <m/>
    <m/>
    <m/>
    <m/>
  </r>
  <r>
    <m/>
    <s v="Projekti"/>
    <s v="0632.6"/>
    <s v="0632.6 LIFE NewBauhaus projekts"/>
    <x v="31"/>
    <x v="50"/>
    <n v="267455"/>
    <m/>
    <m/>
    <m/>
    <n v="0"/>
    <m/>
  </r>
  <r>
    <m/>
    <s v="Projekti"/>
    <m/>
    <s v="0632.6 LIFE NewBauhaus projekts"/>
    <x v="31"/>
    <x v="68"/>
    <m/>
    <n v="267455"/>
    <m/>
    <m/>
    <m/>
    <m/>
  </r>
  <r>
    <m/>
    <s v="Projekti"/>
    <s v="0632.7"/>
    <s v="0632.7 &quot;Upesceļi II/Ūdenstūrisma pieejamības veicināšana (RiverwaysII/Facilitating access to watertourism activities)&quot;."/>
    <x v="31"/>
    <x v="50"/>
    <n v="0"/>
    <m/>
    <n v="3649.5"/>
    <m/>
    <n v="36495"/>
    <m/>
  </r>
  <r>
    <m/>
    <s v="Projekti"/>
    <m/>
    <s v="0632.7 &quot;Upesceļi II/Ūdenstūrisma pieejamības veicināšana (RiverwaysII/Facilitating access to watertourism activities)&quot;."/>
    <x v="31"/>
    <x v="69"/>
    <m/>
    <m/>
    <m/>
    <m/>
    <m/>
    <n v="36495"/>
  </r>
  <r>
    <m/>
    <s v="Projekti"/>
    <s v="0633.1"/>
    <s v="0633.1  ”Mobilitātes punkta infrastruktūras izveidošana Rīgas metropoles areālā – “Carnikava””"/>
    <x v="31"/>
    <x v="50"/>
    <n v="830550"/>
    <m/>
    <n v="329062.38"/>
    <m/>
    <n v="345548.73180000001"/>
    <m/>
  </r>
  <r>
    <m/>
    <s v="Projekti"/>
    <m/>
    <s v="0633.1  ”Mobilitātes punkta infrastruktūras izveidošana Rīgas metropoles areālā – “Carnikava””"/>
    <x v="31"/>
    <x v="70"/>
    <m/>
    <n v="830550"/>
    <m/>
    <m/>
    <m/>
    <n v="345548.73180000001"/>
  </r>
  <r>
    <m/>
    <s v="Projekti"/>
    <s v="0633.2"/>
    <s v="0633.2 Maģistrālā veloceļa izbūve Rīga-Carnikava"/>
    <x v="31"/>
    <x v="50"/>
    <n v="2661252"/>
    <m/>
    <n v="918392"/>
    <m/>
    <n v="3050102"/>
    <m/>
  </r>
  <r>
    <m/>
    <s v="Projekti"/>
    <m/>
    <s v="0633.2 Maģistrālā veloceļa izbūve Rīga-Carnikava"/>
    <x v="31"/>
    <x v="71"/>
    <m/>
    <n v="2661252"/>
    <m/>
    <m/>
    <m/>
    <n v="3050102"/>
  </r>
  <r>
    <m/>
    <s v="Projekti"/>
    <s v="0633.6"/>
    <s v="0633.6 EKII projekts (Emisijas kvotu izsolīšanas instruments)"/>
    <x v="20"/>
    <x v="24"/>
    <n v="38052"/>
    <m/>
    <n v="38051.64"/>
    <m/>
    <n v="0"/>
    <m/>
  </r>
  <r>
    <m/>
    <s v="Projekti"/>
    <m/>
    <s v="0633.6 EKII projekts (Emisijas kvotu izsolīšanas instruments)"/>
    <x v="20"/>
    <x v="72"/>
    <m/>
    <n v="38052"/>
    <m/>
    <m/>
    <m/>
    <m/>
  </r>
  <r>
    <m/>
    <s v="Projekti"/>
    <s v="0634.1"/>
    <s v="0634.1 Jaunais plūdu projekts - 2.1.3.2. &quot;Nacionālas nozīmes plūdu un krasta erozijas pasākumi&quot; 1.daļa"/>
    <x v="31"/>
    <x v="73"/>
    <n v="217332"/>
    <m/>
    <m/>
    <m/>
    <n v="0"/>
    <m/>
  </r>
  <r>
    <m/>
    <s v="Projekti"/>
    <m/>
    <s v="0634.1 Jaunais plūdu projekts - 2.1.3.2. &quot;Nacionālas nozīmes plūdu un krasta erozijas pasākumi&quot; 1.daļa"/>
    <x v="31"/>
    <x v="73"/>
    <m/>
    <n v="217332"/>
    <m/>
    <m/>
    <m/>
    <m/>
  </r>
  <r>
    <m/>
    <s v="Bāze"/>
    <s v="0643"/>
    <s v="0643 Ēka, Gaujas iela 33A"/>
    <x v="33"/>
    <x v="74"/>
    <n v="8294.7199999999993"/>
    <m/>
    <n v="8379.0400000000009"/>
    <m/>
    <n v="8294.9599999999991"/>
    <m/>
  </r>
  <r>
    <m/>
    <s v="Bāze"/>
    <m/>
    <s v="0643 Ēka, Gaujas iela 33A"/>
    <x v="33"/>
    <x v="75"/>
    <m/>
    <n v="1034.72"/>
    <n v="861"/>
    <m/>
    <m/>
    <n v="1034.96"/>
  </r>
  <r>
    <m/>
    <s v="Bāze"/>
    <m/>
    <s v="0643 Ēka, Gaujas iela 33A"/>
    <x v="33"/>
    <x v="76"/>
    <m/>
    <n v="7260"/>
    <n v="6050"/>
    <m/>
    <m/>
    <n v="7260"/>
  </r>
  <r>
    <m/>
    <s v="Bāze"/>
    <s v="0648"/>
    <s v="0648 Saimniecības un infrastruktūras daļa"/>
    <x v="18"/>
    <x v="21"/>
    <n v="5727.7199999999993"/>
    <m/>
    <n v="4684"/>
    <m/>
    <n v="5727.7199999999993"/>
    <m/>
  </r>
  <r>
    <m/>
    <s v="Bāze"/>
    <m/>
    <s v="0648 Saimniecības un infrastruktūras daļa"/>
    <x v="18"/>
    <x v="77"/>
    <m/>
    <n v="1226.04"/>
    <n v="1022"/>
    <m/>
    <m/>
    <n v="1226.04"/>
  </r>
  <r>
    <m/>
    <s v="Bāze"/>
    <m/>
    <s v="0648 Saimniecības un infrastruktūras daļa"/>
    <x v="18"/>
    <x v="78"/>
    <m/>
    <n v="1076.1600000000001"/>
    <n v="807"/>
    <m/>
    <m/>
    <n v="1076.1600000000001"/>
  </r>
  <r>
    <m/>
    <s v="Bāze"/>
    <m/>
    <s v="0648 Saimniecības un infrastruktūras daļa"/>
    <x v="18"/>
    <x v="79"/>
    <m/>
    <n v="3425.5199999999995"/>
    <n v="2855"/>
    <m/>
    <m/>
    <n v="3425.5199999999995"/>
  </r>
  <r>
    <m/>
    <s v="Bāze"/>
    <s v="0648"/>
    <s v="0648 Saimniecības un infrastruktūras daļa"/>
    <x v="33"/>
    <x v="74"/>
    <n v="40725"/>
    <m/>
    <n v="41884.089999999997"/>
    <m/>
    <n v="42500.200000000004"/>
    <m/>
  </r>
  <r>
    <m/>
    <s v="Bāze"/>
    <m/>
    <s v="0648 Saimniecības un infrastruktūras daļa"/>
    <x v="33"/>
    <x v="80"/>
    <m/>
    <n v="2724"/>
    <n v="2270"/>
    <m/>
    <m/>
    <n v="2724"/>
  </r>
  <r>
    <m/>
    <s v="Bāze"/>
    <m/>
    <s v="0648 Saimniecības un infrastruktūras daļa"/>
    <x v="33"/>
    <x v="81"/>
    <m/>
    <n v="6669.9600000000009"/>
    <n v="7143"/>
    <m/>
    <m/>
    <n v="9523.32"/>
  </r>
  <r>
    <m/>
    <s v="Bāze"/>
    <m/>
    <s v="0648 Saimniecības un infrastruktūras daļa"/>
    <x v="33"/>
    <x v="82"/>
    <m/>
    <n v="1597.1999999999998"/>
    <n v="972"/>
    <m/>
    <m/>
    <n v="1437.48"/>
  </r>
  <r>
    <m/>
    <s v="Bāze"/>
    <m/>
    <s v="0648 Saimniecības un infrastruktūras daļa"/>
    <x v="33"/>
    <x v="83"/>
    <m/>
    <n v="5508.36"/>
    <m/>
    <m/>
    <m/>
    <n v="0"/>
  </r>
  <r>
    <m/>
    <s v="Bāze"/>
    <m/>
    <s v="0648 Saimniecības un infrastruktūras daļa"/>
    <x v="33"/>
    <x v="84"/>
    <m/>
    <n v="639.88"/>
    <n v="452.54"/>
    <m/>
    <m/>
    <n v="0"/>
  </r>
  <r>
    <m/>
    <s v="Bāze"/>
    <m/>
    <s v="0648 Saimniecības un infrastruktūras daļa"/>
    <x v="33"/>
    <x v="85"/>
    <m/>
    <n v="638.88"/>
    <n v="532"/>
    <m/>
    <m/>
    <n v="638.88"/>
  </r>
  <r>
    <m/>
    <s v="Bāze"/>
    <m/>
    <s v="0648 Saimniecības un infrastruktūras daļa"/>
    <x v="33"/>
    <x v="86"/>
    <m/>
    <n v="6073.4400000000005"/>
    <n v="6768"/>
    <m/>
    <m/>
    <n v="8121.7199999999993"/>
  </r>
  <r>
    <m/>
    <s v="Bāze"/>
    <m/>
    <s v="0648 Saimniecības un infrastruktūras daļa"/>
    <x v="33"/>
    <x v="87"/>
    <m/>
    <n v="1367.52"/>
    <n v="1140"/>
    <m/>
    <m/>
    <n v="1367.52"/>
  </r>
  <r>
    <m/>
    <s v="Bāze"/>
    <m/>
    <s v="0648 Saimniecības un infrastruktūras daļa"/>
    <x v="33"/>
    <x v="88"/>
    <m/>
    <n v="3113.2799999999997"/>
    <n v="2595"/>
    <m/>
    <m/>
    <n v="3113.2799999999997"/>
  </r>
  <r>
    <m/>
    <s v="Bāze"/>
    <m/>
    <s v="0648 Saimniecības un infrastruktūras daļa"/>
    <x v="33"/>
    <x v="89"/>
    <m/>
    <n v="3654.3599999999997"/>
    <n v="2347"/>
    <m/>
    <m/>
    <n v="3654.3599999999997"/>
  </r>
  <r>
    <m/>
    <s v="Bāze"/>
    <m/>
    <s v="0648 Saimniecības un infrastruktūras daļa"/>
    <x v="33"/>
    <x v="90"/>
    <m/>
    <n v="3125.3999999999996"/>
    <n v="2605"/>
    <m/>
    <m/>
    <n v="3125.3999999999996"/>
  </r>
  <r>
    <m/>
    <s v="Bāze"/>
    <m/>
    <s v="0648 Saimniecības un infrastruktūras daļa"/>
    <x v="33"/>
    <x v="91"/>
    <m/>
    <n v="3103.04"/>
    <n v="2495"/>
    <m/>
    <m/>
    <n v="3103.04"/>
  </r>
  <r>
    <m/>
    <s v="Bāze"/>
    <m/>
    <s v="0648 Saimniecības un infrastruktūras daļa"/>
    <x v="33"/>
    <x v="92"/>
    <m/>
    <m/>
    <n v="2630"/>
    <m/>
    <m/>
    <n v="3833.3999999999996"/>
  </r>
  <r>
    <m/>
    <s v="Bāze"/>
    <m/>
    <s v="649 Saimniecības un infrastruktūras daļa"/>
    <x v="33"/>
    <x v="93"/>
    <m/>
    <m/>
    <m/>
    <m/>
    <m/>
    <n v="718.8"/>
  </r>
  <r>
    <m/>
    <s v="Bāze"/>
    <m/>
    <s v="0648 Saimniecības un infrastruktūras daļa"/>
    <x v="33"/>
    <x v="94"/>
    <m/>
    <m/>
    <n v="774"/>
    <m/>
    <m/>
    <m/>
  </r>
  <r>
    <m/>
    <s v="Bāze"/>
    <m/>
    <s v="0648 Saimniecības un infrastruktūras daļa"/>
    <x v="33"/>
    <x v="95"/>
    <m/>
    <n v="2510.2600000000002"/>
    <n v="965"/>
    <m/>
    <m/>
    <n v="1139"/>
  </r>
  <r>
    <m/>
    <s v="Bāze"/>
    <s v="0648"/>
    <s v="0648 Saimniecības un infrastruktūras daļa"/>
    <x v="34"/>
    <x v="96"/>
    <n v="0"/>
    <m/>
    <n v="36.299999999999997"/>
    <m/>
    <n v="0"/>
    <m/>
  </r>
  <r>
    <m/>
    <s v="Bāze"/>
    <m/>
    <s v="0648 Saimniecības un infrastruktūras daļa"/>
    <x v="34"/>
    <x v="97"/>
    <m/>
    <m/>
    <m/>
    <m/>
    <m/>
    <m/>
  </r>
  <r>
    <m/>
    <s v="Bāze"/>
    <s v="0648"/>
    <s v="0648 Saimniecības un infrastruktūras daļa"/>
    <x v="22"/>
    <x v="30"/>
    <n v="0"/>
    <m/>
    <n v="66729.600000000006"/>
    <m/>
    <n v="0"/>
    <m/>
  </r>
  <r>
    <m/>
    <s v="Bāze"/>
    <m/>
    <s v="0648 Saimniecības un infrastruktūras daļa"/>
    <x v="22"/>
    <x v="98"/>
    <m/>
    <n v="0"/>
    <m/>
    <m/>
    <m/>
    <n v="0"/>
  </r>
  <r>
    <m/>
    <s v="Bāze"/>
    <s v="0670"/>
    <s v="0670 Nekustamā īpašuma nodaļa"/>
    <x v="35"/>
    <x v="99"/>
    <n v="0"/>
    <m/>
    <n v="130.1"/>
    <m/>
    <n v="0"/>
    <m/>
  </r>
  <r>
    <m/>
    <s v="Bāze"/>
    <m/>
    <s v="0670 Nekustamā īpašuma nodaļa"/>
    <x v="35"/>
    <x v="100"/>
    <m/>
    <m/>
    <n v="130.1"/>
    <m/>
    <m/>
    <n v="0"/>
  </r>
  <r>
    <m/>
    <s v="Bāze"/>
    <s v="0670"/>
    <s v="0670 Nekustamā īpašuma nodaļa"/>
    <x v="17"/>
    <x v="20"/>
    <n v="0"/>
    <m/>
    <n v="154"/>
    <m/>
    <n v="0"/>
    <m/>
  </r>
  <r>
    <m/>
    <s v="Bāze"/>
    <m/>
    <s v="0670 Nekustamā īpašuma nodaļa"/>
    <x v="17"/>
    <x v="11"/>
    <m/>
    <m/>
    <n v="154"/>
    <m/>
    <m/>
    <n v="0"/>
  </r>
  <r>
    <m/>
    <s v="Bāze"/>
    <s v="0670"/>
    <s v="0670 Nekustamā īpašuma nodaļa"/>
    <x v="36"/>
    <x v="101"/>
    <n v="0"/>
    <m/>
    <n v="717.95"/>
    <m/>
    <n v="0"/>
    <m/>
  </r>
  <r>
    <m/>
    <s v="Bāze"/>
    <m/>
    <s v="0670 Nekustamā īpašuma nodaļa"/>
    <x v="36"/>
    <x v="101"/>
    <m/>
    <n v="0"/>
    <m/>
    <m/>
    <m/>
    <m/>
  </r>
  <r>
    <m/>
    <s v="Bāze"/>
    <s v="0670"/>
    <s v="0670 Nekustamā īpašuma nodaļa"/>
    <x v="18"/>
    <x v="21"/>
    <n v="0"/>
    <m/>
    <n v="29642.7"/>
    <m/>
    <n v="0"/>
    <m/>
  </r>
  <r>
    <m/>
    <s v="Bāze"/>
    <m/>
    <s v="0670 Nekustamā īpašuma nodaļa"/>
    <x v="18"/>
    <x v="102"/>
    <m/>
    <m/>
    <m/>
    <m/>
    <m/>
    <m/>
  </r>
  <r>
    <m/>
    <s v="Bāze"/>
    <s v="0670"/>
    <s v="0670 Nekustamā īpašuma nodaļa"/>
    <x v="37"/>
    <x v="103"/>
    <n v="159278"/>
    <m/>
    <n v="182316.84"/>
    <m/>
    <n v="0"/>
    <m/>
  </r>
  <r>
    <m/>
    <s v="Bāze"/>
    <m/>
    <s v="0670 Nekustamā īpašuma nodaļa"/>
    <x v="37"/>
    <x v="103"/>
    <m/>
    <n v="159278"/>
    <m/>
    <m/>
    <m/>
    <m/>
  </r>
  <r>
    <m/>
    <s v="Bāze"/>
    <s v="0670"/>
    <s v="0670 Nekustamā īpašuma nodaļa"/>
    <x v="33"/>
    <x v="74"/>
    <n v="17000"/>
    <m/>
    <n v="15272.56"/>
    <m/>
    <n v="766.31999999999994"/>
    <m/>
  </r>
  <r>
    <m/>
    <s v="Bāze"/>
    <m/>
    <s v="0670 Nekustamā īpašuma nodaļa"/>
    <x v="33"/>
    <x v="104"/>
    <m/>
    <n v="8581.32"/>
    <n v="10488.28"/>
    <m/>
    <m/>
    <n v="0"/>
  </r>
  <r>
    <m/>
    <s v="Bāze"/>
    <m/>
    <s v="0670 Nekustamā īpašuma nodaļa"/>
    <x v="33"/>
    <x v="105"/>
    <m/>
    <n v="1297.08"/>
    <n v="1074.44"/>
    <m/>
    <m/>
    <m/>
  </r>
  <r>
    <m/>
    <s v="Bāze"/>
    <m/>
    <s v="0670 Nekustamā īpašuma nodaļa"/>
    <x v="33"/>
    <x v="106"/>
    <m/>
    <n v="766.31999999999994"/>
    <n v="638.6"/>
    <m/>
    <m/>
    <n v="766.31999999999994"/>
  </r>
  <r>
    <m/>
    <s v="Bāze"/>
    <m/>
    <s v="0670 Nekustamā īpašuma nodaļa"/>
    <x v="33"/>
    <x v="107"/>
    <m/>
    <n v="6355.2800000000007"/>
    <m/>
    <m/>
    <m/>
    <m/>
  </r>
  <r>
    <m/>
    <s v="Bāze"/>
    <s v="0670"/>
    <s v="0670 Nekustamā īpašuma nodaļa"/>
    <x v="21"/>
    <x v="26"/>
    <n v="54000"/>
    <m/>
    <n v="59170"/>
    <m/>
    <n v="55000"/>
    <m/>
  </r>
  <r>
    <m/>
    <s v="Bāze"/>
    <m/>
    <s v="0670 Nekustamā īpašuma nodaļa"/>
    <x v="21"/>
    <x v="26"/>
    <m/>
    <n v="54000"/>
    <m/>
    <m/>
    <m/>
    <n v="55000"/>
  </r>
  <r>
    <m/>
    <s v="Bāze"/>
    <s v="0670"/>
    <s v="0670 Nekustamā īpašuma nodaļa"/>
    <x v="22"/>
    <x v="26"/>
    <n v="0"/>
    <m/>
    <n v="6907.54"/>
    <m/>
    <n v="5000"/>
    <m/>
  </r>
  <r>
    <m/>
    <s v="Bāze"/>
    <m/>
    <s v="0670 Nekustamā īpašuma nodaļa"/>
    <x v="22"/>
    <x v="26"/>
    <m/>
    <n v="0"/>
    <m/>
    <m/>
    <m/>
    <n v="5000"/>
  </r>
  <r>
    <m/>
    <s v="Bāze"/>
    <s v="0812"/>
    <s v="0812 Sporta nodaļa"/>
    <x v="36"/>
    <x v="101"/>
    <m/>
    <m/>
    <m/>
    <m/>
    <n v="0"/>
    <m/>
  </r>
  <r>
    <m/>
    <s v="Bāze"/>
    <m/>
    <s v="0812 Sporta nodaļa"/>
    <x v="36"/>
    <x v="101"/>
    <m/>
    <n v="0"/>
    <m/>
    <m/>
    <m/>
    <n v="0"/>
  </r>
  <r>
    <m/>
    <s v="Bāze"/>
    <s v="0812"/>
    <s v="0812 Sporta nodaļa"/>
    <x v="33"/>
    <x v="74"/>
    <n v="50000"/>
    <m/>
    <n v="45876.13"/>
    <m/>
    <n v="50000"/>
    <m/>
  </r>
  <r>
    <m/>
    <s v="Bāze"/>
    <m/>
    <s v="0812 Sporta nodaļa"/>
    <x v="33"/>
    <x v="108"/>
    <m/>
    <n v="50000"/>
    <m/>
    <m/>
    <m/>
    <n v="50000"/>
  </r>
  <r>
    <m/>
    <s v="Bāze"/>
    <s v="0812"/>
    <s v="0812 Sporta nodaļa"/>
    <x v="38"/>
    <x v="109"/>
    <n v="48000"/>
    <m/>
    <n v="39335"/>
    <m/>
    <n v="45000"/>
    <m/>
  </r>
  <r>
    <m/>
    <s v="Bāze"/>
    <m/>
    <s v="0812 Sporta nodaļa"/>
    <x v="38"/>
    <x v="11"/>
    <m/>
    <n v="48000"/>
    <m/>
    <m/>
    <m/>
    <n v="45000"/>
  </r>
  <r>
    <m/>
    <s v="Bāze"/>
    <s v="0812"/>
    <s v="0812 Sporta nodaļa"/>
    <x v="39"/>
    <x v="110"/>
    <n v="3500"/>
    <m/>
    <n v="5136"/>
    <m/>
    <n v="5000"/>
    <m/>
  </r>
  <r>
    <m/>
    <s v="Bāze"/>
    <m/>
    <s v="0812 Sporta nodaļa"/>
    <x v="39"/>
    <x v="11"/>
    <m/>
    <n v="3500"/>
    <m/>
    <m/>
    <m/>
    <n v="5000"/>
  </r>
  <r>
    <m/>
    <s v="Bāze"/>
    <s v="0830"/>
    <s v="0830 Ādažu bibliotēka"/>
    <x v="40"/>
    <x v="111"/>
    <n v="0"/>
    <m/>
    <n v="364.13"/>
    <m/>
    <n v="0"/>
    <m/>
  </r>
  <r>
    <m/>
    <s v="Bāze"/>
    <m/>
    <s v="0830 Ādažu bibliotēka"/>
    <x v="40"/>
    <x v="112"/>
    <m/>
    <n v="0"/>
    <m/>
    <m/>
    <m/>
    <n v="0"/>
  </r>
  <r>
    <m/>
    <s v="Bāze"/>
    <s v="0831"/>
    <s v="0831 Carnikavas bibliotēka"/>
    <x v="40"/>
    <x v="111"/>
    <n v="0"/>
    <m/>
    <n v="356.87"/>
    <m/>
    <n v="0"/>
    <m/>
  </r>
  <r>
    <m/>
    <s v="Bāze"/>
    <m/>
    <s v="0831 Carnikavas bibliotēka"/>
    <x v="40"/>
    <x v="112"/>
    <m/>
    <n v="0"/>
    <m/>
    <m/>
    <m/>
    <n v="0"/>
  </r>
  <r>
    <m/>
    <s v="Bāze"/>
    <s v="0841.1"/>
    <s v="0841.1 Ādažu novada kultūras centrs"/>
    <x v="15"/>
    <x v="18"/>
    <n v="150"/>
    <m/>
    <n v="150"/>
    <m/>
    <n v="150"/>
    <m/>
  </r>
  <r>
    <m/>
    <s v="Bāze"/>
    <m/>
    <s v="0841.1 Ādažu novada kultūras centrs"/>
    <x v="15"/>
    <x v="18"/>
    <m/>
    <n v="150"/>
    <m/>
    <m/>
    <m/>
    <n v="150"/>
  </r>
  <r>
    <m/>
    <s v="Bāze"/>
    <s v="0841.1"/>
    <s v="0841.1 Ādažu novada kultūras centrs"/>
    <x v="16"/>
    <x v="19"/>
    <n v="10000"/>
    <m/>
    <n v="9212"/>
    <m/>
    <n v="10000"/>
    <m/>
  </r>
  <r>
    <m/>
    <s v="Bāze"/>
    <m/>
    <s v="0841.1 Ādažu novada kultūras centrs"/>
    <x v="16"/>
    <x v="19"/>
    <m/>
    <n v="10000"/>
    <m/>
    <m/>
    <m/>
    <n v="10000"/>
  </r>
  <r>
    <m/>
    <s v="Bāze"/>
    <s v="0841.1"/>
    <s v="0841.1 Ādažu novada kultūras centrs"/>
    <x v="36"/>
    <x v="101"/>
    <m/>
    <m/>
    <n v="400"/>
    <m/>
    <n v="0"/>
    <m/>
  </r>
  <r>
    <m/>
    <s v="Bāze"/>
    <m/>
    <s v="0841.1 Ādažu novada kultūras centrs"/>
    <x v="36"/>
    <x v="11"/>
    <m/>
    <m/>
    <m/>
    <m/>
    <m/>
    <m/>
  </r>
  <r>
    <m/>
    <s v="Bāze"/>
    <s v="0841.1"/>
    <s v="0841.1 Ādažu novada kultūras centrs"/>
    <x v="18"/>
    <x v="21"/>
    <m/>
    <m/>
    <n v="2400"/>
    <m/>
    <n v="0"/>
    <m/>
  </r>
  <r>
    <m/>
    <s v="Bāze"/>
    <m/>
    <s v="0841.1 Ādažu novada kultūras centrs"/>
    <x v="18"/>
    <x v="11"/>
    <m/>
    <m/>
    <m/>
    <m/>
    <m/>
    <m/>
  </r>
  <r>
    <m/>
    <s v="Mērķdotācija"/>
    <s v="0841.1"/>
    <s v="0841.1 Ādažu novada kultūras centrs"/>
    <x v="20"/>
    <x v="24"/>
    <n v="15310"/>
    <m/>
    <n v="7852.24"/>
    <m/>
    <n v="15176"/>
    <m/>
  </r>
  <r>
    <m/>
    <s v="Mērķdotācija"/>
    <m/>
    <s v="0841.1 Ādažu novada kultūras centrs"/>
    <x v="20"/>
    <x v="113"/>
    <m/>
    <n v="15310"/>
    <m/>
    <m/>
    <m/>
    <n v="15176"/>
  </r>
  <r>
    <m/>
    <s v="Bāze"/>
    <s v="0841.1"/>
    <s v="0841.1 Ādažu novada kultūras centrs"/>
    <x v="33"/>
    <x v="74"/>
    <n v="25000"/>
    <m/>
    <n v="21819.3"/>
    <m/>
    <n v="25000"/>
    <m/>
  </r>
  <r>
    <m/>
    <s v="Bāze"/>
    <m/>
    <s v="0841.1 Ādažu novada kultūras centrs"/>
    <x v="33"/>
    <x v="114"/>
    <m/>
    <n v="624.36"/>
    <m/>
    <m/>
    <m/>
    <n v="624.36"/>
  </r>
  <r>
    <m/>
    <s v="Bāze"/>
    <m/>
    <s v="0841.1 Ādažu novada kultūras centrs"/>
    <x v="33"/>
    <x v="95"/>
    <m/>
    <n v="24375.64"/>
    <m/>
    <m/>
    <m/>
    <n v="24375.64"/>
  </r>
  <r>
    <m/>
    <s v="Bāze"/>
    <s v="0841.1"/>
    <s v="0841.1 Ādažu novada kultūras centrs"/>
    <x v="21"/>
    <x v="26"/>
    <n v="22000"/>
    <m/>
    <n v="18238.7"/>
    <m/>
    <n v="22000"/>
    <m/>
  </r>
  <r>
    <m/>
    <s v="Bāze"/>
    <m/>
    <s v="0841.1 Ādažu novada kultūras centrs"/>
    <x v="21"/>
    <x v="11"/>
    <m/>
    <n v="22000"/>
    <m/>
    <m/>
    <m/>
    <n v="22000"/>
  </r>
  <r>
    <m/>
    <s v="Bāze"/>
    <s v="0841.1"/>
    <s v="0841.1 Ādažu novada kultūras centrs"/>
    <x v="41"/>
    <x v="115"/>
    <n v="5000"/>
    <m/>
    <m/>
    <m/>
    <n v="0"/>
    <m/>
  </r>
  <r>
    <m/>
    <s v="Bāze"/>
    <m/>
    <s v="0841.1 Ādažu novada kultūras centrs"/>
    <x v="41"/>
    <x v="116"/>
    <m/>
    <n v="5000"/>
    <m/>
    <m/>
    <m/>
    <m/>
  </r>
  <r>
    <m/>
    <s v="Bāze"/>
    <s v="0841.1"/>
    <s v="0841.1 Ādažu novada kultūras centrs"/>
    <x v="22"/>
    <x v="30"/>
    <n v="3000"/>
    <m/>
    <n v="5188.7700000000004"/>
    <m/>
    <n v="8000"/>
    <m/>
  </r>
  <r>
    <m/>
    <s v="Bāze"/>
    <m/>
    <s v="0841.1 Ādažu novada kultūras centrs"/>
    <x v="22"/>
    <x v="11"/>
    <m/>
    <n v="3000"/>
    <m/>
    <m/>
    <m/>
    <n v="8000"/>
  </r>
  <r>
    <m/>
    <s v="Bāze"/>
    <s v="0841.2"/>
    <s v="0841.2 Carnikavas Tautas nams &quot;Ozolaine&quot;"/>
    <x v="15"/>
    <x v="18"/>
    <n v="110"/>
    <m/>
    <n v="50"/>
    <m/>
    <n v="150"/>
    <m/>
  </r>
  <r>
    <m/>
    <s v="Bāze"/>
    <m/>
    <s v="0841.2 Carnikavas Tautas nams &quot;Ozolaine&quot;"/>
    <x v="15"/>
    <x v="11"/>
    <m/>
    <n v="110"/>
    <m/>
    <m/>
    <m/>
    <n v="150"/>
  </r>
  <r>
    <m/>
    <s v="Bāze"/>
    <s v="0841.2"/>
    <s v="0841.2 Carnikavas Tautas nams &quot;Ozolaine&quot;"/>
    <x v="16"/>
    <x v="19"/>
    <n v="13000"/>
    <m/>
    <n v="16160.5"/>
    <m/>
    <n v="13000"/>
    <m/>
  </r>
  <r>
    <m/>
    <s v="Bāze"/>
    <m/>
    <s v="0841.2 Carnikavas Tautas nams &quot;Ozolaine&quot;"/>
    <x v="16"/>
    <x v="11"/>
    <m/>
    <n v="13000"/>
    <m/>
    <m/>
    <m/>
    <n v="13000"/>
  </r>
  <r>
    <m/>
    <s v="Mērķdotācija"/>
    <s v="0841.2"/>
    <s v="0841.2 Carnikavas Tautas nams &quot;Ozolaine&quot;"/>
    <x v="20"/>
    <x v="24"/>
    <n v="11050"/>
    <m/>
    <n v="5322.76"/>
    <m/>
    <n v="11050"/>
    <m/>
  </r>
  <r>
    <m/>
    <s v="Mērķdotācija"/>
    <m/>
    <s v="0841.2 Carnikavas Tautas nams &quot;Ozolaine&quot;"/>
    <x v="20"/>
    <x v="11"/>
    <m/>
    <n v="11050"/>
    <m/>
    <m/>
    <m/>
    <n v="11050"/>
  </r>
  <r>
    <m/>
    <s v="Bāze"/>
    <s v="0841.2"/>
    <s v="0841.2 Carnikavas Tautas nams &quot;Ozolaine&quot;"/>
    <x v="33"/>
    <x v="74"/>
    <n v="0"/>
    <m/>
    <n v="1458.05"/>
    <m/>
    <n v="1000"/>
    <m/>
  </r>
  <r>
    <m/>
    <s v="Bāze"/>
    <m/>
    <s v="0841.2 Carnikavas Tautas nams &quot;Ozolaine&quot;"/>
    <x v="33"/>
    <x v="11"/>
    <m/>
    <n v="0"/>
    <m/>
    <m/>
    <m/>
    <n v="1000"/>
  </r>
  <r>
    <m/>
    <s v="Bāze"/>
    <s v="0841.2"/>
    <s v="0841.2 Carnikavas Tautas nams &quot;Ozolaine&quot;"/>
    <x v="21"/>
    <x v="26"/>
    <n v="20000"/>
    <m/>
    <n v="19223.54"/>
    <m/>
    <n v="20000"/>
    <m/>
  </r>
  <r>
    <m/>
    <s v="Bāze"/>
    <m/>
    <s v="0841.2 Carnikavas Tautas nams &quot;Ozolaine&quot;"/>
    <x v="21"/>
    <x v="11"/>
    <m/>
    <n v="20000"/>
    <m/>
    <m/>
    <m/>
    <n v="20000"/>
  </r>
  <r>
    <m/>
    <s v="Bāze"/>
    <s v="0841.2"/>
    <s v="0841.2 Carnikavas Tautas nams &quot;Ozolaine&quot;"/>
    <x v="41"/>
    <x v="115"/>
    <n v="2000"/>
    <m/>
    <n v="504"/>
    <m/>
    <n v="2000"/>
    <m/>
  </r>
  <r>
    <m/>
    <s v="Bāze"/>
    <m/>
    <s v="0841.2 Carnikavas Tautas nams &quot;Ozolaine&quot;"/>
    <x v="41"/>
    <x v="11"/>
    <m/>
    <n v="2000"/>
    <m/>
    <m/>
    <m/>
    <n v="2000"/>
  </r>
  <r>
    <m/>
    <s v="Bāze"/>
    <s v="0841.2"/>
    <s v="0841.2 Carnikavas Tautas nams &quot;Ozolaine&quot;"/>
    <x v="22"/>
    <x v="30"/>
    <n v="0"/>
    <m/>
    <m/>
    <m/>
    <n v="0"/>
    <m/>
  </r>
  <r>
    <m/>
    <s v="Bāze"/>
    <m/>
    <s v="0841.2 Carnikavas Tautas nams &quot;Ozolaine&quot;"/>
    <x v="22"/>
    <x v="11"/>
    <m/>
    <m/>
    <m/>
    <m/>
    <m/>
    <m/>
  </r>
  <r>
    <m/>
    <s v="Bāze"/>
    <s v="0841.3"/>
    <s v="0841.3 Carnikavas novadpētniecības centrs"/>
    <x v="40"/>
    <x v="111"/>
    <n v="0"/>
    <m/>
    <m/>
    <m/>
    <n v="0"/>
    <m/>
  </r>
  <r>
    <m/>
    <s v="Bāze"/>
    <m/>
    <s v="0841.3 Carnikavas novadpētniecības centrs"/>
    <x v="40"/>
    <x v="11"/>
    <m/>
    <n v="0"/>
    <m/>
    <m/>
    <m/>
    <n v="0"/>
  </r>
  <r>
    <m/>
    <s v="Bāze"/>
    <s v="0841.3"/>
    <s v="0841.3 Carnikavas novadpētniecības centrs"/>
    <x v="33"/>
    <x v="74"/>
    <n v="0"/>
    <m/>
    <n v="3673.55"/>
    <m/>
    <n v="0"/>
    <m/>
  </r>
  <r>
    <m/>
    <s v="Bāze"/>
    <m/>
    <s v="0841.3 Carnikavas novadpētniecības centrs"/>
    <x v="33"/>
    <x v="11"/>
    <m/>
    <n v="0"/>
    <m/>
    <m/>
    <m/>
    <n v="0"/>
  </r>
  <r>
    <m/>
    <s v="Bāze"/>
    <s v="0841.3"/>
    <s v="0841.3 Carnikavas novadpētniecības centrs"/>
    <x v="42"/>
    <x v="117"/>
    <n v="0"/>
    <m/>
    <n v="871.2"/>
    <m/>
    <n v="0"/>
    <m/>
  </r>
  <r>
    <m/>
    <s v="Bāze"/>
    <m/>
    <s v="0841.3 Carnikavas novadpētniecības centrs"/>
    <x v="22"/>
    <x v="11"/>
    <m/>
    <m/>
    <m/>
    <m/>
    <m/>
    <m/>
  </r>
  <r>
    <m/>
    <s v="Mērķdotācija"/>
    <s v="08412"/>
    <s v="08412 - Dziesmu svētki 2023"/>
    <x v="20"/>
    <x v="24"/>
    <n v="0"/>
    <m/>
    <m/>
    <m/>
    <n v="0"/>
    <m/>
  </r>
  <r>
    <m/>
    <s v="Mērķdotācija"/>
    <m/>
    <s v="08412 - Dziesmu svētki 2023"/>
    <x v="20"/>
    <x v="11"/>
    <m/>
    <m/>
    <m/>
    <m/>
    <m/>
    <m/>
  </r>
  <r>
    <m/>
    <s v="Bāze"/>
    <s v="0843"/>
    <s v="0843 Multihalle Pirmajā ielā"/>
    <x v="33"/>
    <x v="74"/>
    <n v="9000"/>
    <m/>
    <n v="4824.59"/>
    <m/>
    <n v="5000"/>
    <m/>
  </r>
  <r>
    <m/>
    <s v="Bāze"/>
    <m/>
    <s v="0843 Multihalle Pirmajā ielā"/>
    <x v="33"/>
    <x v="11"/>
    <m/>
    <n v="9000"/>
    <m/>
    <m/>
    <m/>
    <n v="5000"/>
  </r>
  <r>
    <m/>
    <s v="Projekti"/>
    <s v="0844.1"/>
    <s v="0844.1 SAM 5.5.1. Kultūras objektu būvniecība (maksājumi projekta partneriem)C"/>
    <x v="31"/>
    <x v="50"/>
    <n v="0"/>
    <m/>
    <m/>
    <m/>
    <n v="0"/>
    <m/>
  </r>
  <r>
    <m/>
    <s v="Projekti"/>
    <m/>
    <s v="0844.1 SAM 5.5.1. Kultūras objektu būvniecība (maksājumi projekta partneriem)C"/>
    <x v="31"/>
    <x v="11"/>
    <m/>
    <n v="0"/>
    <m/>
    <m/>
    <m/>
    <n v="0"/>
  </r>
  <r>
    <m/>
    <s v="Projekti"/>
    <s v="0844.3"/>
    <s v="0844.3 &quot;Carnikavas novadpētniecības centra Saimes mājas ekspozīcijas pamatnes atjaunošana&quot; LEADER"/>
    <x v="32"/>
    <x v="50"/>
    <n v="3600"/>
    <m/>
    <m/>
    <m/>
    <n v="9900"/>
    <m/>
  </r>
  <r>
    <m/>
    <s v="Projekti"/>
    <m/>
    <s v="0844.3 &quot;Carnikavas novadpētniecības centra Saimes mājas ekspozīcijas pamatnes atjaunošana&quot; LEADER"/>
    <x v="32"/>
    <x v="11"/>
    <m/>
    <n v="3600"/>
    <m/>
    <m/>
    <m/>
    <n v="9900"/>
  </r>
  <r>
    <m/>
    <s v="Bāze"/>
    <s v="0901"/>
    <s v="0901 Carnikavas PII &quot;Riekstiņš&quot;"/>
    <x v="36"/>
    <x v="101"/>
    <n v="0"/>
    <m/>
    <n v="13"/>
    <m/>
    <n v="0"/>
    <m/>
  </r>
  <r>
    <m/>
    <s v="Bāze"/>
    <m/>
    <s v="0901 Carnikavas PII &quot;Riekstiņš&quot;"/>
    <x v="36"/>
    <x v="101"/>
    <m/>
    <n v="0"/>
    <m/>
    <m/>
    <m/>
    <n v="0"/>
  </r>
  <r>
    <m/>
    <s v="Bāze"/>
    <s v="0901"/>
    <s v="0901 Carnikavas PII &quot;Riekstiņš&quot;"/>
    <x v="43"/>
    <x v="118"/>
    <n v="23000"/>
    <m/>
    <n v="17546"/>
    <m/>
    <n v="9"/>
    <m/>
  </r>
  <r>
    <m/>
    <s v="Bāze"/>
    <m/>
    <s v="0901 Carnikavas PII &quot;Riekstiņš&quot;"/>
    <x v="43"/>
    <x v="11"/>
    <m/>
    <n v="23000"/>
    <m/>
    <m/>
    <m/>
    <n v="23000"/>
  </r>
  <r>
    <m/>
    <s v="Bāze"/>
    <m/>
    <s v="0901 Carnikavas PII &quot;Riekstiņš&quot;"/>
    <x v="43"/>
    <x v="119"/>
    <m/>
    <m/>
    <m/>
    <m/>
    <m/>
    <n v="-22991"/>
  </r>
  <r>
    <m/>
    <s v="Bāze"/>
    <s v="0901"/>
    <s v="0901 Carnikavas PII &quot;Riekstiņš&quot;"/>
    <x v="33"/>
    <x v="74"/>
    <n v="7500"/>
    <m/>
    <n v="6944.99"/>
    <m/>
    <n v="7500"/>
    <m/>
  </r>
  <r>
    <m/>
    <s v="Bāze"/>
    <m/>
    <s v="0901 Carnikavas PII &quot;Riekstiņš&quot;"/>
    <x v="33"/>
    <x v="11"/>
    <m/>
    <n v="7500"/>
    <m/>
    <m/>
    <m/>
    <n v="7500"/>
  </r>
  <r>
    <m/>
    <s v="Bāze"/>
    <s v="0901"/>
    <s v="0901 Carnikavas PII &quot;Riekstiņš&quot;"/>
    <x v="22"/>
    <x v="30"/>
    <n v="0"/>
    <m/>
    <n v="0"/>
    <m/>
    <n v="0"/>
    <m/>
  </r>
  <r>
    <m/>
    <s v="Bāze"/>
    <m/>
    <s v="0901 Carnikavas PII &quot;Riekstiņš&quot;"/>
    <x v="22"/>
    <x v="120"/>
    <m/>
    <m/>
    <m/>
    <m/>
    <m/>
    <m/>
  </r>
  <r>
    <m/>
    <s v="Mērķdotācija"/>
    <s v="09011"/>
    <s v="09011 Carnikavas PII &quot;Riekstiņš&quot; (VB mērķdotācija)"/>
    <x v="44"/>
    <x v="121"/>
    <n v="198072"/>
    <m/>
    <n v="132048"/>
    <m/>
    <n v="192779"/>
    <m/>
  </r>
  <r>
    <m/>
    <s v="Mērķdotācija"/>
    <m/>
    <s v="09011 Carnikavas PII &quot;Riekstiņš&quot; (VB mērķdotācija)"/>
    <x v="44"/>
    <x v="11"/>
    <m/>
    <n v="198072"/>
    <m/>
    <m/>
    <m/>
    <n v="192779"/>
  </r>
  <r>
    <m/>
    <s v="Mērķdotācija"/>
    <s v="09011"/>
    <s v="09011 Carnikavas PII &quot;Riekstiņš&quot; (VB mērķdotācija)"/>
    <x v="45"/>
    <x v="122"/>
    <n v="3703"/>
    <m/>
    <n v="0"/>
    <m/>
    <n v="0"/>
    <m/>
  </r>
  <r>
    <m/>
    <s v="Mērķdotācija"/>
    <m/>
    <s v="09011 Carnikavas PII &quot;Riekstiņš&quot; (VB mērķdotācija)"/>
    <x v="45"/>
    <x v="11"/>
    <m/>
    <n v="3703"/>
    <m/>
    <m/>
    <m/>
    <m/>
  </r>
  <r>
    <m/>
    <s v="Projekti"/>
    <s v="09012"/>
    <s v="09012 - STEM un pilsoniskās līdzdalības norises plašākai izglītības pieredzei un karjeras izvēlei (PII Riekstiņš)"/>
    <x v="31"/>
    <x v="50"/>
    <n v="2331"/>
    <m/>
    <n v="0"/>
    <m/>
    <n v="231"/>
    <m/>
  </r>
  <r>
    <m/>
    <s v="Projekti"/>
    <m/>
    <s v="09012 - STEM un pilsoniskās līdzdalības norises plašākai izglītības pieredzei un karjeras izvēlei (PII Riekstiņš)"/>
    <x v="31"/>
    <x v="11"/>
    <m/>
    <n v="2331"/>
    <m/>
    <m/>
    <m/>
    <n v="231"/>
  </r>
  <r>
    <m/>
    <s v="Bāze"/>
    <s v="0902"/>
    <s v="0902 Siguļu PII &quot;Piejūra&quot;"/>
    <x v="36"/>
    <x v="101"/>
    <n v="0"/>
    <m/>
    <n v="10.76"/>
    <m/>
    <n v="0"/>
    <m/>
  </r>
  <r>
    <m/>
    <s v="Bāze"/>
    <m/>
    <s v="0902 Siguļu PII &quot;Piejūra&quot;"/>
    <x v="36"/>
    <x v="101"/>
    <m/>
    <n v="0"/>
    <m/>
    <m/>
    <m/>
    <n v="0"/>
  </r>
  <r>
    <m/>
    <s v="Bāze"/>
    <s v="0902"/>
    <s v="0902 Siguļu PII &quot;Piejūra&quot;"/>
    <x v="43"/>
    <x v="118"/>
    <n v="8000"/>
    <m/>
    <n v="7673.46"/>
    <m/>
    <n v="258"/>
    <m/>
  </r>
  <r>
    <m/>
    <s v="Bāze"/>
    <m/>
    <s v="0902 Siguļu PII &quot;Piejūra&quot;"/>
    <x v="43"/>
    <x v="11"/>
    <m/>
    <n v="8000"/>
    <m/>
    <m/>
    <m/>
    <n v="8000"/>
  </r>
  <r>
    <m/>
    <s v="Bāze"/>
    <m/>
    <s v="0902 Siguļu PII &quot;Piejūra&quot;"/>
    <x v="43"/>
    <x v="119"/>
    <m/>
    <m/>
    <m/>
    <m/>
    <m/>
    <n v="-7742"/>
  </r>
  <r>
    <m/>
    <s v="Bāze"/>
    <s v="0902"/>
    <s v="0902 Siguļu PII &quot;Piejūra&quot;"/>
    <x v="33"/>
    <x v="74"/>
    <n v="5000"/>
    <m/>
    <n v="6895.01"/>
    <m/>
    <n v="6000"/>
    <m/>
  </r>
  <r>
    <m/>
    <s v="Bāze"/>
    <m/>
    <s v="0902 Siguļu PII &quot;Piejūra&quot;"/>
    <x v="33"/>
    <x v="11"/>
    <m/>
    <n v="5000"/>
    <m/>
    <m/>
    <m/>
    <n v="6000"/>
  </r>
  <r>
    <m/>
    <s v="Bāze"/>
    <s v="0902"/>
    <s v="0902 Siguļu PII &quot;Piejūra&quot;"/>
    <x v="22"/>
    <x v="30"/>
    <n v="0"/>
    <m/>
    <n v="0"/>
    <m/>
    <n v="0"/>
    <m/>
  </r>
  <r>
    <m/>
    <s v="Bāze"/>
    <m/>
    <s v="0902 Siguļu PII &quot;Piejūra&quot;"/>
    <x v="22"/>
    <x v="11"/>
    <m/>
    <m/>
    <m/>
    <m/>
    <m/>
    <m/>
  </r>
  <r>
    <m/>
    <s v="Mērķdotācija"/>
    <s v="09021"/>
    <s v="09021 Siguļu PII &quot;Piejūra&quot; (VB mērķdotācija)"/>
    <x v="44"/>
    <x v="121"/>
    <n v="262534"/>
    <m/>
    <n v="175022.3"/>
    <m/>
    <n v="210367"/>
    <m/>
  </r>
  <r>
    <m/>
    <s v="Mērķdotācija"/>
    <m/>
    <s v="09021 Siguļu PII &quot;Piejūra&quot; (VB mērķdotācija)"/>
    <x v="44"/>
    <x v="11"/>
    <m/>
    <n v="262534"/>
    <m/>
    <m/>
    <m/>
    <n v="210367"/>
  </r>
  <r>
    <m/>
    <s v="Mērķdotācija"/>
    <s v="09021"/>
    <s v="09021 Siguļu PII &quot;Piejūra&quot; (VB mērķdotācija)"/>
    <x v="45"/>
    <x v="122"/>
    <n v="4903"/>
    <m/>
    <m/>
    <m/>
    <n v="0"/>
    <m/>
  </r>
  <r>
    <m/>
    <s v="Mērķdotācija"/>
    <m/>
    <s v="09021 Siguļu PII &quot;Piejūra&quot; (VB mērķdotācija)"/>
    <x v="45"/>
    <x v="11"/>
    <m/>
    <n v="4903"/>
    <m/>
    <m/>
    <m/>
    <m/>
  </r>
  <r>
    <m/>
    <s v="Projekti"/>
    <s v="09022"/>
    <s v="09022 - STEM un pilsoniskās līdzdalības norises plašākai izglītības pieredzei un karjeras izvēlei (PII Piejūra)"/>
    <x v="31"/>
    <x v="50"/>
    <n v="3086"/>
    <m/>
    <n v="0"/>
    <m/>
    <n v="306"/>
    <m/>
  </r>
  <r>
    <m/>
    <s v="Projekti"/>
    <m/>
    <s v="09022 - STEM un pilsoniskās līdzdalības norises plašākai izglītības pieredzei un karjeras izvēlei (PII Piejūra)"/>
    <x v="31"/>
    <x v="11"/>
    <m/>
    <n v="3086"/>
    <m/>
    <m/>
    <m/>
    <n v="306"/>
  </r>
  <r>
    <m/>
    <s v="Projekti"/>
    <s v="0903"/>
    <s v="0903 Jaunas pirmsskolas izglītības iestādes Podniekos būvniecība"/>
    <x v="31"/>
    <x v="11"/>
    <n v="2500000"/>
    <m/>
    <n v="1000000"/>
    <m/>
    <n v="1403713.71"/>
    <m/>
  </r>
  <r>
    <m/>
    <s v="Projekti"/>
    <m/>
    <s v="0903 Jaunas pirmsskolas izglītības iestādes Podniekos būvniecība"/>
    <x v="31"/>
    <x v="123"/>
    <m/>
    <n v="2500000"/>
    <m/>
    <m/>
    <m/>
    <n v="1403713.71"/>
  </r>
  <r>
    <m/>
    <s v="Projekti"/>
    <s v="0905"/>
    <s v="0905 Izglītības iestāžu nodrošinājums pilnveidotā vispārējās izglītības satura kvalitatīvai ieviešanai Ādažu novadā"/>
    <x v="31"/>
    <x v="11"/>
    <m/>
    <m/>
    <m/>
    <m/>
    <n v="529141"/>
    <m/>
  </r>
  <r>
    <m/>
    <s v="Projekti"/>
    <m/>
    <s v="0905 Izglītības iestāžu nodrošinājums pilnveidotā vispārējās izglītības satura kvalitatīvai ieviešanai Ādažu novadā"/>
    <x v="31"/>
    <x v="124"/>
    <m/>
    <m/>
    <m/>
    <m/>
    <m/>
    <n v="529141"/>
  </r>
  <r>
    <m/>
    <s v="Bāze"/>
    <s v="0910"/>
    <s v="0910 Ādažu PII &quot;Strautiņš&quot;"/>
    <x v="36"/>
    <x v="101"/>
    <n v="0"/>
    <m/>
    <n v="4722.6400000000003"/>
    <m/>
    <n v="0"/>
    <m/>
  </r>
  <r>
    <m/>
    <s v="Bāze"/>
    <m/>
    <s v="0910 Ādažu PII &quot;Strautiņš&quot;"/>
    <x v="36"/>
    <x v="101"/>
    <m/>
    <n v="0"/>
    <m/>
    <m/>
    <m/>
    <n v="0"/>
  </r>
  <r>
    <m/>
    <s v="Bāze"/>
    <s v="0910"/>
    <s v="0910 Ādažu PII &quot;Strautiņš&quot;"/>
    <x v="43"/>
    <x v="118"/>
    <n v="17000"/>
    <m/>
    <n v="12579"/>
    <m/>
    <n v="56"/>
    <m/>
  </r>
  <r>
    <m/>
    <s v="Bāze"/>
    <m/>
    <s v="0910 Ādažu PII &quot;Strautiņš&quot;"/>
    <x v="43"/>
    <x v="11"/>
    <m/>
    <n v="17000"/>
    <m/>
    <m/>
    <m/>
    <n v="17000"/>
  </r>
  <r>
    <m/>
    <s v="Bāze"/>
    <m/>
    <s v="0910 Ādažu PII &quot;Strautiņš&quot;"/>
    <x v="43"/>
    <x v="119"/>
    <m/>
    <m/>
    <m/>
    <m/>
    <m/>
    <n v="-16944"/>
  </r>
  <r>
    <m/>
    <s v="Bāze"/>
    <s v="0910"/>
    <s v="0910 Ādažu PII &quot;Strautiņš&quot;"/>
    <x v="33"/>
    <x v="74"/>
    <n v="5000"/>
    <m/>
    <n v="7054.33"/>
    <m/>
    <n v="7000"/>
    <m/>
  </r>
  <r>
    <m/>
    <s v="Bāze"/>
    <m/>
    <s v="0910 Ādažu PII &quot;Strautiņš&quot;"/>
    <x v="33"/>
    <x v="11"/>
    <m/>
    <n v="5000"/>
    <m/>
    <m/>
    <m/>
    <n v="7000"/>
  </r>
  <r>
    <m/>
    <s v="Bāze"/>
    <s v="0910"/>
    <s v="0910 Ādažu PII &quot;Strautiņš&quot;"/>
    <x v="38"/>
    <x v="109"/>
    <n v="0"/>
    <m/>
    <n v="790.9"/>
    <m/>
    <n v="0"/>
    <m/>
  </r>
  <r>
    <m/>
    <s v="Bāze"/>
    <m/>
    <s v="0910 Ādažu PII &quot;Strautiņš&quot;"/>
    <x v="38"/>
    <x v="125"/>
    <m/>
    <n v="0"/>
    <m/>
    <m/>
    <m/>
    <n v="0"/>
  </r>
  <r>
    <m/>
    <s v="Mērķdotācija"/>
    <s v="0911"/>
    <s v="0911 Ādažu PII (VB mērķdotācija)"/>
    <x v="44"/>
    <x v="121"/>
    <n v="360643"/>
    <m/>
    <n v="240428.6"/>
    <m/>
    <n v="381878"/>
    <m/>
  </r>
  <r>
    <m/>
    <s v="Mērķdotācija"/>
    <m/>
    <s v="0911 Ādažu PII (VB mērķdotācija)"/>
    <x v="44"/>
    <x v="11"/>
    <m/>
    <n v="360643"/>
    <m/>
    <m/>
    <m/>
    <n v="381878"/>
  </r>
  <r>
    <m/>
    <s v="Mērķdotācija"/>
    <s v="0911"/>
    <s v="0911 Ādažu PII (VB mērķdotācija)"/>
    <x v="45"/>
    <x v="122"/>
    <n v="6809"/>
    <m/>
    <m/>
    <m/>
    <n v="0"/>
    <m/>
  </r>
  <r>
    <m/>
    <s v="Mērķdotācija"/>
    <m/>
    <s v="0911 Ādažu PII (VB mērķdotācija)"/>
    <x v="45"/>
    <x v="11"/>
    <m/>
    <n v="6809"/>
    <m/>
    <m/>
    <m/>
    <m/>
  </r>
  <r>
    <m/>
    <s v="Projekti"/>
    <s v="0912"/>
    <s v="0912 - STEM un pilsoniskās līdzdalības norises plašākai izglītības pieredzei un karjeras izvēlei (PII Strautiņš)"/>
    <x v="31"/>
    <x v="50"/>
    <n v="4307"/>
    <m/>
    <n v="0"/>
    <m/>
    <n v="427"/>
    <m/>
  </r>
  <r>
    <m/>
    <s v="Projekti"/>
    <m/>
    <s v="0912 - STEM un pilsoniskās līdzdalības norises plašākai izglītības pieredzei un karjeras izvēlei (PII Strautiņš)"/>
    <x v="31"/>
    <x v="11"/>
    <m/>
    <n v="4307"/>
    <m/>
    <m/>
    <m/>
    <n v="427"/>
  </r>
  <r>
    <m/>
    <s v="Bāze"/>
    <s v="0920"/>
    <s v="0920 Kadagas PII &quot;Mežavēji&quot;"/>
    <x v="36"/>
    <x v="101"/>
    <n v="0"/>
    <m/>
    <n v="0.79"/>
    <m/>
    <n v="0"/>
    <m/>
  </r>
  <r>
    <m/>
    <s v="Bāze"/>
    <m/>
    <s v="0920 Kadagas PII &quot;Mežavēji&quot;"/>
    <x v="36"/>
    <x v="101"/>
    <m/>
    <n v="0"/>
    <m/>
    <m/>
    <m/>
    <n v="0"/>
  </r>
  <r>
    <m/>
    <s v="Bāze"/>
    <s v="0920"/>
    <s v="0920 Kadagas PII &quot;Mežavēji&quot;"/>
    <x v="43"/>
    <x v="118"/>
    <n v="13000"/>
    <m/>
    <n v="8907"/>
    <m/>
    <n v="1373"/>
    <m/>
  </r>
  <r>
    <m/>
    <s v="Bāze"/>
    <m/>
    <s v="0920 Kadagas PII &quot;Mežavēji&quot;"/>
    <x v="43"/>
    <x v="11"/>
    <m/>
    <n v="13000"/>
    <m/>
    <m/>
    <m/>
    <n v="13000"/>
  </r>
  <r>
    <m/>
    <s v="Bāze"/>
    <m/>
    <s v="0920 Kadagas PII &quot;Mežavēji&quot;"/>
    <x v="43"/>
    <x v="119"/>
    <m/>
    <m/>
    <m/>
    <m/>
    <m/>
    <n v="-11627"/>
  </r>
  <r>
    <m/>
    <s v="Bāze"/>
    <s v="0920"/>
    <s v="0920 Kadagas PII &quot;Mežavēji&quot;"/>
    <x v="33"/>
    <x v="74"/>
    <n v="5000"/>
    <m/>
    <n v="5111.8500000000004"/>
    <m/>
    <n v="5000"/>
    <m/>
  </r>
  <r>
    <m/>
    <s v="Bāze"/>
    <m/>
    <s v="0920 Kadagas PII &quot;Mežavēji&quot;"/>
    <x v="33"/>
    <x v="11"/>
    <m/>
    <n v="5000"/>
    <m/>
    <m/>
    <m/>
    <n v="5000"/>
  </r>
  <r>
    <m/>
    <s v="Bāze"/>
    <s v="0920"/>
    <s v="0920 Kadagas PII &quot;Mežavēji&quot;"/>
    <x v="38"/>
    <x v="109"/>
    <n v="0"/>
    <m/>
    <n v="409"/>
    <m/>
    <n v="0"/>
    <m/>
  </r>
  <r>
    <m/>
    <s v="Bāze"/>
    <m/>
    <s v="0920 Kadagas PII &quot;Mežavēji&quot;"/>
    <x v="38"/>
    <x v="125"/>
    <m/>
    <n v="0"/>
    <m/>
    <m/>
    <m/>
    <n v="0"/>
  </r>
  <r>
    <m/>
    <s v="Bāze"/>
    <s v="0920"/>
    <s v="0920 Kadagas PII &quot;Mežavēji&quot;"/>
    <x v="22"/>
    <x v="30"/>
    <n v="0"/>
    <m/>
    <n v="0"/>
    <m/>
    <n v="0"/>
    <m/>
  </r>
  <r>
    <m/>
    <s v="Bāze"/>
    <m/>
    <s v="0920 Kadagas PII &quot;Mežavēji&quot;"/>
    <x v="22"/>
    <x v="11"/>
    <m/>
    <m/>
    <m/>
    <m/>
    <m/>
    <m/>
  </r>
  <r>
    <m/>
    <s v="Mērķdotācija"/>
    <s v="0921"/>
    <s v="0921 Kadagas PII (VB mērķdotācija)"/>
    <x v="44"/>
    <x v="121"/>
    <n v="144693"/>
    <m/>
    <n v="96462.13"/>
    <m/>
    <n v="166596"/>
    <m/>
  </r>
  <r>
    <m/>
    <s v="Mērķdotācija"/>
    <m/>
    <s v="0921 Kadagas PII (VB mērķdotācija)"/>
    <x v="44"/>
    <x v="11"/>
    <m/>
    <n v="144693"/>
    <m/>
    <m/>
    <m/>
    <n v="166596"/>
  </r>
  <r>
    <m/>
    <s v="Mērķdotācija"/>
    <s v="0921"/>
    <s v="0921 Kadagas PII (VB mērķdotācija)"/>
    <x v="45"/>
    <x v="122"/>
    <n v="2646"/>
    <m/>
    <n v="0"/>
    <m/>
    <n v="0"/>
    <m/>
  </r>
  <r>
    <m/>
    <s v="Mērķdotācija"/>
    <m/>
    <s v="0921 Kadagas PII (VB mērķdotācija)"/>
    <x v="45"/>
    <x v="11"/>
    <m/>
    <n v="2646"/>
    <m/>
    <m/>
    <m/>
    <m/>
  </r>
  <r>
    <m/>
    <s v="Projekti"/>
    <s v="0922"/>
    <s v="0922 - STEM un pilsoniskās līdzdalības norises plašākai izglītības pieredzei un karjeras izvēlei (PII Mežavēji)"/>
    <x v="31"/>
    <x v="50"/>
    <n v="0"/>
    <m/>
    <n v="0"/>
    <m/>
    <n v="1643"/>
    <m/>
  </r>
  <r>
    <m/>
    <s v="Projekti"/>
    <m/>
    <s v="0922 - STEM un pilsoniskās līdzdalības norises plašākai izglītības pieredzei un karjeras izvēlei (PII Mežavēji)"/>
    <x v="31"/>
    <x v="11"/>
    <m/>
    <n v="0"/>
    <m/>
    <m/>
    <m/>
    <n v="163"/>
  </r>
  <r>
    <m/>
    <s v="Projekti"/>
    <s v="0930"/>
    <s v="0930 Izglītības un jaunatnes nodaļa"/>
    <x v="20"/>
    <x v="24"/>
    <n v="12291"/>
    <m/>
    <n v="2193"/>
    <m/>
    <n v="12291"/>
    <m/>
  </r>
  <r>
    <m/>
    <s v="Projekti"/>
    <m/>
    <s v="0930 Izglītības un jaunatnes nodaļa"/>
    <x v="20"/>
    <x v="126"/>
    <m/>
    <n v="4455"/>
    <m/>
    <m/>
    <m/>
    <n v="4455"/>
  </r>
  <r>
    <m/>
    <s v="Projekti"/>
    <m/>
    <s v="0930 Izglītības un jaunatnes nodaļa"/>
    <x v="20"/>
    <x v="127"/>
    <m/>
    <n v="5643"/>
    <m/>
    <m/>
    <m/>
    <n v="5643"/>
  </r>
  <r>
    <m/>
    <s v="Projekti"/>
    <m/>
    <s v="0930 Izglītības un jaunatnes nodaļa"/>
    <x v="20"/>
    <x v="128"/>
    <m/>
    <n v="2193"/>
    <n v="2193"/>
    <m/>
    <m/>
    <n v="2193"/>
  </r>
  <r>
    <m/>
    <s v="Projekti"/>
    <s v="0930"/>
    <s v="0930 Izglītības un jaunatnes nodaļa"/>
    <x v="46"/>
    <x v="129"/>
    <n v="0"/>
    <m/>
    <n v="0"/>
    <m/>
    <n v="0"/>
    <m/>
  </r>
  <r>
    <m/>
    <s v="Projekti"/>
    <m/>
    <s v="0930 Izglītības un jaunatnes nodaļa"/>
    <x v="46"/>
    <x v="130"/>
    <m/>
    <m/>
    <m/>
    <m/>
    <m/>
    <m/>
  </r>
  <r>
    <m/>
    <s v="Projekti"/>
    <s v="0930"/>
    <s v="0930 Izglītības un jaunatnes nodaļa"/>
    <x v="47"/>
    <x v="63"/>
    <n v="1500"/>
    <m/>
    <n v="0"/>
    <m/>
    <n v="1500"/>
    <m/>
  </r>
  <r>
    <m/>
    <s v="Projekti"/>
    <m/>
    <s v="0930 Izglītības un jaunatnes nodaļa"/>
    <x v="47"/>
    <x v="131"/>
    <m/>
    <n v="1500"/>
    <m/>
    <m/>
    <m/>
    <n v="1500"/>
  </r>
  <r>
    <m/>
    <s v="Bāze"/>
    <s v="0930"/>
    <s v="0930 Izglītības un jaunatnes nodaļa"/>
    <x v="22"/>
    <x v="30"/>
    <n v="1600"/>
    <m/>
    <n v="4707"/>
    <m/>
    <n v="4500"/>
    <m/>
  </r>
  <r>
    <m/>
    <s v="Bāze"/>
    <m/>
    <s v="0930 Izglītības un jaunatnes nodaļa"/>
    <x v="22"/>
    <x v="132"/>
    <m/>
    <n v="1600"/>
    <m/>
    <m/>
    <m/>
    <n v="4500"/>
  </r>
  <r>
    <m/>
    <s v="Mērķdotācija"/>
    <s v="0930.2"/>
    <s v="0930.2 Jaunatnes nodaļa"/>
    <x v="48"/>
    <x v="133"/>
    <n v="23532"/>
    <m/>
    <n v="23710.48"/>
    <m/>
    <n v="30420"/>
    <m/>
  </r>
  <r>
    <m/>
    <s v="Mērķdotācija"/>
    <m/>
    <s v="0930.2 Jaunatnes nodaļa"/>
    <x v="48"/>
    <x v="11"/>
    <m/>
    <n v="23532"/>
    <m/>
    <m/>
    <m/>
    <n v="30420"/>
  </r>
  <r>
    <m/>
    <s v="Projekti"/>
    <s v="0932"/>
    <s v="0932  Projekts Digitālā darba ar jaunatni sistēmas attīstība pašvaldībā"/>
    <x v="31"/>
    <x v="134"/>
    <n v="30428"/>
    <m/>
    <n v="10142.27"/>
    <m/>
    <n v="714"/>
    <m/>
  </r>
  <r>
    <m/>
    <s v="Projekti"/>
    <m/>
    <s v="0932  Projekts Digitālā darba ar jaunatni sistēmas attīstība pašvaldībā"/>
    <x v="31"/>
    <x v="135"/>
    <m/>
    <n v="30428"/>
    <m/>
    <m/>
    <m/>
    <n v="714"/>
  </r>
  <r>
    <m/>
    <s v="Projekti"/>
    <s v="0934"/>
    <s v="0934 Pedagogu profesionālā atbalsta sistēmas izveide"/>
    <x v="31"/>
    <x v="50"/>
    <n v="50419"/>
    <m/>
    <n v="44617.69"/>
    <m/>
    <n v="50419"/>
    <m/>
  </r>
  <r>
    <m/>
    <s v="Projekti"/>
    <m/>
    <s v="0934 Pedagogu profesionālā atbalsta sistēmas izveide"/>
    <x v="31"/>
    <x v="136"/>
    <m/>
    <n v="35581"/>
    <m/>
    <m/>
    <m/>
    <n v="35581"/>
  </r>
  <r>
    <m/>
    <s v="Projekti"/>
    <m/>
    <s v="0934 Pedagogu profesionālā atbalsta sistēmas izveide"/>
    <x v="31"/>
    <x v="137"/>
    <m/>
    <n v="14838"/>
    <m/>
    <m/>
    <m/>
    <n v="14838"/>
  </r>
  <r>
    <m/>
    <s v="Projekti"/>
    <s v="0935"/>
    <s v="0935 Atbalsts jaunatnes politikas īstenošanai vietējā līmenī"/>
    <x v="20"/>
    <x v="138"/>
    <n v="8781"/>
    <m/>
    <n v="8780.9599999999991"/>
    <m/>
    <n v="0"/>
    <m/>
  </r>
  <r>
    <m/>
    <s v="Projekti"/>
    <m/>
    <s v="0935 Atbalsts jaunatnes politikas īstenošanai vietējā līmenī"/>
    <x v="20"/>
    <x v="139"/>
    <m/>
    <n v="8781"/>
    <m/>
    <m/>
    <m/>
    <m/>
  </r>
  <r>
    <m/>
    <s v="Projekti"/>
    <s v="0936"/>
    <s v="0936 Skola- kopienā  "/>
    <x v="31"/>
    <x v="140"/>
    <n v="38003"/>
    <m/>
    <m/>
    <m/>
    <n v="41749"/>
    <m/>
  </r>
  <r>
    <m/>
    <s v="Projekti"/>
    <m/>
    <s v="0936 Skola- kopienā  "/>
    <x v="31"/>
    <x v="141"/>
    <m/>
    <n v="38003"/>
    <m/>
    <m/>
    <m/>
    <n v="41749"/>
  </r>
  <r>
    <m/>
    <s v="Projekti"/>
    <s v="0937"/>
    <s v="0937 &quot;Bērnu un jauniešu centra izveide Ādažos&quot;"/>
    <x v="32"/>
    <x v="63"/>
    <n v="0"/>
    <m/>
    <n v="6749.8"/>
    <m/>
    <n v="20249.41"/>
    <m/>
  </r>
  <r>
    <m/>
    <s v="Projekti"/>
    <m/>
    <s v="0937 &quot;Bērnu un jauniešu centra izveide Ādažos&quot;"/>
    <x v="32"/>
    <x v="142"/>
    <m/>
    <n v="0"/>
    <m/>
    <m/>
    <m/>
    <n v="20249.41"/>
  </r>
  <r>
    <m/>
    <s v="Bāze"/>
    <s v="0940.1"/>
    <s v="0940.1 Pašvaldību savstarpējie norēķini izglīt.funkc.nodrošināšanai"/>
    <x v="49"/>
    <x v="143"/>
    <n v="350000"/>
    <m/>
    <n v="246119.54"/>
    <m/>
    <n v="355000"/>
    <m/>
  </r>
  <r>
    <m/>
    <s v="Bāze"/>
    <m/>
    <s v="0940.1 Pašvaldību savstarpējie norēķini izglīt.funkc.nodrošināšanai"/>
    <x v="49"/>
    <x v="143"/>
    <m/>
    <n v="350000"/>
    <m/>
    <m/>
    <m/>
    <n v="355000"/>
  </r>
  <r>
    <m/>
    <s v="Bāze"/>
    <s v="0950"/>
    <s v="0950 Ādažu vidusskola"/>
    <x v="33"/>
    <x v="74"/>
    <n v="7000"/>
    <m/>
    <n v="7256.25"/>
    <m/>
    <n v="7000"/>
    <m/>
  </r>
  <r>
    <m/>
    <s v="Bāze"/>
    <m/>
    <s v="0950 Ādažu vidusskola"/>
    <x v="33"/>
    <x v="11"/>
    <m/>
    <n v="7000"/>
    <m/>
    <m/>
    <m/>
    <n v="7000"/>
  </r>
  <r>
    <m/>
    <s v="Bāze"/>
    <s v="0950"/>
    <s v="0950 Ādažu vidusskola"/>
    <x v="22"/>
    <x v="30"/>
    <n v="0"/>
    <m/>
    <n v="34.5"/>
    <m/>
    <n v="35"/>
    <m/>
  </r>
  <r>
    <m/>
    <s v="Bāze"/>
    <m/>
    <s v="0950 Ādažu vidusskola"/>
    <x v="22"/>
    <x v="144"/>
    <m/>
    <n v="0"/>
    <n v="0"/>
    <m/>
    <m/>
    <n v="35"/>
  </r>
  <r>
    <m/>
    <s v="Projekti"/>
    <s v="0951"/>
    <s v="0951 Projekts &quot;Skolas soma&quot;"/>
    <x v="50"/>
    <x v="145"/>
    <n v="37535"/>
    <m/>
    <n v="17145.78"/>
    <m/>
    <n v="42000"/>
    <m/>
  </r>
  <r>
    <m/>
    <s v="Projekti"/>
    <m/>
    <s v="0951 Projekts &quot;Skolas soma&quot;"/>
    <x v="50"/>
    <x v="11"/>
    <m/>
    <n v="37535"/>
    <n v="0"/>
    <m/>
    <m/>
    <n v="42000"/>
  </r>
  <r>
    <m/>
    <s v="Mērķdotācija"/>
    <s v="09521"/>
    <s v="0952.1 PII ĀVS (VB mērķdotācija)"/>
    <x v="44"/>
    <x v="121"/>
    <n v="99926"/>
    <m/>
    <n v="66617.97"/>
    <m/>
    <n v="45627"/>
    <m/>
  </r>
  <r>
    <m/>
    <s v="Mērķdotācija"/>
    <m/>
    <s v="0952.1 PII ĀVS (VB mērķdotācija)"/>
    <x v="44"/>
    <x v="11"/>
    <m/>
    <n v="99926"/>
    <m/>
    <m/>
    <m/>
    <n v="45627"/>
  </r>
  <r>
    <m/>
    <s v="Mērķdotācija"/>
    <s v="09521"/>
    <s v="0952.1 PII ĀVS (VB mērķdotācija)"/>
    <x v="45"/>
    <x v="122"/>
    <n v="1940"/>
    <m/>
    <m/>
    <m/>
    <n v="0"/>
    <m/>
  </r>
  <r>
    <m/>
    <s v="Mērķdotācija"/>
    <m/>
    <s v="0952.1 PII ĀVS (VB mērķdotācija)"/>
    <x v="45"/>
    <x v="11"/>
    <m/>
    <n v="1940"/>
    <m/>
    <m/>
    <m/>
    <m/>
  </r>
  <r>
    <m/>
    <s v="Projekti"/>
    <s v="09522"/>
    <s v="09522 STEM un pilsoniskās līdzdalības norises plašākai izglītības pieredzei un karjeras izvēlei (Ādažu vidusskolas PII)"/>
    <x v="31"/>
    <x v="50"/>
    <n v="1221"/>
    <m/>
    <n v="0"/>
    <m/>
    <n v="121"/>
    <m/>
  </r>
  <r>
    <m/>
    <s v="Projekti"/>
    <m/>
    <s v="09522 STEM un pilsoniskās līdzdalības norises plašākai izglītības pieredzei un karjeras izvēlei (Ādažu vidusskolas PII)"/>
    <x v="31"/>
    <x v="11"/>
    <m/>
    <n v="1221"/>
    <m/>
    <m/>
    <m/>
    <n v="121"/>
  </r>
  <r>
    <m/>
    <s v="Projekti"/>
    <s v="0953"/>
    <s v="0953 STEM un pilsoniskās līdzdalības norises plašākai izglītības pieredzei un karjeras izvēlei (Ādažu vidusskola)"/>
    <x v="31"/>
    <x v="50"/>
    <n v="45754"/>
    <m/>
    <n v="0"/>
    <m/>
    <n v="4534"/>
    <m/>
  </r>
  <r>
    <m/>
    <s v="Projekti"/>
    <m/>
    <s v="0953 STEM un pilsoniskās līdzdalības norises plašākai izglītības pieredzei un karjeras izvēlei (Ādažu vidusskola)"/>
    <x v="31"/>
    <x v="11"/>
    <m/>
    <n v="45754"/>
    <m/>
    <m/>
    <m/>
    <n v="4534"/>
  </r>
  <r>
    <m/>
    <s v="Mērķdotācija"/>
    <s v="0954"/>
    <s v="0954 Ādažu vidusskola (VB mērķdotācija)"/>
    <x v="51"/>
    <x v="146"/>
    <n v="4181087"/>
    <m/>
    <n v="2787390.7"/>
    <m/>
    <n v="4483422"/>
    <m/>
  </r>
  <r>
    <m/>
    <s v="Mērķdotācija"/>
    <m/>
    <s v="0954 Ādažu vidusskola (VB mērķdotācija)"/>
    <x v="51"/>
    <x v="147"/>
    <m/>
    <n v="4170168"/>
    <m/>
    <m/>
    <m/>
    <n v="4475976"/>
  </r>
  <r>
    <m/>
    <s v="Mērķdotācija"/>
    <m/>
    <s v="0954 Ādažu vidusskola (VB mērķdotācija)"/>
    <x v="51"/>
    <x v="148"/>
    <m/>
    <n v="10919"/>
    <m/>
    <m/>
    <m/>
    <n v="7446"/>
  </r>
  <r>
    <m/>
    <s v="Mērķdotācija"/>
    <s v="0954"/>
    <s v="0954 Ādažu vidusskola (VB mērķdotācija)"/>
    <x v="45"/>
    <x v="122"/>
    <n v="72988"/>
    <m/>
    <n v="121179.72"/>
    <m/>
    <n v="0"/>
    <m/>
  </r>
  <r>
    <m/>
    <s v="Mērķdotācija"/>
    <m/>
    <s v="0954 Ādažu vidusskola (VB mērķdotācija)"/>
    <x v="45"/>
    <x v="11"/>
    <m/>
    <n v="72988"/>
    <m/>
    <m/>
    <m/>
    <n v="0"/>
  </r>
  <r>
    <m/>
    <s v="Mērķdotācija"/>
    <s v="0954"/>
    <s v="0954 Ādažu vidusskola (VB mērķdotācija)"/>
    <x v="52"/>
    <x v="149"/>
    <n v="194514"/>
    <m/>
    <n v="134801.25"/>
    <m/>
    <n v="236949"/>
    <m/>
  </r>
  <r>
    <m/>
    <s v="Mērķdotācija"/>
    <m/>
    <s v="0954 Ādažu vidusskola (VB mērķdotācija)"/>
    <x v="52"/>
    <x v="11"/>
    <m/>
    <n v="194514"/>
    <m/>
    <m/>
    <m/>
    <n v="236949"/>
  </r>
  <r>
    <m/>
    <s v="Mērķdotācija"/>
    <s v="0954.1"/>
    <s v="0954.1 Ādažu vidusskola (VB mērķdotācija - interešu izglītība)"/>
    <x v="51"/>
    <x v="146"/>
    <n v="390703"/>
    <m/>
    <n v="260468.77"/>
    <m/>
    <n v="418235"/>
    <m/>
  </r>
  <r>
    <m/>
    <s v="Mērķdotācija"/>
    <m/>
    <s v="0954.1 Ādažu vidusskola (VB mērķdotācija - interešu izglītība)"/>
    <x v="51"/>
    <x v="150"/>
    <m/>
    <n v="205677"/>
    <m/>
    <m/>
    <m/>
    <n v="285496"/>
  </r>
  <r>
    <m/>
    <s v="Mērķdotācija"/>
    <m/>
    <s v="0954.1 Ādažu vidusskola (VB mērķdotācija - interešu izglītība)"/>
    <x v="51"/>
    <x v="151"/>
    <m/>
    <n v="115112"/>
    <m/>
    <m/>
    <m/>
    <n v="132739"/>
  </r>
  <r>
    <m/>
    <s v="Mērķdotācija"/>
    <m/>
    <s v="0954.1 Ādažu vidusskola (VB mērķdotācija - interešu izglītība)"/>
    <x v="51"/>
    <x v="152"/>
    <m/>
    <n v="59839"/>
    <m/>
    <m/>
    <m/>
    <m/>
  </r>
  <r>
    <m/>
    <s v="Mērķdotācija"/>
    <m/>
    <s v="0954.1 Ādažu vidusskola (VB mērķdotācija - interešu izglītība)"/>
    <x v="51"/>
    <x v="153"/>
    <m/>
    <n v="10075"/>
    <m/>
    <m/>
    <m/>
    <m/>
  </r>
  <r>
    <m/>
    <s v="Projekti"/>
    <s v="0957"/>
    <s v="0957 Projekts &quot;ERASMUS+&quot; Ādažu vsk."/>
    <x v="47"/>
    <x v="154"/>
    <n v="34052"/>
    <m/>
    <n v="73181.600000000006"/>
    <m/>
    <n v="0"/>
    <m/>
  </r>
  <r>
    <m/>
    <s v="Projekti"/>
    <m/>
    <s v="0957 Projekts &quot;ERASMUS+&quot; Ādažu vsk."/>
    <x v="47"/>
    <x v="155"/>
    <m/>
    <n v="34052"/>
    <m/>
    <m/>
    <m/>
    <n v="0"/>
  </r>
  <r>
    <m/>
    <s v="Bāze"/>
    <s v="0960"/>
    <s v="0960 Ādažu novada Mākslu skola"/>
    <x v="36"/>
    <x v="101"/>
    <n v="0"/>
    <m/>
    <n v="262"/>
    <m/>
    <n v="0"/>
    <m/>
  </r>
  <r>
    <m/>
    <s v="Bāze"/>
    <m/>
    <s v="0960 Ādažu novada Mākslu skola"/>
    <x v="36"/>
    <x v="101"/>
    <m/>
    <n v="0"/>
    <m/>
    <m/>
    <m/>
    <n v="0"/>
  </r>
  <r>
    <m/>
    <s v="Projekti"/>
    <s v="0960"/>
    <s v="0960 Ādažu novada Mākslu skola"/>
    <x v="20"/>
    <x v="24"/>
    <n v="0"/>
    <m/>
    <m/>
    <m/>
    <n v="0"/>
    <m/>
  </r>
  <r>
    <m/>
    <s v="Projekti"/>
    <m/>
    <s v="0960 Ādažu novada Mākslu skola"/>
    <x v="20"/>
    <x v="156"/>
    <m/>
    <m/>
    <m/>
    <m/>
    <m/>
    <m/>
  </r>
  <r>
    <m/>
    <s v="Bāze"/>
    <s v="0960"/>
    <s v="0960 Ādažu novada Mākslu skola"/>
    <x v="53"/>
    <x v="157"/>
    <n v="98000"/>
    <m/>
    <n v="79583"/>
    <m/>
    <n v="100000"/>
    <m/>
  </r>
  <r>
    <m/>
    <s v="Bāze"/>
    <m/>
    <s v="0960 Ādažu novada Mākslu skola"/>
    <x v="53"/>
    <x v="157"/>
    <m/>
    <n v="98000"/>
    <m/>
    <m/>
    <m/>
    <n v="100000"/>
  </r>
  <r>
    <m/>
    <s v="Bāze"/>
    <s v="0960"/>
    <s v="0960 Ādažu novada Mākslu skola"/>
    <x v="33"/>
    <x v="74"/>
    <n v="1850.3"/>
    <m/>
    <n v="1811.37"/>
    <m/>
    <n v="1850.3"/>
    <m/>
  </r>
  <r>
    <m/>
    <s v="Bāze"/>
    <m/>
    <s v="0960 Ādažu novada Mākslu skola"/>
    <x v="33"/>
    <x v="158"/>
    <m/>
    <n v="1850.3"/>
    <m/>
    <m/>
    <m/>
    <n v="1850.3"/>
  </r>
  <r>
    <m/>
    <s v="Bāze"/>
    <s v="0960"/>
    <s v="0960 Ādažu novada Mākslu skola"/>
    <x v="22"/>
    <x v="30"/>
    <n v="1250"/>
    <m/>
    <n v="2650"/>
    <m/>
    <n v="2500"/>
    <m/>
  </r>
  <r>
    <m/>
    <s v="Bāze"/>
    <m/>
    <s v="0960 Ādažu novada Mākslu skola"/>
    <x v="22"/>
    <x v="159"/>
    <m/>
    <n v="1250"/>
    <m/>
    <m/>
    <m/>
    <n v="2500"/>
  </r>
  <r>
    <m/>
    <s v="Mērķdotācija"/>
    <s v="0962"/>
    <s v="0962 Ādažu novada Mākslu skola (VB mērķdotācija)"/>
    <x v="54"/>
    <x v="160"/>
    <n v="833236"/>
    <m/>
    <n v="550412"/>
    <m/>
    <n v="792241"/>
    <m/>
  </r>
  <r>
    <m/>
    <s v="Mērķdotācija"/>
    <m/>
    <s v="0962 Ādažu novada Mākslu skola (VB mērķdotācija)"/>
    <x v="54"/>
    <x v="160"/>
    <m/>
    <n v="718764"/>
    <m/>
    <m/>
    <m/>
    <n v="792241"/>
  </r>
  <r>
    <m/>
    <s v="Mērķdotācija"/>
    <m/>
    <s v="0962 Ādažu novada Mākslu skola (VB mērķdotācija)"/>
    <x v="54"/>
    <x v="161"/>
    <m/>
    <n v="114472"/>
    <m/>
    <m/>
    <m/>
    <m/>
  </r>
  <r>
    <m/>
    <s v="Bāze"/>
    <s v="0965"/>
    <s v="0965 Ādažu Bērnu un jaunatnes sporta skola"/>
    <x v="36"/>
    <x v="101"/>
    <n v="0"/>
    <m/>
    <n v="214"/>
    <m/>
    <n v="0"/>
    <m/>
  </r>
  <r>
    <m/>
    <s v="Bāze"/>
    <m/>
    <s v="0965 Ādažu Bērnu un jaunatnes sporta skola"/>
    <x v="36"/>
    <x v="11"/>
    <m/>
    <m/>
    <m/>
    <m/>
    <m/>
    <m/>
  </r>
  <r>
    <m/>
    <s v="Bāze"/>
    <s v="0965"/>
    <s v="0965 Ādažu Bērnu un jaunatnes sporta skola"/>
    <x v="53"/>
    <x v="157"/>
    <n v="60800"/>
    <m/>
    <n v="45830"/>
    <m/>
    <n v="62800"/>
    <m/>
  </r>
  <r>
    <m/>
    <s v="Bāze"/>
    <m/>
    <s v="0965 Ādažu Bērnu un jaunatnes sporta skola"/>
    <x v="53"/>
    <x v="11"/>
    <m/>
    <n v="60800"/>
    <m/>
    <m/>
    <m/>
    <n v="62800"/>
  </r>
  <r>
    <m/>
    <s v="Bāze"/>
    <s v="0965"/>
    <s v="0965 Ādažu Bērnu un jaunatnes sporta skola"/>
    <x v="39"/>
    <x v="110"/>
    <n v="3500"/>
    <m/>
    <n v="2075"/>
    <m/>
    <n v="3500"/>
    <m/>
  </r>
  <r>
    <m/>
    <s v="Bāze"/>
    <m/>
    <s v="0965 Ādažu Bērnu un jaunatnes sporta skola"/>
    <x v="39"/>
    <x v="11"/>
    <m/>
    <n v="3500"/>
    <m/>
    <m/>
    <m/>
    <n v="3500"/>
  </r>
  <r>
    <m/>
    <s v="Bāze"/>
    <s v="0965"/>
    <s v="0965 Ādažu Bērnu un jaunatnes sporta skola"/>
    <x v="22"/>
    <x v="30"/>
    <n v="0"/>
    <m/>
    <n v="7710.9"/>
    <m/>
    <n v="7000"/>
    <m/>
  </r>
  <r>
    <m/>
    <s v="Bāze"/>
    <m/>
    <s v="0965 Ādažu Bērnu un jaunatnes sporta skola"/>
    <x v="22"/>
    <x v="162"/>
    <m/>
    <m/>
    <m/>
    <m/>
    <m/>
    <n v="7000"/>
  </r>
  <r>
    <m/>
    <s v="Mērķdotācija"/>
    <s v="09651"/>
    <s v="09651 Ādažu bērnu un jaunatnes sporta skola (VB mērķdotācija)"/>
    <x v="55"/>
    <x v="163"/>
    <n v="313180"/>
    <m/>
    <n v="254400"/>
    <m/>
    <n v="313180"/>
    <m/>
  </r>
  <r>
    <m/>
    <s v="Mērķdotācija"/>
    <m/>
    <s v="09651 Ādažu bērnu un jaunatnes sporta skola (VB mērķdotācija)"/>
    <x v="55"/>
    <x v="11"/>
    <m/>
    <n v="313180"/>
    <m/>
    <m/>
    <m/>
    <n v="313180"/>
  </r>
  <r>
    <m/>
    <s v="Mērķdotācija"/>
    <m/>
    <s v="09651 Ādažu bērnu un jaunatnes sporta skola (VB mērķdotācija)"/>
    <x v="55"/>
    <x v="11"/>
    <m/>
    <m/>
    <m/>
    <m/>
    <m/>
    <m/>
  </r>
  <r>
    <m/>
    <s v="Mērķdotācija"/>
    <s v="0970"/>
    <s v="0970 Ādažu brīvā Valdorfa skola"/>
    <x v="51"/>
    <x v="164"/>
    <n v="9912"/>
    <m/>
    <n v="6607.94"/>
    <m/>
    <n v="16870"/>
    <m/>
  </r>
  <r>
    <m/>
    <s v="Mērķdotācija"/>
    <m/>
    <s v="0970 Ādažu brīvā Valdorfa skola"/>
    <x v="51"/>
    <x v="165"/>
    <m/>
    <n v="17485"/>
    <m/>
    <m/>
    <m/>
    <n v="16870"/>
  </r>
  <r>
    <m/>
    <s v="Mērķdotācija"/>
    <m/>
    <s v="0970 Ādažu brīvā Valdorfa skola"/>
    <x v="51"/>
    <x v="152"/>
    <m/>
    <n v="-7573"/>
    <m/>
    <m/>
    <m/>
    <m/>
  </r>
  <r>
    <m/>
    <s v="Mērķdotācija"/>
    <s v="0970"/>
    <s v="0970 Ādažu brīvā Valdorfa skola"/>
    <x v="56"/>
    <x v="166"/>
    <n v="53437"/>
    <m/>
    <n v="26365.43"/>
    <m/>
    <n v="47702"/>
    <m/>
  </r>
  <r>
    <m/>
    <s v="Mērķdotācija"/>
    <m/>
    <s v="0970 Ādažu brīvā Valdorfa skola"/>
    <x v="56"/>
    <x v="11"/>
    <m/>
    <n v="53437"/>
    <m/>
    <m/>
    <m/>
    <n v="47702"/>
  </r>
  <r>
    <m/>
    <s v="Bāze"/>
    <s v="0981"/>
    <s v="0981 Ādažu sākumskola"/>
    <x v="33"/>
    <x v="74"/>
    <n v="40000"/>
    <m/>
    <n v="52554.28"/>
    <m/>
    <n v="50000"/>
    <m/>
  </r>
  <r>
    <m/>
    <s v="Bāze"/>
    <m/>
    <s v="0981 Ādažu sākumskola"/>
    <x v="33"/>
    <x v="11"/>
    <m/>
    <n v="40000"/>
    <m/>
    <m/>
    <m/>
    <n v="50000"/>
  </r>
  <r>
    <m/>
    <s v="Bāze"/>
    <s v="0982"/>
    <s v="0982 Carnikavas pamatskola"/>
    <x v="33"/>
    <x v="74"/>
    <n v="15000"/>
    <m/>
    <n v="21513.040000000001"/>
    <m/>
    <n v="20000"/>
    <m/>
  </r>
  <r>
    <m/>
    <s v="Bāze"/>
    <m/>
    <s v="0982 Carnikavas pamatskola"/>
    <x v="33"/>
    <x v="11"/>
    <m/>
    <n v="15000"/>
    <m/>
    <m/>
    <m/>
    <n v="20000"/>
  </r>
  <r>
    <m/>
    <s v="Ziedojumi"/>
    <s v="0982"/>
    <s v="0982 Carnikavas pamatskola"/>
    <x v="57"/>
    <x v="167"/>
    <n v="0"/>
    <m/>
    <n v="1490"/>
    <m/>
    <n v="0"/>
    <m/>
  </r>
  <r>
    <m/>
    <s v="Ziedojumi"/>
    <m/>
    <s v="0982 Carnikavas pamatskola"/>
    <x v="57"/>
    <x v="167"/>
    <m/>
    <n v="0"/>
    <m/>
    <m/>
    <m/>
    <n v="0"/>
  </r>
  <r>
    <m/>
    <s v="Mērķdotācija"/>
    <s v="09821"/>
    <s v="09821 Carnikavas pamatskola (VB mērķdotācija)"/>
    <x v="51"/>
    <x v="146"/>
    <n v="1361559"/>
    <m/>
    <n v="907706.05"/>
    <m/>
    <n v="1688787"/>
    <m/>
  </r>
  <r>
    <m/>
    <s v="Mērķdotācija"/>
    <m/>
    <s v="09821 Carnikavas pamatskola (VB mērķdotācija)"/>
    <x v="51"/>
    <x v="11"/>
    <m/>
    <n v="1361559"/>
    <m/>
    <m/>
    <m/>
    <n v="1688787"/>
  </r>
  <r>
    <m/>
    <s v="Mērķdotācija"/>
    <s v="09821"/>
    <s v="09821 Carnikavas pamatskola (VB mērķdotācija)"/>
    <x v="45"/>
    <x v="122"/>
    <n v="24553"/>
    <m/>
    <n v="0"/>
    <m/>
    <n v="0"/>
    <m/>
  </r>
  <r>
    <m/>
    <s v="Mērķdotācija"/>
    <m/>
    <s v="09821 Carnikavas pamatskola (VB mērķdotācija)"/>
    <x v="45"/>
    <x v="11"/>
    <m/>
    <n v="24553"/>
    <m/>
    <m/>
    <m/>
    <m/>
  </r>
  <r>
    <m/>
    <s v="Mērķdotācija"/>
    <s v="09821"/>
    <s v="09821 Carnikavas pamatskola (VB mērķdotācija)"/>
    <x v="52"/>
    <x v="149"/>
    <n v="93741"/>
    <m/>
    <n v="50563.21"/>
    <m/>
    <n v="104143"/>
    <m/>
  </r>
  <r>
    <m/>
    <s v="Mērķdotācija"/>
    <m/>
    <s v="09821 Carnikavas pamatskola (VB mērķdotācija)"/>
    <x v="52"/>
    <x v="11"/>
    <m/>
    <n v="93741"/>
    <m/>
    <m/>
    <m/>
    <n v="104143"/>
  </r>
  <r>
    <m/>
    <s v="Mērķdotācija"/>
    <s v="09821.1"/>
    <s v="09821.1 Carnikavas pamatskola (VB mērķdotācija - interešu izglītība)"/>
    <x v="51"/>
    <x v="146"/>
    <n v="128547"/>
    <m/>
    <n v="85698.54"/>
    <m/>
    <n v="137762"/>
    <m/>
  </r>
  <r>
    <m/>
    <s v="Mērķdotācija"/>
    <m/>
    <s v="09821.1 Carnikavas pamatskola (VB mērķdotācija - interešu izglītība)"/>
    <x v="51"/>
    <x v="11"/>
    <m/>
    <n v="175128"/>
    <m/>
    <m/>
    <m/>
    <n v="137762"/>
  </r>
  <r>
    <m/>
    <s v="Mērķdotācija"/>
    <m/>
    <s v="09821.1 Carnikavas pamatskola (VB mērķdotācija - interešu izglītība)"/>
    <x v="51"/>
    <x v="152"/>
    <m/>
    <n v="-46581"/>
    <m/>
    <m/>
    <m/>
    <m/>
  </r>
  <r>
    <m/>
    <s v="Projekti"/>
    <s v="09822"/>
    <s v="09822 Projekts &quot;Skolas soma&quot; Carnikavas pamatskola"/>
    <x v="50"/>
    <x v="145"/>
    <n v="11142"/>
    <m/>
    <n v="6911.72"/>
    <m/>
    <n v="15980"/>
    <m/>
  </r>
  <r>
    <m/>
    <s v="Projekti"/>
    <m/>
    <s v="09822 Projekts &quot;Skolas soma&quot; Carnikavas pamatskola"/>
    <x v="50"/>
    <x v="11"/>
    <m/>
    <n v="11142"/>
    <m/>
    <m/>
    <m/>
    <n v="15980"/>
  </r>
  <r>
    <m/>
    <s v="Projekti"/>
    <s v="09825"/>
    <s v="09825 Projekts &quot;ERASMUS+&quot; Carnikava pamatskola"/>
    <x v="47"/>
    <x v="154"/>
    <n v="35554"/>
    <m/>
    <n v="35553.599999999999"/>
    <m/>
    <n v="13204"/>
    <m/>
  </r>
  <r>
    <m/>
    <s v="Projekti"/>
    <m/>
    <s v="09825 Projekts &quot;ERASMUS+&quot; Carnikava pamatskola"/>
    <x v="47"/>
    <x v="155"/>
    <m/>
    <n v="16800"/>
    <m/>
    <m/>
    <m/>
    <n v="13204"/>
  </r>
  <r>
    <m/>
    <s v="Projekti"/>
    <m/>
    <s v="09825 Projekts &quot;ERASMUS+&quot; Carnikava pamatskola"/>
    <x v="47"/>
    <x v="168"/>
    <m/>
    <n v="18754"/>
    <m/>
    <m/>
    <m/>
    <m/>
  </r>
  <r>
    <m/>
    <s v="Projekti"/>
    <s v="09826"/>
    <s v="09826 Projekts Nordplus Junior"/>
    <x v="47"/>
    <x v="154"/>
    <n v="26400"/>
    <m/>
    <n v="26400"/>
    <m/>
    <n v="4268"/>
    <m/>
  </r>
  <r>
    <m/>
    <s v="Projekti"/>
    <m/>
    <s v="09826 Projekts Nordplus Junior"/>
    <x v="47"/>
    <x v="169"/>
    <m/>
    <n v="8460"/>
    <m/>
    <m/>
    <m/>
    <n v="4268"/>
  </r>
  <r>
    <m/>
    <s v="Projekti"/>
    <m/>
    <s v="09826 Projekts Nordplus Junior"/>
    <x v="47"/>
    <x v="170"/>
    <m/>
    <n v="17940"/>
    <m/>
    <m/>
    <m/>
    <m/>
  </r>
  <r>
    <m/>
    <s v="Projekti"/>
    <s v="09827"/>
    <s v="09827 STEM un pilsoniskās līdzdalības norises plašākai izglītības pieredzei un karjeras izvēlei (Carnikavas vidusskola)"/>
    <x v="31"/>
    <x v="50"/>
    <n v="15473"/>
    <m/>
    <n v="0"/>
    <m/>
    <n v="1533"/>
    <m/>
  </r>
  <r>
    <m/>
    <s v="Projekti"/>
    <m/>
    <s v="09827 STEM un pilsoniskās līdzdalības norises plašākai izglītības pieredzei un karjeras izvēlei (Carnikavas vidusskola)"/>
    <x v="31"/>
    <x v="11"/>
    <m/>
    <n v="15473"/>
    <m/>
    <m/>
    <m/>
    <n v="1533"/>
  </r>
  <r>
    <m/>
    <s v="Projekti"/>
    <s v="0990"/>
    <s v="0990 - Dziesmu svētki 2025"/>
    <x v="20"/>
    <x v="24"/>
    <n v="16359"/>
    <m/>
    <n v="16713"/>
    <m/>
    <n v="0"/>
    <m/>
  </r>
  <r>
    <m/>
    <s v="Projekti"/>
    <m/>
    <s v="0990 - Dziesmu svētki 2025"/>
    <x v="20"/>
    <x v="171"/>
    <m/>
    <n v="16359"/>
    <m/>
    <m/>
    <m/>
    <m/>
  </r>
  <r>
    <m/>
    <s v="Mērķdotācija"/>
    <n v="1010"/>
    <s v="1010 Sociālais dienests"/>
    <x v="20"/>
    <x v="172"/>
    <n v="54500"/>
    <m/>
    <n v="53371"/>
    <m/>
    <n v="65170"/>
    <m/>
  </r>
  <r>
    <m/>
    <s v="Mērķdotācija"/>
    <m/>
    <s v="1010 Sociālais dienests"/>
    <x v="20"/>
    <x v="173"/>
    <m/>
    <m/>
    <n v="2237"/>
    <m/>
    <m/>
    <n v="0"/>
  </r>
  <r>
    <m/>
    <s v="Mērķdotācija"/>
    <m/>
    <s v="1010 Sociālais dienests"/>
    <x v="20"/>
    <x v="174"/>
    <m/>
    <m/>
    <n v="1460"/>
    <m/>
    <m/>
    <n v="0"/>
  </r>
  <r>
    <m/>
    <s v="Mērķdotācija"/>
    <m/>
    <s v="1010 Sociālais dienests"/>
    <x v="20"/>
    <x v="175"/>
    <m/>
    <m/>
    <n v="14170.4"/>
    <m/>
    <m/>
    <n v="14170"/>
  </r>
  <r>
    <m/>
    <s v="Mērķdotācija"/>
    <m/>
    <s v="1010 Sociālais dienests"/>
    <x v="20"/>
    <x v="176"/>
    <m/>
    <n v="30000"/>
    <n v="33989"/>
    <m/>
    <m/>
    <n v="30000"/>
  </r>
  <r>
    <m/>
    <s v="Mērķdotācija"/>
    <m/>
    <s v="1010 Sociālais dienests"/>
    <x v="20"/>
    <x v="177"/>
    <m/>
    <n v="8100"/>
    <m/>
    <m/>
    <m/>
    <n v="3000"/>
  </r>
  <r>
    <m/>
    <s v="Mērķdotācija"/>
    <m/>
    <s v="1010 Sociālais dienests"/>
    <x v="20"/>
    <x v="178"/>
    <m/>
    <n v="18000"/>
    <m/>
    <m/>
    <m/>
    <n v="18000"/>
  </r>
  <r>
    <m/>
    <s v="Mērķdotācija"/>
    <n v="1010"/>
    <s v="1010 Sociālais dienests"/>
    <x v="31"/>
    <x v="50"/>
    <n v="3000"/>
    <m/>
    <n v="2062.58"/>
    <m/>
    <n v="3000"/>
    <m/>
  </r>
  <r>
    <m/>
    <s v="Mērķdotācija"/>
    <m/>
    <s v="1010 Sociālais dienests"/>
    <x v="31"/>
    <x v="179"/>
    <m/>
    <n v="3000"/>
    <m/>
    <m/>
    <m/>
    <n v="3000"/>
  </r>
  <r>
    <m/>
    <s v="Bāze"/>
    <n v="1010"/>
    <s v="1010 Sociālais dienests"/>
    <x v="22"/>
    <x v="180"/>
    <n v="9000"/>
    <m/>
    <n v="6031"/>
    <m/>
    <n v="9000"/>
    <m/>
  </r>
  <r>
    <m/>
    <s v="Bāze"/>
    <m/>
    <s v="1010 Sociālais dienests"/>
    <x v="22"/>
    <x v="181"/>
    <m/>
    <n v="9000"/>
    <m/>
    <m/>
    <m/>
    <n v="9000"/>
  </r>
  <r>
    <m/>
    <s v="Mērķdotācija"/>
    <n v="1010.1"/>
    <s v="1010.1 Aprūpētāju pakalpojums"/>
    <x v="20"/>
    <x v="172"/>
    <n v="18000"/>
    <m/>
    <n v="27241"/>
    <m/>
    <n v="51372"/>
    <m/>
  </r>
  <r>
    <m/>
    <s v="Mērķdotācija"/>
    <m/>
    <s v="1010.1 Aprūpētāju pakalpojums"/>
    <x v="20"/>
    <x v="182"/>
    <m/>
    <n v="18000"/>
    <m/>
    <m/>
    <m/>
    <n v="51372"/>
  </r>
  <r>
    <m/>
    <s v="Mērķdotācija"/>
    <n v="1010.2"/>
    <s v="1010.2 Aprūpētāju pakalpojums"/>
    <x v="20"/>
    <x v="172"/>
    <n v="1600"/>
    <m/>
    <m/>
    <m/>
    <n v="6618"/>
    <m/>
  </r>
  <r>
    <m/>
    <s v="Mērķdotācija"/>
    <m/>
    <s v="1010 Sociālais dienests"/>
    <x v="20"/>
    <x v="183"/>
    <m/>
    <m/>
    <n v="1516"/>
    <m/>
    <m/>
    <n v="6618"/>
  </r>
  <r>
    <m/>
    <s v="Projekti"/>
    <n v="1010.3"/>
    <s v="1010.3  &quot;DigiSoc&quot; izstrāde un ieviešana"/>
    <x v="20"/>
    <x v="24"/>
    <n v="7500"/>
    <m/>
    <n v="3978"/>
    <m/>
    <n v="3682"/>
    <m/>
  </r>
  <r>
    <m/>
    <s v="Projekti"/>
    <m/>
    <s v="1010.3  &quot;DigiSoc&quot; izstrāde un ieviešana"/>
    <x v="20"/>
    <x v="184"/>
    <m/>
    <n v="7500"/>
    <m/>
    <m/>
    <m/>
    <n v="3682"/>
  </r>
  <r>
    <m/>
    <s v="Mērķdotācija"/>
    <n v="1011"/>
    <s v="1011 Stipendiāti, bezdarbnieki"/>
    <x v="48"/>
    <x v="133"/>
    <n v="12607"/>
    <m/>
    <m/>
    <m/>
    <n v="5000"/>
    <m/>
  </r>
  <r>
    <m/>
    <s v="Mērķdotācija"/>
    <m/>
    <m/>
    <x v="48"/>
    <x v="133"/>
    <m/>
    <n v="12607"/>
    <m/>
    <m/>
    <m/>
    <n v="5000"/>
  </r>
  <r>
    <m/>
    <s v="Mērķdotācija"/>
    <n v="1012"/>
    <s v="1012 Asistenti"/>
    <x v="58"/>
    <x v="185"/>
    <n v="580000"/>
    <m/>
    <n v="510076"/>
    <m/>
    <n v="642000"/>
    <m/>
  </r>
  <r>
    <m/>
    <s v="Mērķdotācija"/>
    <m/>
    <s v="1012 Asistenti"/>
    <x v="58"/>
    <x v="186"/>
    <m/>
    <n v="580000"/>
    <m/>
    <m/>
    <m/>
    <n v="642000"/>
  </r>
  <r>
    <m/>
    <s v="Projekti"/>
    <n v="1013.1"/>
    <s v="1013.1 Projekts &quot;Pasākumi vietējās sabiedrības veselības veicināšanai&quot;/ SAM 9.2.4.2. Ādaži"/>
    <x v="59"/>
    <x v="187"/>
    <n v="0"/>
    <m/>
    <n v="6686.07"/>
    <m/>
    <n v="9799"/>
    <m/>
  </r>
  <r>
    <m/>
    <s v="Projekti"/>
    <m/>
    <s v="1013.1 Projekts &quot;Pasākumi vietējās sabiedrības veselības veicināšanai&quot;/ SAM 9.2.4.2. Ādaži"/>
    <x v="59"/>
    <x v="188"/>
    <m/>
    <n v="0"/>
    <m/>
    <m/>
    <m/>
    <n v="9799"/>
  </r>
  <r>
    <m/>
    <s v="Bāze"/>
    <s v="1014.1"/>
    <s v="1014.1 Projekts &quot;Deinstitucionalizācija - Dienas centra izveide&quot;/ SAM 9.3.1.1. Ādaži"/>
    <x v="20"/>
    <x v="24"/>
    <m/>
    <m/>
    <n v="1214.07"/>
    <m/>
    <n v="1200"/>
    <m/>
  </r>
  <r>
    <m/>
    <s v="Bāze"/>
    <m/>
    <s v="1014.1 Projekts &quot;Deinstitucionalizācija - Dienas centra izveide&quot;/ SAM 9.3.1.1. Ādaži"/>
    <x v="20"/>
    <x v="189"/>
    <m/>
    <m/>
    <m/>
    <m/>
    <m/>
    <n v="1200"/>
  </r>
  <r>
    <m/>
    <s v="Bāze"/>
    <s v="1014.1"/>
    <s v="1014.1 Projekts &quot;Deinstitucionalizācija - Dienas centra izveide&quot;/ SAM 9.3.1.1. Ādaži"/>
    <x v="22"/>
    <x v="190"/>
    <n v="6500"/>
    <m/>
    <n v="8031"/>
    <m/>
    <n v="8000"/>
    <m/>
  </r>
  <r>
    <m/>
    <s v="Bāze"/>
    <m/>
    <s v="1014.1 Projekts &quot;Deinstitucionalizācija - Dienas centra izveide&quot;/ SAM 9.3.1.1. Ādaži"/>
    <x v="22"/>
    <x v="191"/>
    <m/>
    <n v="6500"/>
    <m/>
    <m/>
    <m/>
    <n v="8000"/>
  </r>
  <r>
    <m/>
    <s v="Projekti"/>
    <n v="1014.3"/>
    <s v="1014.3 Projekts Deinstitucionalizācija SAM 9.3.1.1./Dienas aprūpes un rehabilitācijas centrs &quot;Ādažu Ūdensroze&quot;"/>
    <x v="60"/>
    <x v="192"/>
    <n v="0"/>
    <m/>
    <m/>
    <m/>
    <n v="0"/>
    <m/>
  </r>
  <r>
    <m/>
    <s v="Projekti"/>
    <m/>
    <s v="1014.3 Projekts Deinstitucionalizācija SAM 9.3.1.1./Dienas aprūpes un rehabilitācijas centrs &quot;Ādažu Ūdensroze&quot;"/>
    <x v="60"/>
    <x v="191"/>
    <m/>
    <m/>
    <m/>
    <m/>
    <m/>
    <m/>
  </r>
  <r>
    <m/>
    <s v="Bāze"/>
    <n v="1014.3"/>
    <s v="1014.3 Projekts Deinstitucionalizācija SAM 9.3.1.1./Dienas aprūpes un rehabilitācijas centrs &quot;Ādažu Ūdensroze&quot;"/>
    <x v="20"/>
    <x v="24"/>
    <n v="0"/>
    <m/>
    <n v="32403"/>
    <m/>
    <n v="29700"/>
    <m/>
  </r>
  <r>
    <m/>
    <s v="Bāze"/>
    <m/>
    <s v="1014.3 Projekts Deinstitucionalizācija SAM 9.3.1.1./Dienas aprūpes un rehabilitācijas centrs &quot;Ādažu Ūdensroze&quot;"/>
    <x v="20"/>
    <x v="189"/>
    <m/>
    <n v="0"/>
    <m/>
    <m/>
    <m/>
    <n v="29700"/>
  </r>
  <r>
    <m/>
    <s v="Mērķdotācija"/>
    <n v="1016"/>
    <s v="1016 Dotācijas Ukrainas pilsoņu atbalstam"/>
    <x v="61"/>
    <x v="193"/>
    <n v="70000"/>
    <m/>
    <n v="41785.22"/>
    <m/>
    <n v="52500"/>
    <m/>
  </r>
  <r>
    <m/>
    <s v="Mērķdotācija"/>
    <m/>
    <s v="1016 Dotācijas Ukrainas pilsoņu atbalstam"/>
    <x v="61"/>
    <x v="193"/>
    <m/>
    <n v="70000"/>
    <m/>
    <m/>
    <m/>
    <n v="52500"/>
  </r>
  <r>
    <m/>
    <s v="Mērķdotācija"/>
    <n v="1017"/>
    <s v="1017 Dotācijas &quot;Energoresursu atbalsts&quot;"/>
    <x v="62"/>
    <x v="194"/>
    <n v="0"/>
    <m/>
    <m/>
    <m/>
    <n v="0"/>
    <m/>
  </r>
  <r>
    <m/>
    <s v="Mērķdotācija"/>
    <m/>
    <s v="1017 Dotācijas &quot;Energoresursu atbalsts&quot;"/>
    <x v="62"/>
    <x v="194"/>
    <m/>
    <m/>
    <m/>
    <m/>
    <m/>
    <m/>
  </r>
  <r>
    <m/>
    <s v="Projekti"/>
    <n v="1018"/>
    <s v="1018 Projekts &quot;Atbalsta pasākumi cilvēkiem ar invaliditāti mājokļu vides pieejamības nodrošināšanai&quot;"/>
    <x v="36"/>
    <x v="101"/>
    <n v="0"/>
    <m/>
    <n v="1982.21"/>
    <m/>
    <n v="0"/>
    <m/>
  </r>
  <r>
    <m/>
    <s v="Projekti"/>
    <m/>
    <s v="1018 Projekts &quot;Atbalsta pasākumi cilvēkiem ar invaliditāti mājokļu vides pieejamības nodrošināšanai&quot;"/>
    <x v="36"/>
    <x v="11"/>
    <m/>
    <m/>
    <m/>
    <m/>
    <m/>
    <m/>
  </r>
  <r>
    <m/>
    <s v="Bāze"/>
    <n v="1030"/>
    <s v="1030 Bāriņtiesa"/>
    <x v="63"/>
    <x v="195"/>
    <n v="1100"/>
    <m/>
    <n v="912"/>
    <m/>
    <n v="1100"/>
    <m/>
  </r>
  <r>
    <m/>
    <s v="Bāze"/>
    <m/>
    <s v="1030 Bāriņtiesa"/>
    <x v="63"/>
    <x v="195"/>
    <m/>
    <n v="1100"/>
    <m/>
    <m/>
    <m/>
    <n v="11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346567-874B-40FC-BF8C-463612E2E1F9}"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R3:T68" firstHeaderRow="0" firstDataRow="1" firstDataCol="1" rowPageCount="1" colPageCount="1"/>
  <pivotFields count="12">
    <pivotField showAll="0"/>
    <pivotField showAll="0"/>
    <pivotField showAll="0"/>
    <pivotField showAll="0"/>
    <pivotField axis="axisRow" showAll="0">
      <items count="65">
        <item x="0"/>
        <item x="24"/>
        <item x="25"/>
        <item x="9"/>
        <item x="36"/>
        <item x="18"/>
        <item x="37"/>
        <item x="19"/>
        <item x="30"/>
        <item x="51"/>
        <item x="52"/>
        <item x="56"/>
        <item x="50"/>
        <item x="44"/>
        <item x="61"/>
        <item x="62"/>
        <item x="54"/>
        <item x="55"/>
        <item x="45"/>
        <item x="48"/>
        <item x="58"/>
        <item x="20"/>
        <item x="59"/>
        <item x="31"/>
        <item x="60"/>
        <item x="46"/>
        <item x="49"/>
        <item x="43"/>
        <item x="53"/>
        <item x="40"/>
        <item x="33"/>
        <item x="21"/>
        <item x="34"/>
        <item x="41"/>
        <item x="42"/>
        <item x="38"/>
        <item x="39"/>
        <item x="22"/>
        <item x="23"/>
        <item x="27"/>
        <item x="57"/>
        <item x="1"/>
        <item x="2"/>
        <item x="3"/>
        <item x="4"/>
        <item x="5"/>
        <item x="6"/>
        <item x="7"/>
        <item x="26"/>
        <item x="8"/>
        <item x="11"/>
        <item x="35"/>
        <item x="63"/>
        <item x="12"/>
        <item x="13"/>
        <item x="14"/>
        <item x="15"/>
        <item x="16"/>
        <item x="28"/>
        <item x="29"/>
        <item x="17"/>
        <item x="47"/>
        <item x="10"/>
        <item x="32"/>
        <item t="default"/>
      </items>
    </pivotField>
    <pivotField axis="axisPage" showAll="0">
      <items count="202">
        <item x="70"/>
        <item x="0"/>
        <item x="69"/>
        <item x="104"/>
        <item x="33"/>
        <item x="185"/>
        <item x="144"/>
        <item x="39"/>
        <item x="9"/>
        <item x="80"/>
        <item x="97"/>
        <item x="105"/>
        <item x="125"/>
        <item x="108"/>
        <item x="133"/>
        <item x="114"/>
        <item x="116"/>
        <item x="180"/>
        <item x="44"/>
        <item x="35"/>
        <item x="95"/>
        <item x="109"/>
        <item x="30"/>
        <item x="190"/>
        <item x="110"/>
        <item x="117"/>
        <item x="32"/>
        <item x="158"/>
        <item x="40"/>
        <item x="191"/>
        <item x="192"/>
        <item x="113"/>
        <item x="90"/>
        <item x="194"/>
        <item x="129"/>
        <item x="155"/>
        <item x="167"/>
        <item x="177"/>
        <item m="1" x="200"/>
        <item x="143"/>
        <item x="63"/>
        <item x="22"/>
        <item x="12"/>
        <item x="118"/>
        <item x="103"/>
        <item x="115"/>
        <item x="111"/>
        <item x="74"/>
        <item x="26"/>
        <item x="1"/>
        <item x="89"/>
        <item x="78"/>
        <item x="132"/>
        <item x="41"/>
        <item x="107"/>
        <item x="25"/>
        <item x="145"/>
        <item x="88"/>
        <item x="181"/>
        <item x="101"/>
        <item x="179"/>
        <item x="71"/>
        <item x="76"/>
        <item x="122"/>
        <item x="183"/>
        <item x="48"/>
        <item x="91"/>
        <item x="77"/>
        <item x="160"/>
        <item x="36"/>
        <item x="37"/>
        <item x="5"/>
        <item x="6"/>
        <item x="7"/>
        <item x="8"/>
        <item x="4"/>
        <item x="3"/>
        <item x="102"/>
        <item x="83"/>
        <item x="23"/>
        <item x="31"/>
        <item x="159"/>
        <item x="112"/>
        <item x="187"/>
        <item x="121"/>
        <item x="43"/>
        <item x="17"/>
        <item x="18"/>
        <item x="42"/>
        <item x="19"/>
        <item x="14"/>
        <item x="45"/>
        <item x="24"/>
        <item x="172"/>
        <item x="20"/>
        <item x="16"/>
        <item x="21"/>
        <item x="10"/>
        <item x="157"/>
        <item x="96"/>
        <item x="50"/>
        <item x="163"/>
        <item x="99"/>
        <item x="169"/>
        <item x="188"/>
        <item x="60"/>
        <item x="46"/>
        <item x="193"/>
        <item x="47"/>
        <item x="166"/>
        <item x="164"/>
        <item x="130"/>
        <item x="146"/>
        <item x="165"/>
        <item x="156"/>
        <item x="195"/>
        <item x="15"/>
        <item x="87"/>
        <item x="79"/>
        <item x="149"/>
        <item x="11"/>
        <item x="120"/>
        <item x="178"/>
        <item x="154"/>
        <item x="13"/>
        <item x="34"/>
        <item x="38"/>
        <item x="49"/>
        <item x="59"/>
        <item m="1" x="197"/>
        <item x="64"/>
        <item x="65"/>
        <item x="66"/>
        <item x="67"/>
        <item x="68"/>
        <item x="72"/>
        <item x="73"/>
        <item x="81"/>
        <item x="82"/>
        <item x="84"/>
        <item x="85"/>
        <item x="86"/>
        <item x="92"/>
        <item x="94"/>
        <item x="98"/>
        <item x="100"/>
        <item x="106"/>
        <item x="123"/>
        <item x="126"/>
        <item x="127"/>
        <item x="128"/>
        <item x="131"/>
        <item x="134"/>
        <item x="135"/>
        <item x="136"/>
        <item x="137"/>
        <item x="138"/>
        <item x="139"/>
        <item x="140"/>
        <item x="141"/>
        <item m="1" x="198"/>
        <item x="147"/>
        <item x="148"/>
        <item x="150"/>
        <item x="151"/>
        <item x="152"/>
        <item x="153"/>
        <item x="162"/>
        <item x="171"/>
        <item x="173"/>
        <item x="184"/>
        <item x="186"/>
        <item x="189"/>
        <item x="27"/>
        <item x="28"/>
        <item x="29"/>
        <item x="75"/>
        <item x="93"/>
        <item x="161"/>
        <item x="168"/>
        <item x="170"/>
        <item x="174"/>
        <item m="1" x="199"/>
        <item x="182"/>
        <item m="1" x="196"/>
        <item x="2"/>
        <item x="51"/>
        <item x="52"/>
        <item x="53"/>
        <item x="54"/>
        <item x="55"/>
        <item x="56"/>
        <item x="57"/>
        <item x="58"/>
        <item x="61"/>
        <item x="62"/>
        <item x="124"/>
        <item x="142"/>
        <item x="175"/>
        <item x="176"/>
        <item x="119"/>
        <item t="default"/>
      </items>
    </pivotField>
    <pivotField dataField="1" showAll="0"/>
    <pivotField showAll="0"/>
    <pivotField showAll="0"/>
    <pivotField showAll="0"/>
    <pivotField dataField="1" showAll="0"/>
    <pivotField showAll="0"/>
  </pivotFields>
  <rowFields count="1">
    <field x="4"/>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2"/>
  </colFields>
  <colItems count="2">
    <i>
      <x/>
    </i>
    <i i="1">
      <x v="1"/>
    </i>
  </colItems>
  <pageFields count="1">
    <pageField fld="5" hier="-1"/>
  </pageFields>
  <dataFields count="2">
    <dataField name="Sum of  2025.gada plāns EUR " fld="6" baseField="0" baseItem="0"/>
    <dataField name="Summa no  2026.gada plāns EUR " fld="10" baseField="0" baseItem="0"/>
  </dataFields>
  <formats count="121">
    <format dxfId="131">
      <pivotArea dataOnly="0" labelOnly="1" fieldPosition="0">
        <references count="1">
          <reference field="4" count="2">
            <x v="41"/>
            <x v="42"/>
          </reference>
        </references>
      </pivotArea>
    </format>
    <format dxfId="130">
      <pivotArea dataOnly="0" labelOnly="1" fieldPosition="0">
        <references count="1">
          <reference field="4" count="1">
            <x v="0"/>
          </reference>
        </references>
      </pivotArea>
    </format>
    <format dxfId="129">
      <pivotArea dataOnly="0" labelOnly="1" fieldPosition="0">
        <references count="1">
          <reference field="4" count="2">
            <x v="41"/>
            <x v="42"/>
          </reference>
        </references>
      </pivotArea>
    </format>
    <format dxfId="128">
      <pivotArea dataOnly="0" labelOnly="1" fieldPosition="0">
        <references count="1">
          <reference field="4" count="2">
            <x v="43"/>
            <x v="44"/>
          </reference>
        </references>
      </pivotArea>
    </format>
    <format dxfId="127">
      <pivotArea dataOnly="0" labelOnly="1" fieldPosition="0">
        <references count="1">
          <reference field="4" count="2">
            <x v="45"/>
            <x v="46"/>
          </reference>
        </references>
      </pivotArea>
    </format>
    <format dxfId="126">
      <pivotArea dataOnly="0" labelOnly="1" fieldPosition="0">
        <references count="1">
          <reference field="4" count="1">
            <x v="47"/>
          </reference>
        </references>
      </pivotArea>
    </format>
    <format dxfId="125">
      <pivotArea dataOnly="0" labelOnly="1" fieldPosition="0">
        <references count="1">
          <reference field="4" count="9">
            <x v="52"/>
            <x v="53"/>
            <x v="54"/>
            <x v="55"/>
            <x v="56"/>
            <x v="57"/>
            <x v="58"/>
            <x v="59"/>
            <x v="60"/>
          </reference>
        </references>
      </pivotArea>
    </format>
    <format dxfId="124">
      <pivotArea dataOnly="0" labelOnly="1" fieldPosition="0">
        <references count="1">
          <reference field="4" count="2">
            <x v="1"/>
            <x v="2"/>
          </reference>
        </references>
      </pivotArea>
    </format>
    <format dxfId="123">
      <pivotArea dataOnly="0" labelOnly="1" fieldPosition="0">
        <references count="1">
          <reference field="4" count="1">
            <x v="3"/>
          </reference>
        </references>
      </pivotArea>
    </format>
    <format dxfId="122">
      <pivotArea dataOnly="0" labelOnly="1" fieldPosition="0">
        <references count="1">
          <reference field="4" count="1">
            <x v="5"/>
          </reference>
        </references>
      </pivotArea>
    </format>
    <format dxfId="121">
      <pivotArea dataOnly="0" labelOnly="1" fieldPosition="0">
        <references count="1">
          <reference field="4" count="1">
            <x v="4"/>
          </reference>
        </references>
      </pivotArea>
    </format>
    <format dxfId="120">
      <pivotArea dataOnly="0" labelOnly="1" fieldPosition="0">
        <references count="1">
          <reference field="4" count="1">
            <x v="48"/>
          </reference>
        </references>
      </pivotArea>
    </format>
    <format dxfId="119">
      <pivotArea dataOnly="0" labelOnly="1" fieldPosition="0">
        <references count="1">
          <reference field="4" count="1">
            <x v="49"/>
          </reference>
        </references>
      </pivotArea>
    </format>
    <format dxfId="118">
      <pivotArea dataOnly="0" labelOnly="1" fieldPosition="0">
        <references count="1">
          <reference field="4" count="1">
            <x v="50"/>
          </reference>
        </references>
      </pivotArea>
    </format>
    <format dxfId="117">
      <pivotArea dataOnly="0" labelOnly="1" fieldPosition="0">
        <references count="1">
          <reference field="4" count="1">
            <x v="51"/>
          </reference>
        </references>
      </pivotArea>
    </format>
    <format dxfId="116">
      <pivotArea dataOnly="0" labelOnly="1" fieldPosition="0">
        <references count="1">
          <reference field="4" count="1">
            <x v="26"/>
          </reference>
        </references>
      </pivotArea>
    </format>
    <format dxfId="115">
      <pivotArea dataOnly="0" labelOnly="1" fieldPosition="0">
        <references count="1">
          <reference field="4" count="1">
            <x v="6"/>
          </reference>
        </references>
      </pivotArea>
    </format>
    <format dxfId="114">
      <pivotArea dataOnly="0" labelOnly="1" fieldPosition="0">
        <references count="1">
          <reference field="4" count="1">
            <x v="7"/>
          </reference>
        </references>
      </pivotArea>
    </format>
    <format dxfId="113">
      <pivotArea dataOnly="0" labelOnly="1" fieldPosition="0">
        <references count="1">
          <reference field="4" count="2">
            <x v="27"/>
            <x v="28"/>
          </reference>
        </references>
      </pivotArea>
    </format>
    <format dxfId="112">
      <pivotArea dataOnly="0" labelOnly="1" fieldPosition="0">
        <references count="1">
          <reference field="4" count="1">
            <x v="30"/>
          </reference>
        </references>
      </pivotArea>
    </format>
    <format dxfId="111">
      <pivotArea dataOnly="0" labelOnly="1" fieldPosition="0">
        <references count="1">
          <reference field="4" count="2">
            <x v="31"/>
            <x v="32"/>
          </reference>
        </references>
      </pivotArea>
    </format>
    <format dxfId="110">
      <pivotArea dataOnly="0" labelOnly="1" fieldPosition="0">
        <references count="1">
          <reference field="4" count="4">
            <x v="34"/>
            <x v="35"/>
            <x v="36"/>
            <x v="37"/>
          </reference>
        </references>
      </pivotArea>
    </format>
    <format dxfId="109">
      <pivotArea dataOnly="0" labelOnly="1" fieldPosition="0">
        <references count="1">
          <reference field="4" count="1">
            <x v="33"/>
          </reference>
        </references>
      </pivotArea>
    </format>
    <format dxfId="108">
      <pivotArea dataOnly="0" labelOnly="1" fieldPosition="0">
        <references count="1">
          <reference field="4" count="1">
            <x v="38"/>
          </reference>
        </references>
      </pivotArea>
    </format>
    <format dxfId="107">
      <pivotArea field="4" type="button" dataOnly="0" labelOnly="1" outline="0" axis="axisRow" fieldPosition="0"/>
    </format>
    <format dxfId="106">
      <pivotArea dataOnly="0" labelOnly="1" fieldPosition="0">
        <references count="1">
          <reference field="4" count="46">
            <x v="0"/>
            <x v="1"/>
            <x v="2"/>
            <x v="3"/>
            <x v="4"/>
            <x v="5"/>
            <x v="6"/>
            <x v="7"/>
            <x v="8"/>
            <x v="9"/>
            <x v="10"/>
            <x v="11"/>
            <x v="12"/>
            <x v="13"/>
            <x v="14"/>
            <x v="15"/>
            <x v="16"/>
            <x v="17"/>
            <x v="18"/>
            <x v="19"/>
            <x v="20"/>
            <x v="21"/>
            <x v="22"/>
            <x v="23"/>
            <x v="24"/>
            <x v="25"/>
            <x v="26"/>
            <x v="27"/>
            <x v="28"/>
            <x v="29"/>
            <x v="30"/>
            <x v="31"/>
            <x v="32"/>
            <x v="33"/>
            <x v="34"/>
            <x v="35"/>
            <x v="36"/>
            <x v="37"/>
            <x v="38"/>
            <x v="39"/>
            <x v="40"/>
            <x v="41"/>
            <x v="42"/>
            <x v="43"/>
            <x v="44"/>
            <x v="45"/>
          </reference>
        </references>
      </pivotArea>
    </format>
    <format dxfId="105">
      <pivotArea dataOnly="0" labelOnly="1" fieldPosition="0">
        <references count="1">
          <reference field="4" count="15">
            <x v="46"/>
            <x v="47"/>
            <x v="48"/>
            <x v="49"/>
            <x v="50"/>
            <x v="51"/>
            <x v="52"/>
            <x v="53"/>
            <x v="54"/>
            <x v="55"/>
            <x v="56"/>
            <x v="57"/>
            <x v="58"/>
            <x v="59"/>
            <x v="60"/>
          </reference>
        </references>
      </pivotArea>
    </format>
    <format dxfId="104">
      <pivotArea dataOnly="0" labelOnly="1" grandRow="1" outline="0" fieldPosition="0"/>
    </format>
    <format dxfId="103">
      <pivotArea dataOnly="0" labelOnly="1" fieldPosition="0">
        <references count="2">
          <reference field="4" count="1" selected="0">
            <x v="0"/>
          </reference>
          <reference field="5" count="2">
            <x v="1"/>
            <x v="49"/>
          </reference>
        </references>
      </pivotArea>
    </format>
    <format dxfId="102">
      <pivotArea dataOnly="0" labelOnly="1" fieldPosition="0">
        <references count="2">
          <reference field="4" count="1" selected="0">
            <x v="1"/>
          </reference>
          <reference field="5" count="2">
            <x v="69"/>
            <x v="120"/>
          </reference>
        </references>
      </pivotArea>
    </format>
    <format dxfId="101">
      <pivotArea dataOnly="0" labelOnly="1" fieldPosition="0">
        <references count="2">
          <reference field="4" count="1" selected="0">
            <x v="2"/>
          </reference>
          <reference field="5" count="2">
            <x v="70"/>
            <x v="120"/>
          </reference>
        </references>
      </pivotArea>
    </format>
    <format dxfId="100">
      <pivotArea dataOnly="0" labelOnly="1" fieldPosition="0">
        <references count="2">
          <reference field="4" count="1" selected="0">
            <x v="3"/>
          </reference>
          <reference field="5" count="1">
            <x v="42"/>
          </reference>
        </references>
      </pivotArea>
    </format>
    <format dxfId="99">
      <pivotArea dataOnly="0" labelOnly="1" fieldPosition="0">
        <references count="2">
          <reference field="4" count="1" selected="0">
            <x v="4"/>
          </reference>
          <reference field="5" count="2">
            <x v="59"/>
            <x v="120"/>
          </reference>
        </references>
      </pivotArea>
    </format>
    <format dxfId="98">
      <pivotArea dataOnly="0" labelOnly="1" fieldPosition="0">
        <references count="2">
          <reference field="4" count="1" selected="0">
            <x v="5"/>
          </reference>
          <reference field="5" count="5">
            <x v="51"/>
            <x v="67"/>
            <x v="77"/>
            <x v="96"/>
            <x v="118"/>
          </reference>
        </references>
      </pivotArea>
    </format>
    <format dxfId="97">
      <pivotArea dataOnly="0" labelOnly="1" fieldPosition="0">
        <references count="2">
          <reference field="4" count="1" selected="0">
            <x v="6"/>
          </reference>
          <reference field="5" count="1">
            <x v="44"/>
          </reference>
        </references>
      </pivotArea>
    </format>
    <format dxfId="96">
      <pivotArea dataOnly="0" labelOnly="1" fieldPosition="0">
        <references count="2">
          <reference field="4" count="1" selected="0">
            <x v="7"/>
          </reference>
          <reference field="5" count="2">
            <x v="41"/>
            <x v="79"/>
          </reference>
        </references>
      </pivotArea>
    </format>
    <format dxfId="95">
      <pivotArea dataOnly="0" labelOnly="1" fieldPosition="0">
        <references count="2">
          <reference field="4" count="1" selected="0">
            <x v="8"/>
          </reference>
          <reference field="5" count="2">
            <x v="91"/>
            <x v="106"/>
          </reference>
        </references>
      </pivotArea>
    </format>
    <format dxfId="94">
      <pivotArea dataOnly="0" labelOnly="1" fieldPosition="0">
        <references count="2">
          <reference field="4" count="1" selected="0">
            <x v="9"/>
          </reference>
          <reference field="5" count="4">
            <x v="110"/>
            <x v="112"/>
            <x v="113"/>
            <x v="120"/>
          </reference>
        </references>
      </pivotArea>
    </format>
    <format dxfId="93">
      <pivotArea dataOnly="0" labelOnly="1" fieldPosition="0">
        <references count="2">
          <reference field="4" count="1" selected="0">
            <x v="10"/>
          </reference>
          <reference field="5" count="2">
            <x v="119"/>
            <x v="120"/>
          </reference>
        </references>
      </pivotArea>
    </format>
    <format dxfId="92">
      <pivotArea dataOnly="0" labelOnly="1" fieldPosition="0">
        <references count="2">
          <reference field="4" count="1" selected="0">
            <x v="11"/>
          </reference>
          <reference field="5" count="2">
            <x v="109"/>
            <x v="120"/>
          </reference>
        </references>
      </pivotArea>
    </format>
    <format dxfId="91">
      <pivotArea dataOnly="0" labelOnly="1" fieldPosition="0">
        <references count="2">
          <reference field="4" count="1" selected="0">
            <x v="12"/>
          </reference>
          <reference field="5" count="2">
            <x v="56"/>
            <x v="120"/>
          </reference>
        </references>
      </pivotArea>
    </format>
    <format dxfId="90">
      <pivotArea dataOnly="0" labelOnly="1" fieldPosition="0">
        <references count="2">
          <reference field="4" count="1" selected="0">
            <x v="13"/>
          </reference>
          <reference field="5" count="2">
            <x v="84"/>
            <x v="120"/>
          </reference>
        </references>
      </pivotArea>
    </format>
    <format dxfId="89">
      <pivotArea dataOnly="0" labelOnly="1" fieldPosition="0">
        <references count="2">
          <reference field="4" count="1" selected="0">
            <x v="14"/>
          </reference>
          <reference field="5" count="1">
            <x v="107"/>
          </reference>
        </references>
      </pivotArea>
    </format>
    <format dxfId="88">
      <pivotArea dataOnly="0" labelOnly="1" fieldPosition="0">
        <references count="2">
          <reference field="4" count="1" selected="0">
            <x v="15"/>
          </reference>
          <reference field="5" count="1">
            <x v="33"/>
          </reference>
        </references>
      </pivotArea>
    </format>
    <format dxfId="87">
      <pivotArea dataOnly="0" labelOnly="1" fieldPosition="0">
        <references count="2">
          <reference field="4" count="1" selected="0">
            <x v="16"/>
          </reference>
          <reference field="5" count="1">
            <x v="68"/>
          </reference>
        </references>
      </pivotArea>
    </format>
    <format dxfId="86">
      <pivotArea dataOnly="0" labelOnly="1" fieldPosition="0">
        <references count="2">
          <reference field="4" count="1" selected="0">
            <x v="17"/>
          </reference>
          <reference field="5" count="2">
            <x v="101"/>
            <x v="120"/>
          </reference>
        </references>
      </pivotArea>
    </format>
    <format dxfId="85">
      <pivotArea dataOnly="0" labelOnly="1" fieldPosition="0">
        <references count="2">
          <reference field="4" count="1" selected="0">
            <x v="18"/>
          </reference>
          <reference field="5" count="2">
            <x v="63"/>
            <x v="120"/>
          </reference>
        </references>
      </pivotArea>
    </format>
    <format dxfId="84">
      <pivotArea dataOnly="0" labelOnly="1" fieldPosition="0">
        <references count="2">
          <reference field="4" count="1" selected="0">
            <x v="19"/>
          </reference>
          <reference field="5" count="2">
            <x v="14"/>
            <x v="120"/>
          </reference>
        </references>
      </pivotArea>
    </format>
    <format dxfId="83">
      <pivotArea dataOnly="0" labelOnly="1" fieldPosition="0">
        <references count="2">
          <reference field="4" count="1" selected="0">
            <x v="20"/>
          </reference>
          <reference field="5" count="2">
            <x v="5"/>
            <x v="85"/>
          </reference>
        </references>
      </pivotArea>
    </format>
    <format dxfId="82">
      <pivotArea dataOnly="0" labelOnly="1" fieldPosition="0">
        <references count="2">
          <reference field="4" count="1" selected="0">
            <x v="21"/>
          </reference>
          <reference field="5" count="13">
            <x v="7"/>
            <x v="19"/>
            <x v="31"/>
            <x v="37"/>
            <x v="38"/>
            <x v="55"/>
            <x v="64"/>
            <x v="65"/>
            <x v="92"/>
            <x v="93"/>
            <x v="108"/>
            <x v="114"/>
            <x v="120"/>
          </reference>
        </references>
      </pivotArea>
    </format>
    <format dxfId="81">
      <pivotArea dataOnly="0" labelOnly="1" fieldPosition="0">
        <references count="2">
          <reference field="4" count="1" selected="0">
            <x v="22"/>
          </reference>
          <reference field="5" count="2">
            <x v="83"/>
            <x v="104"/>
          </reference>
        </references>
      </pivotArea>
    </format>
    <format dxfId="80">
      <pivotArea dataOnly="0" labelOnly="1" fieldPosition="0">
        <references count="2">
          <reference field="4" count="1" selected="0">
            <x v="23"/>
          </reference>
          <reference field="5" count="8">
            <x v="0"/>
            <x v="2"/>
            <x v="40"/>
            <x v="60"/>
            <x v="61"/>
            <x v="100"/>
            <x v="105"/>
            <x v="120"/>
          </reference>
        </references>
      </pivotArea>
    </format>
    <format dxfId="79">
      <pivotArea dataOnly="0" labelOnly="1" fieldPosition="0">
        <references count="2">
          <reference field="4" count="1" selected="0">
            <x v="24"/>
          </reference>
          <reference field="5" count="3">
            <x v="29"/>
            <x v="30"/>
            <x v="91"/>
          </reference>
        </references>
      </pivotArea>
    </format>
    <format dxfId="78">
      <pivotArea dataOnly="0" labelOnly="1" fieldPosition="0">
        <references count="2">
          <reference field="4" count="1" selected="0">
            <x v="25"/>
          </reference>
          <reference field="5" count="5">
            <x v="34"/>
            <x v="35"/>
            <x v="103"/>
            <x v="111"/>
            <x v="120"/>
          </reference>
        </references>
      </pivotArea>
    </format>
    <format dxfId="77">
      <pivotArea dataOnly="0" labelOnly="1" fieldPosition="0">
        <references count="2">
          <reference field="4" count="1" selected="0">
            <x v="26"/>
          </reference>
          <reference field="5" count="3">
            <x v="39"/>
            <x v="100"/>
            <x v="111"/>
          </reference>
        </references>
      </pivotArea>
    </format>
    <format dxfId="76">
      <pivotArea dataOnly="0" labelOnly="1" fieldPosition="0">
        <references count="2">
          <reference field="4" count="1" selected="0">
            <x v="27"/>
          </reference>
          <reference field="5" count="2">
            <x v="43"/>
            <x v="120"/>
          </reference>
        </references>
      </pivotArea>
    </format>
    <format dxfId="75">
      <pivotArea dataOnly="0" labelOnly="1" fieldPosition="0">
        <references count="2">
          <reference field="4" count="1" selected="0">
            <x v="28"/>
          </reference>
          <reference field="5" count="2">
            <x v="98"/>
            <x v="120"/>
          </reference>
        </references>
      </pivotArea>
    </format>
    <format dxfId="74">
      <pivotArea dataOnly="0" labelOnly="1" fieldPosition="0">
        <references count="2">
          <reference field="4" count="1" selected="0">
            <x v="29"/>
          </reference>
          <reference field="5" count="3">
            <x v="46"/>
            <x v="82"/>
            <x v="120"/>
          </reference>
        </references>
      </pivotArea>
    </format>
    <format dxfId="73">
      <pivotArea dataOnly="0" labelOnly="1" fieldPosition="0">
        <references count="2">
          <reference field="4" count="1" selected="0">
            <x v="30"/>
          </reference>
          <reference field="5" count="17">
            <x v="3"/>
            <x v="9"/>
            <x v="11"/>
            <x v="13"/>
            <x v="15"/>
            <x v="20"/>
            <x v="27"/>
            <x v="32"/>
            <x v="47"/>
            <x v="50"/>
            <x v="54"/>
            <x v="57"/>
            <x v="62"/>
            <x v="66"/>
            <x v="78"/>
            <x v="117"/>
            <x v="120"/>
          </reference>
        </references>
      </pivotArea>
    </format>
    <format dxfId="72">
      <pivotArea dataOnly="0" labelOnly="1" fieldPosition="0">
        <references count="2">
          <reference field="4" count="1" selected="0">
            <x v="31"/>
          </reference>
          <reference field="5" count="2">
            <x v="48"/>
            <x v="120"/>
          </reference>
        </references>
      </pivotArea>
    </format>
    <format dxfId="71">
      <pivotArea dataOnly="0" labelOnly="1" fieldPosition="0">
        <references count="2">
          <reference field="4" count="1" selected="0">
            <x v="32"/>
          </reference>
          <reference field="5" count="2">
            <x v="10"/>
            <x v="99"/>
          </reference>
        </references>
      </pivotArea>
    </format>
    <format dxfId="70">
      <pivotArea dataOnly="0" labelOnly="1" fieldPosition="0">
        <references count="2">
          <reference field="4" count="1" selected="0">
            <x v="33"/>
          </reference>
          <reference field="5" count="2">
            <x v="45"/>
            <x v="120"/>
          </reference>
        </references>
      </pivotArea>
    </format>
    <format dxfId="69">
      <pivotArea dataOnly="0" labelOnly="1" fieldPosition="0">
        <references count="2">
          <reference field="4" count="1" selected="0">
            <x v="34"/>
          </reference>
          <reference field="5" count="2">
            <x v="25"/>
            <x v="120"/>
          </reference>
        </references>
      </pivotArea>
    </format>
    <format dxfId="68">
      <pivotArea dataOnly="0" labelOnly="1" fieldPosition="0">
        <references count="2">
          <reference field="4" count="1" selected="0">
            <x v="35"/>
          </reference>
          <reference field="5" count="3">
            <x v="12"/>
            <x v="21"/>
            <x v="120"/>
          </reference>
        </references>
      </pivotArea>
    </format>
    <format dxfId="67">
      <pivotArea dataOnly="0" labelOnly="1" fieldPosition="0">
        <references count="2">
          <reference field="4" count="1" selected="0">
            <x v="36"/>
          </reference>
          <reference field="5" count="2">
            <x v="24"/>
            <x v="120"/>
          </reference>
        </references>
      </pivotArea>
    </format>
    <format dxfId="66">
      <pivotArea dataOnly="0" labelOnly="1" fieldPosition="0">
        <references count="2">
          <reference field="4" count="1" selected="0">
            <x v="37"/>
          </reference>
          <reference field="5" count="12">
            <x v="6"/>
            <x v="16"/>
            <x v="17"/>
            <x v="22"/>
            <x v="23"/>
            <x v="29"/>
            <x v="48"/>
            <x v="52"/>
            <x v="58"/>
            <x v="80"/>
            <x v="81"/>
            <x v="120"/>
          </reference>
        </references>
      </pivotArea>
    </format>
    <format dxfId="65">
      <pivotArea dataOnly="0" labelOnly="1" fieldPosition="0">
        <references count="2">
          <reference field="4" count="1" selected="0">
            <x v="38"/>
          </reference>
          <reference field="5" count="2">
            <x v="4"/>
            <x v="26"/>
          </reference>
        </references>
      </pivotArea>
    </format>
    <format dxfId="64">
      <pivotArea dataOnly="0" labelOnly="1" fieldPosition="0">
        <references count="2">
          <reference field="4" count="1" selected="0">
            <x v="39"/>
          </reference>
          <reference field="5" count="1">
            <x v="53"/>
          </reference>
        </references>
      </pivotArea>
    </format>
    <format dxfId="63">
      <pivotArea dataOnly="0" labelOnly="1" fieldPosition="0">
        <references count="2">
          <reference field="4" count="1" selected="0">
            <x v="40"/>
          </reference>
          <reference field="5" count="1">
            <x v="36"/>
          </reference>
        </references>
      </pivotArea>
    </format>
    <format dxfId="62">
      <pivotArea dataOnly="0" labelOnly="1" fieldPosition="0">
        <references count="2">
          <reference field="4" count="1" selected="0">
            <x v="41"/>
          </reference>
          <reference field="5" count="1">
            <x v="76"/>
          </reference>
        </references>
      </pivotArea>
    </format>
    <format dxfId="61">
      <pivotArea dataOnly="0" labelOnly="1" fieldPosition="0">
        <references count="2">
          <reference field="4" count="1" selected="0">
            <x v="42"/>
          </reference>
          <reference field="5" count="1">
            <x v="75"/>
          </reference>
        </references>
      </pivotArea>
    </format>
    <format dxfId="60">
      <pivotArea dataOnly="0" labelOnly="1" fieldPosition="0">
        <references count="2">
          <reference field="4" count="1" selected="0">
            <x v="43"/>
          </reference>
          <reference field="5" count="1">
            <x v="71"/>
          </reference>
        </references>
      </pivotArea>
    </format>
    <format dxfId="59">
      <pivotArea dataOnly="0" labelOnly="1" fieldPosition="0">
        <references count="2">
          <reference field="4" count="1" selected="0">
            <x v="44"/>
          </reference>
          <reference field="5" count="1">
            <x v="72"/>
          </reference>
        </references>
      </pivotArea>
    </format>
    <format dxfId="58">
      <pivotArea dataOnly="0" labelOnly="1" fieldPosition="0">
        <references count="2">
          <reference field="4" count="1" selected="0">
            <x v="45"/>
          </reference>
          <reference field="5" count="1">
            <x v="73"/>
          </reference>
        </references>
      </pivotArea>
    </format>
    <format dxfId="57">
      <pivotArea dataOnly="0" labelOnly="1" fieldPosition="0">
        <references count="2">
          <reference field="4" count="1" selected="0">
            <x v="46"/>
          </reference>
          <reference field="5" count="1">
            <x v="74"/>
          </reference>
        </references>
      </pivotArea>
    </format>
    <format dxfId="56">
      <pivotArea dataOnly="0" labelOnly="1" fieldPosition="0">
        <references count="2">
          <reference field="4" count="1" selected="0">
            <x v="47"/>
          </reference>
          <reference field="5" count="1">
            <x v="8"/>
          </reference>
        </references>
      </pivotArea>
    </format>
    <format dxfId="55">
      <pivotArea dataOnly="0" labelOnly="1" fieldPosition="0">
        <references count="2">
          <reference field="4" count="1" selected="0">
            <x v="48"/>
          </reference>
          <reference field="5" count="2">
            <x v="28"/>
            <x v="92"/>
          </reference>
        </references>
      </pivotArea>
    </format>
    <format dxfId="54">
      <pivotArea dataOnly="0" labelOnly="1" fieldPosition="0">
        <references count="2">
          <reference field="4" count="1" selected="0">
            <x v="49"/>
          </reference>
          <reference field="5" count="2">
            <x v="97"/>
            <x v="120"/>
          </reference>
        </references>
      </pivotArea>
    </format>
    <format dxfId="53">
      <pivotArea dataOnly="0" labelOnly="1" fieldPosition="0">
        <references count="2">
          <reference field="4" count="1" selected="0">
            <x v="50"/>
          </reference>
          <reference field="5" count="1">
            <x v="90"/>
          </reference>
        </references>
      </pivotArea>
    </format>
    <format dxfId="52">
      <pivotArea dataOnly="0" labelOnly="1" fieldPosition="0">
        <references count="2">
          <reference field="4" count="1" selected="0">
            <x v="51"/>
          </reference>
          <reference field="5" count="1">
            <x v="102"/>
          </reference>
        </references>
      </pivotArea>
    </format>
    <format dxfId="51">
      <pivotArea dataOnly="0" labelOnly="1" fieldPosition="0">
        <references count="2">
          <reference field="4" count="1" selected="0">
            <x v="52"/>
          </reference>
          <reference field="5" count="1">
            <x v="115"/>
          </reference>
        </references>
      </pivotArea>
    </format>
    <format dxfId="50">
      <pivotArea dataOnly="0" labelOnly="1" fieldPosition="0">
        <references count="2">
          <reference field="4" count="1" selected="0">
            <x v="53"/>
          </reference>
          <reference field="5" count="1">
            <x v="116"/>
          </reference>
        </references>
      </pivotArea>
    </format>
    <format dxfId="49">
      <pivotArea dataOnly="0" labelOnly="1" fieldPosition="0">
        <references count="2">
          <reference field="4" count="1" selected="0">
            <x v="54"/>
          </reference>
          <reference field="5" count="1">
            <x v="95"/>
          </reference>
        </references>
      </pivotArea>
    </format>
    <format dxfId="48">
      <pivotArea dataOnly="0" labelOnly="1" fieldPosition="0">
        <references count="2">
          <reference field="4" count="1" selected="0">
            <x v="55"/>
          </reference>
          <reference field="5" count="1">
            <x v="86"/>
          </reference>
        </references>
      </pivotArea>
    </format>
    <format dxfId="47">
      <pivotArea dataOnly="0" labelOnly="1" fieldPosition="0">
        <references count="2">
          <reference field="4" count="1" selected="0">
            <x v="56"/>
          </reference>
          <reference field="5" count="2">
            <x v="87"/>
            <x v="120"/>
          </reference>
        </references>
      </pivotArea>
    </format>
    <format dxfId="46">
      <pivotArea dataOnly="0" labelOnly="1" fieldPosition="0">
        <references count="2">
          <reference field="4" count="1" selected="0">
            <x v="57"/>
          </reference>
          <reference field="5" count="2">
            <x v="89"/>
            <x v="120"/>
          </reference>
        </references>
      </pivotArea>
    </format>
    <format dxfId="45">
      <pivotArea dataOnly="0" labelOnly="1" fieldPosition="0">
        <references count="2">
          <reference field="4" count="1" selected="0">
            <x v="58"/>
          </reference>
          <reference field="5" count="1">
            <x v="88"/>
          </reference>
        </references>
      </pivotArea>
    </format>
    <format dxfId="44">
      <pivotArea dataOnly="0" labelOnly="1" fieldPosition="0">
        <references count="2">
          <reference field="4" count="1" selected="0">
            <x v="59"/>
          </reference>
          <reference field="5" count="1">
            <x v="85"/>
          </reference>
        </references>
      </pivotArea>
    </format>
    <format dxfId="43">
      <pivotArea dataOnly="0" labelOnly="1" fieldPosition="0">
        <references count="2">
          <reference field="4" count="1" selected="0">
            <x v="60"/>
          </reference>
          <reference field="5" count="2">
            <x v="18"/>
            <x v="94"/>
          </reference>
        </references>
      </pivotArea>
    </format>
    <format dxfId="42">
      <pivotArea outline="0" collapsedLevelsAreSubtotals="1" fieldPosition="0"/>
    </format>
    <format dxfId="41">
      <pivotArea dataOnly="0" labelOnly="1" outline="0" fieldPosition="0">
        <references count="1">
          <reference field="4294967294" count="1">
            <x v="0"/>
          </reference>
        </references>
      </pivotArea>
    </format>
    <format dxfId="40">
      <pivotArea collapsedLevelsAreSubtotals="1" fieldPosition="0">
        <references count="2">
          <reference field="4294967294" count="1" selected="0">
            <x v="0"/>
          </reference>
          <reference field="4" count="1">
            <x v="52"/>
          </reference>
        </references>
      </pivotArea>
    </format>
    <format dxfId="39">
      <pivotArea collapsedLevelsAreSubtotals="1" fieldPosition="0">
        <references count="2">
          <reference field="4294967294" count="1" selected="0">
            <x v="0"/>
          </reference>
          <reference field="4" count="1">
            <x v="53"/>
          </reference>
        </references>
      </pivotArea>
    </format>
    <format dxfId="38">
      <pivotArea collapsedLevelsAreSubtotals="1" fieldPosition="0">
        <references count="2">
          <reference field="4294967294" count="1" selected="0">
            <x v="0"/>
          </reference>
          <reference field="4" count="1">
            <x v="54"/>
          </reference>
        </references>
      </pivotArea>
    </format>
    <format dxfId="37">
      <pivotArea collapsedLevelsAreSubtotals="1" fieldPosition="0">
        <references count="2">
          <reference field="4294967294" count="1" selected="0">
            <x v="0"/>
          </reference>
          <reference field="4" count="1">
            <x v="55"/>
          </reference>
        </references>
      </pivotArea>
    </format>
    <format dxfId="36">
      <pivotArea collapsedLevelsAreSubtotals="1" fieldPosition="0">
        <references count="2">
          <reference field="4294967294" count="1" selected="0">
            <x v="0"/>
          </reference>
          <reference field="4" count="1">
            <x v="56"/>
          </reference>
        </references>
      </pivotArea>
    </format>
    <format dxfId="35">
      <pivotArea collapsedLevelsAreSubtotals="1" fieldPosition="0">
        <references count="2">
          <reference field="4294967294" count="1" selected="0">
            <x v="0"/>
          </reference>
          <reference field="4" count="1">
            <x v="57"/>
          </reference>
        </references>
      </pivotArea>
    </format>
    <format dxfId="34">
      <pivotArea collapsedLevelsAreSubtotals="1" fieldPosition="0">
        <references count="2">
          <reference field="4294967294" count="1" selected="0">
            <x v="0"/>
          </reference>
          <reference field="4" count="1">
            <x v="58"/>
          </reference>
        </references>
      </pivotArea>
    </format>
    <format dxfId="33">
      <pivotArea collapsedLevelsAreSubtotals="1" fieldPosition="0">
        <references count="2">
          <reference field="4294967294" count="1" selected="0">
            <x v="0"/>
          </reference>
          <reference field="4" count="1">
            <x v="59"/>
          </reference>
        </references>
      </pivotArea>
    </format>
    <format dxfId="32">
      <pivotArea collapsedLevelsAreSubtotals="1" fieldPosition="0">
        <references count="2">
          <reference field="4294967294" count="1" selected="0">
            <x v="0"/>
          </reference>
          <reference field="4" count="1">
            <x v="60"/>
          </reference>
        </references>
      </pivotArea>
    </format>
    <format dxfId="31">
      <pivotArea collapsedLevelsAreSubtotals="1" fieldPosition="0">
        <references count="2">
          <reference field="4294967294" count="1" selected="0">
            <x v="0"/>
          </reference>
          <reference field="4" count="2">
            <x v="41"/>
            <x v="42"/>
          </reference>
        </references>
      </pivotArea>
    </format>
    <format dxfId="30">
      <pivotArea collapsedLevelsAreSubtotals="1" fieldPosition="0">
        <references count="2">
          <reference field="4294967294" count="1" selected="0">
            <x v="1"/>
          </reference>
          <reference field="4" count="2">
            <x v="41"/>
            <x v="42"/>
          </reference>
        </references>
      </pivotArea>
    </format>
    <format dxfId="29">
      <pivotArea collapsedLevelsAreSubtotals="1" fieldPosition="0">
        <references count="2">
          <reference field="4294967294" count="1" selected="0">
            <x v="0"/>
          </reference>
          <reference field="4" count="1">
            <x v="0"/>
          </reference>
        </references>
      </pivotArea>
    </format>
    <format dxfId="28">
      <pivotArea collapsedLevelsAreSubtotals="1" fieldPosition="0">
        <references count="2">
          <reference field="4294967294" count="1" selected="0">
            <x v="1"/>
          </reference>
          <reference field="4" count="1">
            <x v="0"/>
          </reference>
        </references>
      </pivotArea>
    </format>
    <format dxfId="27">
      <pivotArea collapsedLevelsAreSubtotals="1" fieldPosition="0">
        <references count="1">
          <reference field="4" count="2">
            <x v="43"/>
            <x v="44"/>
          </reference>
        </references>
      </pivotArea>
    </format>
    <format dxfId="26">
      <pivotArea collapsedLevelsAreSubtotals="1" fieldPosition="0">
        <references count="1">
          <reference field="4" count="2">
            <x v="45"/>
            <x v="46"/>
          </reference>
        </references>
      </pivotArea>
    </format>
    <format dxfId="25">
      <pivotArea collapsedLevelsAreSubtotals="1" fieldPosition="0">
        <references count="1">
          <reference field="4" count="1">
            <x v="47"/>
          </reference>
        </references>
      </pivotArea>
    </format>
    <format dxfId="24">
      <pivotArea collapsedLevelsAreSubtotals="1" fieldPosition="0">
        <references count="1">
          <reference field="4" count="9">
            <x v="52"/>
            <x v="53"/>
            <x v="54"/>
            <x v="55"/>
            <x v="56"/>
            <x v="57"/>
            <x v="58"/>
            <x v="59"/>
            <x v="60"/>
          </reference>
        </references>
      </pivotArea>
    </format>
    <format dxfId="23">
      <pivotArea collapsedLevelsAreSubtotals="1" fieldPosition="0">
        <references count="1">
          <reference field="4" count="9">
            <x v="52"/>
            <x v="53"/>
            <x v="54"/>
            <x v="55"/>
            <x v="56"/>
            <x v="57"/>
            <x v="58"/>
            <x v="59"/>
            <x v="60"/>
          </reference>
        </references>
      </pivotArea>
    </format>
    <format dxfId="22">
      <pivotArea collapsedLevelsAreSubtotals="1" fieldPosition="0">
        <references count="1">
          <reference field="4" count="2">
            <x v="1"/>
            <x v="2"/>
          </reference>
        </references>
      </pivotArea>
    </format>
    <format dxfId="21">
      <pivotArea collapsedLevelsAreSubtotals="1" fieldPosition="0">
        <references count="1">
          <reference field="4" count="3">
            <x v="49"/>
            <x v="50"/>
            <x v="51"/>
          </reference>
        </references>
      </pivotArea>
    </format>
    <format dxfId="20">
      <pivotArea collapsedLevelsAreSubtotals="1" fieldPosition="0">
        <references count="1">
          <reference field="4" count="3">
            <x v="3"/>
            <x v="4"/>
            <x v="5"/>
          </reference>
        </references>
      </pivotArea>
    </format>
    <format dxfId="19">
      <pivotArea collapsedLevelsAreSubtotals="1" fieldPosition="0">
        <references count="1">
          <reference field="4" count="2">
            <x v="6"/>
            <x v="7"/>
          </reference>
        </references>
      </pivotArea>
    </format>
    <format dxfId="18">
      <pivotArea collapsedLevelsAreSubtotals="1" fieldPosition="0">
        <references count="1">
          <reference field="4" count="1">
            <x v="26"/>
          </reference>
        </references>
      </pivotArea>
    </format>
    <format dxfId="17">
      <pivotArea collapsedLevelsAreSubtotals="1" fieldPosition="0">
        <references count="1">
          <reference field="4" count="1">
            <x v="27"/>
          </reference>
        </references>
      </pivotArea>
    </format>
    <format dxfId="16">
      <pivotArea collapsedLevelsAreSubtotals="1" fieldPosition="0">
        <references count="1">
          <reference field="4" count="1">
            <x v="28"/>
          </reference>
        </references>
      </pivotArea>
    </format>
    <format dxfId="15">
      <pivotArea collapsedLevelsAreSubtotals="1" fieldPosition="0">
        <references count="1">
          <reference field="4" count="1">
            <x v="30"/>
          </reference>
        </references>
      </pivotArea>
    </format>
    <format dxfId="14">
      <pivotArea collapsedLevelsAreSubtotals="1" fieldPosition="0">
        <references count="1">
          <reference field="4" count="2">
            <x v="30"/>
            <x v="31"/>
          </reference>
        </references>
      </pivotArea>
    </format>
    <format dxfId="13">
      <pivotArea collapsedLevelsAreSubtotals="1" fieldPosition="0">
        <references count="1">
          <reference field="4" count="1">
            <x v="32"/>
          </reference>
        </references>
      </pivotArea>
    </format>
    <format dxfId="12">
      <pivotArea collapsedLevelsAreSubtotals="1" fieldPosition="0">
        <references count="1">
          <reference field="4" count="4">
            <x v="34"/>
            <x v="35"/>
            <x v="36"/>
            <x v="37"/>
          </reference>
        </references>
      </pivotArea>
    </format>
    <format dxfId="11">
      <pivotArea collapsedLevelsAreSubtotals="1" fieldPosition="0">
        <references count="1">
          <reference field="4" count="1">
            <x v="3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740" dT="2025-10-23T12:17:24.98" personId="{1EB0768F-5385-43E3-BD9C-EE04ECCD3CA8}" id="{4EE0DB69-E204-46A7-BF1C-7561E5F3EAEF}">
    <text>Vai pareizs EKK?</text>
  </threadedComment>
</ThreadedComments>
</file>

<file path=xl/threadedComments/threadedComment2.xml><?xml version="1.0" encoding="utf-8"?>
<ThreadedComments xmlns="http://schemas.microsoft.com/office/spreadsheetml/2018/threadedcomments" xmlns:x="http://schemas.openxmlformats.org/spreadsheetml/2006/main">
  <threadedComment ref="J112" dT="2025-11-27T07:34:57.73" personId="{1EB0768F-5385-43E3-BD9C-EE04ECCD3CA8}" id="{21E93F86-2720-4E97-8A8F-AA40C022AC8C}">
    <text>729424</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365272"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F19C-0978-4082-871C-E7B2590E5915}">
  <sheetPr codeName="Lapa2">
    <tabColor rgb="FFFFFF99"/>
  </sheetPr>
  <dimension ref="A2:L130"/>
  <sheetViews>
    <sheetView topLeftCell="A109" workbookViewId="0">
      <selection activeCell="G118" sqref="G118"/>
    </sheetView>
  </sheetViews>
  <sheetFormatPr defaultColWidth="9" defaultRowHeight="13.8"/>
  <cols>
    <col min="1" max="1" width="3" style="15" customWidth="1"/>
    <col min="2" max="2" width="4.375" style="15" customWidth="1"/>
    <col min="3" max="3" width="9" style="15"/>
    <col min="4" max="4" width="8.875" style="15" customWidth="1"/>
    <col min="5" max="5" width="57.625" style="15" customWidth="1"/>
    <col min="6" max="6" width="18.125" style="15" customWidth="1"/>
    <col min="7" max="7" width="19" style="15" customWidth="1"/>
    <col min="8" max="8" width="16.375" style="15" customWidth="1"/>
    <col min="9" max="9" width="18.125" style="15" customWidth="1"/>
    <col min="10" max="16384" width="9" style="15"/>
  </cols>
  <sheetData>
    <row r="2" spans="1:12">
      <c r="B2" s="15" t="s">
        <v>1677</v>
      </c>
    </row>
    <row r="4" spans="1:12">
      <c r="B4" s="507" t="s">
        <v>6</v>
      </c>
      <c r="C4" s="508" t="s">
        <v>5160</v>
      </c>
    </row>
    <row r="5" spans="1:12">
      <c r="B5" s="507" t="s">
        <v>11</v>
      </c>
      <c r="C5" s="508" t="s">
        <v>5161</v>
      </c>
    </row>
    <row r="6" spans="1:12">
      <c r="B6" s="507" t="s">
        <v>16</v>
      </c>
      <c r="C6" s="508"/>
    </row>
    <row r="7" spans="1:12" s="536" customFormat="1" ht="14.4" thickBot="1">
      <c r="B7" s="537"/>
    </row>
    <row r="8" spans="1:12" ht="14.4" thickTop="1">
      <c r="B8" s="507"/>
    </row>
    <row r="9" spans="1:12">
      <c r="B9" s="507" t="s">
        <v>6</v>
      </c>
      <c r="C9" s="15" t="s">
        <v>5162</v>
      </c>
    </row>
    <row r="10" spans="1:12">
      <c r="B10" s="507"/>
    </row>
    <row r="11" spans="1:12">
      <c r="B11" s="15" t="s">
        <v>8</v>
      </c>
      <c r="C11" s="15" t="s">
        <v>1679</v>
      </c>
    </row>
    <row r="13" spans="1:12" ht="42.75" customHeight="1">
      <c r="A13" s="509"/>
      <c r="B13" s="509"/>
      <c r="C13" s="510"/>
      <c r="D13" s="487" t="s">
        <v>0</v>
      </c>
      <c r="E13" s="488" t="s">
        <v>1</v>
      </c>
      <c r="F13" s="489">
        <v>2025</v>
      </c>
      <c r="G13" s="490">
        <v>2026</v>
      </c>
      <c r="H13" s="490" t="s">
        <v>374</v>
      </c>
      <c r="I13" s="491" t="s">
        <v>1678</v>
      </c>
      <c r="J13" s="511"/>
      <c r="L13" s="512"/>
    </row>
    <row r="14" spans="1:12">
      <c r="A14" s="509"/>
      <c r="B14" s="509"/>
      <c r="C14" s="510"/>
      <c r="D14" s="513" t="s">
        <v>6</v>
      </c>
      <c r="E14" s="514" t="s">
        <v>7</v>
      </c>
      <c r="F14" s="514"/>
      <c r="G14" s="514"/>
      <c r="H14" s="514"/>
      <c r="I14" s="514"/>
      <c r="J14" s="515"/>
      <c r="L14" s="512"/>
    </row>
    <row r="15" spans="1:12">
      <c r="A15" s="509"/>
      <c r="B15" s="509"/>
      <c r="C15" s="510"/>
      <c r="D15" s="513" t="s">
        <v>11</v>
      </c>
      <c r="E15" s="514" t="s">
        <v>12</v>
      </c>
      <c r="F15" s="514"/>
      <c r="G15" s="514"/>
      <c r="H15" s="514"/>
      <c r="I15" s="514"/>
      <c r="J15" s="516"/>
      <c r="K15" s="119"/>
      <c r="L15" s="512"/>
    </row>
    <row r="16" spans="1:12">
      <c r="A16" s="509"/>
      <c r="B16" s="509"/>
      <c r="C16" s="510"/>
      <c r="D16" s="513" t="s">
        <v>16</v>
      </c>
      <c r="E16" s="514" t="s">
        <v>1272</v>
      </c>
      <c r="F16" s="514"/>
      <c r="G16" s="514"/>
      <c r="H16" s="514"/>
      <c r="I16" s="514"/>
      <c r="J16" s="511"/>
      <c r="L16" s="512"/>
    </row>
    <row r="17" spans="1:12">
      <c r="A17" s="509"/>
      <c r="B17" s="509"/>
      <c r="C17" s="510"/>
      <c r="D17" s="513" t="s">
        <v>20</v>
      </c>
      <c r="E17" s="514" t="s">
        <v>1271</v>
      </c>
      <c r="F17" s="514"/>
      <c r="G17" s="514"/>
      <c r="H17" s="514"/>
      <c r="I17" s="514"/>
      <c r="J17" s="511"/>
      <c r="L17" s="512"/>
    </row>
    <row r="18" spans="1:12">
      <c r="A18" s="509"/>
      <c r="B18" s="509"/>
      <c r="C18" s="510"/>
      <c r="D18" s="513" t="s">
        <v>23</v>
      </c>
      <c r="E18" s="514" t="s">
        <v>1012</v>
      </c>
      <c r="F18" s="514"/>
      <c r="G18" s="514"/>
      <c r="H18" s="514"/>
      <c r="I18" s="514"/>
      <c r="J18" s="517"/>
      <c r="L18" s="512"/>
    </row>
    <row r="19" spans="1:12">
      <c r="A19" s="509"/>
      <c r="B19" s="509"/>
      <c r="C19" s="510"/>
      <c r="D19" s="513" t="s">
        <v>25</v>
      </c>
      <c r="E19" s="514" t="s">
        <v>26</v>
      </c>
      <c r="F19" s="514"/>
      <c r="G19" s="514"/>
      <c r="H19" s="514"/>
      <c r="I19" s="514"/>
      <c r="J19" s="517"/>
      <c r="L19" s="512"/>
    </row>
    <row r="20" spans="1:12">
      <c r="A20" s="509"/>
      <c r="B20" s="509"/>
      <c r="C20" s="510"/>
      <c r="D20" s="513" t="s">
        <v>29</v>
      </c>
      <c r="E20" s="514" t="s">
        <v>30</v>
      </c>
      <c r="F20" s="514"/>
      <c r="G20" s="514"/>
      <c r="H20" s="514"/>
      <c r="I20" s="514"/>
      <c r="J20" s="517"/>
      <c r="L20" s="512"/>
    </row>
    <row r="21" spans="1:12">
      <c r="A21" s="509"/>
      <c r="B21" s="509"/>
      <c r="C21" s="510"/>
      <c r="D21" s="513" t="s">
        <v>34</v>
      </c>
      <c r="E21" s="514" t="s">
        <v>35</v>
      </c>
      <c r="F21" s="514"/>
      <c r="G21" s="514"/>
      <c r="H21" s="514"/>
      <c r="I21" s="514"/>
      <c r="J21" s="511"/>
      <c r="L21" s="512"/>
    </row>
    <row r="22" spans="1:12">
      <c r="A22" s="509"/>
      <c r="B22" s="509"/>
      <c r="C22" s="510"/>
      <c r="D22" s="513" t="s">
        <v>36</v>
      </c>
      <c r="E22" s="514" t="s">
        <v>37</v>
      </c>
      <c r="F22" s="514"/>
      <c r="G22" s="514"/>
      <c r="H22" s="514"/>
      <c r="I22" s="514"/>
      <c r="J22" s="517"/>
      <c r="L22" s="512"/>
    </row>
    <row r="23" spans="1:12">
      <c r="A23" s="509"/>
      <c r="B23" s="509"/>
      <c r="C23" s="510"/>
      <c r="D23" s="513" t="s">
        <v>38</v>
      </c>
      <c r="E23" s="514" t="s">
        <v>39</v>
      </c>
      <c r="F23" s="514"/>
      <c r="G23" s="514"/>
      <c r="H23" s="514"/>
      <c r="I23" s="514"/>
      <c r="J23" s="517"/>
      <c r="L23" s="512"/>
    </row>
    <row r="24" spans="1:12">
      <c r="A24" s="509"/>
      <c r="B24" s="509"/>
      <c r="C24" s="510"/>
      <c r="D24" s="513" t="s">
        <v>50</v>
      </c>
      <c r="E24" s="514" t="s">
        <v>51</v>
      </c>
      <c r="F24" s="514"/>
      <c r="G24" s="514"/>
      <c r="H24" s="514"/>
      <c r="I24" s="514"/>
      <c r="J24" s="511"/>
      <c r="L24" s="512"/>
    </row>
    <row r="25" spans="1:12">
      <c r="A25" s="509"/>
      <c r="B25" s="509"/>
      <c r="C25" s="510"/>
      <c r="D25" s="513" t="s">
        <v>55</v>
      </c>
      <c r="E25" s="514" t="s">
        <v>56</v>
      </c>
      <c r="F25" s="514"/>
      <c r="G25" s="514"/>
      <c r="H25" s="514"/>
      <c r="I25" s="514"/>
      <c r="J25" s="352"/>
      <c r="L25" s="512"/>
    </row>
    <row r="26" spans="1:12" collapsed="1">
      <c r="A26" s="509"/>
      <c r="B26" s="509"/>
      <c r="C26" s="510"/>
      <c r="D26" s="514"/>
      <c r="E26" s="518" t="s">
        <v>69</v>
      </c>
      <c r="F26" s="514"/>
      <c r="G26" s="514"/>
      <c r="H26" s="514"/>
      <c r="I26" s="514"/>
      <c r="J26" s="517"/>
      <c r="L26" s="512"/>
    </row>
    <row r="28" spans="1:12">
      <c r="B28" s="15" t="s">
        <v>9</v>
      </c>
      <c r="C28" s="15" t="s">
        <v>1680</v>
      </c>
    </row>
    <row r="30" spans="1:12" ht="41.4">
      <c r="D30" s="487" t="s">
        <v>0</v>
      </c>
      <c r="E30" s="488" t="s">
        <v>1</v>
      </c>
      <c r="F30" s="489">
        <f>F13</f>
        <v>2025</v>
      </c>
      <c r="G30" s="489">
        <f>G13</f>
        <v>2026</v>
      </c>
      <c r="H30" s="490" t="s">
        <v>374</v>
      </c>
      <c r="I30" s="491" t="s">
        <v>373</v>
      </c>
    </row>
    <row r="31" spans="1:12">
      <c r="D31" s="492"/>
      <c r="E31" s="2965" t="s">
        <v>436</v>
      </c>
      <c r="F31" s="493"/>
      <c r="G31" s="494"/>
      <c r="H31" s="495"/>
      <c r="I31" s="496"/>
    </row>
    <row r="32" spans="1:12">
      <c r="D32" s="492"/>
      <c r="E32" s="2965" t="s">
        <v>376</v>
      </c>
      <c r="F32" s="493"/>
      <c r="G32" s="494"/>
      <c r="H32" s="495"/>
      <c r="I32" s="496"/>
    </row>
    <row r="33" spans="3:9">
      <c r="D33" s="492"/>
      <c r="E33" s="2965" t="s">
        <v>1211</v>
      </c>
      <c r="F33" s="493"/>
      <c r="G33" s="494"/>
      <c r="H33" s="495"/>
      <c r="I33" s="496"/>
    </row>
    <row r="34" spans="3:9">
      <c r="D34" s="492"/>
      <c r="E34" s="2965" t="s">
        <v>375</v>
      </c>
      <c r="F34" s="493"/>
      <c r="G34" s="494"/>
      <c r="H34" s="495"/>
      <c r="I34" s="496"/>
    </row>
    <row r="35" spans="3:9">
      <c r="D35" s="497"/>
      <c r="E35" s="2966" t="s">
        <v>975</v>
      </c>
      <c r="F35" s="498"/>
      <c r="G35" s="499"/>
      <c r="H35" s="500"/>
      <c r="I35" s="501"/>
    </row>
    <row r="36" spans="3:9">
      <c r="D36" s="497"/>
      <c r="E36" s="2966" t="s">
        <v>83</v>
      </c>
      <c r="F36" s="498"/>
      <c r="G36" s="499"/>
      <c r="H36" s="500"/>
      <c r="I36" s="501"/>
    </row>
    <row r="37" spans="3:9">
      <c r="D37" s="502"/>
      <c r="E37" s="2967" t="s">
        <v>338</v>
      </c>
      <c r="F37" s="503"/>
      <c r="G37" s="504"/>
      <c r="H37" s="505"/>
      <c r="I37" s="506"/>
    </row>
    <row r="39" spans="3:9" s="508" customFormat="1">
      <c r="C39" s="508" t="s">
        <v>1693</v>
      </c>
    </row>
    <row r="41" spans="3:9">
      <c r="C41" s="567" t="s">
        <v>5163</v>
      </c>
    </row>
    <row r="43" spans="3:9" ht="42" thickBot="1">
      <c r="D43" s="487" t="s">
        <v>0</v>
      </c>
      <c r="E43" s="488" t="s">
        <v>1</v>
      </c>
      <c r="F43" s="489">
        <f>F13</f>
        <v>2025</v>
      </c>
      <c r="G43" s="489">
        <f>G13</f>
        <v>2026</v>
      </c>
      <c r="H43" s="490" t="s">
        <v>374</v>
      </c>
      <c r="I43" s="491" t="s">
        <v>373</v>
      </c>
    </row>
    <row r="44" spans="3:9">
      <c r="D44" s="519" t="s">
        <v>6</v>
      </c>
      <c r="E44" s="36" t="s">
        <v>71</v>
      </c>
      <c r="F44" s="96"/>
      <c r="G44" s="438"/>
      <c r="H44" s="37"/>
      <c r="I44" s="231"/>
    </row>
    <row r="45" spans="3:9">
      <c r="D45" s="520"/>
      <c r="E45" s="2971" t="s">
        <v>436</v>
      </c>
      <c r="F45" s="110"/>
      <c r="G45" s="110"/>
      <c r="H45" s="111"/>
      <c r="I45" s="227"/>
    </row>
    <row r="46" spans="3:9">
      <c r="D46" s="521"/>
      <c r="E46" s="2972" t="s">
        <v>376</v>
      </c>
      <c r="F46" s="110"/>
      <c r="G46" s="110"/>
      <c r="H46" s="111"/>
      <c r="I46" s="227"/>
    </row>
    <row r="47" spans="3:9">
      <c r="D47" s="520"/>
      <c r="E47" s="2971" t="s">
        <v>375</v>
      </c>
      <c r="F47" s="110"/>
      <c r="G47" s="110"/>
      <c r="H47" s="111"/>
      <c r="I47" s="227"/>
    </row>
    <row r="48" spans="3:9">
      <c r="D48" s="522"/>
      <c r="E48" s="98" t="s">
        <v>975</v>
      </c>
      <c r="F48" s="107"/>
      <c r="G48" s="107"/>
      <c r="H48" s="100"/>
      <c r="I48" s="228"/>
    </row>
    <row r="49" spans="4:9">
      <c r="D49" s="523"/>
      <c r="E49" s="2973" t="s">
        <v>83</v>
      </c>
      <c r="F49" s="144"/>
      <c r="G49" s="144"/>
      <c r="H49" s="100"/>
      <c r="I49" s="228"/>
    </row>
    <row r="50" spans="4:9">
      <c r="D50" s="524" t="s">
        <v>11</v>
      </c>
      <c r="E50" s="41" t="s">
        <v>382</v>
      </c>
      <c r="F50" s="85"/>
      <c r="G50" s="86"/>
      <c r="H50" s="29"/>
      <c r="I50" s="219"/>
    </row>
    <row r="51" spans="4:9">
      <c r="D51" s="525"/>
      <c r="E51" s="2971" t="s">
        <v>436</v>
      </c>
      <c r="F51" s="87"/>
      <c r="G51" s="92"/>
      <c r="H51" s="48"/>
      <c r="I51" s="232"/>
    </row>
    <row r="52" spans="4:9">
      <c r="D52" s="526"/>
      <c r="E52" s="2971" t="s">
        <v>376</v>
      </c>
      <c r="F52" s="87"/>
      <c r="G52" s="92"/>
      <c r="H52" s="48"/>
      <c r="I52" s="232"/>
    </row>
    <row r="53" spans="4:9">
      <c r="D53" s="527"/>
      <c r="E53" s="2971" t="s">
        <v>1211</v>
      </c>
      <c r="F53" s="361"/>
      <c r="G53" s="361"/>
      <c r="H53" s="373"/>
      <c r="I53" s="374"/>
    </row>
    <row r="54" spans="4:9">
      <c r="D54" s="525"/>
      <c r="E54" s="2971" t="s">
        <v>375</v>
      </c>
      <c r="F54" s="87"/>
      <c r="G54" s="92"/>
      <c r="H54" s="48"/>
      <c r="I54" s="232"/>
    </row>
    <row r="55" spans="4:9">
      <c r="D55" s="528"/>
      <c r="E55" s="164" t="s">
        <v>773</v>
      </c>
      <c r="F55" s="154"/>
      <c r="G55" s="90"/>
      <c r="H55" s="158"/>
      <c r="I55" s="230"/>
    </row>
    <row r="56" spans="4:9">
      <c r="D56" s="524" t="s">
        <v>16</v>
      </c>
      <c r="E56" s="41" t="s">
        <v>85</v>
      </c>
      <c r="F56" s="85"/>
      <c r="G56" s="86"/>
      <c r="H56" s="29"/>
      <c r="I56" s="219"/>
    </row>
    <row r="57" spans="4:9">
      <c r="D57" s="525"/>
      <c r="E57" s="2971" t="s">
        <v>436</v>
      </c>
      <c r="F57" s="87"/>
      <c r="G57" s="92"/>
      <c r="H57" s="48"/>
      <c r="I57" s="232"/>
    </row>
    <row r="58" spans="4:9">
      <c r="D58" s="526"/>
      <c r="E58" s="2972" t="s">
        <v>376</v>
      </c>
      <c r="F58" s="87"/>
      <c r="G58" s="92"/>
      <c r="H58" s="48"/>
      <c r="I58" s="232"/>
    </row>
    <row r="59" spans="4:9">
      <c r="D59" s="529"/>
      <c r="E59" s="2972" t="s">
        <v>1032</v>
      </c>
      <c r="F59" s="87"/>
      <c r="G59" s="92"/>
      <c r="H59" s="48"/>
      <c r="I59" s="232"/>
    </row>
    <row r="60" spans="4:9">
      <c r="D60" s="525"/>
      <c r="E60" s="2971" t="s">
        <v>375</v>
      </c>
      <c r="F60" s="87"/>
      <c r="G60" s="92"/>
      <c r="H60" s="48"/>
      <c r="I60" s="232"/>
    </row>
    <row r="61" spans="4:9">
      <c r="D61" s="528"/>
      <c r="E61" s="164" t="s">
        <v>773</v>
      </c>
      <c r="F61" s="153"/>
      <c r="G61" s="92"/>
      <c r="H61" s="158"/>
      <c r="I61" s="230"/>
    </row>
    <row r="62" spans="4:9">
      <c r="D62" s="524" t="s">
        <v>20</v>
      </c>
      <c r="E62" s="41" t="s">
        <v>86</v>
      </c>
      <c r="F62" s="85"/>
      <c r="G62" s="85"/>
      <c r="H62" s="29"/>
      <c r="I62" s="219"/>
    </row>
    <row r="63" spans="4:9">
      <c r="D63" s="520"/>
      <c r="E63" s="2971" t="s">
        <v>436</v>
      </c>
      <c r="F63" s="110"/>
      <c r="G63" s="110"/>
      <c r="H63" s="111"/>
      <c r="I63" s="227"/>
    </row>
    <row r="64" spans="4:9">
      <c r="D64" s="521"/>
      <c r="E64" s="2972" t="s">
        <v>376</v>
      </c>
      <c r="F64" s="110"/>
      <c r="G64" s="110"/>
      <c r="H64" s="111"/>
      <c r="I64" s="227"/>
    </row>
    <row r="65" spans="4:9">
      <c r="D65" s="520"/>
      <c r="E65" s="2971" t="s">
        <v>375</v>
      </c>
      <c r="F65" s="110"/>
      <c r="G65" s="110"/>
      <c r="H65" s="111"/>
      <c r="I65" s="227"/>
    </row>
    <row r="66" spans="4:9">
      <c r="D66" s="524" t="s">
        <v>23</v>
      </c>
      <c r="E66" s="41" t="s">
        <v>91</v>
      </c>
      <c r="F66" s="30"/>
      <c r="G66" s="29"/>
      <c r="H66" s="29"/>
      <c r="I66" s="219"/>
    </row>
    <row r="67" spans="4:9">
      <c r="D67" s="520"/>
      <c r="E67" s="2971" t="s">
        <v>436</v>
      </c>
      <c r="F67" s="110"/>
      <c r="G67" s="110"/>
      <c r="H67" s="111"/>
      <c r="I67" s="227"/>
    </row>
    <row r="68" spans="4:9">
      <c r="D68" s="521"/>
      <c r="E68" s="2972" t="s">
        <v>376</v>
      </c>
      <c r="F68" s="115"/>
      <c r="G68" s="115"/>
      <c r="H68" s="111"/>
      <c r="I68" s="227"/>
    </row>
    <row r="69" spans="4:9">
      <c r="D69" s="530"/>
      <c r="E69" s="2972" t="s">
        <v>1211</v>
      </c>
      <c r="F69" s="390"/>
      <c r="G69" s="390"/>
      <c r="H69" s="111"/>
      <c r="I69" s="227"/>
    </row>
    <row r="70" spans="4:9">
      <c r="D70" s="520"/>
      <c r="E70" s="2971" t="s">
        <v>375</v>
      </c>
      <c r="F70" s="110"/>
      <c r="G70" s="110"/>
      <c r="H70" s="111"/>
      <c r="I70" s="227"/>
    </row>
    <row r="71" spans="4:9">
      <c r="D71" s="531"/>
      <c r="E71" s="164" t="s">
        <v>692</v>
      </c>
      <c r="F71" s="156"/>
      <c r="G71" s="156"/>
      <c r="H71" s="158"/>
      <c r="I71" s="239"/>
    </row>
    <row r="72" spans="4:9">
      <c r="D72" s="531"/>
      <c r="E72" s="318" t="s">
        <v>265</v>
      </c>
      <c r="F72" s="319"/>
      <c r="G72" s="319"/>
      <c r="H72" s="158"/>
      <c r="I72" s="230"/>
    </row>
    <row r="73" spans="4:9">
      <c r="D73" s="528"/>
      <c r="E73" s="164" t="s">
        <v>773</v>
      </c>
      <c r="F73" s="154"/>
      <c r="G73" s="154"/>
      <c r="H73" s="158"/>
      <c r="I73" s="230"/>
    </row>
    <row r="74" spans="4:9">
      <c r="D74" s="531"/>
      <c r="E74" s="164" t="s">
        <v>365</v>
      </c>
      <c r="F74" s="156"/>
      <c r="G74" s="156"/>
      <c r="H74" s="167"/>
      <c r="I74" s="239"/>
    </row>
    <row r="75" spans="4:9">
      <c r="D75" s="524" t="s">
        <v>25</v>
      </c>
      <c r="E75" s="41" t="s">
        <v>96</v>
      </c>
      <c r="F75" s="85"/>
      <c r="G75" s="86"/>
      <c r="H75" s="29"/>
      <c r="I75" s="219"/>
    </row>
    <row r="76" spans="4:9">
      <c r="D76" s="532"/>
      <c r="E76" s="2971" t="s">
        <v>436</v>
      </c>
      <c r="F76" s="110"/>
      <c r="G76" s="110"/>
      <c r="H76" s="111"/>
      <c r="I76" s="227"/>
    </row>
    <row r="77" spans="4:9">
      <c r="D77" s="533"/>
      <c r="E77" s="2972" t="s">
        <v>376</v>
      </c>
      <c r="F77" s="115"/>
      <c r="G77" s="115"/>
      <c r="H77" s="111"/>
      <c r="I77" s="227"/>
    </row>
    <row r="78" spans="4:9">
      <c r="D78" s="532"/>
      <c r="E78" s="2971" t="s">
        <v>338</v>
      </c>
      <c r="F78" s="110"/>
      <c r="G78" s="110"/>
      <c r="H78" s="111"/>
      <c r="I78" s="227"/>
    </row>
    <row r="79" spans="4:9">
      <c r="D79" s="532"/>
      <c r="E79" s="2971" t="s">
        <v>375</v>
      </c>
      <c r="F79" s="110"/>
      <c r="G79" s="110"/>
      <c r="H79" s="111"/>
      <c r="I79" s="227"/>
    </row>
    <row r="80" spans="4:9">
      <c r="D80" s="534"/>
      <c r="E80" s="164" t="s">
        <v>265</v>
      </c>
      <c r="F80" s="165"/>
      <c r="G80" s="165"/>
      <c r="H80" s="158"/>
      <c r="I80" s="230"/>
    </row>
    <row r="81" spans="2:9">
      <c r="D81" s="528"/>
      <c r="E81" s="164" t="s">
        <v>773</v>
      </c>
      <c r="F81" s="154"/>
      <c r="G81" s="154"/>
      <c r="H81" s="158"/>
      <c r="I81" s="230"/>
    </row>
    <row r="82" spans="2:9">
      <c r="D82" s="528"/>
      <c r="E82" s="164" t="s">
        <v>691</v>
      </c>
      <c r="F82" s="154"/>
      <c r="G82" s="154"/>
      <c r="H82" s="158"/>
      <c r="I82" s="230"/>
    </row>
    <row r="83" spans="2:9">
      <c r="D83" s="524" t="s">
        <v>29</v>
      </c>
      <c r="E83" s="41" t="s">
        <v>100</v>
      </c>
      <c r="F83" s="85"/>
      <c r="G83" s="86"/>
      <c r="H83" s="29"/>
      <c r="I83" s="219"/>
    </row>
    <row r="84" spans="2:9">
      <c r="D84" s="520"/>
      <c r="E84" s="2968" t="s">
        <v>436</v>
      </c>
      <c r="F84" s="137"/>
      <c r="G84" s="137"/>
      <c r="H84" s="138"/>
      <c r="I84" s="242"/>
    </row>
    <row r="85" spans="2:9">
      <c r="D85" s="521"/>
      <c r="E85" s="2969" t="s">
        <v>376</v>
      </c>
      <c r="F85" s="137"/>
      <c r="G85" s="137"/>
      <c r="H85" s="138"/>
      <c r="I85" s="242"/>
    </row>
    <row r="86" spans="2:9">
      <c r="D86" s="530"/>
      <c r="E86" s="2969" t="s">
        <v>1210</v>
      </c>
      <c r="F86" s="390"/>
      <c r="G86" s="390"/>
      <c r="H86" s="138"/>
      <c r="I86" s="242"/>
    </row>
    <row r="87" spans="2:9" ht="14.4">
      <c r="D87" s="521"/>
      <c r="E87" s="2970" t="s">
        <v>375</v>
      </c>
      <c r="F87" s="117"/>
      <c r="G87" s="117"/>
      <c r="H87" s="138"/>
      <c r="I87" s="242"/>
    </row>
    <row r="88" spans="2:9" ht="14.4">
      <c r="D88" s="535"/>
      <c r="E88" s="215" t="s">
        <v>265</v>
      </c>
      <c r="F88" s="329"/>
      <c r="G88" s="329"/>
      <c r="H88" s="330"/>
      <c r="I88" s="331"/>
    </row>
    <row r="89" spans="2:9">
      <c r="D89" s="528"/>
      <c r="E89" s="215" t="s">
        <v>773</v>
      </c>
      <c r="F89" s="163"/>
      <c r="G89" s="163"/>
      <c r="H89" s="160"/>
      <c r="I89" s="243"/>
    </row>
    <row r="90" spans="2:9">
      <c r="E90" s="132" t="s">
        <v>964</v>
      </c>
    </row>
    <row r="91" spans="2:9">
      <c r="E91" s="132" t="s">
        <v>970</v>
      </c>
    </row>
    <row r="92" spans="2:9">
      <c r="E92" s="132" t="s">
        <v>971</v>
      </c>
    </row>
    <row r="93" spans="2:9">
      <c r="E93" s="132" t="s">
        <v>972</v>
      </c>
    </row>
    <row r="94" spans="2:9" s="536" customFormat="1" ht="13.2" customHeight="1" thickBot="1"/>
    <row r="95" spans="2:9" ht="14.4" thickTop="1"/>
    <row r="96" spans="2:9" s="79" customFormat="1">
      <c r="B96" s="561" t="s">
        <v>11</v>
      </c>
      <c r="C96" s="294" t="s">
        <v>5161</v>
      </c>
    </row>
    <row r="97" spans="4:8" customFormat="1" ht="11.4"/>
    <row r="98" spans="4:8" s="10" customFormat="1" ht="12">
      <c r="D98" s="10" t="s">
        <v>1681</v>
      </c>
    </row>
    <row r="99" spans="4:8" customFormat="1" ht="11.4"/>
    <row r="100" spans="4:8" customFormat="1" ht="12">
      <c r="E100" s="377"/>
      <c r="F100" s="559">
        <v>2025</v>
      </c>
      <c r="G100" s="560">
        <v>2026</v>
      </c>
    </row>
    <row r="101" spans="4:8" customFormat="1" ht="12">
      <c r="E101" s="538" t="s">
        <v>982</v>
      </c>
      <c r="F101" s="552"/>
      <c r="G101" s="539">
        <v>1</v>
      </c>
    </row>
    <row r="102" spans="4:8" customFormat="1" ht="12">
      <c r="E102" s="538" t="s">
        <v>983</v>
      </c>
      <c r="F102" s="553"/>
      <c r="G102" s="539">
        <v>2</v>
      </c>
    </row>
    <row r="103" spans="4:8" customFormat="1" ht="12">
      <c r="E103" s="540" t="s">
        <v>1682</v>
      </c>
      <c r="F103" s="554"/>
      <c r="G103" s="541" t="s">
        <v>1683</v>
      </c>
    </row>
    <row r="104" spans="4:8" customFormat="1" ht="11.4">
      <c r="E104" s="378"/>
      <c r="F104" s="379"/>
      <c r="G104" s="566"/>
    </row>
    <row r="105" spans="4:8" customFormat="1" ht="11.4">
      <c r="E105" s="378"/>
      <c r="F105" s="379"/>
      <c r="G105" s="566"/>
    </row>
    <row r="106" spans="4:8" customFormat="1" ht="12">
      <c r="E106" s="538" t="s">
        <v>4801</v>
      </c>
      <c r="F106" s="562"/>
      <c r="G106" s="2974">
        <v>3</v>
      </c>
      <c r="H106" s="568"/>
    </row>
    <row r="107" spans="4:8" customFormat="1" ht="12">
      <c r="E107" s="542" t="s">
        <v>1265</v>
      </c>
      <c r="F107" s="563"/>
      <c r="G107" s="2975" t="s">
        <v>1684</v>
      </c>
    </row>
    <row r="108" spans="4:8" customFormat="1" ht="12">
      <c r="E108" s="543"/>
      <c r="F108" s="379"/>
      <c r="G108" s="544"/>
    </row>
    <row r="109" spans="4:8" customFormat="1" ht="12">
      <c r="E109" s="538" t="s">
        <v>1672</v>
      </c>
      <c r="F109" s="555"/>
      <c r="G109" s="539">
        <v>4</v>
      </c>
    </row>
    <row r="110" spans="4:8" customFormat="1" ht="12">
      <c r="E110" s="545"/>
      <c r="F110" s="556"/>
      <c r="G110" s="2975" t="s">
        <v>1685</v>
      </c>
    </row>
    <row r="111" spans="4:8" customFormat="1" ht="12">
      <c r="E111" s="543"/>
      <c r="F111" s="379"/>
      <c r="G111" s="544"/>
    </row>
    <row r="112" spans="4:8" customFormat="1" ht="11.4">
      <c r="E112" s="564" t="s">
        <v>1692</v>
      </c>
      <c r="F112" s="379"/>
      <c r="G112" s="539">
        <v>5</v>
      </c>
    </row>
    <row r="113" spans="4:7" customFormat="1" ht="11.4">
      <c r="E113" s="564" t="s">
        <v>1689</v>
      </c>
      <c r="F113" s="379"/>
      <c r="G113" s="539">
        <v>6</v>
      </c>
    </row>
    <row r="114" spans="4:7" customFormat="1" ht="12">
      <c r="E114" s="546" t="s">
        <v>1240</v>
      </c>
      <c r="F114" s="565"/>
      <c r="G114" s="2975" t="s">
        <v>1686</v>
      </c>
    </row>
    <row r="115" spans="4:7" customFormat="1" ht="11.4">
      <c r="E115" s="378"/>
      <c r="F115" s="379"/>
      <c r="G115" s="539"/>
    </row>
    <row r="116" spans="4:7" customFormat="1" ht="11.4">
      <c r="E116" s="564" t="s">
        <v>1645</v>
      </c>
      <c r="F116" s="379"/>
      <c r="G116" s="539"/>
    </row>
    <row r="117" spans="4:7" customFormat="1" ht="11.4">
      <c r="E117" s="547" t="s">
        <v>1673</v>
      </c>
      <c r="F117" s="557"/>
      <c r="G117" s="548">
        <v>7</v>
      </c>
    </row>
    <row r="118" spans="4:7" customFormat="1" ht="11.4">
      <c r="E118" s="549" t="s">
        <v>1676</v>
      </c>
      <c r="F118" s="557"/>
      <c r="G118" s="2976" t="s">
        <v>1687</v>
      </c>
    </row>
    <row r="119" spans="4:7" customFormat="1" ht="11.4">
      <c r="E119" s="564"/>
      <c r="F119" s="379"/>
      <c r="G119" s="539"/>
    </row>
    <row r="120" spans="4:7" customFormat="1" ht="12">
      <c r="E120" s="550" t="s">
        <v>2868</v>
      </c>
      <c r="F120" s="558"/>
      <c r="G120" s="551"/>
    </row>
    <row r="121" spans="4:7" customFormat="1" ht="11.4"/>
    <row r="122" spans="4:7" customFormat="1" ht="11.4"/>
    <row r="123" spans="4:7" customFormat="1" ht="11.4"/>
    <row r="124" spans="4:7" s="10" customFormat="1" ht="12">
      <c r="D124" s="10" t="s">
        <v>1688</v>
      </c>
    </row>
    <row r="125" spans="4:7" customFormat="1" ht="11.4">
      <c r="E125" s="55" t="s">
        <v>1644</v>
      </c>
      <c r="F125" t="s">
        <v>1690</v>
      </c>
    </row>
    <row r="126" spans="4:7" customFormat="1" ht="11.4">
      <c r="E126" s="55" t="s">
        <v>1689</v>
      </c>
      <c r="F126" t="s">
        <v>1691</v>
      </c>
    </row>
    <row r="127" spans="4:7" customFormat="1" ht="11.4">
      <c r="E127" s="55" t="s">
        <v>1645</v>
      </c>
      <c r="F127" t="s">
        <v>2869</v>
      </c>
    </row>
    <row r="128" spans="4:7" customFormat="1" ht="11.4">
      <c r="F128" t="s">
        <v>2870</v>
      </c>
    </row>
    <row r="129" customFormat="1" ht="11.4"/>
    <row r="130" customFormat="1" ht="11.4"/>
  </sheetData>
  <pageMargins left="0.7" right="0.7" top="0.75" bottom="0.75" header="0.3" footer="0.3"/>
  <ignoredErrors>
    <ignoredError sqref="D14:D2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codeName="Sheet7">
    <tabColor theme="9" tint="-0.249977111117893"/>
    <pageSetUpPr fitToPage="1"/>
  </sheetPr>
  <dimension ref="A1:GM560"/>
  <sheetViews>
    <sheetView topLeftCell="D275" zoomScale="110" zoomScaleNormal="110" workbookViewId="0">
      <selection activeCell="G357" sqref="G357"/>
    </sheetView>
  </sheetViews>
  <sheetFormatPr defaultRowHeight="11.4" outlineLevelRow="1" outlineLevelCol="1"/>
  <cols>
    <col min="1" max="1" width="22" style="372" hidden="1" customWidth="1" outlineLevel="1"/>
    <col min="2" max="2" width="9.125" style="179" hidden="1" customWidth="1" outlineLevel="1"/>
    <col min="3" max="3" width="9.125" style="248" hidden="1" customWidth="1" outlineLevel="1"/>
    <col min="4" max="4" width="10.125" style="250" customWidth="1" collapsed="1"/>
    <col min="5" max="5" width="38" customWidth="1"/>
    <col min="6" max="6" width="16.375" style="150" customWidth="1"/>
    <col min="7" max="7" width="17.25" style="155" customWidth="1"/>
    <col min="8" max="8" width="17.75" customWidth="1"/>
    <col min="9" max="9" width="19.875" style="225" customWidth="1" outlineLevel="1"/>
    <col min="10" max="10" width="59.875" style="1034" customWidth="1" outlineLevel="1"/>
    <col min="11" max="11" width="9.75" customWidth="1"/>
    <col min="12" max="12" width="36.125" style="12" customWidth="1" outlineLevel="1"/>
    <col min="13" max="13" width="14.75" customWidth="1" outlineLevel="1"/>
    <col min="14" max="14" width="12.375" customWidth="1" outlineLevel="1"/>
    <col min="15" max="16" width="2.875" customWidth="1" outlineLevel="1"/>
    <col min="17" max="19" width="2.875" customWidth="1"/>
    <col min="20" max="20" width="8.875" customWidth="1"/>
    <col min="21" max="21" width="2.875" customWidth="1"/>
    <col min="22" max="24" width="3.875" customWidth="1"/>
    <col min="25" max="25" width="6.875" customWidth="1"/>
    <col min="26" max="48" width="3.875" customWidth="1"/>
    <col min="49" max="49" width="6.875" customWidth="1"/>
    <col min="50" max="50" width="8.875" customWidth="1"/>
    <col min="51" max="55" width="3.875" customWidth="1"/>
    <col min="56" max="56" width="11.875" bestFit="1" customWidth="1"/>
    <col min="57" max="57" width="3.875" customWidth="1"/>
    <col min="58" max="58" width="5.875" customWidth="1"/>
    <col min="59" max="59" width="3.875" customWidth="1"/>
    <col min="60" max="60" width="11.875" bestFit="1" customWidth="1"/>
    <col min="61" max="68" width="3.875" customWidth="1"/>
    <col min="69" max="69" width="10.875" bestFit="1" customWidth="1"/>
    <col min="70" max="85" width="3.875" customWidth="1"/>
    <col min="86" max="86" width="11.875" bestFit="1" customWidth="1"/>
    <col min="87" max="93" width="3.875" customWidth="1"/>
    <col min="94" max="94" width="11.875" bestFit="1" customWidth="1"/>
    <col min="95" max="111" width="3.875" customWidth="1"/>
    <col min="112" max="112" width="11.875" bestFit="1" customWidth="1"/>
    <col min="113" max="119" width="3.875" customWidth="1"/>
    <col min="120" max="120" width="5.875" customWidth="1"/>
    <col min="121" max="124" width="3.875" customWidth="1"/>
    <col min="125" max="125" width="5.875" customWidth="1"/>
    <col min="126" max="128" width="3.875" customWidth="1"/>
    <col min="129" max="129" width="5.875" customWidth="1"/>
    <col min="130" max="130" width="3.875" customWidth="1"/>
    <col min="131" max="131" width="10.875" bestFit="1" customWidth="1"/>
    <col min="132" max="145" width="3.875" customWidth="1"/>
    <col min="146" max="146" width="6.875" customWidth="1"/>
    <col min="147" max="150" width="3.875" customWidth="1"/>
    <col min="151" max="151" width="5.875" customWidth="1"/>
    <col min="152" max="154" width="3.875" customWidth="1"/>
    <col min="155" max="159" width="4.875" customWidth="1"/>
    <col min="160" max="160" width="9.875" bestFit="1" customWidth="1"/>
    <col min="161" max="174" width="4.875" customWidth="1"/>
    <col min="175" max="175" width="6.875" customWidth="1"/>
    <col min="176" max="179" width="4.875" customWidth="1"/>
    <col min="180" max="180" width="6.875" customWidth="1"/>
    <col min="181" max="188" width="4.875" customWidth="1"/>
    <col min="189" max="189" width="7.875" customWidth="1"/>
    <col min="190" max="193" width="4.875" customWidth="1"/>
    <col min="194" max="194" width="6.875" customWidth="1"/>
    <col min="195" max="195" width="4.875" customWidth="1"/>
    <col min="196" max="196" width="8.875" customWidth="1"/>
    <col min="197" max="205" width="4.875" customWidth="1"/>
    <col min="206" max="206" width="6.875" customWidth="1"/>
    <col min="207" max="207" width="9.875" bestFit="1" customWidth="1"/>
    <col min="208" max="209" width="4.875" customWidth="1"/>
    <col min="210" max="210" width="11.875" bestFit="1" customWidth="1"/>
    <col min="211" max="211" width="6.875" customWidth="1"/>
    <col min="212" max="214" width="4.875" customWidth="1"/>
    <col min="215" max="215" width="7.875" customWidth="1"/>
    <col min="216" max="218" width="4.875" customWidth="1"/>
    <col min="219" max="219" width="11.875" bestFit="1" customWidth="1"/>
    <col min="220" max="223" width="4.875" customWidth="1"/>
    <col min="224" max="224" width="11.875" bestFit="1" customWidth="1"/>
    <col min="225" max="233" width="4.875" customWidth="1"/>
    <col min="234" max="234" width="7.875" customWidth="1"/>
    <col min="235" max="236" width="4.875" customWidth="1"/>
    <col min="237" max="237" width="10.875" bestFit="1" customWidth="1"/>
    <col min="238" max="238" width="4.875" customWidth="1"/>
    <col min="239" max="239" width="6.875" customWidth="1"/>
    <col min="240" max="242" width="4.875" customWidth="1"/>
    <col min="243" max="243" width="11.875" bestFit="1" customWidth="1"/>
    <col min="244" max="248" width="4.875" customWidth="1"/>
    <col min="249" max="250" width="11.875" bestFit="1" customWidth="1"/>
    <col min="251" max="252" width="4.875" customWidth="1"/>
    <col min="253" max="253" width="6.875" customWidth="1"/>
    <col min="254" max="254" width="11.875" bestFit="1" customWidth="1"/>
    <col min="255" max="272" width="4.875" customWidth="1"/>
    <col min="273" max="273" width="11.875" bestFit="1" customWidth="1"/>
    <col min="274" max="283" width="4.875" customWidth="1"/>
    <col min="284" max="284" width="7.875" customWidth="1"/>
    <col min="285" max="285" width="6.875" customWidth="1"/>
    <col min="286" max="286" width="4.875" customWidth="1"/>
    <col min="287" max="287" width="8.875" customWidth="1"/>
    <col min="288" max="292" width="4.875" customWidth="1"/>
    <col min="293" max="293" width="11.875" bestFit="1" customWidth="1"/>
    <col min="294" max="313" width="4.875" customWidth="1"/>
    <col min="314" max="314" width="11.875" bestFit="1" customWidth="1"/>
    <col min="315" max="322" width="4.875" customWidth="1"/>
    <col min="323" max="323" width="6.875" customWidth="1"/>
    <col min="324" max="329" width="4.875" customWidth="1"/>
    <col min="330" max="330" width="11.875" bestFit="1" customWidth="1"/>
    <col min="331" max="331" width="4.875" customWidth="1"/>
    <col min="332" max="332" width="8.875" customWidth="1"/>
    <col min="333" max="364" width="4.875" customWidth="1"/>
    <col min="365" max="365" width="11.875" bestFit="1" customWidth="1"/>
    <col min="366" max="368" width="4.875" customWidth="1"/>
    <col min="369" max="369" width="9.875" bestFit="1" customWidth="1"/>
    <col min="370" max="376" width="4.875" customWidth="1"/>
    <col min="377" max="377" width="11.875" bestFit="1" customWidth="1"/>
    <col min="378" max="390" width="4.875" customWidth="1"/>
    <col min="391" max="391" width="9.875" bestFit="1" customWidth="1"/>
    <col min="392" max="392" width="6.875" customWidth="1"/>
    <col min="393" max="393" width="9.875" bestFit="1" customWidth="1"/>
    <col min="394" max="394" width="7.875" customWidth="1"/>
    <col min="395" max="405" width="4.875" customWidth="1"/>
    <col min="406" max="406" width="7.875" customWidth="1"/>
    <col min="407" max="414" width="4.875" customWidth="1"/>
    <col min="415" max="415" width="10.875" bestFit="1" customWidth="1"/>
    <col min="416" max="419" width="4.875" customWidth="1"/>
    <col min="420" max="420" width="7.875" customWidth="1"/>
    <col min="421" max="426" width="4.875" customWidth="1"/>
    <col min="427" max="427" width="9.875" bestFit="1" customWidth="1"/>
    <col min="428" max="435" width="4.875" customWidth="1"/>
    <col min="436" max="436" width="7.875" customWidth="1"/>
    <col min="437" max="444" width="4.875" customWidth="1"/>
    <col min="445" max="445" width="7.875" customWidth="1"/>
    <col min="446" max="457" width="4.875" customWidth="1"/>
    <col min="458" max="458" width="11.875" bestFit="1" customWidth="1"/>
    <col min="459" max="468" width="4.875" customWidth="1"/>
    <col min="469" max="469" width="7.875" customWidth="1"/>
    <col min="470" max="470" width="4.875" customWidth="1"/>
    <col min="471" max="471" width="9.875" bestFit="1" customWidth="1"/>
    <col min="472" max="480" width="4.875" customWidth="1"/>
    <col min="481" max="482" width="11.875" bestFit="1" customWidth="1"/>
    <col min="483" max="483" width="4.875" customWidth="1"/>
    <col min="484" max="484" width="11.875" bestFit="1" customWidth="1"/>
    <col min="485" max="494" width="4.875" customWidth="1"/>
    <col min="495" max="495" width="11.875" bestFit="1" customWidth="1"/>
    <col min="496" max="504" width="4.875" customWidth="1"/>
    <col min="505" max="505" width="11.875" bestFit="1" customWidth="1"/>
    <col min="506" max="507" width="4.875" customWidth="1"/>
    <col min="508" max="514" width="5.875" customWidth="1"/>
    <col min="515" max="515" width="7.875" customWidth="1"/>
    <col min="516" max="520" width="5.875" customWidth="1"/>
    <col min="521" max="521" width="8.875" customWidth="1"/>
    <col min="522" max="522" width="7.875" customWidth="1"/>
    <col min="523" max="528" width="5.875" customWidth="1"/>
    <col min="529" max="529" width="11.875" bestFit="1" customWidth="1"/>
    <col min="530" max="531" width="5.875" customWidth="1"/>
    <col min="532" max="532" width="11.875" bestFit="1" customWidth="1"/>
    <col min="533" max="539" width="5.875" customWidth="1"/>
    <col min="540" max="540" width="7.875" customWidth="1"/>
    <col min="541" max="543" width="5.875" customWidth="1"/>
    <col min="544" max="544" width="8.875" customWidth="1"/>
    <col min="545" max="545" width="5.875" customWidth="1"/>
    <col min="546" max="546" width="11.875" bestFit="1" customWidth="1"/>
    <col min="547" max="547" width="5.875" customWidth="1"/>
    <col min="548" max="548" width="10.875" bestFit="1" customWidth="1"/>
    <col min="549" max="554" width="5.875" customWidth="1"/>
    <col min="555" max="555" width="9.875" bestFit="1" customWidth="1"/>
    <col min="556" max="556" width="5.875" customWidth="1"/>
    <col min="557" max="557" width="8.875" customWidth="1"/>
    <col min="558" max="574" width="5.875" customWidth="1"/>
    <col min="575" max="575" width="8.875" customWidth="1"/>
    <col min="576" max="576" width="11.875" bestFit="1" customWidth="1"/>
    <col min="577" max="581" width="5.875" customWidth="1"/>
    <col min="582" max="582" width="7.875" customWidth="1"/>
    <col min="583" max="584" width="5.875" customWidth="1"/>
    <col min="585" max="586" width="11.875" bestFit="1" customWidth="1"/>
    <col min="587" max="587" width="5.875" customWidth="1"/>
    <col min="588" max="588" width="9.875" bestFit="1" customWidth="1"/>
    <col min="589" max="601" width="5.875" customWidth="1"/>
    <col min="602" max="602" width="11.875" bestFit="1" customWidth="1"/>
    <col min="603" max="605" width="5.875" customWidth="1"/>
    <col min="606" max="606" width="11.875" bestFit="1" customWidth="1"/>
    <col min="607" max="607" width="5.875" customWidth="1"/>
    <col min="608" max="608" width="8.875" customWidth="1"/>
    <col min="609" max="609" width="5.875" customWidth="1"/>
    <col min="610" max="610" width="10.875" bestFit="1" customWidth="1"/>
    <col min="611" max="612" width="5.875" customWidth="1"/>
    <col min="613" max="613" width="11.875" bestFit="1" customWidth="1"/>
    <col min="614" max="615" width="5.875" customWidth="1"/>
    <col min="616" max="616" width="7.875" customWidth="1"/>
    <col min="617" max="620" width="5.875" customWidth="1"/>
    <col min="621" max="621" width="11.875" bestFit="1" customWidth="1"/>
    <col min="622" max="622" width="5.875" customWidth="1"/>
    <col min="623" max="623" width="11.875" bestFit="1" customWidth="1"/>
    <col min="624" max="628" width="5.875" customWidth="1"/>
    <col min="629" max="629" width="11.875" bestFit="1" customWidth="1"/>
    <col min="630" max="631" width="5.875" customWidth="1"/>
    <col min="632" max="632" width="11.875" bestFit="1" customWidth="1"/>
    <col min="633" max="635" width="5.875" customWidth="1"/>
    <col min="636" max="636" width="11.875" bestFit="1" customWidth="1"/>
    <col min="637" max="639" width="5.875" customWidth="1"/>
    <col min="640" max="640" width="11.875" bestFit="1" customWidth="1"/>
    <col min="641" max="643" width="5.875" customWidth="1"/>
    <col min="644" max="644" width="8.875" customWidth="1"/>
    <col min="645" max="645" width="5.875" customWidth="1"/>
    <col min="646" max="646" width="11.875" bestFit="1" customWidth="1"/>
    <col min="647" max="652" width="5.875" customWidth="1"/>
    <col min="653" max="653" width="9.875" bestFit="1" customWidth="1"/>
    <col min="654" max="656" width="5.875" customWidth="1"/>
    <col min="657" max="657" width="9.875" bestFit="1" customWidth="1"/>
    <col min="658" max="661" width="5.875" customWidth="1"/>
    <col min="662" max="662" width="11.875" bestFit="1" customWidth="1"/>
    <col min="663" max="664" width="5.875" customWidth="1"/>
    <col min="665" max="665" width="9.875" bestFit="1" customWidth="1"/>
    <col min="666" max="668" width="5.875" customWidth="1"/>
    <col min="669" max="669" width="11.875" bestFit="1" customWidth="1"/>
    <col min="670" max="671" width="5.875" customWidth="1"/>
    <col min="672" max="672" width="9.875" bestFit="1" customWidth="1"/>
    <col min="673" max="677" width="5.875" customWidth="1"/>
    <col min="678" max="678" width="10.875" bestFit="1" customWidth="1"/>
    <col min="679" max="681" width="5.875" customWidth="1"/>
    <col min="682" max="682" width="8.875" customWidth="1"/>
    <col min="683" max="688" width="5.875" customWidth="1"/>
    <col min="689" max="689" width="9.875" bestFit="1" customWidth="1"/>
    <col min="690" max="692" width="5.875" customWidth="1"/>
    <col min="693" max="693" width="10.875" bestFit="1" customWidth="1"/>
    <col min="694" max="699" width="5.875" customWidth="1"/>
    <col min="700" max="700" width="11.875" bestFit="1" customWidth="1"/>
    <col min="701" max="705" width="5.875" customWidth="1"/>
    <col min="706" max="707" width="11.875" bestFit="1" customWidth="1"/>
    <col min="708" max="715" width="5.875" customWidth="1"/>
    <col min="716" max="716" width="8.875" customWidth="1"/>
    <col min="717" max="720" width="5.875" customWidth="1"/>
    <col min="721" max="721" width="11.875" bestFit="1" customWidth="1"/>
    <col min="722" max="723" width="5.875" customWidth="1"/>
    <col min="724" max="724" width="9.875" bestFit="1" customWidth="1"/>
    <col min="725" max="727" width="5.875" customWidth="1"/>
    <col min="728" max="728" width="11.875" bestFit="1" customWidth="1"/>
    <col min="729" max="736" width="5.875" customWidth="1"/>
    <col min="737" max="737" width="8.875" customWidth="1"/>
    <col min="738" max="738" width="5.875" customWidth="1"/>
    <col min="739" max="739" width="7.875" customWidth="1"/>
    <col min="740" max="740" width="11.875" bestFit="1" customWidth="1"/>
    <col min="741" max="741" width="8.875" customWidth="1"/>
    <col min="742" max="746" width="5.875" customWidth="1"/>
    <col min="747" max="747" width="10.875" bestFit="1" customWidth="1"/>
    <col min="748" max="749" width="11.875" bestFit="1" customWidth="1"/>
    <col min="750" max="753" width="5.875" customWidth="1"/>
    <col min="754" max="754" width="11.875" bestFit="1" customWidth="1"/>
    <col min="755" max="760" width="5.875" customWidth="1"/>
    <col min="761" max="761" width="11.875" bestFit="1" customWidth="1"/>
    <col min="762" max="762" width="5.875" customWidth="1"/>
    <col min="763" max="763" width="11.875" bestFit="1" customWidth="1"/>
    <col min="764" max="765" width="5.875" customWidth="1"/>
    <col min="766" max="766" width="9.875" bestFit="1" customWidth="1"/>
    <col min="767" max="767" width="11.875" bestFit="1" customWidth="1"/>
    <col min="768" max="768" width="10.875" bestFit="1" customWidth="1"/>
    <col min="769" max="769" width="5.875" customWidth="1"/>
    <col min="770" max="770" width="11.875" bestFit="1" customWidth="1"/>
    <col min="771" max="771" width="10.875" bestFit="1" customWidth="1"/>
    <col min="772" max="773" width="5.875" customWidth="1"/>
    <col min="774" max="774" width="11.875" bestFit="1" customWidth="1"/>
    <col min="775" max="775" width="7.875" customWidth="1"/>
    <col min="776" max="777" width="5.875" customWidth="1"/>
    <col min="778" max="778" width="11.875" bestFit="1" customWidth="1"/>
    <col min="779" max="789" width="5.875" customWidth="1"/>
    <col min="790" max="790" width="11.875" bestFit="1" customWidth="1"/>
    <col min="791" max="791" width="5.875" customWidth="1"/>
    <col min="792" max="792" width="11.875" bestFit="1" customWidth="1"/>
    <col min="793" max="793" width="5.875" customWidth="1"/>
    <col min="794" max="794" width="9.875" bestFit="1" customWidth="1"/>
    <col min="795" max="795" width="5.875" customWidth="1"/>
    <col min="796" max="796" width="10.875" bestFit="1" customWidth="1"/>
    <col min="797" max="797" width="8.875" customWidth="1"/>
    <col min="798" max="798" width="5.875" customWidth="1"/>
    <col min="799" max="799" width="11.875" bestFit="1" customWidth="1"/>
    <col min="800" max="800" width="9.875" bestFit="1" customWidth="1"/>
    <col min="801" max="801" width="11.875" bestFit="1" customWidth="1"/>
    <col min="802" max="802" width="6.875" customWidth="1"/>
    <col min="803" max="803" width="11.875" bestFit="1" customWidth="1"/>
    <col min="804" max="806" width="6.875" customWidth="1"/>
    <col min="807" max="807" width="11.875" bestFit="1" customWidth="1"/>
    <col min="808" max="808" width="6.875" customWidth="1"/>
    <col min="809" max="810" width="11.875" bestFit="1" customWidth="1"/>
    <col min="811" max="815" width="6.875" customWidth="1"/>
    <col min="816" max="816" width="9.875" bestFit="1" customWidth="1"/>
    <col min="817" max="818" width="10.875" bestFit="1" customWidth="1"/>
    <col min="819" max="819" width="11.875" bestFit="1" customWidth="1"/>
    <col min="820" max="822" width="6.875" customWidth="1"/>
    <col min="823" max="824" width="11.875" bestFit="1" customWidth="1"/>
    <col min="825" max="826" width="6.875" customWidth="1"/>
    <col min="827" max="827" width="11.875" bestFit="1" customWidth="1"/>
    <col min="828" max="828" width="10.875" bestFit="1" customWidth="1"/>
    <col min="829" max="829" width="6.875" customWidth="1"/>
    <col min="830" max="830" width="8.875" customWidth="1"/>
    <col min="831" max="832" width="6.875" customWidth="1"/>
    <col min="833" max="833" width="9.875" bestFit="1" customWidth="1"/>
    <col min="834" max="834" width="6.875" customWidth="1"/>
    <col min="835" max="835" width="10.875" bestFit="1" customWidth="1"/>
    <col min="836" max="837" width="11.875" bestFit="1" customWidth="1"/>
    <col min="838" max="838" width="6.875" customWidth="1"/>
    <col min="839" max="839" width="9.875" bestFit="1" customWidth="1"/>
    <col min="840" max="842" width="6.875" customWidth="1"/>
    <col min="843" max="843" width="9.875" bestFit="1" customWidth="1"/>
    <col min="844" max="844" width="6.875" customWidth="1"/>
    <col min="845" max="845" width="10.875" bestFit="1" customWidth="1"/>
    <col min="846" max="846" width="6.875" customWidth="1"/>
    <col min="847" max="847" width="11.875" bestFit="1" customWidth="1"/>
    <col min="848" max="848" width="10.875" bestFit="1" customWidth="1"/>
    <col min="849" max="850" width="11.875" bestFit="1" customWidth="1"/>
    <col min="851" max="858" width="6.875" customWidth="1"/>
    <col min="859" max="860" width="11.875" bestFit="1" customWidth="1"/>
    <col min="861" max="864" width="7.875" customWidth="1"/>
    <col min="865" max="866" width="11.875" bestFit="1" customWidth="1"/>
    <col min="867" max="867" width="7.875" customWidth="1"/>
    <col min="868" max="868" width="8.875" customWidth="1"/>
    <col min="869" max="869" width="6.875" customWidth="1"/>
    <col min="870" max="870" width="11.375" bestFit="1" customWidth="1"/>
  </cols>
  <sheetData>
    <row r="1" spans="1:13" ht="12.6" thickBot="1">
      <c r="G1" s="2912">
        <f>G42-G81</f>
        <v>39835634.492941171</v>
      </c>
    </row>
    <row r="2" spans="1:13" ht="37.950000000000003" customHeight="1" thickBot="1">
      <c r="A2" s="372" t="s">
        <v>404</v>
      </c>
      <c r="D2" s="20" t="s">
        <v>0</v>
      </c>
      <c r="E2" s="21" t="s">
        <v>1</v>
      </c>
      <c r="F2" s="2">
        <v>2025</v>
      </c>
      <c r="G2" s="83">
        <v>2026</v>
      </c>
      <c r="H2" s="83" t="s">
        <v>374</v>
      </c>
      <c r="I2" s="130" t="s">
        <v>373</v>
      </c>
      <c r="J2" s="1030"/>
    </row>
    <row r="3" spans="1:13" ht="16.95" customHeight="1">
      <c r="D3" s="1229" t="s">
        <v>4</v>
      </c>
      <c r="E3" s="22" t="s">
        <v>5</v>
      </c>
      <c r="F3" s="1113">
        <f>F4+F7+F10+F13+F16</f>
        <v>42655457.588235289</v>
      </c>
      <c r="G3" s="1113">
        <f>G4+G7+G10+G13+G16</f>
        <v>45828722.992941171</v>
      </c>
      <c r="H3" s="23">
        <f t="shared" ref="H3:H22" si="0">G3-F3</f>
        <v>3173265.4047058821</v>
      </c>
      <c r="I3" s="216">
        <f>H3/F3</f>
        <v>7.4392951901683352E-2</v>
      </c>
      <c r="J3" s="3044" t="s">
        <v>5036</v>
      </c>
    </row>
    <row r="4" spans="1:13" ht="21.6" customHeight="1">
      <c r="D4" s="1230" t="s">
        <v>6</v>
      </c>
      <c r="E4" s="24" t="s">
        <v>7</v>
      </c>
      <c r="F4" s="1101">
        <f>F5+F6</f>
        <v>39439118</v>
      </c>
      <c r="G4" s="1101">
        <f>G5+G6</f>
        <v>42599718</v>
      </c>
      <c r="H4" s="25">
        <f>G4-F4</f>
        <v>3160600</v>
      </c>
      <c r="I4" s="217">
        <f>H4/F4</f>
        <v>8.0138708984313495E-2</v>
      </c>
      <c r="J4" s="1105" t="s">
        <v>2739</v>
      </c>
    </row>
    <row r="5" spans="1:13" ht="15" customHeight="1" outlineLevel="1">
      <c r="A5" s="372" t="s">
        <v>1716</v>
      </c>
      <c r="D5" s="1231" t="s">
        <v>9</v>
      </c>
      <c r="E5" s="26" t="s">
        <v>10</v>
      </c>
      <c r="F5" s="84">
        <f>GETPIVOTDATA("Sum of  2025.gada plāns EUR ",Ieņēmumi!$R$3,"EKK","1.1.1.2.")+GETPIVOTDATA("Sum of  2025.gada plāns EUR ",Ieņēmumi!$R$3,"EKK","18.6.4.0.")</f>
        <v>39439118</v>
      </c>
      <c r="G5" s="84">
        <f>GETPIVOTDATA("Summa no  2026.gada plāns EUR ",Ieņēmumi!$R$3,"EKK","1.1.1.2.")+GETPIVOTDATA("Summa no  2026.gada plāns EUR ",Ieņēmumi!$R$3,"EKK","18.6.4.0.")</f>
        <v>42599718</v>
      </c>
      <c r="H5" s="84">
        <f>G5-F5</f>
        <v>3160600</v>
      </c>
      <c r="I5" s="218">
        <f>H5/F5</f>
        <v>8.0138708984313495E-2</v>
      </c>
      <c r="J5" s="1030"/>
    </row>
    <row r="6" spans="1:13" ht="15" customHeight="1" outlineLevel="1">
      <c r="D6" s="1231" t="s">
        <v>73</v>
      </c>
      <c r="E6" s="26" t="s">
        <v>1022</v>
      </c>
      <c r="F6" s="1102">
        <v>0</v>
      </c>
      <c r="G6" s="1102">
        <v>0</v>
      </c>
      <c r="H6" s="84">
        <f t="shared" si="0"/>
        <v>0</v>
      </c>
      <c r="I6" s="218"/>
      <c r="J6" s="1030"/>
    </row>
    <row r="7" spans="1:13" ht="27.6" customHeight="1">
      <c r="D7" s="1232" t="s">
        <v>11</v>
      </c>
      <c r="E7" s="28" t="s">
        <v>12</v>
      </c>
      <c r="F7" s="1101">
        <f>SUM(F8:F9)</f>
        <v>2082625.2941176472</v>
      </c>
      <c r="G7" s="1101">
        <f>SUM(G8:G9)</f>
        <v>2046792.9982352939</v>
      </c>
      <c r="H7" s="29">
        <f t="shared" si="0"/>
        <v>-35832.295882353326</v>
      </c>
      <c r="I7" s="219">
        <f t="shared" ref="I7:I22" si="1">H7/F7</f>
        <v>-1.7205349413339625E-2</v>
      </c>
      <c r="J7" s="1106"/>
      <c r="K7" s="54"/>
      <c r="L7" s="12" t="s">
        <v>5037</v>
      </c>
    </row>
    <row r="8" spans="1:13" ht="21" customHeight="1" outlineLevel="1">
      <c r="A8" s="372" t="s">
        <v>1718</v>
      </c>
      <c r="D8" s="1231" t="s">
        <v>13</v>
      </c>
      <c r="E8" s="26" t="s">
        <v>10</v>
      </c>
      <c r="F8" s="1103">
        <f>GETPIVOTDATA("Sum of  2025.gada plāns EUR ",Ieņēmumi!$R$3,"EKK","4.1.1.1.")</f>
        <v>1945625.2941176472</v>
      </c>
      <c r="G8" s="1103">
        <f>GETPIVOTDATA("Summa no  2026.gada plāns EUR ",Ieņēmumi!$R$3,"EKK","4.1.1.1.")</f>
        <v>1945590.9982352939</v>
      </c>
      <c r="H8" s="27">
        <f t="shared" si="0"/>
        <v>-34.295882353326306</v>
      </c>
      <c r="I8" s="220">
        <f t="shared" si="1"/>
        <v>-1.7627177471949804E-5</v>
      </c>
      <c r="J8" s="1031"/>
      <c r="L8" s="12" t="s">
        <v>5038</v>
      </c>
    </row>
    <row r="9" spans="1:13" ht="21" customHeight="1" outlineLevel="1">
      <c r="A9" s="372" t="s">
        <v>1720</v>
      </c>
      <c r="D9" s="1231" t="s">
        <v>14</v>
      </c>
      <c r="E9" s="26" t="s">
        <v>15</v>
      </c>
      <c r="F9" s="1103">
        <f>GETPIVOTDATA("Sum of  2025.gada plāns EUR ",Ieņēmumi!$R$3,"EKK","4.1.1.2.")</f>
        <v>137000</v>
      </c>
      <c r="G9" s="1103">
        <f>GETPIVOTDATA("Summa no  2026.gada plāns EUR ",Ieņēmumi!$R$3,"EKK","4.1.1.2.")</f>
        <v>101202</v>
      </c>
      <c r="H9" s="27">
        <f t="shared" si="0"/>
        <v>-35798</v>
      </c>
      <c r="I9" s="218">
        <f t="shared" si="1"/>
        <v>-0.2612992700729927</v>
      </c>
      <c r="J9" s="1030"/>
      <c r="L9" s="12" t="s">
        <v>5039</v>
      </c>
    </row>
    <row r="10" spans="1:13" ht="27.6" customHeight="1">
      <c r="D10" s="1232" t="s">
        <v>16</v>
      </c>
      <c r="E10" s="28" t="s">
        <v>1272</v>
      </c>
      <c r="F10" s="1101">
        <f>SUM(F11:F12)</f>
        <v>392227.76470588235</v>
      </c>
      <c r="G10" s="1101">
        <f>SUM(G11:G12)</f>
        <v>446927.99941176467</v>
      </c>
      <c r="H10" s="29">
        <f t="shared" si="0"/>
        <v>54700.234705882322</v>
      </c>
      <c r="I10" s="219">
        <f t="shared" si="1"/>
        <v>0.13946038406256142</v>
      </c>
      <c r="J10" s="1106"/>
      <c r="L10" s="12" t="s">
        <v>5040</v>
      </c>
    </row>
    <row r="11" spans="1:13" ht="21" customHeight="1" outlineLevel="1">
      <c r="A11" s="372" t="s">
        <v>1722</v>
      </c>
      <c r="D11" s="1231" t="s">
        <v>17</v>
      </c>
      <c r="E11" s="26" t="s">
        <v>18</v>
      </c>
      <c r="F11" s="1104">
        <f>GETPIVOTDATA("Sum of  2025.gada plāns EUR ",Ieņēmumi!$R$3,"EKK","4.1.2.1.")</f>
        <v>362227.76470588235</v>
      </c>
      <c r="G11" s="1104">
        <f>GETPIVOTDATA("Summa no  2026.gada plāns EUR ",Ieņēmumi!$R$3,"EKK","4.1.2.1.")</f>
        <v>392303.99941176467</v>
      </c>
      <c r="H11" s="31">
        <f t="shared" si="0"/>
        <v>30076.234705882322</v>
      </c>
      <c r="I11" s="221">
        <f t="shared" si="1"/>
        <v>8.303127931207395E-2</v>
      </c>
      <c r="J11" s="1030"/>
      <c r="L11" s="12" t="s">
        <v>5041</v>
      </c>
    </row>
    <row r="12" spans="1:13" ht="21" customHeight="1" outlineLevel="1">
      <c r="A12" s="372" t="s">
        <v>1724</v>
      </c>
      <c r="D12" s="1231" t="s">
        <v>19</v>
      </c>
      <c r="E12" s="26" t="s">
        <v>15</v>
      </c>
      <c r="F12" s="1104">
        <f>GETPIVOTDATA("Sum of  2025.gada plāns EUR ",Ieņēmumi!$R$3,"EKK","4.1.2.2.")</f>
        <v>30000</v>
      </c>
      <c r="G12" s="1104">
        <f>GETPIVOTDATA("Summa no  2026.gada plāns EUR ",Ieņēmumi!$R$3,"EKK","4.1.2.2.")</f>
        <v>54624</v>
      </c>
      <c r="H12" s="27">
        <f t="shared" si="0"/>
        <v>24624</v>
      </c>
      <c r="I12" s="218">
        <f t="shared" si="1"/>
        <v>0.82079999999999997</v>
      </c>
      <c r="J12" s="1030"/>
      <c r="L12" s="12" t="s">
        <v>5042</v>
      </c>
    </row>
    <row r="13" spans="1:13" ht="34.200000000000003" customHeight="1">
      <c r="D13" s="1232" t="s">
        <v>20</v>
      </c>
      <c r="E13" s="28" t="s">
        <v>1271</v>
      </c>
      <c r="F13" s="1101">
        <f>SUM(F14:F15)</f>
        <v>736486.5294117647</v>
      </c>
      <c r="G13" s="1101">
        <f>SUM(G14:G15)</f>
        <v>730283.99529411772</v>
      </c>
      <c r="H13" s="29">
        <f t="shared" si="0"/>
        <v>-6202.534117646981</v>
      </c>
      <c r="I13" s="219">
        <f t="shared" si="1"/>
        <v>-8.4217889532901234E-3</v>
      </c>
      <c r="J13" s="1106"/>
      <c r="L13" s="12" t="s">
        <v>5043</v>
      </c>
    </row>
    <row r="14" spans="1:13" ht="54.75" customHeight="1" outlineLevel="1">
      <c r="A14" s="372" t="s">
        <v>1726</v>
      </c>
      <c r="D14" s="1231" t="s">
        <v>21</v>
      </c>
      <c r="E14" s="26" t="s">
        <v>18</v>
      </c>
      <c r="F14" s="1104">
        <f>GETPIVOTDATA("Sum of  2025.gada plāns EUR ",Ieņēmumi!$R$3,"EKK","4.1.3.1.")</f>
        <v>665898.5294117647</v>
      </c>
      <c r="G14" s="31">
        <f>GETPIVOTDATA("Summa no  2026.gada plāns EUR ",Ieņēmumi!$R$3,"EKK","4.1.3.1.")</f>
        <v>670098.99529411772</v>
      </c>
      <c r="H14" s="31">
        <f t="shared" si="0"/>
        <v>4200.465882353019</v>
      </c>
      <c r="I14" s="221">
        <f t="shared" si="1"/>
        <v>6.3079669000975086E-3</v>
      </c>
      <c r="L14" s="12" t="s">
        <v>5044</v>
      </c>
      <c r="M14" s="1105" t="s">
        <v>1652</v>
      </c>
    </row>
    <row r="15" spans="1:13" ht="21.6" customHeight="1" outlineLevel="1">
      <c r="A15" s="372" t="s">
        <v>1728</v>
      </c>
      <c r="D15" s="1231" t="s">
        <v>22</v>
      </c>
      <c r="E15" s="26" t="s">
        <v>15</v>
      </c>
      <c r="F15" s="1104">
        <f>GETPIVOTDATA("Sum of  2025.gada plāns EUR ",Ieņēmumi!$R$3,"EKK","4.1.3.2.")</f>
        <v>70588</v>
      </c>
      <c r="G15" s="27">
        <f>GETPIVOTDATA("Summa no  2026.gada plāns EUR ",Ieņēmumi!$R$3,"EKK","4.1.3.2.")</f>
        <v>60185</v>
      </c>
      <c r="H15" s="27">
        <f t="shared" si="0"/>
        <v>-10403</v>
      </c>
      <c r="I15" s="218">
        <f t="shared" si="1"/>
        <v>-0.14737632458774863</v>
      </c>
      <c r="J15" s="1030"/>
      <c r="L15" s="12" t="s">
        <v>5045</v>
      </c>
    </row>
    <row r="16" spans="1:13" ht="26.4" customHeight="1">
      <c r="D16" s="1233" t="s">
        <v>23</v>
      </c>
      <c r="E16" s="1095" t="s">
        <v>989</v>
      </c>
      <c r="F16" s="1101">
        <f>SUM(F17:F18)</f>
        <v>5000</v>
      </c>
      <c r="G16" s="1101">
        <f>SUM(G17:G18)</f>
        <v>5000</v>
      </c>
      <c r="H16" s="650">
        <f t="shared" si="0"/>
        <v>0</v>
      </c>
      <c r="I16" s="219">
        <f t="shared" si="1"/>
        <v>0</v>
      </c>
      <c r="J16" s="1030"/>
    </row>
    <row r="17" spans="1:11" ht="17.399999999999999" customHeight="1">
      <c r="A17" s="372" t="s">
        <v>1014</v>
      </c>
      <c r="D17" s="1234" t="s">
        <v>87</v>
      </c>
      <c r="E17" s="1096" t="s">
        <v>24</v>
      </c>
      <c r="F17" s="1097">
        <f>GETPIVOTDATA("Sum of  2025.gada plāns EUR ",Ieņēmumi!$R$3,"EKK","5.4.1.0.")</f>
        <v>5000</v>
      </c>
      <c r="G17" s="1098">
        <f>GETPIVOTDATA("Summa no  2026.gada plāns EUR ",Ieņēmumi!$R$3,"EKK","5.4.1.0.")</f>
        <v>5000</v>
      </c>
      <c r="H17" s="1098">
        <f t="shared" ref="H17" si="2">G17-F17</f>
        <v>0</v>
      </c>
      <c r="I17" s="1099">
        <f t="shared" ref="I17" si="3">H17/F17</f>
        <v>0</v>
      </c>
      <c r="J17" s="1030"/>
    </row>
    <row r="18" spans="1:11" ht="17.399999999999999" customHeight="1">
      <c r="A18" s="372" t="s">
        <v>1013</v>
      </c>
      <c r="D18" s="1234" t="s">
        <v>88</v>
      </c>
      <c r="E18" s="1096" t="s">
        <v>1012</v>
      </c>
      <c r="F18" s="647"/>
      <c r="G18" s="647"/>
      <c r="H18" s="647"/>
      <c r="I18" s="1100"/>
      <c r="J18" s="1105" t="s">
        <v>4778</v>
      </c>
    </row>
    <row r="19" spans="1:11" ht="29.4" customHeight="1">
      <c r="A19" s="372" t="s">
        <v>2667</v>
      </c>
      <c r="D19" s="1232" t="s">
        <v>25</v>
      </c>
      <c r="E19" s="28" t="s">
        <v>26</v>
      </c>
      <c r="F19" s="86">
        <f>GETPIVOTDATA("Sum of  2025.gada plāns EUR ",Ieņēmumi!$R$3,"EKK","9.4.2.0.")+GETPIVOTDATA("Sum of  2025.gada plāns EUR ",Ieņēmumi!$R$3,"EKK","9.4.5.0.")+GETPIVOTDATA("Sum of  2025.gada plāns EUR ",Ieņēmumi!$R$3,"EKK","9.4.9.0.")+GETPIVOTDATA("Sum of  2025.gada plāns EUR ",Ieņēmumi!$R$3,"EKK","9.5.1.1.")+GETPIVOTDATA("Sum of  2025.gada plāns EUR ",Ieņēmumi!$R$3,"EKK","9.5.1.2.")+GETPIVOTDATA("Sum of  2025.gada plāns EUR ",Ieņēmumi!$R$3,"EKK","9.5.1.4.")+GETPIVOTDATA("Sum of  2025.gada plāns EUR ",Ieņēmumi!$R$3,"EKK","9.5.1.7.")+GETPIVOTDATA("Sum of  2025.gada plāns EUR ",Ieņēmumi!$R$3,"EKK","9.5.2.1.")+GETPIVOTDATA("Sum of  2025.gada plāns EUR ",Ieņēmumi!$R$3,"EKK","9.5.2.9.")</f>
        <v>144060</v>
      </c>
      <c r="G19" s="29">
        <f>GETPIVOTDATA("Summa no  2026.gada plāns EUR ",Ieņēmumi!$R$3,"EKK","9.4.2.0.")+GETPIVOTDATA("Summa no  2026.gada plāns EUR ",Ieņēmumi!$R$3,"EKK","9.4.5.0.")+GETPIVOTDATA("Summa no  2026.gada plāns EUR ",Ieņēmumi!$R$3,"EKK","9.4.9.0.")+GETPIVOTDATA("Summa no  2026.gada plāns EUR ",Ieņēmumi!$R$3,"EKK","9.5.1.1.")+GETPIVOTDATA("Summa no  2026.gada plāns EUR ",Ieņēmumi!$R$3,"EKK","9.5.1.2.")+GETPIVOTDATA("Summa no  2026.gada plāns EUR ",Ieņēmumi!$R$3,"EKK","9.5.1.4.")+GETPIVOTDATA("Summa no  2026.gada plāns EUR ",Ieņēmumi!$R$3,"EKK","9.5.1.7.")+GETPIVOTDATA("Summa no  2026.gada plāns EUR ",Ieņēmumi!$R$3,"EKK","9.5.2.1.")+GETPIVOTDATA("Summa no  2026.gada plāns EUR ",Ieņēmumi!$R$3,"EKK","9.5.2.9.")</f>
        <v>144300</v>
      </c>
      <c r="H19" s="29">
        <f t="shared" si="0"/>
        <v>240</v>
      </c>
      <c r="I19" s="219">
        <f t="shared" si="1"/>
        <v>1.6659725114535611E-3</v>
      </c>
      <c r="J19" s="2538"/>
    </row>
    <row r="20" spans="1:11" ht="17.25" customHeight="1">
      <c r="A20" s="372" t="s">
        <v>2668</v>
      </c>
      <c r="D20" s="1232" t="s">
        <v>29</v>
      </c>
      <c r="E20" s="28" t="s">
        <v>30</v>
      </c>
      <c r="F20" s="86">
        <f>GETPIVOTDATA("Sum of  2025.gada plāns EUR ",Ieņēmumi!$R$3,"EKK","10.1.4.0.")+GETPIVOTDATA("Sum of  2025.gada plāns EUR ",Ieņēmumi!$R$3,"EKK","10.1.5.4.")</f>
        <v>130000</v>
      </c>
      <c r="G20" s="29">
        <f>GETPIVOTDATA("Summa no  2026.gada plāns EUR ",Ieņēmumi!$R$3,"EKK","10.1.4.0.")+GETPIVOTDATA("Summa no  2026.gada plāns EUR ",Ieņēmumi!$R$3,"EKK","10.1.5.4.")</f>
        <v>130000</v>
      </c>
      <c r="H20" s="29">
        <f t="shared" si="0"/>
        <v>0</v>
      </c>
      <c r="I20" s="219">
        <f t="shared" si="1"/>
        <v>0</v>
      </c>
      <c r="J20" s="2538"/>
    </row>
    <row r="21" spans="1:11" ht="16.95" customHeight="1">
      <c r="A21" s="372" t="s">
        <v>2670</v>
      </c>
      <c r="D21" s="1232" t="s">
        <v>34</v>
      </c>
      <c r="E21" s="28" t="s">
        <v>35</v>
      </c>
      <c r="F21" s="86">
        <f>GETPIVOTDATA("Sum of  2025.gada plāns EUR ",Ieņēmumi!$R$3,"EKK","12.2.3.0.")+GETPIVOTDATA("Sum of  2025.gada plāns EUR ",Ieņēmumi!$R$3,"EKK","12.3.9.5.")+GETPIVOTDATA("Sum of  2025.gada plāns EUR ",Ieņēmumi!$R$3,"EKK","12.3.9.9.")+GETPIVOTDATA("Sum of  2025.gada plāns EUR ",Ieņēmumi!$R$3,"EKK","8.3.9.0.")+GETPIVOTDATA("Sum of  2025.gada plāns EUR ",Ieņēmumi!$R$3,"EKK","8.6.1.2.")+GETPIVOTDATA("Sum of  2025.gada plāns EUR ",Ieņēmumi!$R$3,"EKK","8.6.4.0.")</f>
        <v>35727.72</v>
      </c>
      <c r="G21" s="29">
        <f>GETPIVOTDATA("Summa no  2026.gada plāns EUR ",Ieņēmumi!$R$3,"EKK","12.2.3.0.")+GETPIVOTDATA("Summa no  2026.gada plāns EUR ",Ieņēmumi!$R$3,"EKK","12.3.9.5.")+GETPIVOTDATA("Summa no  2026.gada plāns EUR ",Ieņēmumi!$R$3,"EKK","12.3.9.9.")+GETPIVOTDATA("Summa no  2026.gada plāns EUR ",Ieņēmumi!$R$3,"EKK","8.6.1.2.")+GETPIVOTDATA("Summa no  2026.gada plāns EUR ",Ieņēmumi!$R$3,"EKK","8.6.4.0.")</f>
        <v>38727.72</v>
      </c>
      <c r="H21" s="29">
        <f t="shared" si="0"/>
        <v>3000</v>
      </c>
      <c r="I21" s="219">
        <f t="shared" si="1"/>
        <v>8.3968414441223785E-2</v>
      </c>
      <c r="J21" s="2538"/>
    </row>
    <row r="22" spans="1:11" ht="30" customHeight="1">
      <c r="A22" s="372" t="s">
        <v>2671</v>
      </c>
      <c r="D22" s="1235" t="s">
        <v>36</v>
      </c>
      <c r="E22" s="28" t="s">
        <v>37</v>
      </c>
      <c r="F22" s="1107">
        <f>GETPIVOTDATA("Sum of  2025.gada plāns EUR ",Ieņēmumi!$R$3,"EKK","13.2.1.0.")+GETPIVOTDATA("Sum of  2025.gada plāns EUR ",Ieņēmumi!$R$3,"EKK","13.4.0.0.")</f>
        <v>159278</v>
      </c>
      <c r="G22" s="1108">
        <f>GETPIVOTDATA("Summa no  2026.gada plāns EUR ",Ieņēmumi!$R$3,"EKK","13.2.1.0.")+GETPIVOTDATA("Summa no  2026.gada plāns EUR ",Ieņēmumi!$R$3,"EKK","13.4.0.0.")</f>
        <v>0</v>
      </c>
      <c r="H22" s="29">
        <f t="shared" si="0"/>
        <v>-159278</v>
      </c>
      <c r="I22" s="219">
        <f t="shared" si="1"/>
        <v>-1</v>
      </c>
      <c r="J22" s="1030"/>
    </row>
    <row r="23" spans="1:11" ht="17.399999999999999" customHeight="1">
      <c r="D23" s="1235" t="s">
        <v>38</v>
      </c>
      <c r="E23" s="28" t="s">
        <v>39</v>
      </c>
      <c r="F23" s="86">
        <v>0</v>
      </c>
      <c r="G23" s="29">
        <v>0</v>
      </c>
      <c r="H23" s="29">
        <f>G23-F23+F25</f>
        <v>0</v>
      </c>
      <c r="I23" s="219"/>
      <c r="J23" s="1030"/>
    </row>
    <row r="24" spans="1:11" ht="17.399999999999999" hidden="1" customHeight="1" outlineLevel="1">
      <c r="D24" s="1236" t="s">
        <v>47</v>
      </c>
      <c r="E24" s="32" t="s">
        <v>48</v>
      </c>
      <c r="F24" s="1052"/>
      <c r="G24" s="33"/>
      <c r="H24" s="33"/>
      <c r="I24" s="222"/>
      <c r="J24" s="1030"/>
    </row>
    <row r="25" spans="1:11" ht="18" hidden="1" customHeight="1" outlineLevel="1">
      <c r="D25" s="1236"/>
      <c r="E25" s="32"/>
      <c r="F25" s="1053"/>
      <c r="G25" s="33"/>
      <c r="H25" s="33"/>
      <c r="I25" s="222"/>
      <c r="J25" s="1030"/>
    </row>
    <row r="26" spans="1:11" ht="17.399999999999999" hidden="1" customHeight="1" outlineLevel="1">
      <c r="D26" s="1237"/>
      <c r="E26" s="255" t="s">
        <v>1218</v>
      </c>
      <c r="F26" s="1054"/>
      <c r="G26" s="152"/>
      <c r="H26" s="152"/>
      <c r="I26" s="256"/>
      <c r="J26" s="1030"/>
    </row>
    <row r="27" spans="1:11" ht="17.25" customHeight="1" collapsed="1">
      <c r="D27" s="1235" t="s">
        <v>50</v>
      </c>
      <c r="E27" s="28" t="s">
        <v>51</v>
      </c>
      <c r="F27" s="86">
        <f>SUM(F28:F29)</f>
        <v>350000</v>
      </c>
      <c r="G27" s="86">
        <f>SUM(G28:G29)</f>
        <v>355000</v>
      </c>
      <c r="H27" s="29">
        <f>G27-F27</f>
        <v>5000</v>
      </c>
      <c r="I27" s="219">
        <f>H27/F27</f>
        <v>1.4285714285714285E-2</v>
      </c>
      <c r="J27" s="1030"/>
    </row>
    <row r="28" spans="1:11" ht="27.6" hidden="1" customHeight="1" outlineLevel="1">
      <c r="A28" s="372" t="s">
        <v>52</v>
      </c>
      <c r="D28" s="1231" t="s">
        <v>53</v>
      </c>
      <c r="E28" s="26" t="s">
        <v>54</v>
      </c>
      <c r="F28" s="1103">
        <f>GETPIVOTDATA("Sum of  2025.gada plāns EUR ",Ieņēmumi!$R$3,"EKK","19.2.1.0.")</f>
        <v>350000</v>
      </c>
      <c r="G28" s="27">
        <f>GETPIVOTDATA("Summa no  2026.gada plāns EUR ",Ieņēmumi!$R$3,"EKK","19.2.1.0.")</f>
        <v>355000</v>
      </c>
      <c r="H28" s="27">
        <f>G28-F28</f>
        <v>5000</v>
      </c>
      <c r="I28" s="218">
        <f>H28/F28</f>
        <v>1.4285714285714285E-2</v>
      </c>
      <c r="J28" s="1030"/>
    </row>
    <row r="29" spans="1:11" ht="37.950000000000003" hidden="1" customHeight="1" outlineLevel="1">
      <c r="D29" s="1231" t="s">
        <v>53</v>
      </c>
      <c r="E29" s="26" t="s">
        <v>456</v>
      </c>
      <c r="F29" s="1051"/>
      <c r="G29" s="27"/>
      <c r="H29" s="27">
        <f>G29-F29</f>
        <v>0</v>
      </c>
      <c r="I29" s="218"/>
      <c r="J29" s="1030"/>
    </row>
    <row r="30" spans="1:11" ht="17.25" customHeight="1" collapsed="1">
      <c r="D30" s="1235" t="s">
        <v>55</v>
      </c>
      <c r="E30" s="28" t="s">
        <v>56</v>
      </c>
      <c r="F30" s="86">
        <f>F31+F34+F35+F38+F41</f>
        <v>751143.02</v>
      </c>
      <c r="G30" s="86">
        <f>G31+G34+G35+G38+G41</f>
        <v>715564.78</v>
      </c>
      <c r="H30" s="29">
        <f>G30-F30</f>
        <v>-35578.239999999991</v>
      </c>
      <c r="I30" s="219">
        <f>H30/F30</f>
        <v>-4.7365467098396244E-2</v>
      </c>
      <c r="J30" s="1032"/>
      <c r="K30" s="13">
        <v>774868.78</v>
      </c>
    </row>
    <row r="31" spans="1:11" ht="31.2" customHeight="1" outlineLevel="1">
      <c r="D31" s="1238" t="s">
        <v>57</v>
      </c>
      <c r="E31" s="577" t="s">
        <v>1289</v>
      </c>
      <c r="F31" s="1109">
        <f>F32+F33</f>
        <v>219800</v>
      </c>
      <c r="G31" s="1109">
        <f>G32+G33</f>
        <v>164496</v>
      </c>
      <c r="H31" s="578">
        <f t="shared" ref="H31:H41" si="4">G31-F31</f>
        <v>-55304</v>
      </c>
      <c r="I31" s="579">
        <f t="shared" ref="I31:I41" si="5">H31/F31</f>
        <v>-0.25161055505004548</v>
      </c>
      <c r="J31" s="1033"/>
      <c r="K31" s="13">
        <v>223800</v>
      </c>
    </row>
    <row r="32" spans="1:11" ht="33.6" customHeight="1" outlineLevel="1">
      <c r="A32" s="372" t="s">
        <v>59</v>
      </c>
      <c r="C32" t="s">
        <v>59</v>
      </c>
      <c r="D32" s="1239" t="s">
        <v>58</v>
      </c>
      <c r="E32" s="300" t="s">
        <v>1281</v>
      </c>
      <c r="F32" s="151">
        <f>GETPIVOTDATA("Sum of  2025.gada plāns EUR ",Ieņēmumi!$R$3,"EKK","21.3.5.2.")</f>
        <v>61000</v>
      </c>
      <c r="G32" s="3256">
        <f>GETPIVOTDATA("Summa no  2026.gada plāns EUR ",Ieņēmumi!$R$3,"EKK","21.3.5.2.")</f>
        <v>1696</v>
      </c>
      <c r="H32" s="97">
        <f t="shared" si="4"/>
        <v>-59304</v>
      </c>
      <c r="I32" s="223">
        <f t="shared" si="5"/>
        <v>-0.97219672131147539</v>
      </c>
      <c r="J32" s="3265" t="s">
        <v>5320</v>
      </c>
      <c r="K32" s="13">
        <v>61000</v>
      </c>
    </row>
    <row r="33" spans="1:195" ht="27" customHeight="1" outlineLevel="1">
      <c r="A33" s="372" t="s">
        <v>61</v>
      </c>
      <c r="C33" t="s">
        <v>61</v>
      </c>
      <c r="D33" s="1239" t="s">
        <v>60</v>
      </c>
      <c r="E33" s="300" t="s">
        <v>1282</v>
      </c>
      <c r="F33" s="151">
        <f>GETPIVOTDATA("Sum of  2025.gada plāns EUR ",Ieņēmumi!$R$3,"EKK","21.3.5.9.")</f>
        <v>158800</v>
      </c>
      <c r="G33" s="151">
        <f>GETPIVOTDATA("Summa no  2026.gada plāns EUR ",Ieņēmumi!$R$3,"EKK","21.3.5.9.")</f>
        <v>162800</v>
      </c>
      <c r="H33" s="97">
        <f t="shared" si="4"/>
        <v>4000</v>
      </c>
      <c r="I33" s="223">
        <f t="shared" si="5"/>
        <v>2.5188916876574308E-2</v>
      </c>
      <c r="J33" s="1033"/>
      <c r="K33" s="13">
        <v>162800</v>
      </c>
    </row>
    <row r="34" spans="1:195" ht="18" customHeight="1" outlineLevel="1">
      <c r="D34" s="1238" t="s">
        <v>62</v>
      </c>
      <c r="E34" s="577" t="s">
        <v>715</v>
      </c>
      <c r="F34" s="1109">
        <v>0</v>
      </c>
      <c r="G34" s="1109">
        <v>0</v>
      </c>
      <c r="H34" s="578">
        <f t="shared" si="4"/>
        <v>0</v>
      </c>
      <c r="I34" s="579" t="e">
        <f t="shared" si="5"/>
        <v>#DIV/0!</v>
      </c>
      <c r="J34" s="1033"/>
      <c r="K34" s="13">
        <v>0</v>
      </c>
    </row>
    <row r="35" spans="1:195" ht="18" customHeight="1" outlineLevel="1">
      <c r="D35" s="1238" t="s">
        <v>66</v>
      </c>
      <c r="E35" s="577" t="s">
        <v>63</v>
      </c>
      <c r="F35" s="1109">
        <f>F36+F37</f>
        <v>332370.02</v>
      </c>
      <c r="G35" s="1109">
        <f>G36+G37</f>
        <v>339911.78</v>
      </c>
      <c r="H35" s="578">
        <f t="shared" si="4"/>
        <v>7541.7600000000093</v>
      </c>
      <c r="I35" s="579">
        <f t="shared" si="5"/>
        <v>2.2690855210105922E-2</v>
      </c>
      <c r="J35" s="1033"/>
      <c r="K35" s="13">
        <v>339911.78</v>
      </c>
    </row>
    <row r="36" spans="1:195" ht="18" customHeight="1" outlineLevel="1">
      <c r="A36" s="372" t="s">
        <v>64</v>
      </c>
      <c r="C36" t="s">
        <v>64</v>
      </c>
      <c r="D36" s="297" t="s">
        <v>716</v>
      </c>
      <c r="E36" s="300" t="s">
        <v>718</v>
      </c>
      <c r="F36" s="151">
        <f>GETPIVOTDATA("Sum of  2025.gada plāns EUR ",Ieņēmumi!$R$3,"EKK","21.3.8.1.")</f>
        <v>236370.02</v>
      </c>
      <c r="G36" s="151">
        <f>GETPIVOTDATA("Summa no  2026.gada plāns EUR ",Ieņēmumi!$R$3,"EKK","21.3.8.1.")</f>
        <v>236911.78</v>
      </c>
      <c r="H36" s="97">
        <f t="shared" si="4"/>
        <v>541.76000000000931</v>
      </c>
      <c r="I36" s="223">
        <f t="shared" si="5"/>
        <v>2.291999636840617E-3</v>
      </c>
      <c r="J36" s="1033"/>
      <c r="K36" s="13">
        <v>236911.78</v>
      </c>
    </row>
    <row r="37" spans="1:195" ht="18" customHeight="1" outlineLevel="1">
      <c r="A37" s="372" t="s">
        <v>65</v>
      </c>
      <c r="C37" t="s">
        <v>65</v>
      </c>
      <c r="D37" s="297" t="s">
        <v>717</v>
      </c>
      <c r="E37" s="300" t="s">
        <v>719</v>
      </c>
      <c r="F37" s="151">
        <f>GETPIVOTDATA("Sum of  2025.gada plāns EUR ",Ieņēmumi!$R$3,"EKK","21.3.8.4.")</f>
        <v>96000</v>
      </c>
      <c r="G37" s="151">
        <f>GETPIVOTDATA("Summa no  2026.gada plāns EUR ",Ieņēmumi!$R$3,"EKK","21.3.8.4.")</f>
        <v>103000</v>
      </c>
      <c r="H37" s="97">
        <f t="shared" si="4"/>
        <v>7000</v>
      </c>
      <c r="I37" s="223">
        <f t="shared" si="5"/>
        <v>7.2916666666666671E-2</v>
      </c>
      <c r="J37" s="1033"/>
      <c r="K37" s="13">
        <v>103000</v>
      </c>
    </row>
    <row r="38" spans="1:195" ht="30.6" customHeight="1" outlineLevel="1">
      <c r="D38" s="1238" t="s">
        <v>68</v>
      </c>
      <c r="E38" s="577" t="s">
        <v>67</v>
      </c>
      <c r="F38" s="1109">
        <f>F39+F40</f>
        <v>108973</v>
      </c>
      <c r="G38" s="1109">
        <f>G39+G40</f>
        <v>121157</v>
      </c>
      <c r="H38" s="578">
        <f>G38-F38</f>
        <v>12184</v>
      </c>
      <c r="I38" s="579">
        <f t="shared" si="5"/>
        <v>0.11180751195250199</v>
      </c>
      <c r="J38" s="1033"/>
      <c r="K38" s="13">
        <v>121157</v>
      </c>
    </row>
    <row r="39" spans="1:195" ht="26.4" customHeight="1" outlineLevel="1">
      <c r="A39" s="372" t="s">
        <v>2669</v>
      </c>
      <c r="C39" t="s">
        <v>1068</v>
      </c>
      <c r="D39" s="297" t="s">
        <v>705</v>
      </c>
      <c r="E39" s="300" t="s">
        <v>1283</v>
      </c>
      <c r="F39" s="151">
        <f>GETPIVOTDATA("Sum of  2025.gada plāns EUR ",Ieņēmumi!$R$3,"EKK","21.3.9.9.1.")+GETPIVOTDATA("Sum of  2025.gada plāns EUR ",Ieņēmumi!$R$3,"EKK","21.3.9.9.2.")+GETPIVOTDATA("Sum of  2025.gada plāns EUR ",Ieņēmumi!$R$3,"EKK","21.3.9.9.3.")+GETPIVOTDATA("Sum of  2025.gada plāns EUR ",Ieņēmumi!$R$3,"EKK","21.3.9.9.4.")</f>
        <v>101973</v>
      </c>
      <c r="G39" s="151">
        <f>GETPIVOTDATA("Summa no  2026.gada plāns EUR ",Ieņēmumi!$R$3,"EKK","21.3.9.9.1.")+GETPIVOTDATA("Summa no  2026.gada plāns EUR ",Ieņēmumi!$R$3,"EKK","21.3.9.9.2.")+GETPIVOTDATA("Summa no  2026.gada plāns EUR ",Ieņēmumi!$R$3,"EKK","21.3.9.9.3.")+GETPIVOTDATA("Summa no  2026.gada plāns EUR ",Ieņēmumi!$R$3,"EKK","21.3.9.9.4.")</f>
        <v>119157</v>
      </c>
      <c r="H39" s="97">
        <f t="shared" si="4"/>
        <v>17184</v>
      </c>
      <c r="I39" s="223">
        <f t="shared" si="5"/>
        <v>0.16851519519872907</v>
      </c>
      <c r="J39" s="1112" t="s">
        <v>2672</v>
      </c>
      <c r="K39" s="13">
        <v>119157</v>
      </c>
    </row>
    <row r="40" spans="1:195" ht="29.4" customHeight="1" outlineLevel="1">
      <c r="A40" s="372" t="s">
        <v>1284</v>
      </c>
      <c r="C40" t="s">
        <v>1284</v>
      </c>
      <c r="D40" s="297" t="s">
        <v>706</v>
      </c>
      <c r="E40" s="300" t="s">
        <v>1285</v>
      </c>
      <c r="F40" s="151">
        <f>GETPIVOTDATA("Sum of  2025.gada plāns EUR ",Ieņēmumi!$R$3,"EKK","21.3.9.3.")</f>
        <v>7000</v>
      </c>
      <c r="G40" s="151">
        <f>GETPIVOTDATA("Summa no  2026.gada plāns EUR ",Ieņēmumi!$R$3,"EKK","21.3.9.3.")</f>
        <v>2000</v>
      </c>
      <c r="H40" s="97">
        <f t="shared" si="4"/>
        <v>-5000</v>
      </c>
      <c r="I40" s="223">
        <f t="shared" si="5"/>
        <v>-0.7142857142857143</v>
      </c>
      <c r="J40" s="1112"/>
      <c r="K40" s="13">
        <v>2000</v>
      </c>
    </row>
    <row r="41" spans="1:195" ht="36" customHeight="1" outlineLevel="1" thickBot="1">
      <c r="A41" s="372" t="s">
        <v>1767</v>
      </c>
      <c r="C41" s="248" t="s">
        <v>709</v>
      </c>
      <c r="D41" s="1238" t="s">
        <v>707</v>
      </c>
      <c r="E41" s="580" t="s">
        <v>991</v>
      </c>
      <c r="F41" s="1110">
        <f>GETPIVOTDATA("Sum of  2025.gada plāns EUR ",Ieņēmumi!$R$3,"EKK","21.4.9.0.1.")+90000</f>
        <v>90000</v>
      </c>
      <c r="G41" s="1110">
        <f>GETPIVOTDATA("Summa no  2026.gada plāns EUR ",Ieņēmumi!$R$3,"EKK","21.4.9.0.1.")+90000</f>
        <v>90000</v>
      </c>
      <c r="H41" s="581">
        <f t="shared" si="4"/>
        <v>0</v>
      </c>
      <c r="I41" s="582">
        <f t="shared" si="5"/>
        <v>0</v>
      </c>
      <c r="J41" s="1112" t="s">
        <v>2851</v>
      </c>
      <c r="K41" s="13">
        <v>90000</v>
      </c>
      <c r="N41">
        <v>66588</v>
      </c>
    </row>
    <row r="42" spans="1:195" ht="23.4" customHeight="1" thickBot="1">
      <c r="D42" s="1196"/>
      <c r="E42" s="34" t="s">
        <v>5132</v>
      </c>
      <c r="F42" s="1111">
        <f>F4+F7+F10+F13+F16+F19+F20+F21+F22+F23+F27+F30</f>
        <v>44225666.328235291</v>
      </c>
      <c r="G42" s="1111">
        <f>G4+G7+G10+G13+G16+G19+G20+G21+G22+G23+G27+G30</f>
        <v>47212315.492941171</v>
      </c>
      <c r="H42" s="74">
        <f>G42-F42</f>
        <v>2986649.16470588</v>
      </c>
      <c r="I42" s="224">
        <f>H42/F42</f>
        <v>6.7532033153316073E-2</v>
      </c>
      <c r="J42" s="1030"/>
    </row>
    <row r="43" spans="1:195">
      <c r="N43" s="18"/>
    </row>
    <row r="44" spans="1:195" ht="15" thickBot="1">
      <c r="D44" s="3520" t="s">
        <v>70</v>
      </c>
      <c r="E44" s="3520"/>
      <c r="F44" s="133"/>
      <c r="G44" s="2914"/>
      <c r="H44" s="174"/>
      <c r="I44" s="226"/>
      <c r="J44" s="1030"/>
    </row>
    <row r="45" spans="1:195" ht="42" thickBot="1">
      <c r="A45" s="247"/>
      <c r="B45" s="247"/>
      <c r="D45" s="1195" t="s">
        <v>0</v>
      </c>
      <c r="E45" s="21" t="s">
        <v>1</v>
      </c>
      <c r="F45" s="2">
        <v>2025</v>
      </c>
      <c r="G45" s="2913">
        <v>2026</v>
      </c>
      <c r="H45" s="83" t="s">
        <v>374</v>
      </c>
      <c r="I45" s="130" t="s">
        <v>373</v>
      </c>
      <c r="J45" s="1035"/>
      <c r="L45" s="362"/>
      <c r="M45" s="362"/>
    </row>
    <row r="46" spans="1:195" s="112" customFormat="1" ht="13.8">
      <c r="A46" s="248"/>
      <c r="B46" s="310"/>
      <c r="C46" s="310"/>
      <c r="D46" s="108"/>
      <c r="E46" s="109" t="s">
        <v>436</v>
      </c>
      <c r="F46" s="110">
        <f>F58+F88+F94+F100+F150+F209+F244</f>
        <v>16941040.709328521</v>
      </c>
      <c r="G46" s="110">
        <f>G58+G88+G94+G100+G150+G209+G244</f>
        <v>17467713.838551056</v>
      </c>
      <c r="H46" s="111">
        <f t="shared" ref="H46:H116" si="6">G46-F46</f>
        <v>526673.1292225346</v>
      </c>
      <c r="I46" s="227">
        <f>IFERROR(H46/F46,"-")</f>
        <v>3.1088593567485143E-2</v>
      </c>
      <c r="J46" s="1036"/>
      <c r="K46" s="141"/>
      <c r="L46" s="286"/>
      <c r="M46" s="363"/>
      <c r="N46" s="364"/>
      <c r="O46" s="250"/>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49"/>
      <c r="DL46" s="249"/>
      <c r="DM46" s="249"/>
      <c r="DN46" s="249"/>
      <c r="DO46" s="249"/>
      <c r="DP46" s="249"/>
      <c r="DQ46" s="249"/>
      <c r="DR46" s="249"/>
      <c r="DS46" s="249"/>
      <c r="DT46" s="249"/>
      <c r="DU46" s="249"/>
      <c r="DV46" s="249"/>
      <c r="DW46" s="249"/>
      <c r="DX46" s="249"/>
      <c r="DY46" s="249"/>
      <c r="DZ46" s="249"/>
      <c r="EA46" s="249"/>
      <c r="EB46" s="249"/>
      <c r="EC46" s="249"/>
      <c r="ED46" s="249"/>
      <c r="EE46" s="249"/>
      <c r="EF46" s="249"/>
      <c r="EG46" s="249"/>
      <c r="EH46" s="249"/>
      <c r="EI46" s="249"/>
      <c r="EJ46" s="249"/>
      <c r="EK46" s="249"/>
      <c r="EL46" s="249"/>
      <c r="EM46" s="249"/>
      <c r="EN46" s="249"/>
      <c r="EO46" s="249"/>
      <c r="EP46" s="249"/>
      <c r="EQ46" s="249"/>
      <c r="ER46" s="249"/>
      <c r="ES46" s="249"/>
      <c r="ET46" s="249"/>
      <c r="EU46" s="249"/>
      <c r="EV46" s="249"/>
      <c r="EW46" s="249"/>
      <c r="EX46" s="249"/>
      <c r="EY46" s="249"/>
      <c r="EZ46" s="249"/>
      <c r="FA46" s="249"/>
      <c r="FB46" s="249"/>
      <c r="FC46" s="249"/>
      <c r="FD46" s="249"/>
      <c r="FE46" s="249"/>
      <c r="FF46" s="249"/>
      <c r="FG46" s="249"/>
      <c r="FH46" s="249"/>
      <c r="FI46" s="249"/>
      <c r="FJ46" s="249"/>
      <c r="FK46" s="249"/>
      <c r="FL46" s="249"/>
      <c r="FM46" s="249"/>
      <c r="FN46" s="249"/>
      <c r="FO46" s="249"/>
      <c r="FP46" s="249"/>
      <c r="FQ46" s="249"/>
      <c r="FR46" s="249"/>
      <c r="FS46" s="249"/>
      <c r="FT46" s="249"/>
      <c r="FU46" s="249"/>
      <c r="FV46" s="249"/>
      <c r="FW46" s="249"/>
      <c r="FX46" s="249"/>
      <c r="FY46" s="249"/>
      <c r="FZ46" s="249"/>
      <c r="GA46" s="249"/>
      <c r="GB46" s="249"/>
      <c r="GC46" s="249"/>
      <c r="GD46" s="249"/>
      <c r="GE46" s="249"/>
      <c r="GF46" s="249"/>
      <c r="GG46" s="249"/>
      <c r="GH46" s="249"/>
      <c r="GI46" s="249"/>
      <c r="GJ46" s="249"/>
      <c r="GK46" s="249"/>
      <c r="GL46" s="249"/>
      <c r="GM46" s="249"/>
    </row>
    <row r="47" spans="1:195" s="112" customFormat="1" ht="13.8">
      <c r="A47" s="248"/>
      <c r="B47" s="310"/>
      <c r="C47" s="310"/>
      <c r="D47" s="113"/>
      <c r="E47" s="114" t="s">
        <v>376</v>
      </c>
      <c r="F47" s="110">
        <f>F59+F89+F95+F96+F101+F151+F210+F245</f>
        <v>10630368.576639334</v>
      </c>
      <c r="G47" s="110">
        <f>G59+G89+G95+G96+G101+G151+G210+G245</f>
        <v>10663927.199426666</v>
      </c>
      <c r="H47" s="111">
        <f t="shared" si="6"/>
        <v>33558.622787332162</v>
      </c>
      <c r="I47" s="227">
        <f t="shared" ref="I47:I116" si="7">IFERROR(H47/F47,"-")</f>
        <v>3.1568635222186557E-3</v>
      </c>
      <c r="J47" s="1037"/>
      <c r="K47" s="141"/>
      <c r="L47" s="286"/>
      <c r="M47" s="363"/>
      <c r="N47" s="364"/>
      <c r="O47" s="250"/>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249"/>
      <c r="DI47" s="249"/>
      <c r="DJ47" s="249"/>
      <c r="DK47" s="249"/>
      <c r="DL47" s="249"/>
      <c r="DM47" s="249"/>
      <c r="DN47" s="249"/>
      <c r="DO47" s="249"/>
      <c r="DP47" s="249"/>
      <c r="DQ47" s="249"/>
      <c r="DR47" s="249"/>
      <c r="DS47" s="249"/>
      <c r="DT47" s="249"/>
      <c r="DU47" s="249"/>
      <c r="DV47" s="249"/>
      <c r="DW47" s="249"/>
      <c r="DX47" s="249"/>
      <c r="DY47" s="249"/>
      <c r="DZ47" s="249"/>
      <c r="EA47" s="249"/>
      <c r="EB47" s="249"/>
      <c r="EC47" s="249"/>
      <c r="ED47" s="249"/>
      <c r="EE47" s="249"/>
      <c r="EF47" s="249"/>
      <c r="EG47" s="249"/>
      <c r="EH47" s="249"/>
      <c r="EI47" s="249"/>
      <c r="EJ47" s="249"/>
      <c r="EK47" s="249"/>
      <c r="EL47" s="249"/>
      <c r="EM47" s="249"/>
      <c r="EN47" s="249"/>
      <c r="EO47" s="249"/>
      <c r="EP47" s="249"/>
      <c r="EQ47" s="249"/>
      <c r="ER47" s="249"/>
      <c r="ES47" s="249"/>
      <c r="ET47" s="249"/>
      <c r="EU47" s="249"/>
      <c r="EV47" s="249"/>
      <c r="EW47" s="249"/>
      <c r="EX47" s="249"/>
      <c r="EY47" s="249"/>
      <c r="EZ47" s="249"/>
      <c r="FA47" s="249"/>
      <c r="FB47" s="249"/>
      <c r="FC47" s="249"/>
      <c r="FD47" s="249"/>
      <c r="FE47" s="249"/>
      <c r="FF47" s="249"/>
      <c r="FG47" s="249"/>
      <c r="FH47" s="249"/>
      <c r="FI47" s="249"/>
      <c r="FJ47" s="249"/>
      <c r="FK47" s="249"/>
      <c r="FL47" s="249"/>
      <c r="FM47" s="249"/>
      <c r="FN47" s="249"/>
      <c r="FO47" s="249"/>
      <c r="FP47" s="249"/>
      <c r="FQ47" s="249"/>
      <c r="FR47" s="249"/>
      <c r="FS47" s="249"/>
      <c r="FT47" s="249"/>
      <c r="FU47" s="249"/>
      <c r="FV47" s="249"/>
      <c r="FW47" s="249"/>
      <c r="FX47" s="249"/>
      <c r="FY47" s="249"/>
      <c r="FZ47" s="249"/>
      <c r="GA47" s="249"/>
      <c r="GB47" s="249"/>
      <c r="GC47" s="249"/>
      <c r="GD47" s="249"/>
      <c r="GE47" s="249"/>
      <c r="GF47" s="249"/>
      <c r="GG47" s="249"/>
      <c r="GH47" s="249"/>
      <c r="GI47" s="249"/>
      <c r="GJ47" s="249"/>
      <c r="GK47" s="249"/>
      <c r="GL47" s="249"/>
      <c r="GM47" s="249"/>
    </row>
    <row r="48" spans="1:195" s="112" customFormat="1" ht="13.8">
      <c r="A48" s="248"/>
      <c r="B48" s="310"/>
      <c r="C48" s="310"/>
      <c r="D48" s="389"/>
      <c r="E48" s="114" t="s">
        <v>1211</v>
      </c>
      <c r="F48" s="391">
        <f>SUM(F90,F152,F246)</f>
        <v>2641574.13062</v>
      </c>
      <c r="G48" s="391">
        <f>SUM(G90,G152,G246)</f>
        <v>2639329</v>
      </c>
      <c r="H48" s="111">
        <f>G48-F48</f>
        <v>-2245.1306199999526</v>
      </c>
      <c r="I48" s="227">
        <f>IFERROR(H48/F48,"-")</f>
        <v>-8.4992148960551836E-4</v>
      </c>
      <c r="J48" s="1038"/>
      <c r="K48" s="141"/>
      <c r="L48" s="286"/>
      <c r="M48" s="363"/>
      <c r="N48" s="364"/>
      <c r="O48" s="250"/>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c r="EB48" s="249"/>
      <c r="EC48" s="249"/>
      <c r="ED48" s="249"/>
      <c r="EE48" s="249"/>
      <c r="EF48" s="249"/>
      <c r="EG48" s="249"/>
      <c r="EH48" s="249"/>
      <c r="EI48" s="249"/>
      <c r="EJ48" s="249"/>
      <c r="EK48" s="249"/>
      <c r="EL48" s="249"/>
      <c r="EM48" s="249"/>
      <c r="EN48" s="249"/>
      <c r="EO48" s="249"/>
      <c r="EP48" s="249"/>
      <c r="EQ48" s="249"/>
      <c r="ER48" s="249"/>
      <c r="ES48" s="249"/>
      <c r="ET48" s="249"/>
      <c r="EU48" s="249"/>
      <c r="EV48" s="249"/>
      <c r="EW48" s="249"/>
      <c r="EX48" s="249"/>
      <c r="EY48" s="249"/>
      <c r="EZ48" s="249"/>
      <c r="FA48" s="249"/>
      <c r="FB48" s="249"/>
      <c r="FC48" s="249"/>
      <c r="FD48" s="249"/>
      <c r="FE48" s="249"/>
      <c r="FF48" s="249"/>
      <c r="FG48" s="249"/>
      <c r="FH48" s="249"/>
      <c r="FI48" s="249"/>
      <c r="FJ48" s="249"/>
      <c r="FK48" s="249"/>
      <c r="FL48" s="249"/>
      <c r="FM48" s="249"/>
      <c r="FN48" s="249"/>
      <c r="FO48" s="249"/>
      <c r="FP48" s="249"/>
      <c r="FQ48" s="249"/>
      <c r="FR48" s="249"/>
      <c r="FS48" s="249"/>
      <c r="FT48" s="249"/>
      <c r="FU48" s="249"/>
      <c r="FV48" s="249"/>
      <c r="FW48" s="249"/>
      <c r="FX48" s="249"/>
      <c r="FY48" s="249"/>
      <c r="FZ48" s="249"/>
      <c r="GA48" s="249"/>
      <c r="GB48" s="249"/>
      <c r="GC48" s="249"/>
      <c r="GD48" s="249"/>
      <c r="GE48" s="249"/>
      <c r="GF48" s="249"/>
      <c r="GG48" s="249"/>
      <c r="GH48" s="249"/>
      <c r="GI48" s="249"/>
      <c r="GJ48" s="249"/>
      <c r="GK48" s="249"/>
      <c r="GL48" s="249"/>
      <c r="GM48" s="249"/>
    </row>
    <row r="49" spans="1:195" s="112" customFormat="1" ht="13.8">
      <c r="A49" s="248"/>
      <c r="B49" s="310"/>
      <c r="C49" s="310"/>
      <c r="D49" s="108"/>
      <c r="E49" s="109" t="s">
        <v>375</v>
      </c>
      <c r="F49" s="110">
        <f>F60+F91+F97+F102+F153+F212+F247</f>
        <v>393711.44</v>
      </c>
      <c r="G49" s="110">
        <f>G60+G91+G97+G102+G153+G212+G247</f>
        <v>363154.58</v>
      </c>
      <c r="H49" s="111">
        <f t="shared" si="6"/>
        <v>-30556.859999999986</v>
      </c>
      <c r="I49" s="227">
        <f t="shared" si="7"/>
        <v>-7.7612324396771362E-2</v>
      </c>
      <c r="J49" s="1037"/>
      <c r="K49" s="141"/>
      <c r="L49" s="286"/>
      <c r="M49" s="363"/>
      <c r="N49" s="364"/>
      <c r="O49" s="250"/>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49"/>
      <c r="DB49" s="249"/>
      <c r="DC49" s="249"/>
      <c r="DD49" s="249"/>
      <c r="DE49" s="249"/>
      <c r="DF49" s="249"/>
      <c r="DG49" s="249"/>
      <c r="DH49" s="249"/>
      <c r="DI49" s="249"/>
      <c r="DJ49" s="249"/>
      <c r="DK49" s="249"/>
      <c r="DL49" s="249"/>
      <c r="DM49" s="249"/>
      <c r="DN49" s="249"/>
      <c r="DO49" s="249"/>
      <c r="DP49" s="249"/>
      <c r="DQ49" s="249"/>
      <c r="DR49" s="249"/>
      <c r="DS49" s="249"/>
      <c r="DT49" s="249"/>
      <c r="DU49" s="249"/>
      <c r="DV49" s="249"/>
      <c r="DW49" s="249"/>
      <c r="DX49" s="249"/>
      <c r="DY49" s="249"/>
      <c r="DZ49" s="249"/>
      <c r="EA49" s="249"/>
      <c r="EB49" s="249"/>
      <c r="EC49" s="249"/>
      <c r="ED49" s="249"/>
      <c r="EE49" s="249"/>
      <c r="EF49" s="249"/>
      <c r="EG49" s="249"/>
      <c r="EH49" s="249"/>
      <c r="EI49" s="249"/>
      <c r="EJ49" s="249"/>
      <c r="EK49" s="249"/>
      <c r="EL49" s="249"/>
      <c r="EM49" s="249"/>
      <c r="EN49" s="249"/>
      <c r="EO49" s="249"/>
      <c r="EP49" s="249"/>
      <c r="EQ49" s="249"/>
      <c r="ER49" s="249"/>
      <c r="ES49" s="249"/>
      <c r="ET49" s="249"/>
      <c r="EU49" s="249"/>
      <c r="EV49" s="249"/>
      <c r="EW49" s="249"/>
      <c r="EX49" s="249"/>
      <c r="EY49" s="249"/>
      <c r="EZ49" s="249"/>
      <c r="FA49" s="249"/>
      <c r="FB49" s="249"/>
      <c r="FC49" s="249"/>
      <c r="FD49" s="249"/>
      <c r="FE49" s="249"/>
      <c r="FF49" s="249"/>
      <c r="FG49" s="249"/>
      <c r="FH49" s="249"/>
      <c r="FI49" s="249"/>
      <c r="FJ49" s="249"/>
      <c r="FK49" s="249"/>
      <c r="FL49" s="249"/>
      <c r="FM49" s="249"/>
      <c r="FN49" s="249"/>
      <c r="FO49" s="249"/>
      <c r="FP49" s="249"/>
      <c r="FQ49" s="249"/>
      <c r="FR49" s="249"/>
      <c r="FS49" s="249"/>
      <c r="FT49" s="249"/>
      <c r="FU49" s="249"/>
      <c r="FV49" s="249"/>
      <c r="FW49" s="249"/>
      <c r="FX49" s="249"/>
      <c r="FY49" s="249"/>
      <c r="FZ49" s="249"/>
      <c r="GA49" s="249"/>
      <c r="GB49" s="249"/>
      <c r="GC49" s="249"/>
      <c r="GD49" s="249"/>
      <c r="GE49" s="249"/>
      <c r="GF49" s="249"/>
      <c r="GG49" s="249"/>
      <c r="GH49" s="249"/>
      <c r="GI49" s="249"/>
      <c r="GJ49" s="249"/>
      <c r="GK49" s="249"/>
      <c r="GL49" s="249"/>
      <c r="GM49" s="249"/>
    </row>
    <row r="50" spans="1:195" s="103" customFormat="1" ht="13.8">
      <c r="A50" s="248"/>
      <c r="B50" s="310"/>
      <c r="C50" s="310"/>
      <c r="D50" s="105"/>
      <c r="E50" s="106" t="s">
        <v>975</v>
      </c>
      <c r="F50" s="107">
        <f>F61</f>
        <v>2052431</v>
      </c>
      <c r="G50" s="107">
        <f>G61</f>
        <v>1402431</v>
      </c>
      <c r="H50" s="100">
        <f t="shared" si="6"/>
        <v>-650000</v>
      </c>
      <c r="I50" s="228">
        <f t="shared" si="7"/>
        <v>-0.31669761370784205</v>
      </c>
      <c r="J50" s="1039"/>
      <c r="K50" s="141"/>
      <c r="L50" s="286"/>
      <c r="M50" s="363"/>
      <c r="N50" s="364"/>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row>
    <row r="51" spans="1:195" s="103" customFormat="1" ht="13.8">
      <c r="A51" s="248"/>
      <c r="B51" s="310"/>
      <c r="C51" s="310"/>
      <c r="D51" s="142"/>
      <c r="E51" s="143" t="s">
        <v>83</v>
      </c>
      <c r="F51" s="144">
        <f>F62</f>
        <v>6917724</v>
      </c>
      <c r="G51" s="144">
        <f>G62</f>
        <v>7376681</v>
      </c>
      <c r="H51" s="100">
        <f t="shared" si="6"/>
        <v>458957</v>
      </c>
      <c r="I51" s="228">
        <f t="shared" si="7"/>
        <v>6.6345086910087767E-2</v>
      </c>
      <c r="J51" s="1040"/>
      <c r="K51" s="141"/>
      <c r="L51" s="286"/>
      <c r="M51" s="363"/>
      <c r="N51" s="364"/>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row>
    <row r="52" spans="1:195" s="104" customFormat="1" ht="13.8">
      <c r="A52" s="248"/>
      <c r="B52" s="310"/>
      <c r="C52" s="310"/>
      <c r="D52" s="145"/>
      <c r="E52" s="146" t="s">
        <v>338</v>
      </c>
      <c r="F52" s="147">
        <f>F211</f>
        <v>1018073</v>
      </c>
      <c r="G52" s="147">
        <f>G211</f>
        <v>1228999</v>
      </c>
      <c r="H52" s="102">
        <f t="shared" si="6"/>
        <v>210926</v>
      </c>
      <c r="I52" s="229">
        <f t="shared" si="7"/>
        <v>0.20718160681994316</v>
      </c>
      <c r="J52" s="1041"/>
      <c r="K52" s="141"/>
      <c r="L52" s="286"/>
      <c r="M52" s="363"/>
      <c r="N52" s="364"/>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6"/>
      <c r="DT52" s="116"/>
      <c r="DU52" s="116"/>
      <c r="DV52" s="116"/>
      <c r="DW52" s="116"/>
      <c r="DX52" s="116"/>
      <c r="DY52" s="116"/>
      <c r="DZ52" s="116"/>
      <c r="EA52" s="116"/>
      <c r="EB52" s="116"/>
      <c r="EC52" s="116"/>
      <c r="ED52" s="116"/>
      <c r="EE52" s="116"/>
      <c r="EF52" s="116"/>
      <c r="EG52" s="116"/>
      <c r="EH52" s="116"/>
      <c r="EI52" s="116"/>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6"/>
      <c r="FK52" s="116"/>
      <c r="FL52" s="116"/>
      <c r="FM52" s="116"/>
      <c r="FN52" s="116"/>
      <c r="FO52" s="116"/>
      <c r="FP52" s="116"/>
      <c r="FQ52" s="116"/>
      <c r="FR52" s="116"/>
      <c r="FS52" s="116"/>
      <c r="FT52" s="116"/>
      <c r="FU52" s="116"/>
      <c r="FV52" s="116"/>
      <c r="FW52" s="116"/>
      <c r="FX52" s="116"/>
      <c r="FY52" s="116"/>
      <c r="FZ52" s="116"/>
      <c r="GA52" s="116"/>
      <c r="GB52" s="116"/>
      <c r="GC52" s="116"/>
      <c r="GD52" s="116"/>
      <c r="GE52" s="116"/>
      <c r="GF52" s="116"/>
      <c r="GG52" s="116"/>
      <c r="GH52" s="116"/>
      <c r="GI52" s="116"/>
      <c r="GJ52" s="116"/>
      <c r="GK52" s="116"/>
      <c r="GL52" s="116"/>
      <c r="GM52" s="116"/>
    </row>
    <row r="53" spans="1:195" s="166" customFormat="1" ht="13.8" outlineLevel="1">
      <c r="A53" s="248"/>
      <c r="B53" s="275"/>
      <c r="C53" s="275"/>
      <c r="D53" s="145"/>
      <c r="E53" s="172" t="s">
        <v>697</v>
      </c>
      <c r="F53" s="159">
        <f>F103+F155+F214+F248</f>
        <v>9556755.4047526103</v>
      </c>
      <c r="G53" s="159">
        <f>G103+G155+G214+G248</f>
        <v>10083995.017611999</v>
      </c>
      <c r="H53" s="158">
        <f t="shared" si="6"/>
        <v>527239.61285938881</v>
      </c>
      <c r="I53" s="230">
        <f t="shared" si="7"/>
        <v>5.5169311186638779E-2</v>
      </c>
      <c r="J53" s="1041"/>
      <c r="K53" s="155"/>
      <c r="L53" s="128"/>
      <c r="M53" s="365"/>
      <c r="N53" s="366"/>
      <c r="O53" s="127"/>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c r="CN53" s="161"/>
      <c r="CO53" s="161"/>
      <c r="CP53" s="161"/>
      <c r="CQ53" s="161"/>
      <c r="CR53" s="161"/>
      <c r="CS53" s="161"/>
      <c r="CT53" s="161"/>
      <c r="CU53" s="161"/>
      <c r="CV53" s="161"/>
      <c r="CW53" s="161"/>
      <c r="CX53" s="161"/>
      <c r="CY53" s="161"/>
      <c r="CZ53" s="161"/>
      <c r="DA53" s="161"/>
      <c r="DB53" s="161"/>
      <c r="DC53" s="161"/>
      <c r="DD53" s="161"/>
      <c r="DE53" s="161"/>
      <c r="DF53" s="161"/>
      <c r="DG53" s="161"/>
      <c r="DH53" s="161"/>
      <c r="DI53" s="161"/>
      <c r="DJ53" s="161"/>
      <c r="DK53" s="161"/>
      <c r="DL53" s="161"/>
      <c r="DM53" s="161"/>
      <c r="DN53" s="161"/>
      <c r="DO53" s="161"/>
      <c r="DP53" s="161"/>
      <c r="DQ53" s="161"/>
      <c r="DR53" s="161"/>
      <c r="DS53" s="161"/>
      <c r="DT53" s="161"/>
      <c r="DU53" s="161"/>
      <c r="DV53" s="161"/>
      <c r="DW53" s="161"/>
      <c r="DX53" s="161"/>
      <c r="DY53" s="161"/>
      <c r="DZ53" s="161"/>
      <c r="EA53" s="161"/>
      <c r="EB53" s="161"/>
      <c r="EC53" s="161"/>
      <c r="ED53" s="161"/>
      <c r="EE53" s="161"/>
      <c r="EF53" s="161"/>
      <c r="EG53" s="161"/>
      <c r="EH53" s="161"/>
      <c r="EI53" s="161"/>
      <c r="EJ53" s="161"/>
      <c r="EK53" s="161"/>
      <c r="EL53" s="161"/>
      <c r="EM53" s="161"/>
      <c r="EN53" s="161"/>
      <c r="EO53" s="161"/>
      <c r="EP53" s="161"/>
      <c r="EQ53" s="161"/>
      <c r="ER53" s="161"/>
      <c r="ES53" s="161"/>
      <c r="ET53" s="161"/>
      <c r="EU53" s="161"/>
      <c r="EV53" s="161"/>
      <c r="EW53" s="161"/>
      <c r="EX53" s="161"/>
      <c r="EY53" s="161"/>
      <c r="EZ53" s="161"/>
      <c r="FA53" s="161"/>
      <c r="FB53" s="161"/>
      <c r="FC53" s="161"/>
      <c r="FD53" s="161"/>
      <c r="FE53" s="161"/>
      <c r="FF53" s="161"/>
      <c r="FG53" s="161"/>
      <c r="FH53" s="161"/>
      <c r="FI53" s="161"/>
      <c r="FJ53" s="161"/>
      <c r="FK53" s="161"/>
      <c r="FL53" s="161"/>
      <c r="FM53" s="161"/>
      <c r="FN53" s="161"/>
      <c r="FO53" s="161"/>
      <c r="FP53" s="161"/>
      <c r="FQ53" s="161"/>
      <c r="FR53" s="161"/>
      <c r="FS53" s="161"/>
      <c r="FT53" s="161"/>
      <c r="FU53" s="161"/>
      <c r="FV53" s="161"/>
      <c r="FW53" s="161"/>
      <c r="FX53" s="161"/>
      <c r="FY53" s="161"/>
      <c r="FZ53" s="161"/>
      <c r="GA53" s="161"/>
      <c r="GB53" s="161"/>
      <c r="GC53" s="161"/>
      <c r="GD53" s="161"/>
      <c r="GE53" s="161"/>
      <c r="GF53" s="161"/>
      <c r="GG53" s="161"/>
      <c r="GH53" s="161"/>
      <c r="GI53" s="161"/>
      <c r="GJ53" s="161"/>
      <c r="GK53" s="161"/>
      <c r="GL53" s="161"/>
      <c r="GM53" s="161"/>
    </row>
    <row r="54" spans="1:195" s="166" customFormat="1" ht="13.8" outlineLevel="1">
      <c r="A54" s="248"/>
      <c r="B54" s="275"/>
      <c r="C54" s="275"/>
      <c r="D54" s="145"/>
      <c r="E54" s="172" t="s">
        <v>692</v>
      </c>
      <c r="F54" s="159">
        <f>F154</f>
        <v>549979</v>
      </c>
      <c r="G54" s="159">
        <f>G154</f>
        <v>606130</v>
      </c>
      <c r="H54" s="158">
        <f t="shared" si="6"/>
        <v>56151</v>
      </c>
      <c r="I54" s="230">
        <f t="shared" si="7"/>
        <v>0.10209662550751938</v>
      </c>
      <c r="J54" s="1041"/>
      <c r="K54" s="155"/>
      <c r="L54" s="128"/>
      <c r="M54" s="365"/>
      <c r="N54" s="366"/>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61"/>
      <c r="DL54" s="161"/>
      <c r="DM54" s="161"/>
      <c r="DN54" s="161"/>
      <c r="DO54" s="161"/>
      <c r="DP54" s="161"/>
      <c r="DQ54" s="161"/>
      <c r="DR54" s="161"/>
      <c r="DS54" s="161"/>
      <c r="DT54" s="161"/>
      <c r="DU54" s="161"/>
      <c r="DV54" s="161"/>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c r="FF54" s="161"/>
      <c r="FG54" s="161"/>
      <c r="FH54" s="161"/>
      <c r="FI54" s="161"/>
      <c r="FJ54" s="161"/>
      <c r="FK54" s="161"/>
      <c r="FL54" s="161"/>
      <c r="FM54" s="161"/>
      <c r="FN54" s="161"/>
      <c r="FO54" s="161"/>
      <c r="FP54" s="161"/>
      <c r="FQ54" s="161"/>
      <c r="FR54" s="161"/>
      <c r="FS54" s="161"/>
      <c r="FT54" s="161"/>
      <c r="FU54" s="161"/>
      <c r="FV54" s="161"/>
      <c r="FW54" s="161"/>
      <c r="FX54" s="161"/>
      <c r="FY54" s="161"/>
      <c r="FZ54" s="161"/>
      <c r="GA54" s="161"/>
      <c r="GB54" s="161"/>
      <c r="GC54" s="161"/>
      <c r="GD54" s="161"/>
      <c r="GE54" s="161"/>
      <c r="GF54" s="161"/>
      <c r="GG54" s="161"/>
      <c r="GH54" s="161"/>
      <c r="GI54" s="161"/>
      <c r="GJ54" s="161"/>
      <c r="GK54" s="161"/>
      <c r="GL54" s="161"/>
      <c r="GM54" s="161"/>
    </row>
    <row r="55" spans="1:195" s="166" customFormat="1" ht="13.8" outlineLevel="1">
      <c r="A55" s="248"/>
      <c r="B55" s="275"/>
      <c r="C55" s="275"/>
      <c r="D55" s="145"/>
      <c r="E55" s="172" t="s">
        <v>773</v>
      </c>
      <c r="F55" s="159">
        <f>F63+F92+F98+F104+F156+F215+F249</f>
        <v>5005754.08</v>
      </c>
      <c r="G55" s="159">
        <f>G63+G92+G98+G104+G156+G215+G249</f>
        <v>3371480.8708333336</v>
      </c>
      <c r="H55" s="158">
        <f t="shared" si="6"/>
        <v>-1634273.2091666665</v>
      </c>
      <c r="I55" s="230">
        <f t="shared" si="7"/>
        <v>-0.32647892466316814</v>
      </c>
      <c r="J55" s="1041"/>
      <c r="K55" s="155"/>
      <c r="L55" s="128"/>
      <c r="M55" s="365"/>
      <c r="N55" s="366"/>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1"/>
      <c r="CG55" s="161"/>
      <c r="CH55" s="161"/>
      <c r="CI55" s="161"/>
      <c r="CJ55" s="161"/>
      <c r="CK55" s="161"/>
      <c r="CL55" s="161"/>
      <c r="CM55" s="161"/>
      <c r="CN55" s="161"/>
      <c r="CO55" s="161"/>
      <c r="CP55" s="161"/>
      <c r="CQ55" s="161"/>
      <c r="CR55" s="161"/>
      <c r="CS55" s="161"/>
      <c r="CT55" s="161"/>
      <c r="CU55" s="161"/>
      <c r="CV55" s="161"/>
      <c r="CW55" s="161"/>
      <c r="CX55" s="161"/>
      <c r="CY55" s="161"/>
      <c r="CZ55" s="161"/>
      <c r="DA55" s="161"/>
      <c r="DB55" s="161"/>
      <c r="DC55" s="161"/>
      <c r="DD55" s="161"/>
      <c r="DE55" s="161"/>
      <c r="DF55" s="161"/>
      <c r="DG55" s="161"/>
      <c r="DH55" s="161"/>
      <c r="DI55" s="161"/>
      <c r="DJ55" s="161"/>
      <c r="DK55" s="161"/>
      <c r="DL55" s="161"/>
      <c r="DM55" s="161"/>
      <c r="DN55" s="161"/>
      <c r="DO55" s="161"/>
      <c r="DP55" s="161"/>
      <c r="DQ55" s="161"/>
      <c r="DR55" s="161"/>
      <c r="DS55" s="161"/>
      <c r="DT55" s="161"/>
      <c r="DU55" s="161"/>
      <c r="DV55" s="161"/>
      <c r="DW55" s="161"/>
      <c r="DX55" s="161"/>
      <c r="DY55" s="161"/>
      <c r="DZ55" s="161"/>
      <c r="EA55" s="161"/>
      <c r="EB55" s="161"/>
      <c r="EC55" s="161"/>
      <c r="ED55" s="161"/>
      <c r="EE55" s="161"/>
      <c r="EF55" s="161"/>
      <c r="EG55" s="161"/>
      <c r="EH55" s="161"/>
      <c r="EI55" s="161"/>
      <c r="EJ55" s="161"/>
      <c r="EK55" s="161"/>
      <c r="EL55" s="161"/>
      <c r="EM55" s="161"/>
      <c r="EN55" s="161"/>
      <c r="EO55" s="161"/>
      <c r="EP55" s="161"/>
      <c r="EQ55" s="161"/>
      <c r="ER55" s="161"/>
      <c r="ES55" s="161"/>
      <c r="ET55" s="161"/>
      <c r="EU55" s="161"/>
      <c r="EV55" s="161"/>
      <c r="EW55" s="161"/>
      <c r="EX55" s="161"/>
      <c r="EY55" s="161"/>
      <c r="EZ55" s="161"/>
      <c r="FA55" s="161"/>
      <c r="FB55" s="161"/>
      <c r="FC55" s="161"/>
      <c r="FD55" s="161"/>
      <c r="FE55" s="161"/>
      <c r="FF55" s="161"/>
      <c r="FG55" s="161"/>
      <c r="FH55" s="161"/>
      <c r="FI55" s="161"/>
      <c r="FJ55" s="161"/>
      <c r="FK55" s="161"/>
      <c r="FL55" s="161"/>
      <c r="FM55" s="161"/>
      <c r="FN55" s="161"/>
      <c r="FO55" s="161"/>
      <c r="FP55" s="161"/>
      <c r="FQ55" s="161"/>
      <c r="FR55" s="161"/>
      <c r="FS55" s="161"/>
      <c r="FT55" s="161"/>
      <c r="FU55" s="161"/>
      <c r="FV55" s="161"/>
      <c r="FW55" s="161"/>
      <c r="FX55" s="161"/>
      <c r="FY55" s="161"/>
      <c r="FZ55" s="161"/>
      <c r="GA55" s="161"/>
      <c r="GB55" s="161"/>
      <c r="GC55" s="161"/>
      <c r="GD55" s="161"/>
      <c r="GE55" s="161"/>
      <c r="GF55" s="161"/>
      <c r="GG55" s="161"/>
      <c r="GH55" s="161"/>
      <c r="GI55" s="161"/>
      <c r="GJ55" s="161"/>
      <c r="GK55" s="161"/>
      <c r="GL55" s="161"/>
      <c r="GM55" s="161"/>
    </row>
    <row r="56" spans="1:195" s="166" customFormat="1" ht="14.4" outlineLevel="1" thickBot="1">
      <c r="A56" s="248"/>
      <c r="B56" s="275"/>
      <c r="C56" s="275"/>
      <c r="D56" s="1197"/>
      <c r="E56" s="164" t="s">
        <v>365</v>
      </c>
      <c r="F56" s="154">
        <f>F105+F157+F216</f>
        <v>30623</v>
      </c>
      <c r="G56" s="154">
        <f>G105+G157+G216</f>
        <v>4575</v>
      </c>
      <c r="H56" s="158">
        <f t="shared" si="6"/>
        <v>-26048</v>
      </c>
      <c r="I56" s="230">
        <f t="shared" si="7"/>
        <v>-0.85060248832576824</v>
      </c>
      <c r="J56" s="1042"/>
      <c r="K56" s="155"/>
      <c r="L56" s="128"/>
      <c r="M56" s="365"/>
      <c r="N56" s="366"/>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c r="CA56" s="161"/>
      <c r="CB56" s="161"/>
      <c r="CC56" s="161"/>
      <c r="CD56" s="161"/>
      <c r="CE56" s="161"/>
      <c r="CF56" s="161"/>
      <c r="CG56" s="161"/>
      <c r="CH56" s="161"/>
      <c r="CI56" s="161"/>
      <c r="CJ56" s="161"/>
      <c r="CK56" s="161"/>
      <c r="CL56" s="161"/>
      <c r="CM56" s="161"/>
      <c r="CN56" s="161"/>
      <c r="CO56" s="161"/>
      <c r="CP56" s="161"/>
      <c r="CQ56" s="161"/>
      <c r="CR56" s="161"/>
      <c r="CS56" s="161"/>
      <c r="CT56" s="161"/>
      <c r="CU56" s="161"/>
      <c r="CV56" s="161"/>
      <c r="CW56" s="161"/>
      <c r="CX56" s="161"/>
      <c r="CY56" s="161"/>
      <c r="CZ56" s="161"/>
      <c r="DA56" s="161"/>
      <c r="DB56" s="161"/>
      <c r="DC56" s="161"/>
      <c r="DD56" s="161"/>
      <c r="DE56" s="161"/>
      <c r="DF56" s="161"/>
      <c r="DG56" s="161"/>
      <c r="DH56" s="161"/>
      <c r="DI56" s="161"/>
      <c r="DJ56" s="161"/>
      <c r="DK56" s="161"/>
      <c r="DL56" s="161"/>
      <c r="DM56" s="161"/>
      <c r="DN56" s="161"/>
      <c r="DO56" s="161"/>
      <c r="DP56" s="161"/>
      <c r="DQ56" s="161"/>
      <c r="DR56" s="161"/>
      <c r="DS56" s="161"/>
      <c r="DT56" s="161"/>
      <c r="DU56" s="161"/>
      <c r="DV56" s="161"/>
      <c r="DW56" s="161"/>
      <c r="DX56" s="161"/>
      <c r="DY56" s="161"/>
      <c r="DZ56" s="161"/>
      <c r="EA56" s="161"/>
      <c r="EB56" s="161"/>
      <c r="EC56" s="161"/>
      <c r="ED56" s="161"/>
      <c r="EE56" s="161"/>
      <c r="EF56" s="161"/>
      <c r="EG56" s="161"/>
      <c r="EH56" s="161"/>
      <c r="EI56" s="161"/>
      <c r="EJ56" s="161"/>
      <c r="EK56" s="161"/>
      <c r="EL56" s="161"/>
      <c r="EM56" s="161"/>
      <c r="EN56" s="161"/>
      <c r="EO56" s="161"/>
      <c r="EP56" s="161"/>
      <c r="EQ56" s="161"/>
      <c r="ER56" s="161"/>
      <c r="ES56" s="161"/>
      <c r="ET56" s="161"/>
      <c r="EU56" s="161"/>
      <c r="EV56" s="161"/>
      <c r="EW56" s="161"/>
      <c r="EX56" s="161"/>
      <c r="EY56" s="161"/>
      <c r="EZ56" s="161"/>
      <c r="FA56" s="161"/>
      <c r="FB56" s="161"/>
      <c r="FC56" s="161"/>
      <c r="FD56" s="161"/>
      <c r="FE56" s="161"/>
      <c r="FF56" s="161"/>
      <c r="FG56" s="161"/>
      <c r="FH56" s="161"/>
      <c r="FI56" s="161"/>
      <c r="FJ56" s="161"/>
      <c r="FK56" s="161"/>
      <c r="FL56" s="161"/>
      <c r="FM56" s="161"/>
      <c r="FN56" s="161"/>
      <c r="FO56" s="161"/>
      <c r="FP56" s="161"/>
      <c r="FQ56" s="161"/>
      <c r="FR56" s="161"/>
      <c r="FS56" s="161"/>
      <c r="FT56" s="161"/>
      <c r="FU56" s="161"/>
      <c r="FV56" s="161"/>
      <c r="FW56" s="161"/>
      <c r="FX56" s="161"/>
      <c r="FY56" s="161"/>
      <c r="FZ56" s="161"/>
      <c r="GA56" s="161"/>
      <c r="GB56" s="161"/>
      <c r="GC56" s="161"/>
      <c r="GD56" s="161"/>
      <c r="GE56" s="161"/>
      <c r="GF56" s="161"/>
      <c r="GG56" s="161"/>
      <c r="GH56" s="161"/>
      <c r="GI56" s="161"/>
      <c r="GJ56" s="161"/>
      <c r="GK56" s="161"/>
      <c r="GL56" s="161"/>
      <c r="GM56" s="161"/>
    </row>
    <row r="57" spans="1:195" ht="13.8">
      <c r="A57" s="248"/>
      <c r="D57" s="2915" t="s">
        <v>6</v>
      </c>
      <c r="E57" s="36" t="s">
        <v>71</v>
      </c>
      <c r="F57" s="438">
        <f>F64+F69+F70+F75+F76+F77+F80+F81+F82</f>
        <v>12100853.982899835</v>
      </c>
      <c r="G57" s="438">
        <f>G64+G69+G70+G75+G76+G77+G80+G81+G82</f>
        <v>11917306.443075702</v>
      </c>
      <c r="H57" s="37">
        <f t="shared" si="6"/>
        <v>-183547.53982413374</v>
      </c>
      <c r="I57" s="231">
        <f>IFERROR(H57/F57,"-")</f>
        <v>-1.5168147643423478E-2</v>
      </c>
      <c r="J57" s="1043"/>
      <c r="K57" s="72"/>
      <c r="M57" s="18"/>
      <c r="N57" s="364"/>
    </row>
    <row r="58" spans="1:195" s="112" customFormat="1" ht="13.8">
      <c r="A58" s="248"/>
      <c r="B58" s="311"/>
      <c r="C58" s="310"/>
      <c r="D58" s="108"/>
      <c r="E58" s="109" t="s">
        <v>436</v>
      </c>
      <c r="F58" s="110">
        <f>F65+F69+F71+F75+F76+F78+F83</f>
        <v>2547771.167833169</v>
      </c>
      <c r="G58" s="110">
        <f>G65+G69+G71+G75+G76+G78+G83</f>
        <v>2506649.6605090345</v>
      </c>
      <c r="H58" s="111">
        <f t="shared" si="6"/>
        <v>-41121.507324134465</v>
      </c>
      <c r="I58" s="227">
        <f t="shared" si="7"/>
        <v>-1.6140188665023446E-2</v>
      </c>
      <c r="J58" s="1036"/>
      <c r="K58" s="141"/>
      <c r="L58" s="286"/>
      <c r="M58" s="363"/>
      <c r="N58" s="364"/>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49"/>
      <c r="DL58" s="249"/>
      <c r="DM58" s="249"/>
      <c r="DN58" s="249"/>
      <c r="DO58" s="249"/>
      <c r="DP58" s="249"/>
      <c r="DQ58" s="249"/>
      <c r="DR58" s="249"/>
      <c r="DS58" s="249"/>
      <c r="DT58" s="249"/>
      <c r="DU58" s="249"/>
      <c r="DV58" s="249"/>
      <c r="DW58" s="249"/>
      <c r="DX58" s="249"/>
      <c r="DY58" s="249"/>
      <c r="DZ58" s="249"/>
      <c r="EA58" s="249"/>
      <c r="EB58" s="249"/>
      <c r="EC58" s="249"/>
      <c r="ED58" s="249"/>
      <c r="EE58" s="249"/>
      <c r="EF58" s="249"/>
      <c r="EG58" s="249"/>
      <c r="EH58" s="249"/>
      <c r="EI58" s="249"/>
      <c r="EJ58" s="249"/>
      <c r="EK58" s="249"/>
      <c r="EL58" s="249"/>
      <c r="EM58" s="249"/>
      <c r="EN58" s="249"/>
      <c r="EO58" s="249"/>
      <c r="EP58" s="249"/>
      <c r="EQ58" s="249"/>
      <c r="ER58" s="249"/>
      <c r="ES58" s="249"/>
      <c r="ET58" s="249"/>
      <c r="EU58" s="249"/>
      <c r="EV58" s="249"/>
      <c r="EW58" s="249"/>
      <c r="EX58" s="249"/>
      <c r="EY58" s="249"/>
      <c r="EZ58" s="249"/>
      <c r="FA58" s="249"/>
      <c r="FB58" s="249"/>
      <c r="FC58" s="249"/>
      <c r="FD58" s="249"/>
      <c r="FE58" s="249"/>
      <c r="FF58" s="249"/>
      <c r="FG58" s="249"/>
      <c r="FH58" s="249"/>
      <c r="FI58" s="249"/>
      <c r="FJ58" s="249"/>
      <c r="FK58" s="249"/>
      <c r="FL58" s="249"/>
      <c r="FM58" s="249"/>
      <c r="FN58" s="249"/>
      <c r="FO58" s="249"/>
      <c r="FP58" s="249"/>
      <c r="FQ58" s="249"/>
      <c r="FR58" s="249"/>
      <c r="FS58" s="249"/>
      <c r="FT58" s="249"/>
      <c r="FU58" s="249"/>
      <c r="FV58" s="249"/>
      <c r="FW58" s="249"/>
      <c r="FX58" s="249"/>
      <c r="FY58" s="249"/>
      <c r="FZ58" s="249"/>
      <c r="GA58" s="249"/>
      <c r="GB58" s="249"/>
      <c r="GC58" s="249"/>
      <c r="GD58" s="249"/>
      <c r="GE58" s="249"/>
      <c r="GF58" s="249"/>
      <c r="GG58" s="249"/>
      <c r="GH58" s="249"/>
      <c r="GI58" s="249"/>
      <c r="GJ58" s="249"/>
      <c r="GK58" s="249"/>
      <c r="GL58" s="249"/>
      <c r="GM58" s="249"/>
    </row>
    <row r="59" spans="1:195" s="112" customFormat="1" ht="13.8">
      <c r="A59" s="248"/>
      <c r="B59" s="312"/>
      <c r="C59" s="310"/>
      <c r="D59" s="113"/>
      <c r="E59" s="114" t="s">
        <v>376</v>
      </c>
      <c r="F59" s="110">
        <f>F66+F72+F84+F79</f>
        <v>532078.31506666658</v>
      </c>
      <c r="G59" s="110">
        <f>G66+G72+G84+G79</f>
        <v>584354.7825666666</v>
      </c>
      <c r="H59" s="111">
        <f t="shared" si="6"/>
        <v>52276.467500000028</v>
      </c>
      <c r="I59" s="227">
        <f t="shared" si="7"/>
        <v>9.8249573455084449E-2</v>
      </c>
      <c r="J59" s="1037"/>
      <c r="K59" s="141"/>
      <c r="L59" s="286"/>
      <c r="M59" s="363"/>
      <c r="N59" s="364"/>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c r="EB59" s="249"/>
      <c r="EC59" s="249"/>
      <c r="ED59" s="249"/>
      <c r="EE59" s="249"/>
      <c r="EF59" s="249"/>
      <c r="EG59" s="249"/>
      <c r="EH59" s="249"/>
      <c r="EI59" s="249"/>
      <c r="EJ59" s="249"/>
      <c r="EK59" s="249"/>
      <c r="EL59" s="249"/>
      <c r="EM59" s="249"/>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T59" s="249"/>
      <c r="FU59" s="249"/>
      <c r="FV59" s="249"/>
      <c r="FW59" s="249"/>
      <c r="FX59" s="249"/>
      <c r="FY59" s="249"/>
      <c r="FZ59" s="249"/>
      <c r="GA59" s="249"/>
      <c r="GB59" s="249"/>
      <c r="GC59" s="249"/>
      <c r="GD59" s="249"/>
      <c r="GE59" s="249"/>
      <c r="GF59" s="249"/>
      <c r="GG59" s="249"/>
      <c r="GH59" s="249"/>
      <c r="GI59" s="249"/>
      <c r="GJ59" s="249"/>
      <c r="GK59" s="249"/>
      <c r="GL59" s="249"/>
      <c r="GM59" s="249"/>
    </row>
    <row r="60" spans="1:195" s="112" customFormat="1" ht="13.8">
      <c r="A60" s="248"/>
      <c r="B60" s="312"/>
      <c r="C60" s="310"/>
      <c r="D60" s="108"/>
      <c r="E60" s="109" t="s">
        <v>375</v>
      </c>
      <c r="F60" s="110">
        <f>F67+F73+F85</f>
        <v>50849.5</v>
      </c>
      <c r="G60" s="110">
        <f>G67+G73+G85</f>
        <v>47190</v>
      </c>
      <c r="H60" s="111">
        <f t="shared" si="6"/>
        <v>-3659.5</v>
      </c>
      <c r="I60" s="227">
        <f t="shared" si="7"/>
        <v>-7.1967275981081422E-2</v>
      </c>
      <c r="J60" s="1037"/>
      <c r="K60" s="141"/>
      <c r="L60" s="286"/>
      <c r="M60" s="363"/>
      <c r="N60" s="364"/>
      <c r="O60" s="250"/>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49"/>
      <c r="DL60" s="249"/>
      <c r="DM60" s="249"/>
      <c r="DN60" s="249"/>
      <c r="DO60" s="249"/>
      <c r="DP60" s="249"/>
      <c r="DQ60" s="249"/>
      <c r="DR60" s="249"/>
      <c r="DS60" s="249"/>
      <c r="DT60" s="249"/>
      <c r="DU60" s="249"/>
      <c r="DV60" s="249"/>
      <c r="DW60" s="249"/>
      <c r="DX60" s="249"/>
      <c r="DY60" s="249"/>
      <c r="DZ60" s="249"/>
      <c r="EA60" s="249"/>
      <c r="EB60" s="249"/>
      <c r="EC60" s="249"/>
      <c r="ED60" s="249"/>
      <c r="EE60" s="249"/>
      <c r="EF60" s="249"/>
      <c r="EG60" s="249"/>
      <c r="EH60" s="249"/>
      <c r="EI60" s="249"/>
      <c r="EJ60" s="249"/>
      <c r="EK60" s="249"/>
      <c r="EL60" s="249"/>
      <c r="EM60" s="249"/>
      <c r="EN60" s="249"/>
      <c r="EO60" s="249"/>
      <c r="EP60" s="249"/>
      <c r="EQ60" s="249"/>
      <c r="ER60" s="249"/>
      <c r="ES60" s="249"/>
      <c r="ET60" s="249"/>
      <c r="EU60" s="249"/>
      <c r="EV60" s="249"/>
      <c r="EW60" s="249"/>
      <c r="EX60" s="249"/>
      <c r="EY60" s="249"/>
      <c r="EZ60" s="249"/>
      <c r="FA60" s="249"/>
      <c r="FB60" s="249"/>
      <c r="FC60" s="249"/>
      <c r="FD60" s="249"/>
      <c r="FE60" s="249"/>
      <c r="FF60" s="249"/>
      <c r="FG60" s="249"/>
      <c r="FH60" s="249"/>
      <c r="FI60" s="249"/>
      <c r="FJ60" s="249"/>
      <c r="FK60" s="249"/>
      <c r="FL60" s="249"/>
      <c r="FM60" s="249"/>
      <c r="FN60" s="249"/>
      <c r="FO60" s="249"/>
      <c r="FP60" s="249"/>
      <c r="FQ60" s="249"/>
      <c r="FR60" s="249"/>
      <c r="FS60" s="249"/>
      <c r="FT60" s="249"/>
      <c r="FU60" s="249"/>
      <c r="FV60" s="249"/>
      <c r="FW60" s="249"/>
      <c r="FX60" s="249"/>
      <c r="FY60" s="249"/>
      <c r="FZ60" s="249"/>
      <c r="GA60" s="249"/>
      <c r="GB60" s="249"/>
      <c r="GC60" s="249"/>
      <c r="GD60" s="249"/>
      <c r="GE60" s="249"/>
      <c r="GF60" s="249"/>
      <c r="GG60" s="249"/>
      <c r="GH60" s="249"/>
      <c r="GI60" s="249"/>
      <c r="GJ60" s="249"/>
      <c r="GK60" s="249"/>
      <c r="GL60" s="249"/>
      <c r="GM60" s="249"/>
    </row>
    <row r="61" spans="1:195" s="103" customFormat="1" ht="13.8">
      <c r="A61" s="248"/>
      <c r="B61" s="312"/>
      <c r="C61" s="310"/>
      <c r="D61" s="105"/>
      <c r="E61" s="106" t="s">
        <v>975</v>
      </c>
      <c r="F61" s="107">
        <f>F80</f>
        <v>2052431</v>
      </c>
      <c r="G61" s="107">
        <f>G80</f>
        <v>1402431</v>
      </c>
      <c r="H61" s="100">
        <f t="shared" si="6"/>
        <v>-650000</v>
      </c>
      <c r="I61" s="228">
        <f t="shared" si="7"/>
        <v>-0.31669761370784205</v>
      </c>
      <c r="J61" s="1039"/>
      <c r="K61" s="141"/>
      <c r="L61" s="286"/>
      <c r="M61" s="363"/>
      <c r="N61" s="364"/>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row>
    <row r="62" spans="1:195" s="103" customFormat="1" ht="13.8">
      <c r="A62" s="248"/>
      <c r="B62" s="312"/>
      <c r="C62" s="310"/>
      <c r="D62" s="142"/>
      <c r="E62" s="143" t="s">
        <v>83</v>
      </c>
      <c r="F62" s="144">
        <f>F81</f>
        <v>6917724</v>
      </c>
      <c r="G62" s="144">
        <f>G81</f>
        <v>7376681</v>
      </c>
      <c r="H62" s="100">
        <f t="shared" si="6"/>
        <v>458957</v>
      </c>
      <c r="I62" s="228">
        <f t="shared" si="7"/>
        <v>6.6345086910087767E-2</v>
      </c>
      <c r="J62" s="1040"/>
      <c r="K62" s="141"/>
      <c r="L62" s="286"/>
      <c r="M62" s="363"/>
      <c r="N62" s="364"/>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row>
    <row r="63" spans="1:195" s="166" customFormat="1" ht="13.8" hidden="1" outlineLevel="1">
      <c r="A63" s="248"/>
      <c r="B63" s="179"/>
      <c r="C63" s="248"/>
      <c r="D63" s="1197"/>
      <c r="E63" s="172" t="s">
        <v>773</v>
      </c>
      <c r="F63" s="154">
        <f>F68+F74+F86</f>
        <v>114496</v>
      </c>
      <c r="G63" s="154">
        <f>G68+G74+G86</f>
        <v>89257</v>
      </c>
      <c r="H63" s="158">
        <f t="shared" si="6"/>
        <v>-25239</v>
      </c>
      <c r="I63" s="230">
        <f t="shared" si="7"/>
        <v>-0.22043564840693125</v>
      </c>
      <c r="J63" s="1042"/>
      <c r="K63" s="155"/>
      <c r="L63" s="10"/>
      <c r="M63" s="173"/>
      <c r="N63" s="364"/>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row>
    <row r="64" spans="1:195" ht="13.8" collapsed="1">
      <c r="D64" s="38" t="s">
        <v>8</v>
      </c>
      <c r="E64" s="39" t="s">
        <v>377</v>
      </c>
      <c r="F64" s="91">
        <f>F65+F66+F67</f>
        <v>2105986.6158798067</v>
      </c>
      <c r="G64" s="383">
        <f>G65+G66+G67</f>
        <v>2212727.3495767009</v>
      </c>
      <c r="H64" s="33">
        <f t="shared" si="6"/>
        <v>106740.73369689425</v>
      </c>
      <c r="I64" s="222">
        <f t="shared" si="7"/>
        <v>5.068443117920849E-2</v>
      </c>
      <c r="J64" s="1044"/>
    </row>
    <row r="65" spans="1:195" s="8" customFormat="1" ht="13.8" hidden="1" outlineLevel="1">
      <c r="A65" s="179" t="s">
        <v>431</v>
      </c>
      <c r="B65" s="179" t="s">
        <v>436</v>
      </c>
      <c r="C65" s="2540"/>
      <c r="D65" s="99"/>
      <c r="E65" s="65" t="s">
        <v>436</v>
      </c>
      <c r="F65" s="92">
        <f>SUMIFS(INPUT!$H:$H,INPUT!$E:$E,BAZE_2026!$A65,INPUT!$B:$B,BAZE_2026!$B65)</f>
        <v>1757695.2408131401</v>
      </c>
      <c r="G65" s="92">
        <f>SUMIFS(INPUT!$L:$L,INPUT!$E:$E,BAZE_2026!$A65,INPUT!$B:$B,BAZE_2026!$B65)</f>
        <v>1859121.0070100343</v>
      </c>
      <c r="H65" s="48">
        <f t="shared" si="6"/>
        <v>101425.76619689423</v>
      </c>
      <c r="I65" s="232">
        <f t="shared" si="7"/>
        <v>5.7703840712439392E-2</v>
      </c>
      <c r="J65" s="2539" t="s">
        <v>5133</v>
      </c>
      <c r="K65" s="72"/>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row>
    <row r="66" spans="1:195" s="8" customFormat="1" ht="59.25" hidden="1" customHeight="1" outlineLevel="1">
      <c r="A66" s="179" t="s">
        <v>431</v>
      </c>
      <c r="B66" s="179" t="s">
        <v>772</v>
      </c>
      <c r="C66" s="2540"/>
      <c r="D66" s="101"/>
      <c r="E66" s="59" t="s">
        <v>376</v>
      </c>
      <c r="F66" s="92">
        <f>SUMIFS(INPUT!$H:$H,INPUT!$E:$E,BAZE_2026!$A66,INPUT!$B:$B,BAZE_2026!$B66)</f>
        <v>336661.87506666663</v>
      </c>
      <c r="G66" s="92">
        <f>SUMIFS(INPUT!$L:$L,INPUT!$E:$E,BAZE_2026!$A66,INPUT!$B:$B,BAZE_2026!$B66)</f>
        <v>339106.34256666666</v>
      </c>
      <c r="H66" s="48">
        <f t="shared" si="6"/>
        <v>2444.4675000000279</v>
      </c>
      <c r="I66" s="232">
        <f>IFERROR(H66/F66,"-")</f>
        <v>7.2608978950050949E-3</v>
      </c>
      <c r="J66" s="2539" t="s">
        <v>5134</v>
      </c>
      <c r="K66" s="54"/>
      <c r="L66" s="135"/>
      <c r="M66" s="367"/>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row>
    <row r="67" spans="1:195" s="8" customFormat="1" ht="13.8" hidden="1" outlineLevel="1">
      <c r="A67" s="179" t="s">
        <v>431</v>
      </c>
      <c r="B67" s="179" t="s">
        <v>774</v>
      </c>
      <c r="C67" s="2540"/>
      <c r="D67" s="99"/>
      <c r="E67" s="59" t="s">
        <v>375</v>
      </c>
      <c r="F67" s="92">
        <f>SUMIFS(INPUT!$H:$H,INPUT!$E:$E,BAZE_2026!$A67,INPUT!$B:$B,BAZE_2026!$B67)</f>
        <v>11629.5</v>
      </c>
      <c r="G67" s="92">
        <f>SUMIFS(INPUT!$L:$L,INPUT!$E:$E,BAZE_2026!$A67,INPUT!$B:$B,BAZE_2026!$B67)</f>
        <v>14500</v>
      </c>
      <c r="H67" s="48">
        <f t="shared" si="6"/>
        <v>2870.5</v>
      </c>
      <c r="I67" s="232">
        <f t="shared" si="7"/>
        <v>0.24682918440173696</v>
      </c>
      <c r="J67" s="2539" t="s">
        <v>5135</v>
      </c>
      <c r="K67" s="72"/>
      <c r="L67" s="12"/>
      <c r="M67" s="18"/>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row>
    <row r="68" spans="1:195" s="166" customFormat="1" ht="13.8" hidden="1" outlineLevel="1">
      <c r="A68" s="315" t="s">
        <v>431</v>
      </c>
      <c r="B68" s="315" t="s">
        <v>773</v>
      </c>
      <c r="C68" s="316"/>
      <c r="D68" s="2919"/>
      <c r="E68" s="164" t="s">
        <v>773</v>
      </c>
      <c r="F68" s="154">
        <f>SUMIFS(INPUT!$H:$H,INPUT!$E:$E,BAZE_2026!$A68,INPUT!$B:$B,BAZE_2026!$B68)</f>
        <v>16396</v>
      </c>
      <c r="G68" s="154">
        <f>SUMIFS(INPUT!$L:$L,INPUT!$E:$E,BAZE_2026!$A68,INPUT!$B:$B,BAZE_2026!$B68)</f>
        <v>9257</v>
      </c>
      <c r="H68" s="158">
        <f t="shared" si="6"/>
        <v>-7139</v>
      </c>
      <c r="I68" s="230">
        <f t="shared" si="7"/>
        <v>-0.43541107587216393</v>
      </c>
      <c r="J68" s="2918"/>
      <c r="K68" s="317"/>
      <c r="L68" s="283"/>
      <c r="M68" s="292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row>
    <row r="69" spans="1:195" ht="15.75" customHeight="1" collapsed="1">
      <c r="A69" s="179" t="s">
        <v>1893</v>
      </c>
      <c r="C69" s="2540"/>
      <c r="D69" s="38" t="s">
        <v>9</v>
      </c>
      <c r="E69" s="39" t="s">
        <v>72</v>
      </c>
      <c r="F69" s="33">
        <f>SUMIF(INPUT!$E:$E,BAZE_2026!$A69,INPUT!$H:$H)</f>
        <v>377185.06523802941</v>
      </c>
      <c r="G69" s="33">
        <f>SUMIF(INPUT!$E:$E,BAZE_2026!$A69,INPUT!$L:$L)</f>
        <v>339144.07014400006</v>
      </c>
      <c r="H69" s="33">
        <f t="shared" si="6"/>
        <v>-38040.995094029349</v>
      </c>
      <c r="I69" s="222">
        <f t="shared" si="7"/>
        <v>-0.10085498764385832</v>
      </c>
      <c r="J69" s="1127" t="s">
        <v>4765</v>
      </c>
      <c r="K69" s="72"/>
      <c r="M69" s="18"/>
    </row>
    <row r="70" spans="1:195" ht="27.6">
      <c r="A70" s="179"/>
      <c r="C70" s="2540"/>
      <c r="D70" s="38" t="s">
        <v>73</v>
      </c>
      <c r="E70" s="39" t="s">
        <v>74</v>
      </c>
      <c r="F70" s="33">
        <f>F71+F72+F73</f>
        <v>62821.517776000001</v>
      </c>
      <c r="G70" s="33">
        <f>G71+G72+G73</f>
        <v>43957.508800000003</v>
      </c>
      <c r="H70" s="33">
        <f t="shared" si="6"/>
        <v>-18864.008975999997</v>
      </c>
      <c r="I70" s="222">
        <f t="shared" si="7"/>
        <v>-0.30027942087076898</v>
      </c>
      <c r="J70" s="1127" t="s">
        <v>5005</v>
      </c>
      <c r="K70" s="72"/>
      <c r="M70" s="18"/>
    </row>
    <row r="71" spans="1:195" s="8" customFormat="1" ht="27.6" hidden="1" outlineLevel="1">
      <c r="A71" s="179" t="s">
        <v>1895</v>
      </c>
      <c r="B71" s="179" t="s">
        <v>436</v>
      </c>
      <c r="C71" s="248"/>
      <c r="D71" s="99"/>
      <c r="E71" s="65" t="s">
        <v>436</v>
      </c>
      <c r="F71" s="92">
        <f>SUMIFS(INPUT!$H:$H,INPUT!$E:$E,BAZE_2026!$A71,INPUT!$B:$B,BAZE_2026!$B71)</f>
        <v>59141.077775999998</v>
      </c>
      <c r="G71" s="92">
        <f>SUMIFS(INPUT!$L:$L,INPUT!$E:$E,BAZE_2026!$A71,INPUT!$B:$B,BAZE_2026!$B71)</f>
        <v>40577.068800000001</v>
      </c>
      <c r="H71" s="48">
        <f>G71-F71</f>
        <v>-18564.008975999997</v>
      </c>
      <c r="I71" s="232">
        <f t="shared" si="7"/>
        <v>-0.313893653516295</v>
      </c>
      <c r="J71" s="2539" t="s">
        <v>5005</v>
      </c>
      <c r="K71" s="72"/>
      <c r="L71" s="12"/>
      <c r="M71" s="18"/>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row>
    <row r="72" spans="1:195" s="8" customFormat="1" ht="13.8" hidden="1" outlineLevel="1">
      <c r="A72" s="179" t="s">
        <v>1895</v>
      </c>
      <c r="B72" s="179" t="s">
        <v>772</v>
      </c>
      <c r="C72" s="248"/>
      <c r="D72" s="101"/>
      <c r="E72" s="59" t="s">
        <v>376</v>
      </c>
      <c r="F72" s="92">
        <f>SUMIFS(INPUT!$H:$H,INPUT!$E:$E,BAZE_2026!$A72,INPUT!$B:$B,BAZE_2026!$B72)</f>
        <v>2610.44</v>
      </c>
      <c r="G72" s="92">
        <f>SUMIFS(INPUT!$L:$L,INPUT!$E:$E,BAZE_2026!$A72,INPUT!$B:$B,BAZE_2026!$B72)</f>
        <v>3140.44</v>
      </c>
      <c r="H72" s="48">
        <f>G72-F72</f>
        <v>530</v>
      </c>
      <c r="I72" s="232">
        <f t="shared" si="7"/>
        <v>0.20303090666707527</v>
      </c>
      <c r="J72" s="1028"/>
      <c r="K72" s="72"/>
      <c r="L72" s="10"/>
      <c r="M72" s="173"/>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row>
    <row r="73" spans="1:195" s="8" customFormat="1" ht="13.8" hidden="1" outlineLevel="1">
      <c r="A73" s="179" t="s">
        <v>1895</v>
      </c>
      <c r="B73" s="179" t="s">
        <v>774</v>
      </c>
      <c r="C73" s="248"/>
      <c r="D73" s="99"/>
      <c r="E73" s="59" t="s">
        <v>375</v>
      </c>
      <c r="F73" s="92">
        <f>SUMIFS(INPUT!$H:$H,INPUT!$E:$E,BAZE_2026!$A73,INPUT!$B:$B,BAZE_2026!$B73)</f>
        <v>1070</v>
      </c>
      <c r="G73" s="92">
        <f>SUMIFS(INPUT!$L:$L,INPUT!$E:$E,BAZE_2026!$A73,INPUT!$B:$B,BAZE_2026!$B73)</f>
        <v>240</v>
      </c>
      <c r="H73" s="48">
        <f>G73-F73</f>
        <v>-830</v>
      </c>
      <c r="I73" s="232">
        <f t="shared" si="7"/>
        <v>-0.77570093457943923</v>
      </c>
      <c r="J73" s="1128" t="s">
        <v>2677</v>
      </c>
      <c r="K73" s="72"/>
      <c r="L73" s="12"/>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row>
    <row r="74" spans="1:195" s="166" customFormat="1" ht="13.8" hidden="1" outlineLevel="1">
      <c r="A74" s="274" t="s">
        <v>1895</v>
      </c>
      <c r="B74" s="274" t="s">
        <v>773</v>
      </c>
      <c r="C74" s="275"/>
      <c r="D74" s="2919"/>
      <c r="E74" s="164" t="s">
        <v>773</v>
      </c>
      <c r="F74" s="153">
        <f>SUMIFS(INPUT!$H:$H,INPUT!$E:$E,BAZE_2026!$A74,INPUT!$B:$B,BAZE_2026!$B74)</f>
        <v>0</v>
      </c>
      <c r="G74" s="153">
        <f>SUMIFS(INPUT!$L:$L,INPUT!$E:$E,BAZE_2026!$A74,INPUT!$B:$B,BAZE_2026!$B74)</f>
        <v>0</v>
      </c>
      <c r="H74" s="158">
        <f>G74-F74</f>
        <v>0</v>
      </c>
      <c r="I74" s="230" t="str">
        <f t="shared" si="7"/>
        <v>-</v>
      </c>
      <c r="J74" s="2918"/>
      <c r="K74" s="155"/>
      <c r="L74" s="283"/>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1"/>
      <c r="CL74" s="161"/>
      <c r="CM74" s="161"/>
      <c r="CN74" s="161"/>
      <c r="CO74" s="161"/>
      <c r="CP74" s="161"/>
      <c r="CQ74" s="161"/>
      <c r="CR74" s="161"/>
      <c r="CS74" s="161"/>
      <c r="CT74" s="161"/>
      <c r="CU74" s="161"/>
      <c r="CV74" s="161"/>
      <c r="CW74" s="161"/>
      <c r="CX74" s="161"/>
      <c r="CY74" s="161"/>
      <c r="CZ74" s="161"/>
      <c r="DA74" s="161"/>
      <c r="DB74" s="161"/>
      <c r="DC74" s="161"/>
      <c r="DD74" s="161"/>
      <c r="DE74" s="161"/>
      <c r="DF74" s="161"/>
      <c r="DG74" s="161"/>
      <c r="DH74" s="161"/>
      <c r="DI74" s="161"/>
      <c r="DJ74" s="161"/>
      <c r="DK74" s="161"/>
      <c r="DL74" s="161"/>
      <c r="DM74" s="161"/>
      <c r="DN74" s="161"/>
      <c r="DO74" s="161"/>
      <c r="DP74" s="161"/>
      <c r="DQ74" s="161"/>
      <c r="DR74" s="161"/>
      <c r="DS74" s="161"/>
      <c r="DT74" s="161"/>
      <c r="DU74" s="161"/>
      <c r="DV74" s="161"/>
      <c r="DW74" s="161"/>
      <c r="DX74" s="161"/>
      <c r="DY74" s="161"/>
      <c r="DZ74" s="161"/>
      <c r="EA74" s="161"/>
      <c r="EB74" s="161"/>
      <c r="EC74" s="161"/>
      <c r="ED74" s="161"/>
      <c r="EE74" s="161"/>
      <c r="EF74" s="161"/>
      <c r="EG74" s="161"/>
      <c r="EH74" s="161"/>
      <c r="EI74" s="161"/>
      <c r="EJ74" s="161"/>
      <c r="EK74" s="161"/>
      <c r="EL74" s="161"/>
      <c r="EM74" s="161"/>
      <c r="EN74" s="161"/>
      <c r="EO74" s="161"/>
      <c r="EP74" s="161"/>
      <c r="EQ74" s="161"/>
      <c r="ER74" s="161"/>
      <c r="ES74" s="161"/>
      <c r="ET74" s="161"/>
      <c r="EU74" s="161"/>
      <c r="EV74" s="161"/>
      <c r="EW74" s="161"/>
      <c r="EX74" s="161"/>
      <c r="EY74" s="161"/>
      <c r="EZ74" s="161"/>
      <c r="FA74" s="161"/>
      <c r="FB74" s="161"/>
      <c r="FC74" s="161"/>
      <c r="FD74" s="161"/>
      <c r="FE74" s="161"/>
      <c r="FF74" s="161"/>
      <c r="FG74" s="161"/>
      <c r="FH74" s="161"/>
      <c r="FI74" s="161"/>
      <c r="FJ74" s="161"/>
      <c r="FK74" s="161"/>
      <c r="FL74" s="161"/>
      <c r="FM74" s="161"/>
      <c r="FN74" s="161"/>
      <c r="FO74" s="161"/>
      <c r="FP74" s="161"/>
      <c r="FQ74" s="161"/>
      <c r="FR74" s="161"/>
      <c r="FS74" s="161"/>
      <c r="FT74" s="161"/>
      <c r="FU74" s="161"/>
      <c r="FV74" s="161"/>
      <c r="FW74" s="161"/>
      <c r="FX74" s="161"/>
      <c r="FY74" s="161"/>
      <c r="FZ74" s="161"/>
      <c r="GA74" s="161"/>
      <c r="GB74" s="161"/>
      <c r="GC74" s="161"/>
      <c r="GD74" s="161"/>
      <c r="GE74" s="161"/>
      <c r="GF74" s="161"/>
      <c r="GG74" s="161"/>
      <c r="GH74" s="161"/>
      <c r="GI74" s="161"/>
      <c r="GJ74" s="161"/>
      <c r="GK74" s="161"/>
      <c r="GL74" s="161"/>
      <c r="GM74" s="161"/>
    </row>
    <row r="75" spans="1:195" ht="16.2" customHeight="1" collapsed="1">
      <c r="A75" s="179" t="s">
        <v>1896</v>
      </c>
      <c r="D75" s="38" t="s">
        <v>75</v>
      </c>
      <c r="E75" s="39" t="s">
        <v>76</v>
      </c>
      <c r="F75" s="33">
        <f>SUMIF(INPUT!$E:$E,BAZE_2026!$A75,INPUT!$H:$H)</f>
        <v>45176.846912000001</v>
      </c>
      <c r="G75" s="33">
        <f>SUMIF(INPUT!$E:$E,BAZE_2026!$A75,INPUT!$L:$L)</f>
        <v>45157.195200000002</v>
      </c>
      <c r="H75" s="33">
        <f t="shared" si="6"/>
        <v>-19.651711999998952</v>
      </c>
      <c r="I75" s="222">
        <f t="shared" si="7"/>
        <v>-4.3499520978696301E-4</v>
      </c>
      <c r="J75" s="1029"/>
      <c r="K75" s="72"/>
    </row>
    <row r="76" spans="1:195" ht="27.6">
      <c r="A76" s="179" t="s">
        <v>1894</v>
      </c>
      <c r="D76" s="38" t="s">
        <v>77</v>
      </c>
      <c r="E76" s="39" t="s">
        <v>78</v>
      </c>
      <c r="F76" s="33">
        <f>SUMIF(INPUT!$E:$E,BAZE_2026!$A76,INPUT!$H:$H)</f>
        <v>88097.175000000003</v>
      </c>
      <c r="G76" s="33">
        <f>SUMIF(INPUT!$E:$E,BAZE_2026!$A76,INPUT!$L:$L)-88984</f>
        <v>10035</v>
      </c>
      <c r="H76" s="33">
        <f t="shared" si="6"/>
        <v>-78062.175000000003</v>
      </c>
      <c r="I76" s="222">
        <f t="shared" si="7"/>
        <v>-0.88609169363262785</v>
      </c>
      <c r="J76" s="2916" t="s">
        <v>5006</v>
      </c>
      <c r="K76" s="72"/>
    </row>
    <row r="77" spans="1:195" ht="13.8">
      <c r="A77" s="179"/>
      <c r="D77" s="38" t="s">
        <v>79</v>
      </c>
      <c r="E77" s="39" t="s">
        <v>81</v>
      </c>
      <c r="F77" s="33">
        <f>SUM(F78:F79)</f>
        <v>33488.762093999998</v>
      </c>
      <c r="G77" s="33">
        <f>SUM(G78:G79)</f>
        <v>16343.5416</v>
      </c>
      <c r="H77" s="33">
        <f t="shared" si="6"/>
        <v>-17145.220493999997</v>
      </c>
      <c r="I77" s="222">
        <f t="shared" si="7"/>
        <v>-0.51196937187092428</v>
      </c>
      <c r="J77" s="1127" t="s">
        <v>5136</v>
      </c>
      <c r="K77" s="72"/>
    </row>
    <row r="78" spans="1:195" s="8" customFormat="1" ht="13.8" hidden="1" outlineLevel="1">
      <c r="A78" s="179" t="s">
        <v>1897</v>
      </c>
      <c r="B78" s="179" t="s">
        <v>436</v>
      </c>
      <c r="C78" s="248"/>
      <c r="D78" s="99"/>
      <c r="E78" s="65" t="s">
        <v>436</v>
      </c>
      <c r="F78" s="92">
        <f>SUMIFS(INPUT!$H:$H,INPUT!$E:$E,BAZE_2026!$A78,INPUT!$B:$B,BAZE_2026!$B78)</f>
        <v>33488.762093999998</v>
      </c>
      <c r="G78" s="92">
        <f>SUMIFS(INPUT!$L:$L,INPUT!$E:$E,BAZE_2026!$A78,INPUT!$B:$B,BAZE_2026!$B78)</f>
        <v>16343.5416</v>
      </c>
      <c r="H78" s="48">
        <f>G78-F78</f>
        <v>-17145.220493999997</v>
      </c>
      <c r="I78" s="232">
        <f>IFERROR(H78/F78,"-")</f>
        <v>-0.51196937187092428</v>
      </c>
      <c r="J78" s="1027"/>
      <c r="K78" s="72"/>
      <c r="L78" s="12"/>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row>
    <row r="79" spans="1:195" s="8" customFormat="1" ht="13.8" hidden="1" outlineLevel="1">
      <c r="A79" s="179" t="s">
        <v>1897</v>
      </c>
      <c r="B79" s="179" t="s">
        <v>772</v>
      </c>
      <c r="C79" s="248"/>
      <c r="D79" s="101"/>
      <c r="E79" s="59" t="s">
        <v>376</v>
      </c>
      <c r="F79" s="92">
        <f>SUMIFS(INPUT!$H:$H,INPUT!$E:$E,BAZE_2026!$A79,INPUT!$B:$B,BAZE_2026!$B79)</f>
        <v>0</v>
      </c>
      <c r="G79" s="92">
        <f>SUMIFS(INPUT!$L:$L,INPUT!$E:$E,BAZE_2026!$A79,INPUT!$B:$B,BAZE_2026!$B79)</f>
        <v>0</v>
      </c>
      <c r="H79" s="48">
        <f>G79-F79</f>
        <v>0</v>
      </c>
      <c r="I79" s="232" t="str">
        <f>IFERROR(H79/F79,"-")</f>
        <v>-</v>
      </c>
      <c r="J79" s="1027"/>
      <c r="K79" s="72"/>
      <c r="L79" s="12"/>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row>
    <row r="80" spans="1:195" ht="13.8" collapsed="1">
      <c r="A80" s="179" t="s">
        <v>431</v>
      </c>
      <c r="B80" s="179" t="s">
        <v>809</v>
      </c>
      <c r="C80" s="2540"/>
      <c r="D80" s="38" t="s">
        <v>80</v>
      </c>
      <c r="E80" s="39" t="s">
        <v>975</v>
      </c>
      <c r="F80" s="33">
        <f>SUMIFS(INPUT!$H:$H,INPUT!$E:$E,BAZE_2026!$A80,INPUT!$B:$B,BAZE_2026!$B80)</f>
        <v>2052431</v>
      </c>
      <c r="G80" s="33">
        <f>SUMIFS(INPUT!$L:$L,INPUT!$E:$E,BAZE_2026!$A80,INPUT!$B:$B,BAZE_2026!$B80)</f>
        <v>1402431</v>
      </c>
      <c r="H80" s="33">
        <f t="shared" si="6"/>
        <v>-650000</v>
      </c>
      <c r="I80" s="222">
        <f t="shared" si="7"/>
        <v>-0.31669761370784205</v>
      </c>
      <c r="J80" s="1127" t="s">
        <v>2853</v>
      </c>
      <c r="K80" s="72"/>
    </row>
    <row r="81" spans="1:195" ht="13.8">
      <c r="A81" s="179" t="s">
        <v>431</v>
      </c>
      <c r="B81" s="179" t="s">
        <v>813</v>
      </c>
      <c r="C81" s="2540"/>
      <c r="D81" s="38" t="s">
        <v>82</v>
      </c>
      <c r="E81" s="39" t="s">
        <v>83</v>
      </c>
      <c r="F81" s="33">
        <f>SUMIFS(INPUT!$H:$H,INPUT!$E:$E,BAZE_2026!$A81,INPUT!$B:$B,BAZE_2026!$B81)</f>
        <v>6917724</v>
      </c>
      <c r="G81" s="33">
        <f>SUMIFS(INPUT!$L:$L,INPUT!$E:$E,BAZE_2026!$A81,INPUT!$B:$B,BAZE_2026!$B81)</f>
        <v>7376681</v>
      </c>
      <c r="H81" s="33">
        <f t="shared" si="6"/>
        <v>458957</v>
      </c>
      <c r="I81" s="222">
        <f t="shared" si="7"/>
        <v>6.6345086910087767E-2</v>
      </c>
      <c r="J81" s="2541" t="s">
        <v>2678</v>
      </c>
      <c r="K81" s="72"/>
    </row>
    <row r="82" spans="1:195" ht="13.8">
      <c r="A82" s="179"/>
      <c r="D82" s="38" t="s">
        <v>708</v>
      </c>
      <c r="E82" s="39" t="s">
        <v>806</v>
      </c>
      <c r="F82" s="33">
        <f>F83+F84+F85</f>
        <v>417943</v>
      </c>
      <c r="G82" s="33">
        <f>G83+G84+G85</f>
        <v>470829.77775500005</v>
      </c>
      <c r="H82" s="33">
        <f t="shared" ref="H82:H87" si="8">G82-F82</f>
        <v>52886.777755000046</v>
      </c>
      <c r="I82" s="222">
        <f t="shared" si="7"/>
        <v>0.12654064730118711</v>
      </c>
      <c r="J82" s="1510"/>
      <c r="K82" s="72"/>
    </row>
    <row r="83" spans="1:195" s="8" customFormat="1" ht="13.8" hidden="1" outlineLevel="1">
      <c r="A83" s="179" t="s">
        <v>968</v>
      </c>
      <c r="B83" s="179" t="s">
        <v>436</v>
      </c>
      <c r="C83" s="248"/>
      <c r="D83" s="58"/>
      <c r="E83" s="65" t="s">
        <v>436</v>
      </c>
      <c r="F83" s="92">
        <f>SUMIFS(INPUT!$H:$H,INPUT!$E:$E,BAZE_2026!$A83,INPUT!$B:$B,BAZE_2026!$B83)</f>
        <v>186987</v>
      </c>
      <c r="G83" s="92">
        <f>SUMIFS(INPUT!$L:$L,INPUT!$E:$E,BAZE_2026!$A83,INPUT!$B:$B,BAZE_2026!$B83)</f>
        <v>196271.77775500002</v>
      </c>
      <c r="H83" s="48">
        <f t="shared" si="8"/>
        <v>9284.7777550000174</v>
      </c>
      <c r="I83" s="232">
        <f t="shared" si="7"/>
        <v>4.9654669870098013E-2</v>
      </c>
      <c r="J83" s="2560" t="s">
        <v>4760</v>
      </c>
      <c r="K83" s="72"/>
      <c r="L83" s="12"/>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row>
    <row r="84" spans="1:195" s="8" customFormat="1" ht="27.6" hidden="1" outlineLevel="1">
      <c r="A84" s="179" t="s">
        <v>968</v>
      </c>
      <c r="B84" s="179" t="s">
        <v>772</v>
      </c>
      <c r="C84" s="248"/>
      <c r="D84" s="64"/>
      <c r="E84" s="59" t="s">
        <v>376</v>
      </c>
      <c r="F84" s="92">
        <f>SUMIFS(INPUT!$H:$H,INPUT!$E:$E,BAZE_2026!$A84,INPUT!$B:$B,BAZE_2026!$B84)</f>
        <v>192806</v>
      </c>
      <c r="G84" s="92">
        <f>SUMIFS(INPUT!$L:$L,INPUT!$E:$E,BAZE_2026!$A84,INPUT!$B:$B,BAZE_2026!$B84)</f>
        <v>242108</v>
      </c>
      <c r="H84" s="48">
        <f t="shared" si="8"/>
        <v>49302</v>
      </c>
      <c r="I84" s="232">
        <f t="shared" si="7"/>
        <v>0.25570780992292769</v>
      </c>
      <c r="J84" s="2560" t="s">
        <v>5137</v>
      </c>
      <c r="K84" s="54"/>
      <c r="L84" s="135"/>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row>
    <row r="85" spans="1:195" s="8" customFormat="1" ht="13.8" hidden="1" outlineLevel="1">
      <c r="A85" s="179" t="s">
        <v>968</v>
      </c>
      <c r="B85" s="179" t="s">
        <v>774</v>
      </c>
      <c r="C85" s="248"/>
      <c r="D85" s="58"/>
      <c r="E85" s="59" t="s">
        <v>375</v>
      </c>
      <c r="F85" s="92">
        <f>SUMIFS(INPUT!$H:$H,INPUT!$E:$E,BAZE_2026!$A85,INPUT!$B:$B,BAZE_2026!$B85)</f>
        <v>38150</v>
      </c>
      <c r="G85" s="92">
        <f>SUMIFS(INPUT!$L:$L,INPUT!$E:$E,BAZE_2026!$A85,INPUT!$B:$B,BAZE_2026!$B85)</f>
        <v>32450</v>
      </c>
      <c r="H85" s="48">
        <f t="shared" si="8"/>
        <v>-5700</v>
      </c>
      <c r="I85" s="232">
        <f t="shared" si="7"/>
        <v>-0.14941022280471822</v>
      </c>
      <c r="J85" s="2560"/>
      <c r="K85" s="72"/>
      <c r="L85" s="12"/>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row>
    <row r="86" spans="1:195" s="166" customFormat="1" ht="13.8" hidden="1" outlineLevel="1">
      <c r="A86" s="315" t="s">
        <v>968</v>
      </c>
      <c r="B86" s="315" t="s">
        <v>773</v>
      </c>
      <c r="C86" s="316"/>
      <c r="D86" s="2919"/>
      <c r="E86" s="164" t="s">
        <v>773</v>
      </c>
      <c r="F86" s="154">
        <f>SUMIFS(INPUT!$H:$H,INPUT!$E:$E,BAZE_2026!$A86,INPUT!$B:$B,BAZE_2026!$B86)</f>
        <v>98100</v>
      </c>
      <c r="G86" s="154">
        <f>SUMIFS(INPUT!$L:$L,INPUT!$E:$E,BAZE_2026!$A86,INPUT!$B:$B,BAZE_2026!$B86)</f>
        <v>80000</v>
      </c>
      <c r="H86" s="158">
        <f t="shared" si="8"/>
        <v>-18100</v>
      </c>
      <c r="I86" s="230">
        <f t="shared" si="7"/>
        <v>-0.18450560652395515</v>
      </c>
      <c r="J86" s="2920"/>
      <c r="K86" s="317"/>
      <c r="L86" s="283"/>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c r="BR86" s="161"/>
      <c r="BS86" s="161"/>
      <c r="BT86" s="161"/>
      <c r="BU86" s="161"/>
      <c r="BV86" s="161"/>
      <c r="BW86" s="161"/>
      <c r="BX86" s="161"/>
      <c r="BY86" s="161"/>
      <c r="BZ86" s="161"/>
      <c r="CA86" s="161"/>
      <c r="CB86" s="161"/>
      <c r="CC86" s="161"/>
      <c r="CD86" s="161"/>
      <c r="CE86" s="161"/>
      <c r="CF86" s="161"/>
      <c r="CG86" s="161"/>
      <c r="CH86" s="161"/>
      <c r="CI86" s="161"/>
      <c r="CJ86" s="161"/>
      <c r="CK86" s="161"/>
      <c r="CL86" s="161"/>
      <c r="CM86" s="161"/>
      <c r="CN86" s="161"/>
      <c r="CO86" s="161"/>
      <c r="CP86" s="161"/>
      <c r="CQ86" s="161"/>
      <c r="CR86" s="161"/>
      <c r="CS86" s="161"/>
      <c r="CT86" s="161"/>
      <c r="CU86" s="161"/>
      <c r="CV86" s="161"/>
      <c r="CW86" s="161"/>
      <c r="CX86" s="161"/>
      <c r="CY86" s="161"/>
      <c r="CZ86" s="161"/>
      <c r="DA86" s="161"/>
      <c r="DB86" s="161"/>
      <c r="DC86" s="161"/>
      <c r="DD86" s="161"/>
      <c r="DE86" s="161"/>
      <c r="DF86" s="161"/>
      <c r="DG86" s="161"/>
      <c r="DH86" s="161"/>
      <c r="DI86" s="161"/>
      <c r="DJ86" s="161"/>
      <c r="DK86" s="161"/>
      <c r="DL86" s="161"/>
      <c r="DM86" s="161"/>
      <c r="DN86" s="161"/>
      <c r="DO86" s="161"/>
      <c r="DP86" s="161"/>
      <c r="DQ86" s="161"/>
      <c r="DR86" s="161"/>
      <c r="DS86" s="161"/>
      <c r="DT86" s="161"/>
      <c r="DU86" s="161"/>
      <c r="DV86" s="161"/>
      <c r="DW86" s="161"/>
      <c r="DX86" s="161"/>
      <c r="DY86" s="161"/>
      <c r="DZ86" s="161"/>
      <c r="EA86" s="161"/>
      <c r="EB86" s="161"/>
      <c r="EC86" s="161"/>
      <c r="ED86" s="161"/>
      <c r="EE86" s="161"/>
      <c r="EF86" s="161"/>
      <c r="EG86" s="161"/>
      <c r="EH86" s="161"/>
      <c r="EI86" s="161"/>
      <c r="EJ86" s="161"/>
      <c r="EK86" s="161"/>
      <c r="EL86" s="161"/>
      <c r="EM86" s="161"/>
      <c r="EN86" s="161"/>
      <c r="EO86" s="161"/>
      <c r="EP86" s="161"/>
      <c r="EQ86" s="161"/>
      <c r="ER86" s="161"/>
      <c r="ES86" s="161"/>
      <c r="ET86" s="161"/>
      <c r="EU86" s="161"/>
      <c r="EV86" s="161"/>
      <c r="EW86" s="161"/>
      <c r="EX86" s="161"/>
      <c r="EY86" s="161"/>
      <c r="EZ86" s="161"/>
      <c r="FA86" s="161"/>
      <c r="FB86" s="161"/>
      <c r="FC86" s="161"/>
      <c r="FD86" s="161"/>
      <c r="FE86" s="161"/>
      <c r="FF86" s="161"/>
      <c r="FG86" s="161"/>
      <c r="FH86" s="161"/>
      <c r="FI86" s="161"/>
      <c r="FJ86" s="161"/>
      <c r="FK86" s="161"/>
      <c r="FL86" s="161"/>
      <c r="FM86" s="161"/>
      <c r="FN86" s="161"/>
      <c r="FO86" s="161"/>
      <c r="FP86" s="161"/>
      <c r="FQ86" s="161"/>
      <c r="FR86" s="161"/>
      <c r="FS86" s="161"/>
      <c r="FT86" s="161"/>
      <c r="FU86" s="161"/>
      <c r="FV86" s="161"/>
      <c r="FW86" s="161"/>
      <c r="FX86" s="161"/>
      <c r="FY86" s="161"/>
      <c r="FZ86" s="161"/>
      <c r="GA86" s="161"/>
      <c r="GB86" s="161"/>
      <c r="GC86" s="161"/>
      <c r="GD86" s="161"/>
      <c r="GE86" s="161"/>
      <c r="GF86" s="161"/>
      <c r="GG86" s="161"/>
      <c r="GH86" s="161"/>
      <c r="GI86" s="161"/>
      <c r="GJ86" s="161"/>
      <c r="GK86" s="161"/>
      <c r="GL86" s="161"/>
      <c r="GM86" s="161"/>
    </row>
    <row r="87" spans="1:195" ht="27.6" collapsed="1">
      <c r="A87" s="179"/>
      <c r="D87" s="40" t="s">
        <v>11</v>
      </c>
      <c r="E87" s="41" t="s">
        <v>382</v>
      </c>
      <c r="F87" s="86">
        <f>F88+F89+F91+F90</f>
        <v>1096306.9269340001</v>
      </c>
      <c r="G87" s="86">
        <f>G88+G89+G91+G90</f>
        <v>1176624.5502102957</v>
      </c>
      <c r="H87" s="29">
        <f t="shared" si="8"/>
        <v>80317.623276295606</v>
      </c>
      <c r="I87" s="219">
        <f>IFERROR(H87/F87,"-")</f>
        <v>7.3261986495804468E-2</v>
      </c>
      <c r="J87" s="1512"/>
      <c r="K87" s="72"/>
    </row>
    <row r="88" spans="1:195" s="8" customFormat="1" ht="14.25" hidden="1" customHeight="1" outlineLevel="1">
      <c r="A88" s="179" t="s">
        <v>407</v>
      </c>
      <c r="B88" s="179" t="s">
        <v>436</v>
      </c>
      <c r="C88" s="248"/>
      <c r="D88" s="99"/>
      <c r="E88" s="65" t="s">
        <v>436</v>
      </c>
      <c r="F88" s="92">
        <f>SUMIFS(INPUT!$H:$H,INPUT!$E:$E,BAZE_2026!$A88,INPUT!$B:$B,BAZE_2026!$B88)</f>
        <v>896635.05693400011</v>
      </c>
      <c r="G88" s="92">
        <f>SUMIFS(INPUT!$L:$L,INPUT!$E:$E,BAZE_2026!$A88,INPUT!$B:$B,BAZE_2026!$B88)</f>
        <v>954973.05021029583</v>
      </c>
      <c r="H88" s="48">
        <f>G88-F88</f>
        <v>58337.993276295718</v>
      </c>
      <c r="I88" s="232">
        <f>IFERROR(H88/F88,"-")</f>
        <v>6.5063252685858219E-2</v>
      </c>
      <c r="J88" s="2560" t="s">
        <v>4760</v>
      </c>
      <c r="K88" s="49"/>
      <c r="L88" s="12"/>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row>
    <row r="89" spans="1:195" s="8" customFormat="1" ht="45.75" hidden="1" customHeight="1" outlineLevel="1">
      <c r="A89" s="179" t="s">
        <v>407</v>
      </c>
      <c r="B89" s="179" t="s">
        <v>772</v>
      </c>
      <c r="C89" s="248"/>
      <c r="D89" s="101"/>
      <c r="E89" s="59" t="s">
        <v>376</v>
      </c>
      <c r="F89" s="92">
        <f>SUMIFS(INPUT!$H:$H,INPUT!$E:$E,BAZE_2026!$A89,INPUT!$B:$B,BAZE_2026!$B89)</f>
        <v>164114.9</v>
      </c>
      <c r="G89" s="92">
        <f>SUMIFS(INPUT!$L:$L,INPUT!$E:$E,BAZE_2026!$A89,INPUT!$B:$B,BAZE_2026!$B89)</f>
        <v>174819.5</v>
      </c>
      <c r="H89" s="48">
        <f t="shared" si="6"/>
        <v>10704.600000000006</v>
      </c>
      <c r="I89" s="232">
        <f t="shared" si="7"/>
        <v>6.522625307025752E-2</v>
      </c>
      <c r="J89" s="2560" t="s">
        <v>4784</v>
      </c>
      <c r="K89" s="54"/>
      <c r="L89" s="135"/>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row>
    <row r="90" spans="1:195" s="1205" customFormat="1" ht="13.2" hidden="1" customHeight="1" outlineLevel="1">
      <c r="A90" s="179" t="s">
        <v>407</v>
      </c>
      <c r="B90" s="179" t="s">
        <v>1211</v>
      </c>
      <c r="C90" s="246"/>
      <c r="D90" s="371"/>
      <c r="E90" s="1204" t="s">
        <v>1211</v>
      </c>
      <c r="F90" s="92">
        <f>SUMIFS(INPUT!$H:$H,INPUT!$E:$E,BAZE_2026!$A90,INPUT!$B:$B,BAZE_2026!$B90)</f>
        <v>0</v>
      </c>
      <c r="G90" s="92">
        <f>SUMIFS(INPUT!$L:$L,INPUT!$E:$E,BAZE_2026!$A90,INPUT!$B:$B,BAZE_2026!$B90)</f>
        <v>0</v>
      </c>
      <c r="H90" s="48">
        <f>G90-F90</f>
        <v>0</v>
      </c>
      <c r="I90" s="232" t="str">
        <f>IFERROR(H90/F90,"-")</f>
        <v>-</v>
      </c>
      <c r="J90" s="2561"/>
      <c r="K90" s="16"/>
      <c r="L90" s="263"/>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row>
    <row r="91" spans="1:195" s="8" customFormat="1" ht="45.75" hidden="1" customHeight="1" outlineLevel="1">
      <c r="A91" s="179" t="s">
        <v>407</v>
      </c>
      <c r="B91" s="179" t="s">
        <v>774</v>
      </c>
      <c r="C91" s="248"/>
      <c r="D91" s="99"/>
      <c r="E91" s="59" t="s">
        <v>375</v>
      </c>
      <c r="F91" s="92">
        <f>SUMIFS(INPUT!$H:$H,INPUT!$E:$E,BAZE_2026!$A91,INPUT!$B:$B,BAZE_2026!$B91)</f>
        <v>35556.97</v>
      </c>
      <c r="G91" s="92">
        <f>SUMIFS(INPUT!$L:$L,INPUT!$E:$E,BAZE_2026!$A91,INPUT!$B:$B,BAZE_2026!$B91)</f>
        <v>46832</v>
      </c>
      <c r="H91" s="48">
        <f t="shared" si="6"/>
        <v>11275.029999999999</v>
      </c>
      <c r="I91" s="232">
        <f t="shared" si="7"/>
        <v>0.31709760421093242</v>
      </c>
      <c r="J91" s="2560" t="s">
        <v>5020</v>
      </c>
      <c r="K91" s="49"/>
      <c r="L91" s="12"/>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row>
    <row r="92" spans="1:195" s="166" customFormat="1" ht="13.2" hidden="1" customHeight="1" outlineLevel="1">
      <c r="A92" s="315" t="s">
        <v>407</v>
      </c>
      <c r="B92" s="315" t="s">
        <v>773</v>
      </c>
      <c r="C92" s="316"/>
      <c r="D92" s="2919"/>
      <c r="E92" s="164" t="s">
        <v>773</v>
      </c>
      <c r="F92" s="154">
        <f>SUMIFS(INPUT!$H:$H,INPUT!$E:$E,BAZE_2026!$A92,INPUT!$B:$B,BAZE_2026!$B92)</f>
        <v>25769</v>
      </c>
      <c r="G92" s="154">
        <f>SUMIFS(INPUT!$L:$L,INPUT!$E:$E,BAZE_2026!$A92,INPUT!$B:$B,BAZE_2026!$B92)</f>
        <v>6000</v>
      </c>
      <c r="H92" s="158">
        <f t="shared" si="6"/>
        <v>-19769</v>
      </c>
      <c r="I92" s="230">
        <f t="shared" si="7"/>
        <v>-0.76716209398890134</v>
      </c>
      <c r="J92" s="2920"/>
      <c r="K92" s="161"/>
      <c r="L92" s="283"/>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c r="CL92" s="161"/>
      <c r="CM92" s="161"/>
      <c r="CN92" s="161"/>
      <c r="CO92" s="161"/>
      <c r="CP92" s="161"/>
      <c r="CQ92" s="161"/>
      <c r="CR92" s="161"/>
      <c r="CS92" s="161"/>
      <c r="CT92" s="161"/>
      <c r="CU92" s="161"/>
      <c r="CV92" s="161"/>
      <c r="CW92" s="161"/>
      <c r="CX92" s="161"/>
      <c r="CY92" s="161"/>
      <c r="CZ92" s="161"/>
      <c r="DA92" s="161"/>
      <c r="DB92" s="161"/>
      <c r="DC92" s="161"/>
      <c r="DD92" s="161"/>
      <c r="DE92" s="161"/>
      <c r="DF92" s="161"/>
      <c r="DG92" s="161"/>
      <c r="DH92" s="161"/>
      <c r="DI92" s="161"/>
      <c r="DJ92" s="161"/>
      <c r="DK92" s="161"/>
      <c r="DL92" s="161"/>
      <c r="DM92" s="161"/>
      <c r="DN92" s="161"/>
      <c r="DO92" s="161"/>
      <c r="DP92" s="161"/>
      <c r="DQ92" s="161"/>
      <c r="DR92" s="161"/>
      <c r="DS92" s="161"/>
      <c r="DT92" s="161"/>
      <c r="DU92" s="161"/>
      <c r="DV92" s="161"/>
      <c r="DW92" s="161"/>
      <c r="DX92" s="161"/>
      <c r="DY92" s="161"/>
      <c r="DZ92" s="161"/>
      <c r="EA92" s="161"/>
      <c r="EB92" s="161"/>
      <c r="EC92" s="161"/>
      <c r="ED92" s="161"/>
      <c r="EE92" s="161"/>
      <c r="EF92" s="161"/>
      <c r="EG92" s="161"/>
      <c r="EH92" s="161"/>
      <c r="EI92" s="161"/>
      <c r="EJ92" s="161"/>
      <c r="EK92" s="161"/>
      <c r="EL92" s="161"/>
      <c r="EM92" s="161"/>
      <c r="EN92" s="161"/>
      <c r="EO92" s="161"/>
      <c r="EP92" s="161"/>
      <c r="EQ92" s="161"/>
      <c r="ER92" s="161"/>
      <c r="ES92" s="161"/>
      <c r="ET92" s="161"/>
      <c r="EU92" s="161"/>
      <c r="EV92" s="161"/>
      <c r="EW92" s="161"/>
      <c r="EX92" s="161"/>
      <c r="EY92" s="161"/>
      <c r="EZ92" s="161"/>
      <c r="FA92" s="161"/>
      <c r="FB92" s="161"/>
      <c r="FC92" s="161"/>
      <c r="FD92" s="161"/>
      <c r="FE92" s="161"/>
      <c r="FF92" s="161"/>
      <c r="FG92" s="161"/>
      <c r="FH92" s="161"/>
      <c r="FI92" s="161"/>
      <c r="FJ92" s="161"/>
      <c r="FK92" s="161"/>
      <c r="FL92" s="161"/>
      <c r="FM92" s="161"/>
      <c r="FN92" s="161"/>
      <c r="FO92" s="161"/>
      <c r="FP92" s="161"/>
      <c r="FQ92" s="161"/>
      <c r="FR92" s="161"/>
      <c r="FS92" s="161"/>
      <c r="FT92" s="161"/>
      <c r="FU92" s="161"/>
      <c r="FV92" s="161"/>
      <c r="FW92" s="161"/>
      <c r="FX92" s="161"/>
      <c r="FY92" s="161"/>
      <c r="FZ92" s="161"/>
      <c r="GA92" s="161"/>
      <c r="GB92" s="161"/>
      <c r="GC92" s="161"/>
      <c r="GD92" s="161"/>
      <c r="GE92" s="161"/>
      <c r="GF92" s="161"/>
      <c r="GG92" s="161"/>
      <c r="GH92" s="161"/>
      <c r="GI92" s="161"/>
      <c r="GJ92" s="161"/>
      <c r="GK92" s="161"/>
      <c r="GL92" s="161"/>
      <c r="GM92" s="161"/>
    </row>
    <row r="93" spans="1:195" ht="13.8" collapsed="1">
      <c r="A93" s="179"/>
      <c r="D93" s="40" t="s">
        <v>16</v>
      </c>
      <c r="E93" s="41" t="s">
        <v>85</v>
      </c>
      <c r="F93" s="86">
        <f>F94+F95+F96+F97</f>
        <v>200530.73</v>
      </c>
      <c r="G93" s="86">
        <f>G94+G95+G96+G97</f>
        <v>196188.72003630002</v>
      </c>
      <c r="H93" s="29">
        <f t="shared" si="6"/>
        <v>-4342.0099636999948</v>
      </c>
      <c r="I93" s="219">
        <f t="shared" si="7"/>
        <v>-2.16525914192802E-2</v>
      </c>
      <c r="J93" s="1512"/>
      <c r="K93" s="72"/>
    </row>
    <row r="94" spans="1:195" s="8" customFormat="1" ht="13.8" hidden="1" outlineLevel="1">
      <c r="A94" s="179" t="s">
        <v>1899</v>
      </c>
      <c r="B94" s="179" t="s">
        <v>436</v>
      </c>
      <c r="C94" s="248"/>
      <c r="D94" s="99"/>
      <c r="E94" s="65" t="s">
        <v>436</v>
      </c>
      <c r="F94" s="92">
        <f>SUMIFS(INPUT!$H:$H,INPUT!$E:$E,BAZE_2026!$A94,INPUT!$B:$B,BAZE_2026!$B94)</f>
        <v>119217.32</v>
      </c>
      <c r="G94" s="92">
        <f>SUMIFS(INPUT!$L:$L,INPUT!$E:$E,BAZE_2026!$A94,INPUT!$B:$B,BAZE_2026!$B94)</f>
        <v>123365.93703630001</v>
      </c>
      <c r="H94" s="48">
        <f t="shared" si="6"/>
        <v>4148.6170362999983</v>
      </c>
      <c r="I94" s="232">
        <f t="shared" si="7"/>
        <v>3.4798777864659243E-2</v>
      </c>
      <c r="J94" s="2560" t="s">
        <v>4760</v>
      </c>
      <c r="K94" s="49"/>
      <c r="L94" s="12"/>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row>
    <row r="95" spans="1:195" s="8" customFormat="1" ht="13.8" hidden="1" outlineLevel="1">
      <c r="A95" s="179" t="s">
        <v>1899</v>
      </c>
      <c r="B95" s="179" t="s">
        <v>772</v>
      </c>
      <c r="C95" s="248"/>
      <c r="D95" s="101"/>
      <c r="E95" s="59" t="s">
        <v>376</v>
      </c>
      <c r="F95" s="92">
        <f>SUMIFS(INPUT!$H:$H,INPUT!$E:$E,BAZE_2026!$A95,INPUT!$B:$B,BAZE_2026!$B95)</f>
        <v>38798.490000000005</v>
      </c>
      <c r="G95" s="92">
        <f>SUMIFS(INPUT!$L:$L,INPUT!$E:$E,BAZE_2026!$A95,INPUT!$B:$B,BAZE_2026!$B95)</f>
        <v>36791.9</v>
      </c>
      <c r="H95" s="48">
        <f t="shared" si="6"/>
        <v>-2006.5900000000038</v>
      </c>
      <c r="I95" s="232">
        <f t="shared" si="7"/>
        <v>-5.1718249859724015E-2</v>
      </c>
      <c r="J95" s="2560"/>
      <c r="K95" s="54"/>
      <c r="L95" s="13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row>
    <row r="96" spans="1:195" s="66" customFormat="1" ht="13.8" hidden="1" outlineLevel="1">
      <c r="A96" s="179" t="s">
        <v>1900</v>
      </c>
      <c r="B96" s="179" t="s">
        <v>772</v>
      </c>
      <c r="C96" s="248"/>
      <c r="D96" s="1199"/>
      <c r="E96" s="211" t="s">
        <v>1032</v>
      </c>
      <c r="F96" s="92">
        <f>SUMIFS(INPUT!$H:$H,INPUT!$E:$E,BAZE_2026!$A96,INPUT!$B:$B,BAZE_2026!$B96)</f>
        <v>34894.520000000004</v>
      </c>
      <c r="G96" s="92">
        <f>SUMIFS(INPUT!$L:$L,INPUT!$E:$E,BAZE_2026!$A96,INPUT!$B:$B,BAZE_2026!$B96)</f>
        <v>35766.883000000002</v>
      </c>
      <c r="H96" s="48">
        <f>G96-F96</f>
        <v>872.36299999999756</v>
      </c>
      <c r="I96" s="232">
        <f>IFERROR(H96/F96,"-")</f>
        <v>2.4999999999999929E-2</v>
      </c>
      <c r="J96" s="2560" t="s">
        <v>3541</v>
      </c>
      <c r="K96" s="95"/>
      <c r="L96" s="28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71"/>
      <c r="EP96" s="71"/>
      <c r="EQ96" s="71"/>
      <c r="ER96" s="71"/>
      <c r="ES96" s="71"/>
      <c r="ET96" s="71"/>
      <c r="EU96" s="71"/>
      <c r="EV96" s="71"/>
      <c r="EW96" s="71"/>
      <c r="EX96" s="71"/>
      <c r="EY96" s="71"/>
      <c r="EZ96" s="71"/>
      <c r="FA96" s="71"/>
      <c r="FB96" s="71"/>
      <c r="FC96" s="71"/>
      <c r="FD96" s="71"/>
      <c r="FE96" s="71"/>
      <c r="FF96" s="71"/>
      <c r="FG96" s="71"/>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row>
    <row r="97" spans="1:195" s="8" customFormat="1" ht="13.8" hidden="1" outlineLevel="1">
      <c r="A97" s="179" t="s">
        <v>1899</v>
      </c>
      <c r="B97" s="179" t="s">
        <v>774</v>
      </c>
      <c r="C97" s="248"/>
      <c r="D97" s="99"/>
      <c r="E97" s="59" t="s">
        <v>375</v>
      </c>
      <c r="F97" s="92">
        <f>SUMIFS(INPUT!$H:$H,INPUT!$E:$E,BAZE_2026!$A97,INPUT!$B:$B,BAZE_2026!$B97)</f>
        <v>7620.4</v>
      </c>
      <c r="G97" s="92">
        <f>SUMIFS(INPUT!$L:$L,INPUT!$E:$E,BAZE_2026!$A97,INPUT!$B:$B,BAZE_2026!$B97)</f>
        <v>264</v>
      </c>
      <c r="H97" s="48">
        <f t="shared" si="6"/>
        <v>-7356.4</v>
      </c>
      <c r="I97" s="232">
        <f t="shared" si="7"/>
        <v>-0.96535614928350222</v>
      </c>
      <c r="J97" s="2562"/>
      <c r="K97" s="49"/>
      <c r="L97" s="12"/>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row>
    <row r="98" spans="1:195" s="162" customFormat="1" ht="13.8" hidden="1" outlineLevel="1">
      <c r="A98" s="274" t="s">
        <v>1899</v>
      </c>
      <c r="B98" s="274" t="s">
        <v>773</v>
      </c>
      <c r="C98" s="275"/>
      <c r="D98" s="2917"/>
      <c r="E98" s="2922" t="s">
        <v>773</v>
      </c>
      <c r="F98" s="153">
        <f>SUMIFS(INPUT!$H:$H,INPUT!$E:$E,BAZE_2026!$A98,INPUT!$B:$B,BAZE_2026!$B98)</f>
        <v>0</v>
      </c>
      <c r="G98" s="153">
        <f>SUMIFS(INPUT!$L:$L,INPUT!$E:$E,BAZE_2026!$A98,INPUT!$B:$B,BAZE_2026!$B98)</f>
        <v>250000</v>
      </c>
      <c r="H98" s="157">
        <f t="shared" si="6"/>
        <v>250000</v>
      </c>
      <c r="I98" s="233" t="str">
        <f t="shared" si="7"/>
        <v>-</v>
      </c>
      <c r="J98" s="2923"/>
      <c r="K98" s="127"/>
      <c r="L98" s="128"/>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c r="BR98" s="127"/>
      <c r="BS98" s="127"/>
      <c r="BT98" s="127"/>
      <c r="BU98" s="127"/>
      <c r="BV98" s="127"/>
      <c r="BW98" s="127"/>
      <c r="BX98" s="127"/>
      <c r="BY98" s="127"/>
      <c r="BZ98" s="127"/>
      <c r="CA98" s="127"/>
      <c r="CB98" s="127"/>
      <c r="CC98" s="127"/>
      <c r="CD98" s="127"/>
      <c r="CE98" s="127"/>
      <c r="CF98" s="127"/>
      <c r="CG98" s="127"/>
      <c r="CH98" s="127"/>
      <c r="CI98" s="127"/>
      <c r="CJ98" s="127"/>
      <c r="CK98" s="127"/>
      <c r="CL98" s="127"/>
      <c r="CM98" s="127"/>
      <c r="CN98" s="127"/>
      <c r="CO98" s="127"/>
      <c r="CP98" s="127"/>
      <c r="CQ98" s="127"/>
      <c r="CR98" s="127"/>
      <c r="CS98" s="127"/>
      <c r="CT98" s="127"/>
      <c r="CU98" s="127"/>
      <c r="CV98" s="127"/>
      <c r="CW98" s="127"/>
      <c r="CX98" s="127"/>
      <c r="CY98" s="127"/>
      <c r="CZ98" s="127"/>
      <c r="DA98" s="127"/>
      <c r="DB98" s="127"/>
      <c r="DC98" s="127"/>
      <c r="DD98" s="127"/>
      <c r="DE98" s="127"/>
      <c r="DF98" s="127"/>
      <c r="DG98" s="127"/>
      <c r="DH98" s="127"/>
      <c r="DI98" s="127"/>
      <c r="DJ98" s="127"/>
      <c r="DK98" s="127"/>
      <c r="DL98" s="127"/>
      <c r="DM98" s="127"/>
      <c r="DN98" s="127"/>
      <c r="DO98" s="127"/>
      <c r="DP98" s="127"/>
      <c r="DQ98" s="127"/>
      <c r="DR98" s="127"/>
      <c r="DS98" s="127"/>
      <c r="DT98" s="127"/>
      <c r="DU98" s="127"/>
      <c r="DV98" s="127"/>
      <c r="DW98" s="127"/>
      <c r="DX98" s="127"/>
      <c r="DY98" s="127"/>
      <c r="DZ98" s="127"/>
      <c r="EA98" s="127"/>
      <c r="EB98" s="127"/>
      <c r="EC98" s="127"/>
      <c r="ED98" s="127"/>
      <c r="EE98" s="127"/>
      <c r="EF98" s="127"/>
      <c r="EG98" s="127"/>
      <c r="EH98" s="127"/>
      <c r="EI98" s="127"/>
      <c r="EJ98" s="127"/>
      <c r="EK98" s="127"/>
      <c r="EL98" s="127"/>
      <c r="EM98" s="127"/>
      <c r="EN98" s="127"/>
      <c r="EO98" s="127"/>
      <c r="EP98" s="127"/>
      <c r="EQ98" s="127"/>
      <c r="ER98" s="127"/>
      <c r="ES98" s="127"/>
      <c r="ET98" s="127"/>
      <c r="EU98" s="127"/>
      <c r="EV98" s="127"/>
      <c r="EW98" s="127"/>
      <c r="EX98" s="127"/>
      <c r="EY98" s="127"/>
      <c r="EZ98" s="127"/>
      <c r="FA98" s="127"/>
      <c r="FB98" s="127"/>
      <c r="FC98" s="127"/>
      <c r="FD98" s="127"/>
      <c r="FE98" s="127"/>
      <c r="FF98" s="127"/>
      <c r="FG98" s="127"/>
      <c r="FH98" s="127"/>
      <c r="FI98" s="127"/>
      <c r="FJ98" s="127"/>
      <c r="FK98" s="127"/>
      <c r="FL98" s="127"/>
      <c r="FM98" s="127"/>
      <c r="FN98" s="127"/>
      <c r="FO98" s="127"/>
      <c r="FP98" s="127"/>
      <c r="FQ98" s="127"/>
      <c r="FR98" s="127"/>
      <c r="FS98" s="127"/>
      <c r="FT98" s="127"/>
      <c r="FU98" s="127"/>
      <c r="FV98" s="127"/>
      <c r="FW98" s="127"/>
      <c r="FX98" s="127"/>
      <c r="FY98" s="127"/>
      <c r="FZ98" s="127"/>
      <c r="GA98" s="127"/>
      <c r="GB98" s="127"/>
      <c r="GC98" s="127"/>
      <c r="GD98" s="127"/>
      <c r="GE98" s="127"/>
      <c r="GF98" s="127"/>
      <c r="GG98" s="127"/>
      <c r="GH98" s="127"/>
      <c r="GI98" s="127"/>
      <c r="GJ98" s="127"/>
      <c r="GK98" s="127"/>
      <c r="GL98" s="127"/>
      <c r="GM98" s="127"/>
    </row>
    <row r="99" spans="1:195" ht="27" customHeight="1" collapsed="1">
      <c r="B99" s="1276"/>
      <c r="D99" s="40" t="s">
        <v>20</v>
      </c>
      <c r="E99" s="41" t="s">
        <v>86</v>
      </c>
      <c r="F99" s="85">
        <f>F109+F114+F125+F130+F135+F139+F146+F106</f>
        <v>6746190.7318327064</v>
      </c>
      <c r="G99" s="85">
        <f>G109+G114+G125+G130+G135+G139+G146+G106</f>
        <v>7307512.14292573</v>
      </c>
      <c r="H99" s="29">
        <f t="shared" si="6"/>
        <v>561321.41109302361</v>
      </c>
      <c r="I99" s="219">
        <f t="shared" si="7"/>
        <v>8.3205683534021871E-2</v>
      </c>
      <c r="J99" s="1513"/>
      <c r="K99" s="72"/>
    </row>
    <row r="100" spans="1:195" s="112" customFormat="1" ht="13.8">
      <c r="A100" s="372"/>
      <c r="B100" s="312"/>
      <c r="C100" s="310"/>
      <c r="D100" s="108"/>
      <c r="E100" s="109" t="s">
        <v>436</v>
      </c>
      <c r="F100" s="110">
        <f>F110+F115+F126+F131+F140</f>
        <v>3692327.2781600403</v>
      </c>
      <c r="G100" s="110">
        <f>G110+G115+G126+G131+G140</f>
        <v>3941629.2329657301</v>
      </c>
      <c r="H100" s="111">
        <f t="shared" si="6"/>
        <v>249301.95480568986</v>
      </c>
      <c r="I100" s="227">
        <f t="shared" si="7"/>
        <v>6.7518921272309851E-2</v>
      </c>
      <c r="J100" s="1219"/>
      <c r="K100" s="141"/>
      <c r="L100" s="282"/>
      <c r="M100" s="249"/>
      <c r="N100" s="249"/>
      <c r="O100" s="249"/>
      <c r="P100" s="249"/>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9"/>
      <c r="BW100" s="249"/>
      <c r="BX100" s="249"/>
      <c r="BY100" s="249"/>
      <c r="BZ100" s="249"/>
      <c r="CA100" s="249"/>
      <c r="CB100" s="249"/>
      <c r="CC100" s="249"/>
      <c r="CD100" s="249"/>
      <c r="CE100" s="249"/>
      <c r="CF100" s="249"/>
      <c r="CG100" s="249"/>
      <c r="CH100" s="249"/>
      <c r="CI100" s="249"/>
      <c r="CJ100" s="249"/>
      <c r="CK100" s="249"/>
      <c r="CL100" s="249"/>
      <c r="CM100" s="249"/>
      <c r="CN100" s="249"/>
      <c r="CO100" s="249"/>
      <c r="CP100" s="249"/>
      <c r="CQ100" s="249"/>
      <c r="CR100" s="249"/>
      <c r="CS100" s="249"/>
      <c r="CT100" s="249"/>
      <c r="CU100" s="249"/>
      <c r="CV100" s="249"/>
      <c r="CW100" s="249"/>
      <c r="CX100" s="249"/>
      <c r="CY100" s="249"/>
      <c r="CZ100" s="249"/>
      <c r="DA100" s="249"/>
      <c r="DB100" s="249"/>
      <c r="DC100" s="249"/>
      <c r="DD100" s="249"/>
      <c r="DE100" s="249"/>
      <c r="DF100" s="249"/>
      <c r="DG100" s="249"/>
      <c r="DH100" s="249"/>
      <c r="DI100" s="249"/>
      <c r="DJ100" s="249"/>
      <c r="DK100" s="249"/>
      <c r="DL100" s="249"/>
      <c r="DM100" s="249"/>
      <c r="DN100" s="249"/>
      <c r="DO100" s="249"/>
      <c r="DP100" s="249"/>
      <c r="DQ100" s="249"/>
      <c r="DR100" s="249"/>
      <c r="DS100" s="249"/>
      <c r="DT100" s="249"/>
      <c r="DU100" s="249"/>
      <c r="DV100" s="249"/>
      <c r="DW100" s="249"/>
      <c r="DX100" s="249"/>
      <c r="DY100" s="249"/>
      <c r="DZ100" s="249"/>
      <c r="EA100" s="249"/>
      <c r="EB100" s="249"/>
      <c r="EC100" s="249"/>
      <c r="ED100" s="249"/>
      <c r="EE100" s="249"/>
      <c r="EF100" s="249"/>
      <c r="EG100" s="249"/>
      <c r="EH100" s="249"/>
      <c r="EI100" s="249"/>
      <c r="EJ100" s="249"/>
      <c r="EK100" s="249"/>
      <c r="EL100" s="249"/>
      <c r="EM100" s="249"/>
      <c r="EN100" s="249"/>
      <c r="EO100" s="249"/>
      <c r="EP100" s="249"/>
      <c r="EQ100" s="249"/>
      <c r="ER100" s="249"/>
      <c r="ES100" s="249"/>
      <c r="ET100" s="249"/>
      <c r="EU100" s="249"/>
      <c r="EV100" s="249"/>
      <c r="EW100" s="249"/>
      <c r="EX100" s="249"/>
      <c r="EY100" s="249"/>
      <c r="EZ100" s="249"/>
      <c r="FA100" s="249"/>
      <c r="FB100" s="249"/>
      <c r="FC100" s="249"/>
      <c r="FD100" s="249"/>
      <c r="FE100" s="249"/>
      <c r="FF100" s="249"/>
      <c r="FG100" s="249"/>
      <c r="FH100" s="249"/>
      <c r="FI100" s="249"/>
      <c r="FJ100" s="249"/>
      <c r="FK100" s="249"/>
      <c r="FL100" s="249"/>
      <c r="FM100" s="249"/>
      <c r="FN100" s="249"/>
      <c r="FO100" s="249"/>
      <c r="FP100" s="249"/>
      <c r="FQ100" s="249"/>
      <c r="FR100" s="249"/>
      <c r="FS100" s="249"/>
      <c r="FT100" s="249"/>
      <c r="FU100" s="249"/>
      <c r="FV100" s="249"/>
      <c r="FW100" s="249"/>
      <c r="FX100" s="249"/>
      <c r="FY100" s="249"/>
      <c r="FZ100" s="249"/>
      <c r="GA100" s="249"/>
      <c r="GB100" s="249"/>
      <c r="GC100" s="249"/>
      <c r="GD100" s="249"/>
      <c r="GE100" s="249"/>
      <c r="GF100" s="249"/>
      <c r="GG100" s="249"/>
      <c r="GH100" s="249"/>
      <c r="GI100" s="249"/>
      <c r="GJ100" s="249"/>
      <c r="GK100" s="249"/>
      <c r="GL100" s="249"/>
      <c r="GM100" s="249"/>
    </row>
    <row r="101" spans="1:195" s="112" customFormat="1" ht="13.8">
      <c r="A101" s="372"/>
      <c r="B101" s="312"/>
      <c r="C101" s="310"/>
      <c r="D101" s="113"/>
      <c r="E101" s="114" t="s">
        <v>376</v>
      </c>
      <c r="F101" s="110">
        <f>F111+F116+F127+F132+F135+F141+F106+F147</f>
        <v>2952079.453672667</v>
      </c>
      <c r="G101" s="110">
        <f>G111+G116+G127+G132+G135+G141+G106+G147</f>
        <v>3287840.9099599998</v>
      </c>
      <c r="H101" s="111">
        <f t="shared" si="6"/>
        <v>335761.45628733281</v>
      </c>
      <c r="I101" s="227">
        <f t="shared" si="7"/>
        <v>0.1137372694591989</v>
      </c>
      <c r="J101" s="1514"/>
      <c r="K101" s="141"/>
      <c r="L101" s="282"/>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c r="CH101" s="249"/>
      <c r="CI101" s="249"/>
      <c r="CJ101" s="249"/>
      <c r="CK101" s="249"/>
      <c r="CL101" s="249"/>
      <c r="CM101" s="249"/>
      <c r="CN101" s="249"/>
      <c r="CO101" s="249"/>
      <c r="CP101" s="249"/>
      <c r="CQ101" s="249"/>
      <c r="CR101" s="249"/>
      <c r="CS101" s="249"/>
      <c r="CT101" s="249"/>
      <c r="CU101" s="249"/>
      <c r="CV101" s="249"/>
      <c r="CW101" s="249"/>
      <c r="CX101" s="249"/>
      <c r="CY101" s="249"/>
      <c r="CZ101" s="249"/>
      <c r="DA101" s="249"/>
      <c r="DB101" s="249"/>
      <c r="DC101" s="249"/>
      <c r="DD101" s="249"/>
      <c r="DE101" s="249"/>
      <c r="DF101" s="249"/>
      <c r="DG101" s="249"/>
      <c r="DH101" s="249"/>
      <c r="DI101" s="249"/>
      <c r="DJ101" s="249"/>
      <c r="DK101" s="249"/>
      <c r="DL101" s="249"/>
      <c r="DM101" s="249"/>
      <c r="DN101" s="249"/>
      <c r="DO101" s="249"/>
      <c r="DP101" s="249"/>
      <c r="DQ101" s="249"/>
      <c r="DR101" s="249"/>
      <c r="DS101" s="249"/>
      <c r="DT101" s="249"/>
      <c r="DU101" s="249"/>
      <c r="DV101" s="249"/>
      <c r="DW101" s="249"/>
      <c r="DX101" s="249"/>
      <c r="DY101" s="249"/>
      <c r="DZ101" s="249"/>
      <c r="EA101" s="249"/>
      <c r="EB101" s="249"/>
      <c r="EC101" s="249"/>
      <c r="ED101" s="249"/>
      <c r="EE101" s="249"/>
      <c r="EF101" s="249"/>
      <c r="EG101" s="249"/>
      <c r="EH101" s="249"/>
      <c r="EI101" s="249"/>
      <c r="EJ101" s="249"/>
      <c r="EK101" s="249"/>
      <c r="EL101" s="249"/>
      <c r="EM101" s="249"/>
      <c r="EN101" s="249"/>
      <c r="EO101" s="249"/>
      <c r="EP101" s="249"/>
      <c r="EQ101" s="249"/>
      <c r="ER101" s="249"/>
      <c r="ES101" s="249"/>
      <c r="ET101" s="249"/>
      <c r="EU101" s="249"/>
      <c r="EV101" s="249"/>
      <c r="EW101" s="249"/>
      <c r="EX101" s="249"/>
      <c r="EY101" s="249"/>
      <c r="EZ101" s="249"/>
      <c r="FA101" s="249"/>
      <c r="FB101" s="249"/>
      <c r="FC101" s="249"/>
      <c r="FD101" s="249"/>
      <c r="FE101" s="249"/>
      <c r="FF101" s="249"/>
      <c r="FG101" s="249"/>
      <c r="FH101" s="249"/>
      <c r="FI101" s="249"/>
      <c r="FJ101" s="249"/>
      <c r="FK101" s="249"/>
      <c r="FL101" s="249"/>
      <c r="FM101" s="249"/>
      <c r="FN101" s="249"/>
      <c r="FO101" s="249"/>
      <c r="FP101" s="249"/>
      <c r="FQ101" s="249"/>
      <c r="FR101" s="249"/>
      <c r="FS101" s="249"/>
      <c r="FT101" s="249"/>
      <c r="FU101" s="249"/>
      <c r="FV101" s="249"/>
      <c r="FW101" s="249"/>
      <c r="FX101" s="249"/>
      <c r="FY101" s="249"/>
      <c r="FZ101" s="249"/>
      <c r="GA101" s="249"/>
      <c r="GB101" s="249"/>
      <c r="GC101" s="249"/>
      <c r="GD101" s="249"/>
      <c r="GE101" s="249"/>
      <c r="GF101" s="249"/>
      <c r="GG101" s="249"/>
      <c r="GH101" s="249"/>
      <c r="GI101" s="249"/>
      <c r="GJ101" s="249"/>
      <c r="GK101" s="249"/>
      <c r="GL101" s="249"/>
      <c r="GM101" s="249"/>
    </row>
    <row r="102" spans="1:195" s="112" customFormat="1" ht="13.8">
      <c r="A102" s="372"/>
      <c r="B102" s="312"/>
      <c r="C102" s="310"/>
      <c r="D102" s="108"/>
      <c r="E102" s="109" t="s">
        <v>375</v>
      </c>
      <c r="F102" s="110">
        <f>F112+F117+F128+F133+F142</f>
        <v>101784</v>
      </c>
      <c r="G102" s="110">
        <f>G112+G117+G128+G133+G142</f>
        <v>78042</v>
      </c>
      <c r="H102" s="111">
        <f t="shared" si="6"/>
        <v>-23742</v>
      </c>
      <c r="I102" s="227">
        <f t="shared" si="7"/>
        <v>-0.23325866540910162</v>
      </c>
      <c r="J102" s="1514"/>
      <c r="K102" s="141"/>
      <c r="L102" s="282"/>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9"/>
      <c r="CG102" s="249"/>
      <c r="CH102" s="249"/>
      <c r="CI102" s="249"/>
      <c r="CJ102" s="249"/>
      <c r="CK102" s="249"/>
      <c r="CL102" s="249"/>
      <c r="CM102" s="249"/>
      <c r="CN102" s="249"/>
      <c r="CO102" s="249"/>
      <c r="CP102" s="249"/>
      <c r="CQ102" s="249"/>
      <c r="CR102" s="249"/>
      <c r="CS102" s="249"/>
      <c r="CT102" s="249"/>
      <c r="CU102" s="249"/>
      <c r="CV102" s="249"/>
      <c r="CW102" s="249"/>
      <c r="CX102" s="249"/>
      <c r="CY102" s="249"/>
      <c r="CZ102" s="249"/>
      <c r="DA102" s="249"/>
      <c r="DB102" s="249"/>
      <c r="DC102" s="249"/>
      <c r="DD102" s="249"/>
      <c r="DE102" s="249"/>
      <c r="DF102" s="249"/>
      <c r="DG102" s="249"/>
      <c r="DH102" s="249"/>
      <c r="DI102" s="249"/>
      <c r="DJ102" s="249"/>
      <c r="DK102" s="249"/>
      <c r="DL102" s="249"/>
      <c r="DM102" s="249"/>
      <c r="DN102" s="249"/>
      <c r="DO102" s="249"/>
      <c r="DP102" s="249"/>
      <c r="DQ102" s="249"/>
      <c r="DR102" s="249"/>
      <c r="DS102" s="249"/>
      <c r="DT102" s="249"/>
      <c r="DU102" s="249"/>
      <c r="DV102" s="249"/>
      <c r="DW102" s="249"/>
      <c r="DX102" s="249"/>
      <c r="DY102" s="249"/>
      <c r="DZ102" s="249"/>
      <c r="EA102" s="249"/>
      <c r="EB102" s="249"/>
      <c r="EC102" s="249"/>
      <c r="ED102" s="249"/>
      <c r="EE102" s="249"/>
      <c r="EF102" s="249"/>
      <c r="EG102" s="249"/>
      <c r="EH102" s="249"/>
      <c r="EI102" s="249"/>
      <c r="EJ102" s="249"/>
      <c r="EK102" s="249"/>
      <c r="EL102" s="249"/>
      <c r="EM102" s="249"/>
      <c r="EN102" s="249"/>
      <c r="EO102" s="249"/>
      <c r="EP102" s="249"/>
      <c r="EQ102" s="249"/>
      <c r="ER102" s="249"/>
      <c r="ES102" s="249"/>
      <c r="ET102" s="249"/>
      <c r="EU102" s="249"/>
      <c r="EV102" s="249"/>
      <c r="EW102" s="249"/>
      <c r="EX102" s="249"/>
      <c r="EY102" s="249"/>
      <c r="EZ102" s="249"/>
      <c r="FA102" s="249"/>
      <c r="FB102" s="249"/>
      <c r="FC102" s="249"/>
      <c r="FD102" s="249"/>
      <c r="FE102" s="249"/>
      <c r="FF102" s="249"/>
      <c r="FG102" s="249"/>
      <c r="FH102" s="249"/>
      <c r="FI102" s="249"/>
      <c r="FJ102" s="249"/>
      <c r="FK102" s="249"/>
      <c r="FL102" s="249"/>
      <c r="FM102" s="249"/>
      <c r="FN102" s="249"/>
      <c r="FO102" s="249"/>
      <c r="FP102" s="249"/>
      <c r="FQ102" s="249"/>
      <c r="FR102" s="249"/>
      <c r="FS102" s="249"/>
      <c r="FT102" s="249"/>
      <c r="FU102" s="249"/>
      <c r="FV102" s="249"/>
      <c r="FW102" s="249"/>
      <c r="FX102" s="249"/>
      <c r="FY102" s="249"/>
      <c r="FZ102" s="249"/>
      <c r="GA102" s="249"/>
      <c r="GB102" s="249"/>
      <c r="GC102" s="249"/>
      <c r="GD102" s="249"/>
      <c r="GE102" s="249"/>
      <c r="GF102" s="249"/>
      <c r="GG102" s="249"/>
      <c r="GH102" s="249"/>
      <c r="GI102" s="249"/>
      <c r="GJ102" s="249"/>
      <c r="GK102" s="249"/>
      <c r="GL102" s="249"/>
      <c r="GM102" s="249"/>
    </row>
    <row r="103" spans="1:195" s="166" customFormat="1" ht="13.8" hidden="1" outlineLevel="1">
      <c r="A103" s="1546"/>
      <c r="B103" s="313"/>
      <c r="C103" s="314"/>
      <c r="D103" s="1202"/>
      <c r="E103" s="2924" t="s">
        <v>697</v>
      </c>
      <c r="F103" s="156">
        <f>F118+F145+F148</f>
        <v>0</v>
      </c>
      <c r="G103" s="156">
        <f>G118+G145+G148</f>
        <v>1300</v>
      </c>
      <c r="H103" s="158">
        <f>G103-F103</f>
        <v>1300</v>
      </c>
      <c r="I103" s="230" t="str">
        <f t="shared" si="7"/>
        <v>-</v>
      </c>
      <c r="J103" s="1526"/>
      <c r="K103" s="317"/>
      <c r="L103" s="283"/>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c r="BR103" s="161"/>
      <c r="BS103" s="161"/>
      <c r="BT103" s="161"/>
      <c r="BU103" s="161"/>
      <c r="BV103" s="161"/>
      <c r="BW103" s="161"/>
      <c r="BX103" s="161"/>
      <c r="BY103" s="161"/>
      <c r="BZ103" s="161"/>
      <c r="CA103" s="161"/>
      <c r="CB103" s="161"/>
      <c r="CC103" s="161"/>
      <c r="CD103" s="161"/>
      <c r="CE103" s="161"/>
      <c r="CF103" s="161"/>
      <c r="CG103" s="161"/>
      <c r="CH103" s="161"/>
      <c r="CI103" s="161"/>
      <c r="CJ103" s="161"/>
      <c r="CK103" s="161"/>
      <c r="CL103" s="161"/>
      <c r="CM103" s="161"/>
      <c r="CN103" s="161"/>
      <c r="CO103" s="161"/>
      <c r="CP103" s="161"/>
      <c r="CQ103" s="161"/>
      <c r="CR103" s="161"/>
      <c r="CS103" s="161"/>
      <c r="CT103" s="161"/>
      <c r="CU103" s="161"/>
      <c r="CV103" s="161"/>
      <c r="CW103" s="161"/>
      <c r="CX103" s="161"/>
      <c r="CY103" s="161"/>
      <c r="CZ103" s="161"/>
      <c r="DA103" s="161"/>
      <c r="DB103" s="161"/>
      <c r="DC103" s="161"/>
      <c r="DD103" s="161"/>
      <c r="DE103" s="161"/>
      <c r="DF103" s="161"/>
      <c r="DG103" s="161"/>
      <c r="DH103" s="161"/>
      <c r="DI103" s="161"/>
      <c r="DJ103" s="161"/>
      <c r="DK103" s="161"/>
      <c r="DL103" s="161"/>
      <c r="DM103" s="161"/>
      <c r="DN103" s="161"/>
      <c r="DO103" s="161"/>
      <c r="DP103" s="161"/>
      <c r="DQ103" s="161"/>
      <c r="DR103" s="161"/>
      <c r="DS103" s="161"/>
      <c r="DT103" s="161"/>
      <c r="DU103" s="161"/>
      <c r="DV103" s="161"/>
      <c r="DW103" s="161"/>
      <c r="DX103" s="161"/>
      <c r="DY103" s="161"/>
      <c r="DZ103" s="161"/>
      <c r="EA103" s="161"/>
      <c r="EB103" s="161"/>
      <c r="EC103" s="161"/>
      <c r="ED103" s="161"/>
      <c r="EE103" s="161"/>
      <c r="EF103" s="161"/>
      <c r="EG103" s="161"/>
      <c r="EH103" s="161"/>
      <c r="EI103" s="161"/>
      <c r="EJ103" s="161"/>
      <c r="EK103" s="161"/>
      <c r="EL103" s="161"/>
      <c r="EM103" s="161"/>
      <c r="EN103" s="161"/>
      <c r="EO103" s="161"/>
      <c r="EP103" s="161"/>
      <c r="EQ103" s="161"/>
      <c r="ER103" s="161"/>
      <c r="ES103" s="161"/>
      <c r="ET103" s="161"/>
      <c r="EU103" s="161"/>
      <c r="EV103" s="161"/>
      <c r="EW103" s="161"/>
      <c r="EX103" s="161"/>
      <c r="EY103" s="161"/>
      <c r="EZ103" s="161"/>
      <c r="FA103" s="161"/>
      <c r="FB103" s="161"/>
      <c r="FC103" s="161"/>
      <c r="FD103" s="161"/>
      <c r="FE103" s="161"/>
      <c r="FF103" s="161"/>
      <c r="FG103" s="161"/>
      <c r="FH103" s="161"/>
      <c r="FI103" s="161"/>
      <c r="FJ103" s="161"/>
      <c r="FK103" s="161"/>
      <c r="FL103" s="161"/>
      <c r="FM103" s="161"/>
      <c r="FN103" s="161"/>
      <c r="FO103" s="161"/>
      <c r="FP103" s="161"/>
      <c r="FQ103" s="161"/>
      <c r="FR103" s="161"/>
      <c r="FS103" s="161"/>
      <c r="FT103" s="161"/>
      <c r="FU103" s="161"/>
      <c r="FV103" s="161"/>
      <c r="FW103" s="161"/>
      <c r="FX103" s="161"/>
      <c r="FY103" s="161"/>
      <c r="FZ103" s="161"/>
      <c r="GA103" s="161"/>
      <c r="GB103" s="161"/>
      <c r="GC103" s="161"/>
      <c r="GD103" s="161"/>
      <c r="GE103" s="161"/>
      <c r="GF103" s="161"/>
      <c r="GG103" s="161"/>
      <c r="GH103" s="161"/>
      <c r="GI103" s="161"/>
      <c r="GJ103" s="161"/>
      <c r="GK103" s="161"/>
      <c r="GL103" s="161"/>
      <c r="GM103" s="161"/>
    </row>
    <row r="104" spans="1:195" s="166" customFormat="1" ht="13.8" hidden="1" outlineLevel="1">
      <c r="A104" s="1546"/>
      <c r="B104" s="313"/>
      <c r="C104" s="314"/>
      <c r="D104" s="1197"/>
      <c r="E104" s="2924" t="s">
        <v>773</v>
      </c>
      <c r="F104" s="154">
        <f>F113+F119+F129+F134+F138+F143</f>
        <v>3176466</v>
      </c>
      <c r="G104" s="154">
        <f>G113+G119+G129+G134+G138+G143</f>
        <v>1522581.8774999999</v>
      </c>
      <c r="H104" s="158">
        <f t="shared" si="6"/>
        <v>-1653884.1225000001</v>
      </c>
      <c r="I104" s="230">
        <f t="shared" si="7"/>
        <v>-0.52066797582596513</v>
      </c>
      <c r="J104" s="1516"/>
      <c r="K104" s="317"/>
      <c r="L104" s="283"/>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1"/>
      <c r="BR104" s="161"/>
      <c r="BS104" s="161"/>
      <c r="BT104" s="161"/>
      <c r="BU104" s="161"/>
      <c r="BV104" s="161"/>
      <c r="BW104" s="161"/>
      <c r="BX104" s="161"/>
      <c r="BY104" s="161"/>
      <c r="BZ104" s="161"/>
      <c r="CA104" s="161"/>
      <c r="CB104" s="161"/>
      <c r="CC104" s="161"/>
      <c r="CD104" s="161"/>
      <c r="CE104" s="161"/>
      <c r="CF104" s="161"/>
      <c r="CG104" s="161"/>
      <c r="CH104" s="161"/>
      <c r="CI104" s="161"/>
      <c r="CJ104" s="161"/>
      <c r="CK104" s="161"/>
      <c r="CL104" s="161"/>
      <c r="CM104" s="161"/>
      <c r="CN104" s="161"/>
      <c r="CO104" s="161"/>
      <c r="CP104" s="161"/>
      <c r="CQ104" s="161"/>
      <c r="CR104" s="161"/>
      <c r="CS104" s="161"/>
      <c r="CT104" s="161"/>
      <c r="CU104" s="161"/>
      <c r="CV104" s="161"/>
      <c r="CW104" s="161"/>
      <c r="CX104" s="161"/>
      <c r="CY104" s="161"/>
      <c r="CZ104" s="161"/>
      <c r="DA104" s="161"/>
      <c r="DB104" s="161"/>
      <c r="DC104" s="161"/>
      <c r="DD104" s="161"/>
      <c r="DE104" s="161"/>
      <c r="DF104" s="161"/>
      <c r="DG104" s="161"/>
      <c r="DH104" s="161"/>
      <c r="DI104" s="161"/>
      <c r="DJ104" s="161"/>
      <c r="DK104" s="161"/>
      <c r="DL104" s="161"/>
      <c r="DM104" s="161"/>
      <c r="DN104" s="161"/>
      <c r="DO104" s="161"/>
      <c r="DP104" s="161"/>
      <c r="DQ104" s="161"/>
      <c r="DR104" s="161"/>
      <c r="DS104" s="161"/>
      <c r="DT104" s="161"/>
      <c r="DU104" s="161"/>
      <c r="DV104" s="161"/>
      <c r="DW104" s="161"/>
      <c r="DX104" s="161"/>
      <c r="DY104" s="161"/>
      <c r="DZ104" s="161"/>
      <c r="EA104" s="161"/>
      <c r="EB104" s="161"/>
      <c r="EC104" s="161"/>
      <c r="ED104" s="161"/>
      <c r="EE104" s="161"/>
      <c r="EF104" s="161"/>
      <c r="EG104" s="161"/>
      <c r="EH104" s="161"/>
      <c r="EI104" s="161"/>
      <c r="EJ104" s="161"/>
      <c r="EK104" s="161"/>
      <c r="EL104" s="161"/>
      <c r="EM104" s="161"/>
      <c r="EN104" s="161"/>
      <c r="EO104" s="161"/>
      <c r="EP104" s="161"/>
      <c r="EQ104" s="161"/>
      <c r="ER104" s="161"/>
      <c r="ES104" s="161"/>
      <c r="ET104" s="161"/>
      <c r="EU104" s="161"/>
      <c r="EV104" s="161"/>
      <c r="EW104" s="161"/>
      <c r="EX104" s="161"/>
      <c r="EY104" s="161"/>
      <c r="EZ104" s="161"/>
      <c r="FA104" s="161"/>
      <c r="FB104" s="161"/>
      <c r="FC104" s="161"/>
      <c r="FD104" s="161"/>
      <c r="FE104" s="161"/>
      <c r="FF104" s="161"/>
      <c r="FG104" s="161"/>
      <c r="FH104" s="161"/>
      <c r="FI104" s="161"/>
      <c r="FJ104" s="161"/>
      <c r="FK104" s="161"/>
      <c r="FL104" s="161"/>
      <c r="FM104" s="161"/>
      <c r="FN104" s="161"/>
      <c r="FO104" s="161"/>
      <c r="FP104" s="161"/>
      <c r="FQ104" s="161"/>
      <c r="FR104" s="161"/>
      <c r="FS104" s="161"/>
      <c r="FT104" s="161"/>
      <c r="FU104" s="161"/>
      <c r="FV104" s="161"/>
      <c r="FW104" s="161"/>
      <c r="FX104" s="161"/>
      <c r="FY104" s="161"/>
      <c r="FZ104" s="161"/>
      <c r="GA104" s="161"/>
      <c r="GB104" s="161"/>
      <c r="GC104" s="161"/>
      <c r="GD104" s="161"/>
      <c r="GE104" s="161"/>
      <c r="GF104" s="161"/>
      <c r="GG104" s="161"/>
      <c r="GH104" s="161"/>
      <c r="GI104" s="161"/>
      <c r="GJ104" s="161"/>
      <c r="GK104" s="161"/>
      <c r="GL104" s="161"/>
      <c r="GM104" s="161"/>
    </row>
    <row r="105" spans="1:195" s="171" customFormat="1" ht="14.4" hidden="1" outlineLevel="1">
      <c r="A105" s="1546"/>
      <c r="B105" s="313"/>
      <c r="C105" s="314"/>
      <c r="D105" s="1200"/>
      <c r="E105" s="168" t="s">
        <v>437</v>
      </c>
      <c r="F105" s="169">
        <f>F120+F121</f>
        <v>30623</v>
      </c>
      <c r="G105" s="169">
        <f>G120+G121</f>
        <v>4575</v>
      </c>
      <c r="H105" s="170">
        <f>G105-F105</f>
        <v>-26048</v>
      </c>
      <c r="I105" s="234">
        <f t="shared" si="7"/>
        <v>-0.85060248832576824</v>
      </c>
      <c r="J105" s="1517"/>
      <c r="K105" s="317"/>
      <c r="L105" s="284"/>
      <c r="M105" s="251"/>
      <c r="N105" s="251"/>
      <c r="O105" s="251"/>
      <c r="P105" s="251"/>
      <c r="Q105" s="251"/>
      <c r="R105" s="251"/>
      <c r="S105" s="251"/>
      <c r="T105" s="251"/>
      <c r="U105" s="251"/>
      <c r="V105" s="251"/>
      <c r="W105" s="251"/>
      <c r="X105" s="251"/>
      <c r="Y105" s="251"/>
      <c r="Z105" s="251"/>
      <c r="AA105" s="251"/>
      <c r="AB105" s="251"/>
      <c r="AC105" s="251"/>
      <c r="AD105" s="251"/>
      <c r="AE105" s="251"/>
      <c r="AF105" s="251"/>
      <c r="AG105" s="251"/>
      <c r="AH105" s="251"/>
      <c r="AI105" s="251"/>
      <c r="AJ105" s="251"/>
      <c r="AK105" s="251"/>
      <c r="AL105" s="251"/>
      <c r="AM105" s="251"/>
      <c r="AN105" s="251"/>
      <c r="AO105" s="251"/>
      <c r="AP105" s="251"/>
      <c r="AQ105" s="251"/>
      <c r="AR105" s="251"/>
      <c r="AS105" s="251"/>
      <c r="AT105" s="251"/>
      <c r="AU105" s="251"/>
      <c r="AV105" s="251"/>
      <c r="AW105" s="251"/>
      <c r="AX105" s="251"/>
      <c r="AY105" s="251"/>
      <c r="AZ105" s="251"/>
      <c r="BA105" s="251"/>
      <c r="BB105" s="251"/>
      <c r="BC105" s="251"/>
      <c r="BD105" s="251"/>
      <c r="BE105" s="251"/>
      <c r="BF105" s="251"/>
      <c r="BG105" s="251"/>
      <c r="BH105" s="251"/>
      <c r="BI105" s="251"/>
      <c r="BJ105" s="251"/>
      <c r="BK105" s="251"/>
      <c r="BL105" s="251"/>
      <c r="BM105" s="251"/>
      <c r="BN105" s="251"/>
      <c r="BO105" s="251"/>
      <c r="BP105" s="251"/>
      <c r="BQ105" s="251"/>
      <c r="BR105" s="251"/>
      <c r="BS105" s="251"/>
      <c r="BT105" s="251"/>
      <c r="BU105" s="251"/>
      <c r="BV105" s="251"/>
      <c r="BW105" s="251"/>
      <c r="BX105" s="251"/>
      <c r="BY105" s="251"/>
      <c r="BZ105" s="251"/>
      <c r="CA105" s="251"/>
      <c r="CB105" s="251"/>
      <c r="CC105" s="251"/>
      <c r="CD105" s="251"/>
      <c r="CE105" s="251"/>
      <c r="CF105" s="251"/>
      <c r="CG105" s="251"/>
      <c r="CH105" s="251"/>
      <c r="CI105" s="251"/>
      <c r="CJ105" s="251"/>
      <c r="CK105" s="251"/>
      <c r="CL105" s="251"/>
      <c r="CM105" s="251"/>
      <c r="CN105" s="251"/>
      <c r="CO105" s="251"/>
      <c r="CP105" s="251"/>
      <c r="CQ105" s="251"/>
      <c r="CR105" s="251"/>
      <c r="CS105" s="251"/>
      <c r="CT105" s="251"/>
      <c r="CU105" s="251"/>
      <c r="CV105" s="251"/>
      <c r="CW105" s="251"/>
      <c r="CX105" s="251"/>
      <c r="CY105" s="251"/>
      <c r="CZ105" s="251"/>
      <c r="DA105" s="251"/>
      <c r="DB105" s="251"/>
      <c r="DC105" s="251"/>
      <c r="DD105" s="251"/>
      <c r="DE105" s="251"/>
      <c r="DF105" s="251"/>
      <c r="DG105" s="251"/>
      <c r="DH105" s="251"/>
      <c r="DI105" s="251"/>
      <c r="DJ105" s="251"/>
      <c r="DK105" s="251"/>
      <c r="DL105" s="251"/>
      <c r="DM105" s="251"/>
      <c r="DN105" s="251"/>
      <c r="DO105" s="251"/>
      <c r="DP105" s="251"/>
      <c r="DQ105" s="251"/>
      <c r="DR105" s="251"/>
      <c r="DS105" s="251"/>
      <c r="DT105" s="251"/>
      <c r="DU105" s="251"/>
      <c r="DV105" s="251"/>
      <c r="DW105" s="251"/>
      <c r="DX105" s="251"/>
      <c r="DY105" s="251"/>
      <c r="DZ105" s="251"/>
      <c r="EA105" s="251"/>
      <c r="EB105" s="251"/>
      <c r="EC105" s="251"/>
      <c r="ED105" s="251"/>
      <c r="EE105" s="251"/>
      <c r="EF105" s="251"/>
      <c r="EG105" s="251"/>
      <c r="EH105" s="251"/>
      <c r="EI105" s="251"/>
      <c r="EJ105" s="251"/>
      <c r="EK105" s="251"/>
      <c r="EL105" s="251"/>
      <c r="EM105" s="251"/>
      <c r="EN105" s="251"/>
      <c r="EO105" s="251"/>
      <c r="EP105" s="251"/>
      <c r="EQ105" s="251"/>
      <c r="ER105" s="251"/>
      <c r="ES105" s="251"/>
      <c r="ET105" s="251"/>
      <c r="EU105" s="251"/>
      <c r="EV105" s="251"/>
      <c r="EW105" s="251"/>
      <c r="EX105" s="251"/>
      <c r="EY105" s="251"/>
      <c r="EZ105" s="251"/>
      <c r="FA105" s="251"/>
      <c r="FB105" s="251"/>
      <c r="FC105" s="251"/>
      <c r="FD105" s="251"/>
      <c r="FE105" s="251"/>
      <c r="FF105" s="251"/>
      <c r="FG105" s="251"/>
      <c r="FH105" s="251"/>
      <c r="FI105" s="251"/>
      <c r="FJ105" s="251"/>
      <c r="FK105" s="251"/>
      <c r="FL105" s="251"/>
      <c r="FM105" s="251"/>
      <c r="FN105" s="251"/>
      <c r="FO105" s="251"/>
      <c r="FP105" s="251"/>
      <c r="FQ105" s="251"/>
      <c r="FR105" s="251"/>
      <c r="FS105" s="251"/>
      <c r="FT105" s="251"/>
      <c r="FU105" s="251"/>
      <c r="FV105" s="251"/>
      <c r="FW105" s="251"/>
      <c r="FX105" s="251"/>
      <c r="FY105" s="251"/>
      <c r="FZ105" s="251"/>
      <c r="GA105" s="251"/>
      <c r="GB105" s="251"/>
      <c r="GC105" s="251"/>
      <c r="GD105" s="251"/>
      <c r="GE105" s="251"/>
      <c r="GF105" s="251"/>
      <c r="GG105" s="251"/>
      <c r="GH105" s="251"/>
      <c r="GI105" s="251"/>
      <c r="GJ105" s="251"/>
      <c r="GK105" s="251"/>
      <c r="GL105" s="251"/>
      <c r="GM105" s="251"/>
    </row>
    <row r="106" spans="1:195" ht="27.6" collapsed="1">
      <c r="D106" s="38" t="s">
        <v>21</v>
      </c>
      <c r="E106" s="42" t="s">
        <v>84</v>
      </c>
      <c r="F106" s="33">
        <f>F107+F108</f>
        <v>122568.20591000005</v>
      </c>
      <c r="G106" s="33">
        <f>G107+G108</f>
        <v>151528.09996000002</v>
      </c>
      <c r="H106" s="43">
        <f>G106-F106</f>
        <v>28959.894049999974</v>
      </c>
      <c r="I106" s="235">
        <f>IFERROR(H106/F106,"-")</f>
        <v>0.23627574406420518</v>
      </c>
      <c r="J106" s="1518"/>
      <c r="K106" s="72"/>
    </row>
    <row r="107" spans="1:195" ht="13.8">
      <c r="A107" s="179" t="s">
        <v>1902</v>
      </c>
      <c r="C107" s="253"/>
      <c r="D107" s="1221" t="s">
        <v>1033</v>
      </c>
      <c r="E107" s="1166" t="s">
        <v>2728</v>
      </c>
      <c r="F107" s="92">
        <f>SUMIF(INPUT!$E:$E,BAZE_2026!$A107,INPUT!$H:$H)</f>
        <v>70000</v>
      </c>
      <c r="G107" s="1103">
        <f>SUMIF(INPUT!$E:$E,BAZE_2026!$A107,INPUT!$L:$L)</f>
        <v>70000</v>
      </c>
      <c r="H107" s="27">
        <f>G107-F107</f>
        <v>0</v>
      </c>
      <c r="I107" s="220">
        <f>IFERROR(H107/F107,"-")</f>
        <v>0</v>
      </c>
      <c r="J107" s="1519"/>
      <c r="K107" s="72"/>
    </row>
    <row r="108" spans="1:195" ht="57.6" customHeight="1">
      <c r="A108" s="179" t="s">
        <v>2727</v>
      </c>
      <c r="C108" s="253"/>
      <c r="D108" s="1221" t="s">
        <v>1034</v>
      </c>
      <c r="E108" s="1166" t="s">
        <v>1988</v>
      </c>
      <c r="F108" s="92">
        <f>SUMIF(INPUT!$E:$E,BAZE_2026!$A108,INPUT!$H:$H)</f>
        <v>52568.205910000048</v>
      </c>
      <c r="G108" s="3212">
        <f>SUMIF(INPUT!$E:$E,BAZE_2026!$A108,INPUT!$L:$L)</f>
        <v>81528.099960000007</v>
      </c>
      <c r="H108" s="27">
        <f>G108-F108</f>
        <v>28959.894049999959</v>
      </c>
      <c r="I108" s="220">
        <f>IFERROR(H108/F108,"-")</f>
        <v>0.55090132045938667</v>
      </c>
      <c r="J108" s="2884" t="s">
        <v>5241</v>
      </c>
      <c r="K108" s="72"/>
    </row>
    <row r="109" spans="1:195" ht="13.8">
      <c r="D109" s="38" t="s">
        <v>22</v>
      </c>
      <c r="E109" s="42" t="s">
        <v>383</v>
      </c>
      <c r="F109" s="2925">
        <f>F110+F111+F112</f>
        <v>333392.84449063998</v>
      </c>
      <c r="G109" s="2925">
        <f>G110+G111+G112</f>
        <v>356794.14234167995</v>
      </c>
      <c r="H109" s="43">
        <f t="shared" si="6"/>
        <v>23401.29785103997</v>
      </c>
      <c r="I109" s="235">
        <f t="shared" si="7"/>
        <v>7.0191362045555122E-2</v>
      </c>
      <c r="J109" s="1518"/>
      <c r="K109" s="72"/>
    </row>
    <row r="110" spans="1:195" s="8" customFormat="1" ht="13.8" hidden="1" outlineLevel="1">
      <c r="A110" s="179" t="s">
        <v>421</v>
      </c>
      <c r="B110" s="179" t="s">
        <v>436</v>
      </c>
      <c r="C110" s="248"/>
      <c r="D110" s="58"/>
      <c r="E110" s="59" t="s">
        <v>436</v>
      </c>
      <c r="F110" s="92">
        <f>SUMIFS(INPUT!$H:$H,INPUT!$E:$E,BAZE_2026!$A110,INPUT!$B:$B,BAZE_2026!$B110)</f>
        <v>303673.38449063996</v>
      </c>
      <c r="G110" s="92">
        <f>SUMIFS(INPUT!$L:$L,INPUT!$E:$E,BAZE_2026!$A110,INPUT!$B:$B,BAZE_2026!$B110)</f>
        <v>322472.96034167998</v>
      </c>
      <c r="H110" s="27">
        <f t="shared" si="6"/>
        <v>18799.575851040019</v>
      </c>
      <c r="I110" s="220">
        <f t="shared" si="7"/>
        <v>6.1907222730675213E-2</v>
      </c>
      <c r="J110" s="2563" t="s">
        <v>4760</v>
      </c>
      <c r="K110" s="72"/>
      <c r="L110" s="12"/>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row>
    <row r="111" spans="1:195" s="8" customFormat="1" ht="31.5" hidden="1" customHeight="1" outlineLevel="1">
      <c r="A111" s="179" t="s">
        <v>421</v>
      </c>
      <c r="B111" s="179" t="s">
        <v>772</v>
      </c>
      <c r="C111" s="248"/>
      <c r="D111" s="64"/>
      <c r="E111" s="65" t="s">
        <v>376</v>
      </c>
      <c r="F111" s="92">
        <f>SUMIFS(INPUT!$H:$H,INPUT!$E:$E,BAZE_2026!$A111,INPUT!$B:$B,BAZE_2026!$B111)</f>
        <v>27719.46</v>
      </c>
      <c r="G111" s="92">
        <f>SUMIFS(INPUT!$L:$L,INPUT!$E:$E,BAZE_2026!$A111,INPUT!$B:$B,BAZE_2026!$B111)</f>
        <v>29671.181999999997</v>
      </c>
      <c r="H111" s="48">
        <f t="shared" si="6"/>
        <v>1951.7219999999979</v>
      </c>
      <c r="I111" s="232">
        <f t="shared" si="7"/>
        <v>7.0409813178178723E-2</v>
      </c>
      <c r="J111" s="2564" t="s">
        <v>5138</v>
      </c>
      <c r="K111" s="54"/>
      <c r="L111" s="135"/>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row>
    <row r="112" spans="1:195" s="8" customFormat="1" ht="27.6" hidden="1" outlineLevel="1">
      <c r="A112" s="179" t="s">
        <v>421</v>
      </c>
      <c r="B112" s="179" t="s">
        <v>774</v>
      </c>
      <c r="C112" s="248"/>
      <c r="D112" s="58"/>
      <c r="E112" s="59" t="s">
        <v>375</v>
      </c>
      <c r="F112" s="92">
        <f>SUMIFS(INPUT!$H:$H,INPUT!$E:$E,BAZE_2026!$A112,INPUT!$B:$B,BAZE_2026!$B112)</f>
        <v>2000</v>
      </c>
      <c r="G112" s="92">
        <f>SUMIFS(INPUT!$L:$L,INPUT!$E:$E,BAZE_2026!$A112,INPUT!$B:$B,BAZE_2026!$B112)</f>
        <v>4650</v>
      </c>
      <c r="H112" s="48">
        <f t="shared" si="6"/>
        <v>2650</v>
      </c>
      <c r="I112" s="232">
        <f t="shared" si="7"/>
        <v>1.325</v>
      </c>
      <c r="J112" s="2565" t="s">
        <v>5046</v>
      </c>
      <c r="K112" s="72"/>
      <c r="L112" s="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row>
    <row r="113" spans="1:195" s="166" customFormat="1" ht="13.8" hidden="1" outlineLevel="1">
      <c r="A113" s="315" t="s">
        <v>421</v>
      </c>
      <c r="B113" s="315" t="s">
        <v>773</v>
      </c>
      <c r="C113" s="316"/>
      <c r="D113" s="2919"/>
      <c r="E113" s="164" t="s">
        <v>773</v>
      </c>
      <c r="F113" s="154">
        <f>SUMIFS(INPUT!$H:$H,INPUT!$E:$E,BAZE_2026!$A113,INPUT!$B:$B,BAZE_2026!$B113)</f>
        <v>0</v>
      </c>
      <c r="G113" s="154">
        <f>SUMIFS(INPUT!$L:$L,INPUT!$E:$E,BAZE_2026!$A113,INPUT!$B:$B,BAZE_2026!$B113)</f>
        <v>0</v>
      </c>
      <c r="H113" s="158">
        <f t="shared" si="6"/>
        <v>0</v>
      </c>
      <c r="I113" s="230" t="str">
        <f t="shared" si="7"/>
        <v>-</v>
      </c>
      <c r="J113" s="2920"/>
      <c r="K113" s="317"/>
      <c r="L113" s="283"/>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c r="BX113" s="161"/>
      <c r="BY113" s="161"/>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1"/>
      <c r="DJ113" s="161"/>
      <c r="DK113" s="161"/>
      <c r="DL113" s="161"/>
      <c r="DM113" s="161"/>
      <c r="DN113" s="161"/>
      <c r="DO113" s="161"/>
      <c r="DP113" s="161"/>
      <c r="DQ113" s="161"/>
      <c r="DR113" s="161"/>
      <c r="DS113" s="161"/>
      <c r="DT113" s="161"/>
      <c r="DU113" s="161"/>
      <c r="DV113" s="161"/>
      <c r="DW113" s="161"/>
      <c r="DX113" s="161"/>
      <c r="DY113" s="161"/>
      <c r="DZ113" s="161"/>
      <c r="EA113" s="161"/>
      <c r="EB113" s="161"/>
      <c r="EC113" s="161"/>
      <c r="ED113" s="161"/>
      <c r="EE113" s="161"/>
      <c r="EF113" s="161"/>
      <c r="EG113" s="161"/>
      <c r="EH113" s="161"/>
      <c r="EI113" s="161"/>
      <c r="EJ113" s="161"/>
      <c r="EK113" s="161"/>
      <c r="EL113" s="161"/>
      <c r="EM113" s="161"/>
      <c r="EN113" s="161"/>
      <c r="EO113" s="161"/>
      <c r="EP113" s="161"/>
      <c r="EQ113" s="161"/>
      <c r="ER113" s="161"/>
      <c r="ES113" s="161"/>
      <c r="ET113" s="161"/>
      <c r="EU113" s="161"/>
      <c r="EV113" s="161"/>
      <c r="EW113" s="161"/>
      <c r="EX113" s="161"/>
      <c r="EY113" s="161"/>
      <c r="EZ113" s="161"/>
      <c r="FA113" s="161"/>
      <c r="FB113" s="161"/>
      <c r="FC113" s="161"/>
      <c r="FD113" s="161"/>
      <c r="FE113" s="161"/>
      <c r="FF113" s="161"/>
      <c r="FG113" s="161"/>
      <c r="FH113" s="161"/>
      <c r="FI113" s="161"/>
      <c r="FJ113" s="161"/>
      <c r="FK113" s="161"/>
      <c r="FL113" s="161"/>
      <c r="FM113" s="161"/>
      <c r="FN113" s="161"/>
      <c r="FO113" s="161"/>
      <c r="FP113" s="161"/>
      <c r="FQ113" s="161"/>
      <c r="FR113" s="161"/>
      <c r="FS113" s="161"/>
      <c r="FT113" s="161"/>
      <c r="FU113" s="161"/>
      <c r="FV113" s="161"/>
      <c r="FW113" s="161"/>
      <c r="FX113" s="161"/>
      <c r="FY113" s="161"/>
      <c r="FZ113" s="161"/>
      <c r="GA113" s="161"/>
      <c r="GB113" s="161"/>
      <c r="GC113" s="161"/>
      <c r="GD113" s="161"/>
      <c r="GE113" s="161"/>
      <c r="GF113" s="161"/>
      <c r="GG113" s="161"/>
      <c r="GH113" s="161"/>
      <c r="GI113" s="161"/>
      <c r="GJ113" s="161"/>
      <c r="GK113" s="161"/>
      <c r="GL113" s="161"/>
      <c r="GM113" s="161"/>
    </row>
    <row r="114" spans="1:195" ht="27.6" collapsed="1">
      <c r="D114" s="38" t="s">
        <v>1163</v>
      </c>
      <c r="E114" s="42" t="s">
        <v>979</v>
      </c>
      <c r="F114" s="2925">
        <f>F115+F116+F117</f>
        <v>450255.62713242666</v>
      </c>
      <c r="G114" s="2925">
        <f>G115+G116+G117</f>
        <v>478784.73851270002</v>
      </c>
      <c r="H114" s="43">
        <f t="shared" si="6"/>
        <v>28529.11138027336</v>
      </c>
      <c r="I114" s="235">
        <f t="shared" si="7"/>
        <v>6.3362031835045865E-2</v>
      </c>
      <c r="J114" s="1520"/>
      <c r="K114" s="72"/>
    </row>
    <row r="115" spans="1:195" s="8" customFormat="1" ht="33" hidden="1" customHeight="1" outlineLevel="1">
      <c r="A115" s="179" t="s">
        <v>1903</v>
      </c>
      <c r="B115" s="179" t="s">
        <v>436</v>
      </c>
      <c r="C115" s="248"/>
      <c r="D115" s="58"/>
      <c r="E115" s="59" t="s">
        <v>436</v>
      </c>
      <c r="F115" s="92">
        <f>SUMIFS(INPUT!$H:$H,INPUT!$E:$E,BAZE_2026!$A115,INPUT!$B:$B,BAZE_2026!$B115)</f>
        <v>329109.34046575997</v>
      </c>
      <c r="G115" s="92">
        <f>SUMIFS(INPUT!$L:$L,INPUT!$E:$E,BAZE_2026!$A115,INPUT!$B:$B,BAZE_2026!$B115)</f>
        <v>361371.37851270003</v>
      </c>
      <c r="H115" s="48">
        <f t="shared" si="6"/>
        <v>32262.038046940055</v>
      </c>
      <c r="I115" s="232">
        <f t="shared" si="7"/>
        <v>9.8028327003063437E-2</v>
      </c>
      <c r="J115" s="2560" t="s">
        <v>4786</v>
      </c>
      <c r="K115" s="72"/>
      <c r="L115" s="12"/>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row>
    <row r="116" spans="1:195" s="8" customFormat="1" ht="30" hidden="1" customHeight="1" outlineLevel="1">
      <c r="A116" s="179" t="s">
        <v>1903</v>
      </c>
      <c r="B116" s="179" t="s">
        <v>772</v>
      </c>
      <c r="C116" s="248"/>
      <c r="D116" s="64"/>
      <c r="E116" s="65" t="s">
        <v>376</v>
      </c>
      <c r="F116" s="92">
        <f>SUMIFS(INPUT!$H:$H,INPUT!$E:$E,BAZE_2026!$A116,INPUT!$B:$B,BAZE_2026!$B116)</f>
        <v>108386.28666666667</v>
      </c>
      <c r="G116" s="92">
        <f>SUMIFS(INPUT!$L:$L,INPUT!$E:$E,BAZE_2026!$A116,INPUT!$B:$B,BAZE_2026!$B116)</f>
        <v>112615.36</v>
      </c>
      <c r="H116" s="48">
        <f t="shared" si="6"/>
        <v>4229.0733333333337</v>
      </c>
      <c r="I116" s="232">
        <f t="shared" si="7"/>
        <v>3.9018527743638912E-2</v>
      </c>
      <c r="J116" s="2560" t="s">
        <v>5007</v>
      </c>
      <c r="K116" s="54"/>
      <c r="L116" s="135"/>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row>
    <row r="117" spans="1:195" s="8" customFormat="1" ht="13.8" hidden="1" outlineLevel="1">
      <c r="A117" s="179" t="s">
        <v>1903</v>
      </c>
      <c r="B117" s="179" t="s">
        <v>774</v>
      </c>
      <c r="C117" s="248"/>
      <c r="D117" s="58"/>
      <c r="E117" s="59" t="s">
        <v>375</v>
      </c>
      <c r="F117" s="92">
        <f>SUMIFS(INPUT!$H:$H,INPUT!$E:$E,BAZE_2026!$A117,INPUT!$B:$B,BAZE_2026!$B117)</f>
        <v>12760</v>
      </c>
      <c r="G117" s="92">
        <f>SUMIFS(INPUT!$L:$L,INPUT!$E:$E,BAZE_2026!$A117,INPUT!$B:$B,BAZE_2026!$B117)</f>
        <v>4798</v>
      </c>
      <c r="H117" s="48">
        <f t="shared" ref="H117:H143" si="9">G117-F117</f>
        <v>-7962</v>
      </c>
      <c r="I117" s="232">
        <f t="shared" ref="I117:I145" si="10">IFERROR(H117/F117,"-")</f>
        <v>-0.62398119122257056</v>
      </c>
      <c r="J117" s="2563" t="s">
        <v>5139</v>
      </c>
      <c r="K117" s="72"/>
      <c r="L117" s="12"/>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row>
    <row r="118" spans="1:195" s="166" customFormat="1" ht="13.8" hidden="1" outlineLevel="1">
      <c r="A118" s="315" t="s">
        <v>1903</v>
      </c>
      <c r="B118" s="315" t="s">
        <v>326</v>
      </c>
      <c r="C118" s="316"/>
      <c r="D118" s="2927"/>
      <c r="E118" s="2924" t="s">
        <v>698</v>
      </c>
      <c r="F118" s="154">
        <f>SUMIFS(INPUT!$H:$H,INPUT!$E:$E,BAZE_2026!$A118,INPUT!$B:$B,BAZE_2026!$B118)</f>
        <v>0</v>
      </c>
      <c r="G118" s="154">
        <f>SUMIFS(INPUT!$L:$L,INPUT!$E:$E,BAZE_2026!$A118,INPUT!$B:$B,BAZE_2026!$B118)</f>
        <v>1300</v>
      </c>
      <c r="H118" s="158">
        <f t="shared" si="9"/>
        <v>1300</v>
      </c>
      <c r="I118" s="230" t="str">
        <f t="shared" si="10"/>
        <v>-</v>
      </c>
      <c r="J118" s="2920"/>
      <c r="K118" s="317"/>
      <c r="L118" s="283"/>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1"/>
      <c r="AV118" s="161"/>
      <c r="AW118" s="161"/>
      <c r="AX118" s="161"/>
      <c r="AY118" s="161"/>
      <c r="AZ118" s="161"/>
      <c r="BA118" s="161"/>
      <c r="BB118" s="161"/>
      <c r="BC118" s="161"/>
      <c r="BD118" s="161"/>
      <c r="BE118" s="161"/>
      <c r="BF118" s="161"/>
      <c r="BG118" s="161"/>
      <c r="BH118" s="161"/>
      <c r="BI118" s="161"/>
      <c r="BJ118" s="161"/>
      <c r="BK118" s="161"/>
      <c r="BL118" s="161"/>
      <c r="BM118" s="161"/>
      <c r="BN118" s="161"/>
      <c r="BO118" s="161"/>
      <c r="BP118" s="161"/>
      <c r="BQ118" s="161"/>
      <c r="BR118" s="161"/>
      <c r="BS118" s="161"/>
      <c r="BT118" s="161"/>
      <c r="BU118" s="161"/>
      <c r="BV118" s="161"/>
      <c r="BW118" s="161"/>
      <c r="BX118" s="161"/>
      <c r="BY118" s="161"/>
      <c r="BZ118" s="161"/>
      <c r="CA118" s="161"/>
      <c r="CB118" s="161"/>
      <c r="CC118" s="161"/>
      <c r="CD118" s="161"/>
      <c r="CE118" s="161"/>
      <c r="CF118" s="161"/>
      <c r="CG118" s="161"/>
      <c r="CH118" s="161"/>
      <c r="CI118" s="161"/>
      <c r="CJ118" s="161"/>
      <c r="CK118" s="161"/>
      <c r="CL118" s="161"/>
      <c r="CM118" s="161"/>
      <c r="CN118" s="161"/>
      <c r="CO118" s="161"/>
      <c r="CP118" s="161"/>
      <c r="CQ118" s="161"/>
      <c r="CR118" s="161"/>
      <c r="CS118" s="161"/>
      <c r="CT118" s="161"/>
      <c r="CU118" s="161"/>
      <c r="CV118" s="161"/>
      <c r="CW118" s="161"/>
      <c r="CX118" s="161"/>
      <c r="CY118" s="161"/>
      <c r="CZ118" s="161"/>
      <c r="DA118" s="161"/>
      <c r="DB118" s="161"/>
      <c r="DC118" s="161"/>
      <c r="DD118" s="161"/>
      <c r="DE118" s="161"/>
      <c r="DF118" s="161"/>
      <c r="DG118" s="161"/>
      <c r="DH118" s="161"/>
      <c r="DI118" s="161"/>
      <c r="DJ118" s="161"/>
      <c r="DK118" s="161"/>
      <c r="DL118" s="161"/>
      <c r="DM118" s="161"/>
      <c r="DN118" s="161"/>
      <c r="DO118" s="161"/>
      <c r="DP118" s="161"/>
      <c r="DQ118" s="161"/>
      <c r="DR118" s="161"/>
      <c r="DS118" s="161"/>
      <c r="DT118" s="161"/>
      <c r="DU118" s="161"/>
      <c r="DV118" s="161"/>
      <c r="DW118" s="161"/>
      <c r="DX118" s="161"/>
      <c r="DY118" s="161"/>
      <c r="DZ118" s="161"/>
      <c r="EA118" s="161"/>
      <c r="EB118" s="161"/>
      <c r="EC118" s="161"/>
      <c r="ED118" s="161"/>
      <c r="EE118" s="161"/>
      <c r="EF118" s="161"/>
      <c r="EG118" s="161"/>
      <c r="EH118" s="161"/>
      <c r="EI118" s="161"/>
      <c r="EJ118" s="161"/>
      <c r="EK118" s="161"/>
      <c r="EL118" s="161"/>
      <c r="EM118" s="161"/>
      <c r="EN118" s="161"/>
      <c r="EO118" s="161"/>
      <c r="EP118" s="161"/>
      <c r="EQ118" s="161"/>
      <c r="ER118" s="161"/>
      <c r="ES118" s="161"/>
      <c r="ET118" s="161"/>
      <c r="EU118" s="161"/>
      <c r="EV118" s="161"/>
      <c r="EW118" s="161"/>
      <c r="EX118" s="161"/>
      <c r="EY118" s="161"/>
      <c r="EZ118" s="161"/>
      <c r="FA118" s="161"/>
      <c r="FB118" s="161"/>
      <c r="FC118" s="161"/>
      <c r="FD118" s="161"/>
      <c r="FE118" s="161"/>
      <c r="FF118" s="161"/>
      <c r="FG118" s="161"/>
      <c r="FH118" s="161"/>
      <c r="FI118" s="161"/>
      <c r="FJ118" s="161"/>
      <c r="FK118" s="161"/>
      <c r="FL118" s="161"/>
      <c r="FM118" s="161"/>
      <c r="FN118" s="161"/>
      <c r="FO118" s="161"/>
      <c r="FP118" s="161"/>
      <c r="FQ118" s="161"/>
      <c r="FR118" s="161"/>
      <c r="FS118" s="161"/>
      <c r="FT118" s="161"/>
      <c r="FU118" s="161"/>
      <c r="FV118" s="161"/>
      <c r="FW118" s="161"/>
      <c r="FX118" s="161"/>
      <c r="FY118" s="161"/>
      <c r="FZ118" s="161"/>
      <c r="GA118" s="161"/>
      <c r="GB118" s="161"/>
      <c r="GC118" s="161"/>
      <c r="GD118" s="161"/>
      <c r="GE118" s="161"/>
      <c r="GF118" s="161"/>
      <c r="GG118" s="161"/>
      <c r="GH118" s="161"/>
      <c r="GI118" s="161"/>
      <c r="GJ118" s="161"/>
      <c r="GK118" s="161"/>
      <c r="GL118" s="161"/>
      <c r="GM118" s="161"/>
    </row>
    <row r="119" spans="1:195" s="166" customFormat="1" ht="13.8" hidden="1" outlineLevel="1">
      <c r="A119" s="315" t="s">
        <v>1903</v>
      </c>
      <c r="B119" s="315" t="s">
        <v>773</v>
      </c>
      <c r="C119" s="316"/>
      <c r="D119" s="2919"/>
      <c r="E119" s="164" t="s">
        <v>773</v>
      </c>
      <c r="F119" s="154">
        <f>SUMIFS(INPUT!$H:$H,INPUT!$E:$E,BAZE_2026!$A119,INPUT!$B:$B,BAZE_2026!$B119)</f>
        <v>52730</v>
      </c>
      <c r="G119" s="154">
        <f>SUMIFS(INPUT!$L:$L,INPUT!$E:$E,BAZE_2026!$A119,INPUT!$B:$B,BAZE_2026!$B119)</f>
        <v>1499581.8774999999</v>
      </c>
      <c r="H119" s="158">
        <f t="shared" si="9"/>
        <v>1446851.8774999999</v>
      </c>
      <c r="I119" s="230">
        <f t="shared" si="10"/>
        <v>27.438874976294329</v>
      </c>
      <c r="J119" s="2920"/>
      <c r="K119" s="317"/>
      <c r="L119" s="283"/>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1"/>
      <c r="AP119" s="161"/>
      <c r="AQ119" s="161"/>
      <c r="AR119" s="161"/>
      <c r="AS119" s="161"/>
      <c r="AT119" s="161"/>
      <c r="AU119" s="161"/>
      <c r="AV119" s="161"/>
      <c r="AW119" s="161"/>
      <c r="AX119" s="161"/>
      <c r="AY119" s="161"/>
      <c r="AZ119" s="161"/>
      <c r="BA119" s="161"/>
      <c r="BB119" s="161"/>
      <c r="BC119" s="161"/>
      <c r="BD119" s="161"/>
      <c r="BE119" s="161"/>
      <c r="BF119" s="161"/>
      <c r="BG119" s="161"/>
      <c r="BH119" s="161"/>
      <c r="BI119" s="161"/>
      <c r="BJ119" s="161"/>
      <c r="BK119" s="161"/>
      <c r="BL119" s="161"/>
      <c r="BM119" s="161"/>
      <c r="BN119" s="161"/>
      <c r="BO119" s="161"/>
      <c r="BP119" s="161"/>
      <c r="BQ119" s="161"/>
      <c r="BR119" s="161"/>
      <c r="BS119" s="161"/>
      <c r="BT119" s="161"/>
      <c r="BU119" s="161"/>
      <c r="BV119" s="161"/>
      <c r="BW119" s="161"/>
      <c r="BX119" s="161"/>
      <c r="BY119" s="161"/>
      <c r="BZ119" s="161"/>
      <c r="CA119" s="161"/>
      <c r="CB119" s="161"/>
      <c r="CC119" s="161"/>
      <c r="CD119" s="161"/>
      <c r="CE119" s="161"/>
      <c r="CF119" s="161"/>
      <c r="CG119" s="161"/>
      <c r="CH119" s="161"/>
      <c r="CI119" s="161"/>
      <c r="CJ119" s="161"/>
      <c r="CK119" s="161"/>
      <c r="CL119" s="161"/>
      <c r="CM119" s="161"/>
      <c r="CN119" s="161"/>
      <c r="CO119" s="161"/>
      <c r="CP119" s="161"/>
      <c r="CQ119" s="161"/>
      <c r="CR119" s="161"/>
      <c r="CS119" s="161"/>
      <c r="CT119" s="161"/>
      <c r="CU119" s="161"/>
      <c r="CV119" s="161"/>
      <c r="CW119" s="161"/>
      <c r="CX119" s="161"/>
      <c r="CY119" s="161"/>
      <c r="CZ119" s="161"/>
      <c r="DA119" s="161"/>
      <c r="DB119" s="161"/>
      <c r="DC119" s="161"/>
      <c r="DD119" s="161"/>
      <c r="DE119" s="161"/>
      <c r="DF119" s="161"/>
      <c r="DG119" s="161"/>
      <c r="DH119" s="161"/>
      <c r="DI119" s="161"/>
      <c r="DJ119" s="161"/>
      <c r="DK119" s="161"/>
      <c r="DL119" s="161"/>
      <c r="DM119" s="161"/>
      <c r="DN119" s="161"/>
      <c r="DO119" s="161"/>
      <c r="DP119" s="161"/>
      <c r="DQ119" s="161"/>
      <c r="DR119" s="161"/>
      <c r="DS119" s="161"/>
      <c r="DT119" s="161"/>
      <c r="DU119" s="161"/>
      <c r="DV119" s="161"/>
      <c r="DW119" s="161"/>
      <c r="DX119" s="161"/>
      <c r="DY119" s="161"/>
      <c r="DZ119" s="161"/>
      <c r="EA119" s="161"/>
      <c r="EB119" s="161"/>
      <c r="EC119" s="161"/>
      <c r="ED119" s="161"/>
      <c r="EE119" s="161"/>
      <c r="EF119" s="161"/>
      <c r="EG119" s="161"/>
      <c r="EH119" s="161"/>
      <c r="EI119" s="161"/>
      <c r="EJ119" s="161"/>
      <c r="EK119" s="161"/>
      <c r="EL119" s="161"/>
      <c r="EM119" s="161"/>
      <c r="EN119" s="161"/>
      <c r="EO119" s="161"/>
      <c r="EP119" s="161"/>
      <c r="EQ119" s="161"/>
      <c r="ER119" s="161"/>
      <c r="ES119" s="161"/>
      <c r="ET119" s="161"/>
      <c r="EU119" s="161"/>
      <c r="EV119" s="161"/>
      <c r="EW119" s="161"/>
      <c r="EX119" s="161"/>
      <c r="EY119" s="161"/>
      <c r="EZ119" s="161"/>
      <c r="FA119" s="161"/>
      <c r="FB119" s="161"/>
      <c r="FC119" s="161"/>
      <c r="FD119" s="161"/>
      <c r="FE119" s="161"/>
      <c r="FF119" s="161"/>
      <c r="FG119" s="161"/>
      <c r="FH119" s="161"/>
      <c r="FI119" s="161"/>
      <c r="FJ119" s="161"/>
      <c r="FK119" s="161"/>
      <c r="FL119" s="161"/>
      <c r="FM119" s="161"/>
      <c r="FN119" s="161"/>
      <c r="FO119" s="161"/>
      <c r="FP119" s="161"/>
      <c r="FQ119" s="161"/>
      <c r="FR119" s="161"/>
      <c r="FS119" s="161"/>
      <c r="FT119" s="161"/>
      <c r="FU119" s="161"/>
      <c r="FV119" s="161"/>
      <c r="FW119" s="161"/>
      <c r="FX119" s="161"/>
      <c r="FY119" s="161"/>
      <c r="FZ119" s="161"/>
      <c r="GA119" s="161"/>
      <c r="GB119" s="161"/>
      <c r="GC119" s="161"/>
      <c r="GD119" s="161"/>
      <c r="GE119" s="161"/>
      <c r="GF119" s="161"/>
      <c r="GG119" s="161"/>
      <c r="GH119" s="161"/>
      <c r="GI119" s="161"/>
      <c r="GJ119" s="161"/>
      <c r="GK119" s="161"/>
      <c r="GL119" s="161"/>
      <c r="GM119" s="161"/>
    </row>
    <row r="120" spans="1:195" s="166" customFormat="1" ht="16.2" hidden="1" customHeight="1" outlineLevel="1">
      <c r="A120" s="315" t="s">
        <v>1903</v>
      </c>
      <c r="B120" s="315" t="s">
        <v>365</v>
      </c>
      <c r="C120" s="316"/>
      <c r="D120" s="2926"/>
      <c r="E120" s="276" t="s">
        <v>49</v>
      </c>
      <c r="F120" s="154">
        <f>SUMIFS(INPUT!$H:$H,INPUT!$E:$E,BAZE_2026!$A120,INPUT!$B:$B,BAZE_2026!$B120)</f>
        <v>30623</v>
      </c>
      <c r="G120" s="154">
        <f>SUMIFS(INPUT!$L:$L,INPUT!$E:$E,BAZE_2026!$A120,INPUT!$B:$B,BAZE_2026!$B120)</f>
        <v>4575</v>
      </c>
      <c r="H120" s="158">
        <f t="shared" si="9"/>
        <v>-26048</v>
      </c>
      <c r="I120" s="230">
        <f t="shared" si="10"/>
        <v>-0.85060248832576824</v>
      </c>
      <c r="J120" s="2920"/>
      <c r="K120" s="317"/>
      <c r="L120" s="283"/>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1"/>
      <c r="CL120" s="161"/>
      <c r="CM120" s="161"/>
      <c r="CN120" s="161"/>
      <c r="CO120" s="161"/>
      <c r="CP120" s="161"/>
      <c r="CQ120" s="161"/>
      <c r="CR120" s="161"/>
      <c r="CS120" s="161"/>
      <c r="CT120" s="161"/>
      <c r="CU120" s="161"/>
      <c r="CV120" s="161"/>
      <c r="CW120" s="161"/>
      <c r="CX120" s="161"/>
      <c r="CY120" s="161"/>
      <c r="CZ120" s="161"/>
      <c r="DA120" s="161"/>
      <c r="DB120" s="161"/>
      <c r="DC120" s="161"/>
      <c r="DD120" s="161"/>
      <c r="DE120" s="161"/>
      <c r="DF120" s="161"/>
      <c r="DG120" s="161"/>
      <c r="DH120" s="161"/>
      <c r="DI120" s="161"/>
      <c r="DJ120" s="161"/>
      <c r="DK120" s="161"/>
      <c r="DL120" s="161"/>
      <c r="DM120" s="161"/>
      <c r="DN120" s="161"/>
      <c r="DO120" s="161"/>
      <c r="DP120" s="161"/>
      <c r="DQ120" s="161"/>
      <c r="DR120" s="161"/>
      <c r="DS120" s="161"/>
      <c r="DT120" s="161"/>
      <c r="DU120" s="161"/>
      <c r="DV120" s="161"/>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1"/>
      <c r="FC120" s="161"/>
      <c r="FD120" s="161"/>
      <c r="FE120" s="161"/>
      <c r="FF120" s="161"/>
      <c r="FG120" s="161"/>
      <c r="FH120" s="161"/>
      <c r="FI120" s="161"/>
      <c r="FJ120" s="161"/>
      <c r="FK120" s="161"/>
      <c r="FL120" s="161"/>
      <c r="FM120" s="161"/>
      <c r="FN120" s="161"/>
      <c r="FO120" s="161"/>
      <c r="FP120" s="161"/>
      <c r="FQ120" s="161"/>
      <c r="FR120" s="161"/>
      <c r="FS120" s="161"/>
      <c r="FT120" s="161"/>
      <c r="FU120" s="161"/>
      <c r="FV120" s="161"/>
      <c r="FW120" s="161"/>
      <c r="FX120" s="161"/>
      <c r="FY120" s="161"/>
      <c r="FZ120" s="161"/>
      <c r="GA120" s="161"/>
      <c r="GB120" s="161"/>
      <c r="GC120" s="161"/>
      <c r="GD120" s="161"/>
      <c r="GE120" s="161"/>
      <c r="GF120" s="161"/>
      <c r="GG120" s="161"/>
      <c r="GH120" s="161"/>
      <c r="GI120" s="161"/>
      <c r="GJ120" s="161"/>
      <c r="GK120" s="161"/>
      <c r="GL120" s="161"/>
      <c r="GM120" s="161"/>
    </row>
    <row r="121" spans="1:195" s="71" customFormat="1" ht="40.200000000000003" hidden="1" customHeight="1" outlineLevel="1">
      <c r="A121" s="179"/>
      <c r="B121" s="179"/>
      <c r="C121" s="253"/>
      <c r="D121" s="1213" t="s">
        <v>1163</v>
      </c>
      <c r="E121" s="134" t="s">
        <v>437</v>
      </c>
      <c r="F121" s="89">
        <f>SUM(F122:F124)</f>
        <v>0</v>
      </c>
      <c r="G121" s="1274">
        <f>SUM(G122:G124)</f>
        <v>0</v>
      </c>
      <c r="H121" s="70">
        <f t="shared" si="9"/>
        <v>0</v>
      </c>
      <c r="I121" s="236" t="str">
        <f t="shared" si="10"/>
        <v>-</v>
      </c>
      <c r="J121" s="1521"/>
      <c r="K121" s="72"/>
      <c r="L121" s="281"/>
    </row>
    <row r="122" spans="1:195" s="166" customFormat="1" ht="12" hidden="1" customHeight="1" outlineLevel="1">
      <c r="A122" s="1545" t="s">
        <v>1148</v>
      </c>
      <c r="B122" s="315"/>
      <c r="C122" s="316"/>
      <c r="D122" s="61" t="s">
        <v>1135</v>
      </c>
      <c r="E122" s="164"/>
      <c r="F122" s="33">
        <f>SUMIF(INPUT!$E:$E,BAZE_2026!$A122,INPUT!$H:$H)</f>
        <v>0</v>
      </c>
      <c r="G122" s="175">
        <f>SUMIF(INPUT!$E:$E,BAZE_2026!$A122,INPUT!$L:$L)</f>
        <v>0</v>
      </c>
      <c r="H122" s="158"/>
      <c r="I122" s="230"/>
      <c r="J122" s="1511"/>
      <c r="K122" s="317"/>
      <c r="L122" s="283"/>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1"/>
      <c r="AV122" s="161"/>
      <c r="AW122" s="161"/>
      <c r="AX122" s="161"/>
      <c r="AY122" s="161"/>
      <c r="AZ122" s="161"/>
      <c r="BA122" s="161"/>
      <c r="BB122" s="161"/>
      <c r="BC122" s="161"/>
      <c r="BD122" s="161"/>
      <c r="BE122" s="161"/>
      <c r="BF122" s="161"/>
      <c r="BG122" s="161"/>
      <c r="BH122" s="161"/>
      <c r="BI122" s="161"/>
      <c r="BJ122" s="161"/>
      <c r="BK122" s="161"/>
      <c r="BL122" s="161"/>
      <c r="BM122" s="161"/>
      <c r="BN122" s="161"/>
      <c r="BO122" s="161"/>
      <c r="BP122" s="161"/>
      <c r="BQ122" s="161"/>
      <c r="BR122" s="161"/>
      <c r="BS122" s="161"/>
      <c r="BT122" s="161"/>
      <c r="BU122" s="161"/>
      <c r="BV122" s="161"/>
      <c r="BW122" s="161"/>
      <c r="BX122" s="161"/>
      <c r="BY122" s="161"/>
      <c r="BZ122" s="161"/>
      <c r="CA122" s="161"/>
      <c r="CB122" s="161"/>
      <c r="CC122" s="161"/>
      <c r="CD122" s="161"/>
      <c r="CE122" s="161"/>
      <c r="CF122" s="161"/>
      <c r="CG122" s="161"/>
      <c r="CH122" s="161"/>
      <c r="CI122" s="161"/>
      <c r="CJ122" s="161"/>
      <c r="CK122" s="161"/>
      <c r="CL122" s="161"/>
      <c r="CM122" s="161"/>
      <c r="CN122" s="161"/>
      <c r="CO122" s="161"/>
      <c r="CP122" s="161"/>
      <c r="CQ122" s="161"/>
      <c r="CR122" s="161"/>
      <c r="CS122" s="161"/>
      <c r="CT122" s="161"/>
      <c r="CU122" s="161"/>
      <c r="CV122" s="161"/>
      <c r="CW122" s="161"/>
      <c r="CX122" s="161"/>
      <c r="CY122" s="161"/>
      <c r="CZ122" s="161"/>
      <c r="DA122" s="161"/>
      <c r="DB122" s="161"/>
      <c r="DC122" s="161"/>
      <c r="DD122" s="161"/>
      <c r="DE122" s="161"/>
      <c r="DF122" s="161"/>
      <c r="DG122" s="161"/>
      <c r="DH122" s="161"/>
      <c r="DI122" s="161"/>
      <c r="DJ122" s="161"/>
      <c r="DK122" s="161"/>
      <c r="DL122" s="161"/>
      <c r="DM122" s="161"/>
      <c r="DN122" s="161"/>
      <c r="DO122" s="161"/>
      <c r="DP122" s="161"/>
      <c r="DQ122" s="161"/>
      <c r="DR122" s="161"/>
      <c r="DS122" s="161"/>
      <c r="DT122" s="161"/>
      <c r="DU122" s="161"/>
      <c r="DV122" s="161"/>
      <c r="DW122" s="161"/>
      <c r="DX122" s="161"/>
      <c r="DY122" s="161"/>
      <c r="DZ122" s="161"/>
      <c r="EA122" s="161"/>
      <c r="EB122" s="161"/>
      <c r="EC122" s="161"/>
      <c r="ED122" s="161"/>
      <c r="EE122" s="161"/>
      <c r="EF122" s="161"/>
      <c r="EG122" s="161"/>
      <c r="EH122" s="161"/>
      <c r="EI122" s="161"/>
      <c r="EJ122" s="161"/>
      <c r="EK122" s="161"/>
      <c r="EL122" s="161"/>
      <c r="EM122" s="161"/>
      <c r="EN122" s="161"/>
      <c r="EO122" s="161"/>
      <c r="EP122" s="161"/>
      <c r="EQ122" s="161"/>
      <c r="ER122" s="161"/>
      <c r="ES122" s="161"/>
      <c r="ET122" s="161"/>
      <c r="EU122" s="161"/>
      <c r="EV122" s="161"/>
      <c r="EW122" s="161"/>
      <c r="EX122" s="161"/>
      <c r="EY122" s="161"/>
      <c r="EZ122" s="161"/>
      <c r="FA122" s="161"/>
      <c r="FB122" s="161"/>
      <c r="FC122" s="161"/>
      <c r="FD122" s="161"/>
      <c r="FE122" s="161"/>
      <c r="FF122" s="161"/>
      <c r="FG122" s="161"/>
      <c r="FH122" s="161"/>
      <c r="FI122" s="161"/>
      <c r="FJ122" s="161"/>
      <c r="FK122" s="161"/>
      <c r="FL122" s="161"/>
      <c r="FM122" s="161"/>
      <c r="FN122" s="161"/>
      <c r="FO122" s="161"/>
      <c r="FP122" s="161"/>
      <c r="FQ122" s="161"/>
      <c r="FR122" s="161"/>
      <c r="FS122" s="161"/>
      <c r="FT122" s="161"/>
      <c r="FU122" s="161"/>
      <c r="FV122" s="161"/>
      <c r="FW122" s="161"/>
      <c r="FX122" s="161"/>
      <c r="FY122" s="161"/>
      <c r="FZ122" s="161"/>
      <c r="GA122" s="161"/>
      <c r="GB122" s="161"/>
      <c r="GC122" s="161"/>
      <c r="GD122" s="161"/>
      <c r="GE122" s="161"/>
      <c r="GF122" s="161"/>
      <c r="GG122" s="161"/>
      <c r="GH122" s="161"/>
      <c r="GI122" s="161"/>
      <c r="GJ122" s="161"/>
      <c r="GK122" s="161"/>
      <c r="GL122" s="161"/>
      <c r="GM122" s="161"/>
    </row>
    <row r="123" spans="1:195" s="166" customFormat="1" ht="15" hidden="1" customHeight="1" outlineLevel="1">
      <c r="A123" s="1545" t="s">
        <v>1149</v>
      </c>
      <c r="B123" s="315"/>
      <c r="C123" s="316"/>
      <c r="D123" s="61" t="s">
        <v>1136</v>
      </c>
      <c r="E123" s="382"/>
      <c r="F123" s="33">
        <f>SUMIF(INPUT!$E:$E,BAZE_2026!$A123,INPUT!$H:$H)</f>
        <v>0</v>
      </c>
      <c r="G123" s="175">
        <f>SUMIF(INPUT!$E:$E,BAZE_2026!$A123,INPUT!$L:$L)</f>
        <v>0</v>
      </c>
      <c r="H123" s="387"/>
      <c r="I123" s="388"/>
      <c r="J123" s="1522"/>
      <c r="K123" s="317"/>
      <c r="L123" s="283"/>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1"/>
      <c r="AV123" s="161"/>
      <c r="AW123" s="161"/>
      <c r="AX123" s="161"/>
      <c r="AY123" s="161"/>
      <c r="AZ123" s="161"/>
      <c r="BA123" s="161"/>
      <c r="BB123" s="161"/>
      <c r="BC123" s="161"/>
      <c r="BD123" s="161"/>
      <c r="BE123" s="161"/>
      <c r="BF123" s="161"/>
      <c r="BG123" s="161"/>
      <c r="BH123" s="161"/>
      <c r="BI123" s="161"/>
      <c r="BJ123" s="161"/>
      <c r="BK123" s="161"/>
      <c r="BL123" s="161"/>
      <c r="BM123" s="161"/>
      <c r="BN123" s="161"/>
      <c r="BO123" s="161"/>
      <c r="BP123" s="161"/>
      <c r="BQ123" s="161"/>
      <c r="BR123" s="161"/>
      <c r="BS123" s="161"/>
      <c r="BT123" s="161"/>
      <c r="BU123" s="161"/>
      <c r="BV123" s="161"/>
      <c r="BW123" s="161"/>
      <c r="BX123" s="161"/>
      <c r="BY123" s="161"/>
      <c r="BZ123" s="161"/>
      <c r="CA123" s="161"/>
      <c r="CB123" s="161"/>
      <c r="CC123" s="161"/>
      <c r="CD123" s="161"/>
      <c r="CE123" s="161"/>
      <c r="CF123" s="161"/>
      <c r="CG123" s="161"/>
      <c r="CH123" s="161"/>
      <c r="CI123" s="161"/>
      <c r="CJ123" s="161"/>
      <c r="CK123" s="161"/>
      <c r="CL123" s="161"/>
      <c r="CM123" s="161"/>
      <c r="CN123" s="161"/>
      <c r="CO123" s="161"/>
      <c r="CP123" s="161"/>
      <c r="CQ123" s="161"/>
      <c r="CR123" s="161"/>
      <c r="CS123" s="161"/>
      <c r="CT123" s="161"/>
      <c r="CU123" s="161"/>
      <c r="CV123" s="161"/>
      <c r="CW123" s="161"/>
      <c r="CX123" s="161"/>
      <c r="CY123" s="161"/>
      <c r="CZ123" s="161"/>
      <c r="DA123" s="161"/>
      <c r="DB123" s="161"/>
      <c r="DC123" s="161"/>
      <c r="DD123" s="161"/>
      <c r="DE123" s="161"/>
      <c r="DF123" s="161"/>
      <c r="DG123" s="161"/>
      <c r="DH123" s="161"/>
      <c r="DI123" s="161"/>
      <c r="DJ123" s="161"/>
      <c r="DK123" s="161"/>
      <c r="DL123" s="161"/>
      <c r="DM123" s="161"/>
      <c r="DN123" s="161"/>
      <c r="DO123" s="161"/>
      <c r="DP123" s="161"/>
      <c r="DQ123" s="161"/>
      <c r="DR123" s="161"/>
      <c r="DS123" s="161"/>
      <c r="DT123" s="161"/>
      <c r="DU123" s="161"/>
      <c r="DV123" s="161"/>
      <c r="DW123" s="161"/>
      <c r="DX123" s="161"/>
      <c r="DY123" s="161"/>
      <c r="DZ123" s="161"/>
      <c r="EA123" s="161"/>
      <c r="EB123" s="161"/>
      <c r="EC123" s="161"/>
      <c r="ED123" s="161"/>
      <c r="EE123" s="161"/>
      <c r="EF123" s="161"/>
      <c r="EG123" s="161"/>
      <c r="EH123" s="161"/>
      <c r="EI123" s="161"/>
      <c r="EJ123" s="161"/>
      <c r="EK123" s="161"/>
      <c r="EL123" s="161"/>
      <c r="EM123" s="161"/>
      <c r="EN123" s="161"/>
      <c r="EO123" s="161"/>
      <c r="EP123" s="161"/>
      <c r="EQ123" s="161"/>
      <c r="ER123" s="161"/>
      <c r="ES123" s="161"/>
      <c r="ET123" s="161"/>
      <c r="EU123" s="161"/>
      <c r="EV123" s="161"/>
      <c r="EW123" s="161"/>
      <c r="EX123" s="161"/>
      <c r="EY123" s="161"/>
      <c r="EZ123" s="161"/>
      <c r="FA123" s="161"/>
      <c r="FB123" s="161"/>
      <c r="FC123" s="161"/>
      <c r="FD123" s="161"/>
      <c r="FE123" s="161"/>
      <c r="FF123" s="161"/>
      <c r="FG123" s="161"/>
      <c r="FH123" s="161"/>
      <c r="FI123" s="161"/>
      <c r="FJ123" s="161"/>
      <c r="FK123" s="161"/>
      <c r="FL123" s="161"/>
      <c r="FM123" s="161"/>
      <c r="FN123" s="161"/>
      <c r="FO123" s="161"/>
      <c r="FP123" s="161"/>
      <c r="FQ123" s="161"/>
      <c r="FR123" s="161"/>
      <c r="FS123" s="161"/>
      <c r="FT123" s="161"/>
      <c r="FU123" s="161"/>
      <c r="FV123" s="161"/>
      <c r="FW123" s="161"/>
      <c r="FX123" s="161"/>
      <c r="FY123" s="161"/>
      <c r="FZ123" s="161"/>
      <c r="GA123" s="161"/>
      <c r="GB123" s="161"/>
      <c r="GC123" s="161"/>
      <c r="GD123" s="161"/>
      <c r="GE123" s="161"/>
      <c r="GF123" s="161"/>
      <c r="GG123" s="161"/>
      <c r="GH123" s="161"/>
      <c r="GI123" s="161"/>
      <c r="GJ123" s="161"/>
      <c r="GK123" s="161"/>
      <c r="GL123" s="161"/>
      <c r="GM123" s="161"/>
    </row>
    <row r="124" spans="1:195" s="166" customFormat="1" ht="15" hidden="1" customHeight="1" outlineLevel="1">
      <c r="A124" s="1545" t="s">
        <v>1286</v>
      </c>
      <c r="B124" s="315"/>
      <c r="C124" s="316"/>
      <c r="D124" s="61" t="s">
        <v>1358</v>
      </c>
      <c r="E124" s="382"/>
      <c r="F124" s="33">
        <f>SUMIF(INPUT!$E:$E,BAZE_2026!$A124,INPUT!$H:$H)</f>
        <v>0</v>
      </c>
      <c r="G124" s="175">
        <f>SUMIF(INPUT!$E:$E,BAZE_2026!$A124,INPUT!$L:$L)</f>
        <v>0</v>
      </c>
      <c r="H124" s="387"/>
      <c r="I124" s="388"/>
      <c r="J124" s="1522"/>
      <c r="K124" s="317"/>
      <c r="L124" s="283"/>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c r="BC124" s="161"/>
      <c r="BD124" s="161"/>
      <c r="BE124" s="161"/>
      <c r="BF124" s="161"/>
      <c r="BG124" s="161"/>
      <c r="BH124" s="161"/>
      <c r="BI124" s="161"/>
      <c r="BJ124" s="161"/>
      <c r="BK124" s="161"/>
      <c r="BL124" s="161"/>
      <c r="BM124" s="161"/>
      <c r="BN124" s="161"/>
      <c r="BO124" s="161"/>
      <c r="BP124" s="161"/>
      <c r="BQ124" s="161"/>
      <c r="BR124" s="161"/>
      <c r="BS124" s="161"/>
      <c r="BT124" s="161"/>
      <c r="BU124" s="161"/>
      <c r="BV124" s="161"/>
      <c r="BW124" s="161"/>
      <c r="BX124" s="161"/>
      <c r="BY124" s="161"/>
      <c r="BZ124" s="161"/>
      <c r="CA124" s="161"/>
      <c r="CB124" s="161"/>
      <c r="CC124" s="161"/>
      <c r="CD124" s="161"/>
      <c r="CE124" s="161"/>
      <c r="CF124" s="161"/>
      <c r="CG124" s="161"/>
      <c r="CH124" s="161"/>
      <c r="CI124" s="161"/>
      <c r="CJ124" s="161"/>
      <c r="CK124" s="161"/>
      <c r="CL124" s="161"/>
      <c r="CM124" s="161"/>
      <c r="CN124" s="161"/>
      <c r="CO124" s="161"/>
      <c r="CP124" s="161"/>
      <c r="CQ124" s="161"/>
      <c r="CR124" s="161"/>
      <c r="CS124" s="161"/>
      <c r="CT124" s="161"/>
      <c r="CU124" s="161"/>
      <c r="CV124" s="161"/>
      <c r="CW124" s="161"/>
      <c r="CX124" s="161"/>
      <c r="CY124" s="161"/>
      <c r="CZ124" s="161"/>
      <c r="DA124" s="161"/>
      <c r="DB124" s="161"/>
      <c r="DC124" s="161"/>
      <c r="DD124" s="161"/>
      <c r="DE124" s="161"/>
      <c r="DF124" s="161"/>
      <c r="DG124" s="161"/>
      <c r="DH124" s="161"/>
      <c r="DI124" s="161"/>
      <c r="DJ124" s="161"/>
      <c r="DK124" s="161"/>
      <c r="DL124" s="161"/>
      <c r="DM124" s="161"/>
      <c r="DN124" s="161"/>
      <c r="DO124" s="161"/>
      <c r="DP124" s="161"/>
      <c r="DQ124" s="161"/>
      <c r="DR124" s="161"/>
      <c r="DS124" s="161"/>
      <c r="DT124" s="161"/>
      <c r="DU124" s="161"/>
      <c r="DV124" s="161"/>
      <c r="DW124" s="161"/>
      <c r="DX124" s="161"/>
      <c r="DY124" s="161"/>
      <c r="DZ124" s="161"/>
      <c r="EA124" s="161"/>
      <c r="EB124" s="161"/>
      <c r="EC124" s="161"/>
      <c r="ED124" s="161"/>
      <c r="EE124" s="161"/>
      <c r="EF124" s="161"/>
      <c r="EG124" s="161"/>
      <c r="EH124" s="161"/>
      <c r="EI124" s="161"/>
      <c r="EJ124" s="161"/>
      <c r="EK124" s="161"/>
      <c r="EL124" s="161"/>
      <c r="EM124" s="161"/>
      <c r="EN124" s="161"/>
      <c r="EO124" s="161"/>
      <c r="EP124" s="161"/>
      <c r="EQ124" s="161"/>
      <c r="ER124" s="161"/>
      <c r="ES124" s="161"/>
      <c r="ET124" s="161"/>
      <c r="EU124" s="161"/>
      <c r="EV124" s="161"/>
      <c r="EW124" s="161"/>
      <c r="EX124" s="161"/>
      <c r="EY124" s="161"/>
      <c r="EZ124" s="161"/>
      <c r="FA124" s="161"/>
      <c r="FB124" s="161"/>
      <c r="FC124" s="161"/>
      <c r="FD124" s="161"/>
      <c r="FE124" s="161"/>
      <c r="FF124" s="161"/>
      <c r="FG124" s="161"/>
      <c r="FH124" s="161"/>
      <c r="FI124" s="161"/>
      <c r="FJ124" s="161"/>
      <c r="FK124" s="161"/>
      <c r="FL124" s="161"/>
      <c r="FM124" s="161"/>
      <c r="FN124" s="161"/>
      <c r="FO124" s="161"/>
      <c r="FP124" s="161"/>
      <c r="FQ124" s="161"/>
      <c r="FR124" s="161"/>
      <c r="FS124" s="161"/>
      <c r="FT124" s="161"/>
      <c r="FU124" s="161"/>
      <c r="FV124" s="161"/>
      <c r="FW124" s="161"/>
      <c r="FX124" s="161"/>
      <c r="FY124" s="161"/>
      <c r="FZ124" s="161"/>
      <c r="GA124" s="161"/>
      <c r="GB124" s="161"/>
      <c r="GC124" s="161"/>
      <c r="GD124" s="161"/>
      <c r="GE124" s="161"/>
      <c r="GF124" s="161"/>
      <c r="GG124" s="161"/>
      <c r="GH124" s="161"/>
      <c r="GI124" s="161"/>
      <c r="GJ124" s="161"/>
      <c r="GK124" s="161"/>
      <c r="GL124" s="161"/>
      <c r="GM124" s="161"/>
    </row>
    <row r="125" spans="1:195" ht="27.6" collapsed="1">
      <c r="D125" s="38" t="s">
        <v>1164</v>
      </c>
      <c r="E125" s="42" t="s">
        <v>961</v>
      </c>
      <c r="F125" s="2925">
        <f>F126+F127+F128</f>
        <v>294417.45648184005</v>
      </c>
      <c r="G125" s="2925">
        <f>G126+G127+G128</f>
        <v>291215.77191479993</v>
      </c>
      <c r="H125" s="43">
        <f t="shared" si="9"/>
        <v>-3201.6845670401235</v>
      </c>
      <c r="I125" s="235">
        <f t="shared" si="10"/>
        <v>-1.0874642439000918E-2</v>
      </c>
      <c r="J125" s="1520"/>
      <c r="K125" s="72"/>
    </row>
    <row r="126" spans="1:195" s="8" customFormat="1" ht="13.8" hidden="1" outlineLevel="1">
      <c r="A126" s="179" t="s">
        <v>1912</v>
      </c>
      <c r="B126" s="179" t="s">
        <v>436</v>
      </c>
      <c r="C126" s="248"/>
      <c r="D126" s="58"/>
      <c r="E126" s="59" t="s">
        <v>436</v>
      </c>
      <c r="F126" s="92">
        <f>SUMIFS(INPUT!$H:$H,INPUT!$E:$E,BAZE_2026!$A126,INPUT!$B:$B,BAZE_2026!$B126)</f>
        <v>266422.87648184004</v>
      </c>
      <c r="G126" s="92">
        <f>SUMIFS(INPUT!$L:$L,INPUT!$E:$E,BAZE_2026!$A126,INPUT!$B:$B,BAZE_2026!$B126)</f>
        <v>269213.29191479995</v>
      </c>
      <c r="H126" s="48">
        <f t="shared" si="9"/>
        <v>2790.4154329599114</v>
      </c>
      <c r="I126" s="232">
        <f t="shared" si="10"/>
        <v>1.0473633007074422E-2</v>
      </c>
      <c r="J126" s="2560" t="s">
        <v>4787</v>
      </c>
      <c r="K126" s="72"/>
      <c r="L126" s="12"/>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row>
    <row r="127" spans="1:195" s="8" customFormat="1" ht="13.8" hidden="1" outlineLevel="1">
      <c r="A127" s="179" t="s">
        <v>1912</v>
      </c>
      <c r="B127" s="179" t="s">
        <v>772</v>
      </c>
      <c r="C127" s="248"/>
      <c r="D127" s="64"/>
      <c r="E127" s="65" t="s">
        <v>376</v>
      </c>
      <c r="F127" s="92">
        <f>SUMIFS(INPUT!$H:$H,INPUT!$E:$E,BAZE_2026!$A127,INPUT!$B:$B,BAZE_2026!$B127)</f>
        <v>24268.58</v>
      </c>
      <c r="G127" s="92">
        <f>SUMIFS(INPUT!$L:$L,INPUT!$E:$E,BAZE_2026!$A127,INPUT!$B:$B,BAZE_2026!$B127)</f>
        <v>20502.48</v>
      </c>
      <c r="H127" s="48">
        <f t="shared" si="9"/>
        <v>-3766.1000000000022</v>
      </c>
      <c r="I127" s="232">
        <f t="shared" si="10"/>
        <v>-0.15518419289468119</v>
      </c>
      <c r="J127" s="2560"/>
      <c r="K127" s="54"/>
      <c r="L127" s="135"/>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row>
    <row r="128" spans="1:195" s="8" customFormat="1" ht="13.8" hidden="1" outlineLevel="1">
      <c r="A128" s="179" t="s">
        <v>1912</v>
      </c>
      <c r="B128" s="179" t="s">
        <v>774</v>
      </c>
      <c r="C128" s="248"/>
      <c r="D128" s="58"/>
      <c r="E128" s="59" t="s">
        <v>375</v>
      </c>
      <c r="F128" s="92">
        <f>SUMIFS(INPUT!$H:$H,INPUT!$E:$E,BAZE_2026!$A128,INPUT!$B:$B,BAZE_2026!$B128)</f>
        <v>3726</v>
      </c>
      <c r="G128" s="92">
        <f>SUMIFS(INPUT!$L:$L,INPUT!$E:$E,BAZE_2026!$A128,INPUT!$B:$B,BAZE_2026!$B128)</f>
        <v>1500</v>
      </c>
      <c r="H128" s="48">
        <f t="shared" si="9"/>
        <v>-2226</v>
      </c>
      <c r="I128" s="232">
        <f t="shared" si="10"/>
        <v>-0.59742351046698872</v>
      </c>
      <c r="J128" s="2565" t="s">
        <v>4788</v>
      </c>
      <c r="K128" s="72"/>
      <c r="L128" s="12"/>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row>
    <row r="129" spans="1:195" s="166" customFormat="1" ht="13.8" hidden="1" outlineLevel="1">
      <c r="A129" s="315" t="s">
        <v>1912</v>
      </c>
      <c r="B129" s="315" t="s">
        <v>773</v>
      </c>
      <c r="C129" s="316"/>
      <c r="D129" s="2919"/>
      <c r="E129" s="164" t="s">
        <v>773</v>
      </c>
      <c r="F129" s="154">
        <f>SUMIFS(INPUT!$H:$H,INPUT!$E:$E,BAZE_2026!$A129,INPUT!$B:$B,BAZE_2026!$B129)</f>
        <v>40361</v>
      </c>
      <c r="G129" s="154">
        <f>SUMIFS(INPUT!$L:$L,INPUT!$E:$E,BAZE_2026!$A129,INPUT!$B:$B,BAZE_2026!$B129)</f>
        <v>0</v>
      </c>
      <c r="H129" s="158">
        <f t="shared" si="9"/>
        <v>-40361</v>
      </c>
      <c r="I129" s="230">
        <f t="shared" si="10"/>
        <v>-1</v>
      </c>
      <c r="J129" s="2920"/>
      <c r="K129" s="317"/>
      <c r="L129" s="283"/>
      <c r="M129" s="161"/>
      <c r="N129" s="161"/>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1"/>
      <c r="AV129" s="161"/>
      <c r="AW129" s="161"/>
      <c r="AX129" s="161"/>
      <c r="AY129" s="161"/>
      <c r="AZ129" s="161"/>
      <c r="BA129" s="161"/>
      <c r="BB129" s="161"/>
      <c r="BC129" s="161"/>
      <c r="BD129" s="161"/>
      <c r="BE129" s="161"/>
      <c r="BF129" s="161"/>
      <c r="BG129" s="161"/>
      <c r="BH129" s="161"/>
      <c r="BI129" s="161"/>
      <c r="BJ129" s="161"/>
      <c r="BK129" s="161"/>
      <c r="BL129" s="161"/>
      <c r="BM129" s="161"/>
      <c r="BN129" s="161"/>
      <c r="BO129" s="161"/>
      <c r="BP129" s="161"/>
      <c r="BQ129" s="161"/>
      <c r="BR129" s="161"/>
      <c r="BS129" s="161"/>
      <c r="BT129" s="161"/>
      <c r="BU129" s="161"/>
      <c r="BV129" s="161"/>
      <c r="BW129" s="161"/>
      <c r="BX129" s="161"/>
      <c r="BY129" s="161"/>
      <c r="BZ129" s="161"/>
      <c r="CA129" s="161"/>
      <c r="CB129" s="161"/>
      <c r="CC129" s="161"/>
      <c r="CD129" s="161"/>
      <c r="CE129" s="161"/>
      <c r="CF129" s="161"/>
      <c r="CG129" s="161"/>
      <c r="CH129" s="161"/>
      <c r="CI129" s="161"/>
      <c r="CJ129" s="161"/>
      <c r="CK129" s="161"/>
      <c r="CL129" s="161"/>
      <c r="CM129" s="161"/>
      <c r="CN129" s="161"/>
      <c r="CO129" s="161"/>
      <c r="CP129" s="161"/>
      <c r="CQ129" s="161"/>
      <c r="CR129" s="161"/>
      <c r="CS129" s="161"/>
      <c r="CT129" s="161"/>
      <c r="CU129" s="161"/>
      <c r="CV129" s="161"/>
      <c r="CW129" s="161"/>
      <c r="CX129" s="161"/>
      <c r="CY129" s="161"/>
      <c r="CZ129" s="161"/>
      <c r="DA129" s="161"/>
      <c r="DB129" s="161"/>
      <c r="DC129" s="161"/>
      <c r="DD129" s="161"/>
      <c r="DE129" s="161"/>
      <c r="DF129" s="161"/>
      <c r="DG129" s="161"/>
      <c r="DH129" s="161"/>
      <c r="DI129" s="161"/>
      <c r="DJ129" s="161"/>
      <c r="DK129" s="161"/>
      <c r="DL129" s="161"/>
      <c r="DM129" s="161"/>
      <c r="DN129" s="161"/>
      <c r="DO129" s="161"/>
      <c r="DP129" s="161"/>
      <c r="DQ129" s="161"/>
      <c r="DR129" s="161"/>
      <c r="DS129" s="161"/>
      <c r="DT129" s="161"/>
      <c r="DU129" s="161"/>
      <c r="DV129" s="161"/>
      <c r="DW129" s="161"/>
      <c r="DX129" s="161"/>
      <c r="DY129" s="161"/>
      <c r="DZ129" s="161"/>
      <c r="EA129" s="161"/>
      <c r="EB129" s="161"/>
      <c r="EC129" s="161"/>
      <c r="ED129" s="161"/>
      <c r="EE129" s="161"/>
      <c r="EF129" s="161"/>
      <c r="EG129" s="161"/>
      <c r="EH129" s="161"/>
      <c r="EI129" s="161"/>
      <c r="EJ129" s="161"/>
      <c r="EK129" s="161"/>
      <c r="EL129" s="161"/>
      <c r="EM129" s="161"/>
      <c r="EN129" s="161"/>
      <c r="EO129" s="161"/>
      <c r="EP129" s="161"/>
      <c r="EQ129" s="161"/>
      <c r="ER129" s="161"/>
      <c r="ES129" s="161"/>
      <c r="ET129" s="161"/>
      <c r="EU129" s="161"/>
      <c r="EV129" s="161"/>
      <c r="EW129" s="161"/>
      <c r="EX129" s="161"/>
      <c r="EY129" s="161"/>
      <c r="EZ129" s="161"/>
      <c r="FA129" s="161"/>
      <c r="FB129" s="161"/>
      <c r="FC129" s="161"/>
      <c r="FD129" s="161"/>
      <c r="FE129" s="161"/>
      <c r="FF129" s="161"/>
      <c r="FG129" s="161"/>
      <c r="FH129" s="161"/>
      <c r="FI129" s="161"/>
      <c r="FJ129" s="161"/>
      <c r="FK129" s="161"/>
      <c r="FL129" s="161"/>
      <c r="FM129" s="161"/>
      <c r="FN129" s="161"/>
      <c r="FO129" s="161"/>
      <c r="FP129" s="161"/>
      <c r="FQ129" s="161"/>
      <c r="FR129" s="161"/>
      <c r="FS129" s="161"/>
      <c r="FT129" s="161"/>
      <c r="FU129" s="161"/>
      <c r="FV129" s="161"/>
      <c r="FW129" s="161"/>
      <c r="FX129" s="161"/>
      <c r="FY129" s="161"/>
      <c r="FZ129" s="161"/>
      <c r="GA129" s="161"/>
      <c r="GB129" s="161"/>
      <c r="GC129" s="161"/>
      <c r="GD129" s="161"/>
      <c r="GE129" s="161"/>
      <c r="GF129" s="161"/>
      <c r="GG129" s="161"/>
      <c r="GH129" s="161"/>
      <c r="GI129" s="161"/>
      <c r="GJ129" s="161"/>
      <c r="GK129" s="161"/>
      <c r="GL129" s="161"/>
      <c r="GM129" s="161"/>
    </row>
    <row r="130" spans="1:195" ht="27.6" collapsed="1">
      <c r="D130" s="38" t="s">
        <v>1165</v>
      </c>
      <c r="E130" s="42" t="s">
        <v>1273</v>
      </c>
      <c r="F130" s="2925">
        <f>F131+F132+F133</f>
        <v>192215.72672180005</v>
      </c>
      <c r="G130" s="2925">
        <f>G131+G132+G133</f>
        <v>209418.00219655002</v>
      </c>
      <c r="H130" s="43">
        <f t="shared" si="9"/>
        <v>17202.275474749971</v>
      </c>
      <c r="I130" s="235">
        <f t="shared" si="10"/>
        <v>8.9494630684654505E-2</v>
      </c>
      <c r="J130" s="1518"/>
      <c r="K130" s="72"/>
    </row>
    <row r="131" spans="1:195" s="8" customFormat="1" ht="15" hidden="1" customHeight="1" outlineLevel="1">
      <c r="A131" s="179" t="s">
        <v>1913</v>
      </c>
      <c r="B131" s="179" t="s">
        <v>436</v>
      </c>
      <c r="C131" s="248"/>
      <c r="D131" s="58"/>
      <c r="E131" s="59" t="s">
        <v>436</v>
      </c>
      <c r="F131" s="92">
        <f>SUMIFS(INPUT!$H:$H,INPUT!$E:$E,BAZE_2026!$A131,INPUT!$B:$B,BAZE_2026!$B131)</f>
        <v>134484.67672180003</v>
      </c>
      <c r="G131" s="92">
        <f>SUMIFS(INPUT!$L:$L,INPUT!$E:$E,BAZE_2026!$A131,INPUT!$B:$B,BAZE_2026!$B131)</f>
        <v>142667.60219655003</v>
      </c>
      <c r="H131" s="48">
        <f t="shared" si="9"/>
        <v>8182.9254747499945</v>
      </c>
      <c r="I131" s="232">
        <f t="shared" si="10"/>
        <v>6.0846526713801724E-2</v>
      </c>
      <c r="J131" s="2563" t="s">
        <v>4760</v>
      </c>
      <c r="K131" s="72"/>
      <c r="L131" s="12"/>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row>
    <row r="132" spans="1:195" s="8" customFormat="1" ht="45" hidden="1" customHeight="1" outlineLevel="1">
      <c r="A132" s="179" t="s">
        <v>1913</v>
      </c>
      <c r="B132" s="179" t="s">
        <v>772</v>
      </c>
      <c r="C132" s="248"/>
      <c r="D132" s="64"/>
      <c r="E132" s="65" t="s">
        <v>376</v>
      </c>
      <c r="F132" s="92">
        <f>SUMIFS(INPUT!$H:$H,INPUT!$E:$E,BAZE_2026!$A132,INPUT!$B:$B,BAZE_2026!$B132)</f>
        <v>57731.05</v>
      </c>
      <c r="G132" s="92">
        <f>SUMIFS(INPUT!$L:$L,INPUT!$E:$E,BAZE_2026!$A132,INPUT!$B:$B,BAZE_2026!$B132)</f>
        <v>66750.399999999994</v>
      </c>
      <c r="H132" s="48">
        <f t="shared" si="9"/>
        <v>9019.3499999999913</v>
      </c>
      <c r="I132" s="232">
        <f t="shared" si="10"/>
        <v>0.15623048602095391</v>
      </c>
      <c r="J132" s="2560" t="s">
        <v>5021</v>
      </c>
      <c r="K132" s="54"/>
      <c r="L132" s="135"/>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row>
    <row r="133" spans="1:195" s="8" customFormat="1" ht="13.8" hidden="1" outlineLevel="1">
      <c r="A133" s="179" t="s">
        <v>1913</v>
      </c>
      <c r="B133" s="179" t="s">
        <v>774</v>
      </c>
      <c r="C133" s="248"/>
      <c r="D133" s="58"/>
      <c r="E133" s="59" t="s">
        <v>375</v>
      </c>
      <c r="F133" s="92">
        <f>SUMIFS(INPUT!$H:$H,INPUT!$E:$E,BAZE_2026!$A133,INPUT!$B:$B,BAZE_2026!$B133)</f>
        <v>0</v>
      </c>
      <c r="G133" s="92">
        <f>SUMIFS(INPUT!$L:$L,INPUT!$E:$E,BAZE_2026!$A133,INPUT!$B:$B,BAZE_2026!$B133)</f>
        <v>0</v>
      </c>
      <c r="H133" s="48">
        <f t="shared" si="9"/>
        <v>0</v>
      </c>
      <c r="I133" s="232" t="str">
        <f t="shared" si="10"/>
        <v>-</v>
      </c>
      <c r="J133" s="2562"/>
      <c r="K133" s="72"/>
      <c r="L133" s="12"/>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row>
    <row r="134" spans="1:195" s="166" customFormat="1" ht="13.8" hidden="1" outlineLevel="1">
      <c r="A134" s="315" t="s">
        <v>1913</v>
      </c>
      <c r="B134" s="315" t="s">
        <v>773</v>
      </c>
      <c r="C134" s="316"/>
      <c r="D134" s="2919"/>
      <c r="E134" s="164" t="s">
        <v>773</v>
      </c>
      <c r="F134" s="154">
        <f>SUMIFS(INPUT!$H:$H,INPUT!$E:$E,BAZE_2026!$A134,INPUT!$B:$B,BAZE_2026!$B134)</f>
        <v>43700</v>
      </c>
      <c r="G134" s="154">
        <f>SUMIFS(INPUT!$L:$L,INPUT!$E:$E,BAZE_2026!$A134,INPUT!$B:$B,BAZE_2026!$B134)</f>
        <v>0</v>
      </c>
      <c r="H134" s="158">
        <f t="shared" si="9"/>
        <v>-43700</v>
      </c>
      <c r="I134" s="230">
        <f t="shared" si="10"/>
        <v>-1</v>
      </c>
      <c r="J134" s="2928"/>
      <c r="K134" s="317"/>
      <c r="L134" s="283"/>
      <c r="M134" s="161"/>
      <c r="N134" s="161"/>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1"/>
      <c r="AN134" s="161"/>
      <c r="AO134" s="161"/>
      <c r="AP134" s="161"/>
      <c r="AQ134" s="161"/>
      <c r="AR134" s="161"/>
      <c r="AS134" s="161"/>
      <c r="AT134" s="161"/>
      <c r="AU134" s="161"/>
      <c r="AV134" s="161"/>
      <c r="AW134" s="161"/>
      <c r="AX134" s="161"/>
      <c r="AY134" s="161"/>
      <c r="AZ134" s="161"/>
      <c r="BA134" s="161"/>
      <c r="BB134" s="161"/>
      <c r="BC134" s="161"/>
      <c r="BD134" s="161"/>
      <c r="BE134" s="161"/>
      <c r="BF134" s="161"/>
      <c r="BG134" s="161"/>
      <c r="BH134" s="161"/>
      <c r="BI134" s="161"/>
      <c r="BJ134" s="161"/>
      <c r="BK134" s="161"/>
      <c r="BL134" s="161"/>
      <c r="BM134" s="161"/>
      <c r="BN134" s="161"/>
      <c r="BO134" s="161"/>
      <c r="BP134" s="161"/>
      <c r="BQ134" s="161"/>
      <c r="BR134" s="161"/>
      <c r="BS134" s="161"/>
      <c r="BT134" s="161"/>
      <c r="BU134" s="161"/>
      <c r="BV134" s="161"/>
      <c r="BW134" s="161"/>
      <c r="BX134" s="161"/>
      <c r="BY134" s="161"/>
      <c r="BZ134" s="161"/>
      <c r="CA134" s="161"/>
      <c r="CB134" s="161"/>
      <c r="CC134" s="161"/>
      <c r="CD134" s="161"/>
      <c r="CE134" s="161"/>
      <c r="CF134" s="161"/>
      <c r="CG134" s="161"/>
      <c r="CH134" s="161"/>
      <c r="CI134" s="161"/>
      <c r="CJ134" s="161"/>
      <c r="CK134" s="161"/>
      <c r="CL134" s="161"/>
      <c r="CM134" s="161"/>
      <c r="CN134" s="161"/>
      <c r="CO134" s="161"/>
      <c r="CP134" s="161"/>
      <c r="CQ134" s="161"/>
      <c r="CR134" s="161"/>
      <c r="CS134" s="161"/>
      <c r="CT134" s="161"/>
      <c r="CU134" s="161"/>
      <c r="CV134" s="161"/>
      <c r="CW134" s="161"/>
      <c r="CX134" s="161"/>
      <c r="CY134" s="161"/>
      <c r="CZ134" s="161"/>
      <c r="DA134" s="161"/>
      <c r="DB134" s="161"/>
      <c r="DC134" s="161"/>
      <c r="DD134" s="161"/>
      <c r="DE134" s="161"/>
      <c r="DF134" s="161"/>
      <c r="DG134" s="161"/>
      <c r="DH134" s="161"/>
      <c r="DI134" s="161"/>
      <c r="DJ134" s="161"/>
      <c r="DK134" s="161"/>
      <c r="DL134" s="161"/>
      <c r="DM134" s="161"/>
      <c r="DN134" s="161"/>
      <c r="DO134" s="161"/>
      <c r="DP134" s="161"/>
      <c r="DQ134" s="161"/>
      <c r="DR134" s="161"/>
      <c r="DS134" s="161"/>
      <c r="DT134" s="161"/>
      <c r="DU134" s="161"/>
      <c r="DV134" s="161"/>
      <c r="DW134" s="161"/>
      <c r="DX134" s="161"/>
      <c r="DY134" s="161"/>
      <c r="DZ134" s="161"/>
      <c r="EA134" s="161"/>
      <c r="EB134" s="161"/>
      <c r="EC134" s="161"/>
      <c r="ED134" s="161"/>
      <c r="EE134" s="161"/>
      <c r="EF134" s="161"/>
      <c r="EG134" s="161"/>
      <c r="EH134" s="161"/>
      <c r="EI134" s="161"/>
      <c r="EJ134" s="161"/>
      <c r="EK134" s="161"/>
      <c r="EL134" s="161"/>
      <c r="EM134" s="161"/>
      <c r="EN134" s="161"/>
      <c r="EO134" s="161"/>
      <c r="EP134" s="161"/>
      <c r="EQ134" s="161"/>
      <c r="ER134" s="161"/>
      <c r="ES134" s="161"/>
      <c r="ET134" s="161"/>
      <c r="EU134" s="161"/>
      <c r="EV134" s="161"/>
      <c r="EW134" s="161"/>
      <c r="EX134" s="161"/>
      <c r="EY134" s="161"/>
      <c r="EZ134" s="161"/>
      <c r="FA134" s="161"/>
      <c r="FB134" s="161"/>
      <c r="FC134" s="161"/>
      <c r="FD134" s="161"/>
      <c r="FE134" s="161"/>
      <c r="FF134" s="161"/>
      <c r="FG134" s="161"/>
      <c r="FH134" s="161"/>
      <c r="FI134" s="161"/>
      <c r="FJ134" s="161"/>
      <c r="FK134" s="161"/>
      <c r="FL134" s="161"/>
      <c r="FM134" s="161"/>
      <c r="FN134" s="161"/>
      <c r="FO134" s="161"/>
      <c r="FP134" s="161"/>
      <c r="FQ134" s="161"/>
      <c r="FR134" s="161"/>
      <c r="FS134" s="161"/>
      <c r="FT134" s="161"/>
      <c r="FU134" s="161"/>
      <c r="FV134" s="161"/>
      <c r="FW134" s="161"/>
      <c r="FX134" s="161"/>
      <c r="FY134" s="161"/>
      <c r="FZ134" s="161"/>
      <c r="GA134" s="161"/>
      <c r="GB134" s="161"/>
      <c r="GC134" s="161"/>
      <c r="GD134" s="161"/>
      <c r="GE134" s="161"/>
      <c r="GF134" s="161"/>
      <c r="GG134" s="161"/>
      <c r="GH134" s="161"/>
      <c r="GI134" s="161"/>
      <c r="GJ134" s="161"/>
      <c r="GK134" s="161"/>
      <c r="GL134" s="161"/>
      <c r="GM134" s="161"/>
    </row>
    <row r="135" spans="1:195" ht="28.2" collapsed="1">
      <c r="A135" s="257"/>
      <c r="D135" s="38" t="s">
        <v>1166</v>
      </c>
      <c r="E135" s="42" t="s">
        <v>1226</v>
      </c>
      <c r="F135" s="2925">
        <f>F136+F137</f>
        <v>227372.29800000001</v>
      </c>
      <c r="G135" s="2925">
        <f>G136+G137</f>
        <v>210654.76799999998</v>
      </c>
      <c r="H135" s="43">
        <f t="shared" si="9"/>
        <v>-16717.530000000028</v>
      </c>
      <c r="I135" s="235">
        <f t="shared" si="10"/>
        <v>-7.3524919909108838E-2</v>
      </c>
      <c r="J135" s="2566" t="s">
        <v>4789</v>
      </c>
      <c r="K135" s="72"/>
    </row>
    <row r="136" spans="1:195" s="8" customFormat="1" ht="13.8" hidden="1" outlineLevel="1">
      <c r="A136" s="179" t="s">
        <v>1909</v>
      </c>
      <c r="B136" s="179" t="s">
        <v>772</v>
      </c>
      <c r="C136" s="248"/>
      <c r="D136" s="64"/>
      <c r="E136" s="65" t="s">
        <v>376</v>
      </c>
      <c r="F136" s="92">
        <f>SUMIFS(INPUT!$H:$H,INPUT!$E:$E,BAZE_2026!$A136,INPUT!$B:$B,BAZE_2026!$B136)</f>
        <v>11045</v>
      </c>
      <c r="G136" s="92">
        <f>SUMIFS(INPUT!$L:$L,INPUT!$E:$E,BAZE_2026!$A136,INPUT!$B:$B,BAZE_2026!$B136)</f>
        <v>2000</v>
      </c>
      <c r="H136" s="48">
        <f t="shared" si="9"/>
        <v>-9045</v>
      </c>
      <c r="I136" s="232">
        <f t="shared" si="10"/>
        <v>-0.81892258940697149</v>
      </c>
      <c r="J136" s="2601" t="s">
        <v>5140</v>
      </c>
      <c r="K136" s="72"/>
      <c r="L136" s="12"/>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row>
    <row r="137" spans="1:195" s="8" customFormat="1" ht="13.8" hidden="1" outlineLevel="1">
      <c r="A137" s="179" t="s">
        <v>1910</v>
      </c>
      <c r="B137" s="179" t="s">
        <v>772</v>
      </c>
      <c r="C137" s="248"/>
      <c r="D137" s="58"/>
      <c r="E137" s="65" t="s">
        <v>376</v>
      </c>
      <c r="F137" s="92">
        <f>SUMIFS(INPUT!$H:$H,INPUT!$E:$E,BAZE_2026!$A137,INPUT!$B:$B,BAZE_2026!$B137)</f>
        <v>216327.29800000001</v>
      </c>
      <c r="G137" s="92">
        <f>SUMIFS(INPUT!$L:$L,INPUT!$E:$E,BAZE_2026!$A137,INPUT!$B:$B,BAZE_2026!$B137)</f>
        <v>208654.76799999998</v>
      </c>
      <c r="H137" s="48">
        <f t="shared" si="9"/>
        <v>-7672.5300000000279</v>
      </c>
      <c r="I137" s="232">
        <f t="shared" si="10"/>
        <v>-3.546722984539856E-2</v>
      </c>
      <c r="J137" s="2601" t="s">
        <v>5140</v>
      </c>
      <c r="K137" s="72"/>
      <c r="L137" s="12"/>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row>
    <row r="138" spans="1:195" s="161" customFormat="1" ht="15.6" hidden="1" customHeight="1" outlineLevel="1">
      <c r="A138" s="315" t="s">
        <v>1910</v>
      </c>
      <c r="B138" s="315" t="s">
        <v>773</v>
      </c>
      <c r="C138" s="321"/>
      <c r="D138" s="2929"/>
      <c r="E138" s="215" t="s">
        <v>773</v>
      </c>
      <c r="F138" s="163">
        <f>SUMIFS(INPUT!$H:$H,INPUT!$E:$E,BAZE_2026!$A138,INPUT!$B:$B,BAZE_2026!$B138)</f>
        <v>108132</v>
      </c>
      <c r="G138" s="163">
        <f>SUMIFS(INPUT!$L:$L,INPUT!$E:$E,BAZE_2026!$A138,INPUT!$B:$B,BAZE_2026!$B138)</f>
        <v>23000</v>
      </c>
      <c r="H138" s="1244"/>
      <c r="I138" s="1245"/>
      <c r="J138" s="2930"/>
      <c r="K138" s="317"/>
      <c r="L138" s="283"/>
    </row>
    <row r="139" spans="1:195" ht="31.5" customHeight="1" collapsed="1">
      <c r="D139" s="38" t="s">
        <v>1167</v>
      </c>
      <c r="E139" s="42" t="s">
        <v>938</v>
      </c>
      <c r="F139" s="2925">
        <f>F140+F141+F142</f>
        <v>4712968.5730959997</v>
      </c>
      <c r="G139" s="2925">
        <f>G140+G141+G142</f>
        <v>5125848.62</v>
      </c>
      <c r="H139" s="43">
        <f t="shared" si="9"/>
        <v>412880.04690400045</v>
      </c>
      <c r="I139" s="235">
        <f t="shared" si="10"/>
        <v>8.760509231080553E-2</v>
      </c>
      <c r="J139" s="1518"/>
      <c r="K139" s="72"/>
    </row>
    <row r="140" spans="1:195" s="8" customFormat="1" ht="13.8" hidden="1" outlineLevel="1">
      <c r="A140" s="179" t="s">
        <v>709</v>
      </c>
      <c r="B140" s="179" t="s">
        <v>436</v>
      </c>
      <c r="C140" s="248"/>
      <c r="D140" s="58"/>
      <c r="E140" s="59" t="s">
        <v>436</v>
      </c>
      <c r="F140" s="92">
        <f>SUMIFS(INPUT!$H:$H,INPUT!$E:$E,BAZE_2026!$A140,INPUT!$B:$B,BAZE_2026!$B140)</f>
        <v>2658637</v>
      </c>
      <c r="G140" s="92">
        <f>SUMIFS(INPUT!$L:$L,INPUT!$E:$E,BAZE_2026!$A140,INPUT!$B:$B,BAZE_2026!$B140)</f>
        <v>2845904</v>
      </c>
      <c r="H140" s="48">
        <f t="shared" si="9"/>
        <v>187267</v>
      </c>
      <c r="I140" s="232">
        <f t="shared" si="10"/>
        <v>7.0437220274900264E-2</v>
      </c>
      <c r="J140" s="2562"/>
      <c r="K140" s="72"/>
      <c r="L140" s="12"/>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row>
    <row r="141" spans="1:195" s="8" customFormat="1" ht="16.5" hidden="1" customHeight="1" outlineLevel="1">
      <c r="A141" s="179" t="s">
        <v>709</v>
      </c>
      <c r="B141" s="179" t="s">
        <v>772</v>
      </c>
      <c r="C141" s="248"/>
      <c r="D141" s="64"/>
      <c r="E141" s="65" t="s">
        <v>376</v>
      </c>
      <c r="F141" s="92">
        <f>SUMIFS(INPUT!$H:$H,INPUT!$E:$E,BAZE_2026!$A141,INPUT!$B:$B,BAZE_2026!$B141)</f>
        <v>1971033.5730960001</v>
      </c>
      <c r="G141" s="92">
        <f>SUMIFS(INPUT!$L:$L,INPUT!$E:$E,BAZE_2026!$A141,INPUT!$B:$B,BAZE_2026!$B141)</f>
        <v>2212850.62</v>
      </c>
      <c r="H141" s="48">
        <f t="shared" si="9"/>
        <v>241817.04690399999</v>
      </c>
      <c r="I141" s="232">
        <f t="shared" si="10"/>
        <v>0.12268540232126333</v>
      </c>
      <c r="J141" s="2601" t="s">
        <v>5141</v>
      </c>
      <c r="K141" s="54"/>
      <c r="L141" s="135"/>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row>
    <row r="142" spans="1:195" s="8" customFormat="1" ht="13.8" hidden="1" outlineLevel="1">
      <c r="A142" s="179" t="s">
        <v>709</v>
      </c>
      <c r="B142" s="179" t="s">
        <v>774</v>
      </c>
      <c r="C142" s="248"/>
      <c r="D142" s="58"/>
      <c r="E142" s="59" t="s">
        <v>375</v>
      </c>
      <c r="F142" s="92">
        <f>SUMIFS(INPUT!$H:$H,INPUT!$E:$E,BAZE_2026!$A142,INPUT!$B:$B,BAZE_2026!$B142)</f>
        <v>83298</v>
      </c>
      <c r="G142" s="92">
        <f>SUMIFS(INPUT!$L:$L,INPUT!$E:$E,BAZE_2026!$A142,INPUT!$B:$B,BAZE_2026!$B142)</f>
        <v>67094</v>
      </c>
      <c r="H142" s="48">
        <f t="shared" si="9"/>
        <v>-16204</v>
      </c>
      <c r="I142" s="232">
        <f t="shared" si="10"/>
        <v>-0.19453048092391173</v>
      </c>
      <c r="J142" s="2562"/>
      <c r="K142" s="72"/>
      <c r="L142" s="1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row>
    <row r="143" spans="1:195" s="162" customFormat="1" ht="13.8" hidden="1" outlineLevel="1">
      <c r="A143" s="274" t="s">
        <v>709</v>
      </c>
      <c r="B143" s="274" t="s">
        <v>773</v>
      </c>
      <c r="C143" s="275"/>
      <c r="D143" s="2917"/>
      <c r="E143" s="2922" t="s">
        <v>773</v>
      </c>
      <c r="F143" s="153">
        <f>SUMIFS(INPUT!$H:$H,INPUT!$E:$E,BAZE_2026!$A143,INPUT!$B:$B,BAZE_2026!$B143)</f>
        <v>2931543</v>
      </c>
      <c r="G143" s="153">
        <f>SUMIFS(INPUT!$L:$L,INPUT!$E:$E,BAZE_2026!$A143,INPUT!$B:$B,BAZE_2026!$B143)</f>
        <v>0</v>
      </c>
      <c r="H143" s="157">
        <f t="shared" si="9"/>
        <v>-2931543</v>
      </c>
      <c r="I143" s="233">
        <f t="shared" si="10"/>
        <v>-1</v>
      </c>
      <c r="J143" s="2923"/>
      <c r="K143" s="155"/>
      <c r="L143" s="128"/>
      <c r="M143" s="127"/>
      <c r="N143" s="127"/>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27"/>
      <c r="AN143" s="127"/>
      <c r="AO143" s="127"/>
      <c r="AP143" s="127"/>
      <c r="AQ143" s="127"/>
      <c r="AR143" s="127"/>
      <c r="AS143" s="127"/>
      <c r="AT143" s="127"/>
      <c r="AU143" s="127"/>
      <c r="AV143" s="127"/>
      <c r="AW143" s="127"/>
      <c r="AX143" s="127"/>
      <c r="AY143" s="127"/>
      <c r="AZ143" s="127"/>
      <c r="BA143" s="127"/>
      <c r="BB143" s="127"/>
      <c r="BC143" s="127"/>
      <c r="BD143" s="127"/>
      <c r="BE143" s="127"/>
      <c r="BF143" s="127"/>
      <c r="BG143" s="127"/>
      <c r="BH143" s="127"/>
      <c r="BI143" s="127"/>
      <c r="BJ143" s="127"/>
      <c r="BK143" s="127"/>
      <c r="BL143" s="127"/>
      <c r="BM143" s="127"/>
      <c r="BN143" s="127"/>
      <c r="BO143" s="127"/>
      <c r="BP143" s="127"/>
      <c r="BQ143" s="127"/>
      <c r="BR143" s="127"/>
      <c r="BS143" s="127"/>
      <c r="BT143" s="127"/>
      <c r="BU143" s="127"/>
      <c r="BV143" s="127"/>
      <c r="BW143" s="127"/>
      <c r="BX143" s="127"/>
      <c r="BY143" s="127"/>
      <c r="BZ143" s="127"/>
      <c r="CA143" s="127"/>
      <c r="CB143" s="127"/>
      <c r="CC143" s="127"/>
      <c r="CD143" s="127"/>
      <c r="CE143" s="127"/>
      <c r="CF143" s="127"/>
      <c r="CG143" s="127"/>
      <c r="CH143" s="127"/>
      <c r="CI143" s="127"/>
      <c r="CJ143" s="127"/>
      <c r="CK143" s="127"/>
      <c r="CL143" s="127"/>
      <c r="CM143" s="127"/>
      <c r="CN143" s="127"/>
      <c r="CO143" s="127"/>
      <c r="CP143" s="127"/>
      <c r="CQ143" s="127"/>
      <c r="CR143" s="127"/>
      <c r="CS143" s="127"/>
      <c r="CT143" s="127"/>
      <c r="CU143" s="127"/>
      <c r="CV143" s="127"/>
      <c r="CW143" s="127"/>
      <c r="CX143" s="127"/>
      <c r="CY143" s="127"/>
      <c r="CZ143" s="127"/>
      <c r="DA143" s="127"/>
      <c r="DB143" s="127"/>
      <c r="DC143" s="127"/>
      <c r="DD143" s="127"/>
      <c r="DE143" s="127"/>
      <c r="DF143" s="127"/>
      <c r="DG143" s="127"/>
      <c r="DH143" s="127"/>
      <c r="DI143" s="127"/>
      <c r="DJ143" s="127"/>
      <c r="DK143" s="127"/>
      <c r="DL143" s="127"/>
      <c r="DM143" s="127"/>
      <c r="DN143" s="127"/>
      <c r="DO143" s="127"/>
      <c r="DP143" s="127"/>
      <c r="DQ143" s="127"/>
      <c r="DR143" s="127"/>
      <c r="DS143" s="127"/>
      <c r="DT143" s="127"/>
      <c r="DU143" s="127"/>
      <c r="DV143" s="127"/>
      <c r="DW143" s="127"/>
      <c r="DX143" s="127"/>
      <c r="DY143" s="127"/>
      <c r="DZ143" s="127"/>
      <c r="EA143" s="127"/>
      <c r="EB143" s="127"/>
      <c r="EC143" s="127"/>
      <c r="ED143" s="127"/>
      <c r="EE143" s="127"/>
      <c r="EF143" s="127"/>
      <c r="EG143" s="127"/>
      <c r="EH143" s="127"/>
      <c r="EI143" s="127"/>
      <c r="EJ143" s="127"/>
      <c r="EK143" s="127"/>
      <c r="EL143" s="127"/>
      <c r="EM143" s="127"/>
      <c r="EN143" s="127"/>
      <c r="EO143" s="127"/>
      <c r="EP143" s="127"/>
      <c r="EQ143" s="127"/>
      <c r="ER143" s="127"/>
      <c r="ES143" s="127"/>
      <c r="ET143" s="127"/>
      <c r="EU143" s="127"/>
      <c r="EV143" s="127"/>
      <c r="EW143" s="127"/>
      <c r="EX143" s="127"/>
      <c r="EY143" s="127"/>
      <c r="EZ143" s="127"/>
      <c r="FA143" s="127"/>
      <c r="FB143" s="127"/>
      <c r="FC143" s="127"/>
      <c r="FD143" s="127"/>
      <c r="FE143" s="127"/>
      <c r="FF143" s="127"/>
      <c r="FG143" s="127"/>
      <c r="FH143" s="127"/>
      <c r="FI143" s="127"/>
      <c r="FJ143" s="127"/>
      <c r="FK143" s="127"/>
      <c r="FL143" s="127"/>
      <c r="FM143" s="127"/>
      <c r="FN143" s="127"/>
      <c r="FO143" s="127"/>
      <c r="FP143" s="127"/>
      <c r="FQ143" s="127"/>
      <c r="FR143" s="127"/>
      <c r="FS143" s="127"/>
      <c r="FT143" s="127"/>
      <c r="FU143" s="127"/>
      <c r="FV143" s="127"/>
      <c r="FW143" s="127"/>
      <c r="FX143" s="127"/>
      <c r="FY143" s="127"/>
      <c r="FZ143" s="127"/>
      <c r="GA143" s="127"/>
      <c r="GB143" s="127"/>
      <c r="GC143" s="127"/>
      <c r="GD143" s="127"/>
      <c r="GE143" s="127"/>
      <c r="GF143" s="127"/>
      <c r="GG143" s="127"/>
      <c r="GH143" s="127"/>
      <c r="GI143" s="127"/>
      <c r="GJ143" s="127"/>
      <c r="GK143" s="127"/>
      <c r="GL143" s="127"/>
      <c r="GM143" s="127"/>
    </row>
    <row r="144" spans="1:195" ht="15" customHeight="1" collapsed="1">
      <c r="D144" s="38" t="s">
        <v>1168</v>
      </c>
      <c r="E144" s="42" t="s">
        <v>646</v>
      </c>
      <c r="F144" s="89"/>
      <c r="G144" s="1274"/>
      <c r="H144" s="43">
        <f t="shared" ref="H144:H145" si="11">G144-F144</f>
        <v>0</v>
      </c>
      <c r="I144" s="235" t="str">
        <f t="shared" si="10"/>
        <v>-</v>
      </c>
      <c r="J144" s="2567" t="s">
        <v>4790</v>
      </c>
      <c r="K144" s="72"/>
    </row>
    <row r="145" spans="1:195" s="8" customFormat="1" ht="13.8" hidden="1" outlineLevel="1">
      <c r="A145" s="372"/>
      <c r="B145" s="210"/>
      <c r="C145" s="252"/>
      <c r="D145" s="1220"/>
      <c r="E145" s="98" t="s">
        <v>326</v>
      </c>
      <c r="F145" s="92"/>
      <c r="G145" s="153"/>
      <c r="H145" s="48">
        <f t="shared" si="11"/>
        <v>0</v>
      </c>
      <c r="I145" s="232" t="str">
        <f t="shared" si="10"/>
        <v>-</v>
      </c>
      <c r="J145" s="1515"/>
      <c r="K145" s="72"/>
      <c r="L145" s="12"/>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row>
    <row r="146" spans="1:195" ht="27.6" customHeight="1" collapsed="1">
      <c r="D146" s="38" t="s">
        <v>1300</v>
      </c>
      <c r="E146" s="42" t="s">
        <v>1230</v>
      </c>
      <c r="F146" s="2925">
        <f>F147</f>
        <v>413000</v>
      </c>
      <c r="G146" s="2925">
        <f>G147</f>
        <v>483268</v>
      </c>
      <c r="H146" s="43">
        <f>G146-F146</f>
        <v>70268</v>
      </c>
      <c r="I146" s="235">
        <f t="shared" ref="I146:I208" si="12">IFERROR(H146/F146,"-")</f>
        <v>0.1701404358353511</v>
      </c>
      <c r="J146" s="2568"/>
      <c r="K146" s="72"/>
    </row>
    <row r="147" spans="1:195" s="8" customFormat="1" ht="46.5" hidden="1" customHeight="1" outlineLevel="1">
      <c r="A147" s="179" t="s">
        <v>1911</v>
      </c>
      <c r="B147" s="179" t="s">
        <v>772</v>
      </c>
      <c r="C147" s="248"/>
      <c r="D147" s="105"/>
      <c r="E147" s="98" t="s">
        <v>329</v>
      </c>
      <c r="F147" s="92">
        <f>SUMIFS(INPUT!$H:$H,INPUT!$E:$E,BAZE_2026!$A147,INPUT!$B:$B,BAZE_2026!$B147)</f>
        <v>413000</v>
      </c>
      <c r="G147" s="92">
        <f>SUMIFS(INPUT!$L:$L,INPUT!$E:$E,BAZE_2026!$A147,INPUT!$B:$B,BAZE_2026!$B147)</f>
        <v>483268</v>
      </c>
      <c r="H147" s="48">
        <f t="shared" ref="H147:H154" si="13">G147-F147</f>
        <v>70268</v>
      </c>
      <c r="I147" s="232">
        <f t="shared" si="12"/>
        <v>0.1701404358353511</v>
      </c>
      <c r="J147" s="2560" t="s">
        <v>5022</v>
      </c>
      <c r="K147" s="72"/>
      <c r="L147" s="12"/>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row>
    <row r="148" spans="1:195" s="166" customFormat="1" ht="13.8" hidden="1" outlineLevel="1">
      <c r="C148" s="316"/>
      <c r="D148" s="2926"/>
      <c r="E148" s="2924" t="s">
        <v>326</v>
      </c>
      <c r="F148" s="156"/>
      <c r="G148" s="156"/>
      <c r="H148" s="158">
        <f t="shared" si="13"/>
        <v>0</v>
      </c>
      <c r="I148" s="230" t="str">
        <f t="shared" si="12"/>
        <v>-</v>
      </c>
      <c r="J148" s="2931"/>
      <c r="K148" s="317"/>
      <c r="L148" s="283"/>
      <c r="M148" s="161"/>
      <c r="N148" s="161"/>
      <c r="O148" s="161"/>
      <c r="P148" s="161"/>
      <c r="Q148" s="161"/>
      <c r="R148" s="161"/>
      <c r="S148" s="161"/>
      <c r="T148" s="161"/>
      <c r="U148" s="161"/>
      <c r="V148" s="161"/>
      <c r="W148" s="161"/>
      <c r="X148" s="161"/>
      <c r="Y148" s="161"/>
      <c r="Z148" s="161"/>
      <c r="AA148" s="161"/>
      <c r="AB148" s="161"/>
      <c r="AC148" s="161"/>
      <c r="AD148" s="161"/>
      <c r="AE148" s="161"/>
      <c r="AF148" s="161"/>
      <c r="AG148" s="161"/>
      <c r="AH148" s="161"/>
      <c r="AI148" s="161"/>
      <c r="AJ148" s="161"/>
      <c r="AK148" s="161"/>
      <c r="AL148" s="161"/>
      <c r="AM148" s="161"/>
      <c r="AN148" s="161"/>
      <c r="AO148" s="161"/>
      <c r="AP148" s="161"/>
      <c r="AQ148" s="161"/>
      <c r="AR148" s="161"/>
      <c r="AS148" s="161"/>
      <c r="AT148" s="161"/>
      <c r="AU148" s="161"/>
      <c r="AV148" s="161"/>
      <c r="AW148" s="161"/>
      <c r="AX148" s="161"/>
      <c r="AY148" s="161"/>
      <c r="AZ148" s="161"/>
      <c r="BA148" s="161"/>
      <c r="BB148" s="161"/>
      <c r="BC148" s="161"/>
      <c r="BD148" s="161"/>
      <c r="BE148" s="161"/>
      <c r="BF148" s="161"/>
      <c r="BG148" s="161"/>
      <c r="BH148" s="161"/>
      <c r="BI148" s="161"/>
      <c r="BJ148" s="161"/>
      <c r="BK148" s="161"/>
      <c r="BL148" s="161"/>
      <c r="BM148" s="161"/>
      <c r="BN148" s="161"/>
      <c r="BO148" s="161"/>
      <c r="BP148" s="161"/>
      <c r="BQ148" s="161"/>
      <c r="BR148" s="161"/>
      <c r="BS148" s="161"/>
      <c r="BT148" s="161"/>
      <c r="BU148" s="161"/>
      <c r="BV148" s="161"/>
      <c r="BW148" s="161"/>
      <c r="BX148" s="161"/>
      <c r="BY148" s="161"/>
      <c r="BZ148" s="161"/>
      <c r="CA148" s="161"/>
      <c r="CB148" s="161"/>
      <c r="CC148" s="161"/>
      <c r="CD148" s="161"/>
      <c r="CE148" s="161"/>
      <c r="CF148" s="161"/>
      <c r="CG148" s="161"/>
      <c r="CH148" s="161"/>
      <c r="CI148" s="161"/>
      <c r="CJ148" s="161"/>
      <c r="CK148" s="161"/>
      <c r="CL148" s="161"/>
      <c r="CM148" s="161"/>
      <c r="CN148" s="161"/>
      <c r="CO148" s="161"/>
      <c r="CP148" s="161"/>
      <c r="CQ148" s="161"/>
      <c r="CR148" s="161"/>
      <c r="CS148" s="161"/>
      <c r="CT148" s="161"/>
      <c r="CU148" s="161"/>
      <c r="CV148" s="161"/>
      <c r="CW148" s="161"/>
      <c r="CX148" s="161"/>
      <c r="CY148" s="161"/>
      <c r="CZ148" s="161"/>
      <c r="DA148" s="161"/>
      <c r="DB148" s="161"/>
      <c r="DC148" s="161"/>
      <c r="DD148" s="161"/>
      <c r="DE148" s="161"/>
      <c r="DF148" s="161"/>
      <c r="DG148" s="161"/>
      <c r="DH148" s="161"/>
      <c r="DI148" s="161"/>
      <c r="DJ148" s="161"/>
      <c r="DK148" s="161"/>
      <c r="DL148" s="161"/>
      <c r="DM148" s="161"/>
      <c r="DN148" s="161"/>
      <c r="DO148" s="161"/>
      <c r="DP148" s="161"/>
      <c r="DQ148" s="161"/>
      <c r="DR148" s="161"/>
      <c r="DS148" s="161"/>
      <c r="DT148" s="161"/>
      <c r="DU148" s="161"/>
      <c r="DV148" s="161"/>
      <c r="DW148" s="161"/>
      <c r="DX148" s="161"/>
      <c r="DY148" s="161"/>
      <c r="DZ148" s="161"/>
      <c r="EA148" s="161"/>
      <c r="EB148" s="161"/>
      <c r="EC148" s="161"/>
      <c r="ED148" s="161"/>
      <c r="EE148" s="161"/>
      <c r="EF148" s="161"/>
      <c r="EG148" s="161"/>
      <c r="EH148" s="161"/>
      <c r="EI148" s="161"/>
      <c r="EJ148" s="161"/>
      <c r="EK148" s="161"/>
      <c r="EL148" s="161"/>
      <c r="EM148" s="161"/>
      <c r="EN148" s="161"/>
      <c r="EO148" s="161"/>
      <c r="EP148" s="161"/>
      <c r="EQ148" s="161"/>
      <c r="ER148" s="161"/>
      <c r="ES148" s="161"/>
      <c r="ET148" s="161"/>
      <c r="EU148" s="161"/>
      <c r="EV148" s="161"/>
      <c r="EW148" s="161"/>
      <c r="EX148" s="161"/>
      <c r="EY148" s="161"/>
      <c r="EZ148" s="161"/>
      <c r="FA148" s="161"/>
      <c r="FB148" s="161"/>
      <c r="FC148" s="161"/>
      <c r="FD148" s="161"/>
      <c r="FE148" s="161"/>
      <c r="FF148" s="161"/>
      <c r="FG148" s="161"/>
      <c r="FH148" s="161"/>
      <c r="FI148" s="161"/>
      <c r="FJ148" s="161"/>
      <c r="FK148" s="161"/>
      <c r="FL148" s="161"/>
      <c r="FM148" s="161"/>
      <c r="FN148" s="161"/>
      <c r="FO148" s="161"/>
      <c r="FP148" s="161"/>
      <c r="FQ148" s="161"/>
      <c r="FR148" s="161"/>
      <c r="FS148" s="161"/>
      <c r="FT148" s="161"/>
      <c r="FU148" s="161"/>
      <c r="FV148" s="161"/>
      <c r="FW148" s="161"/>
      <c r="FX148" s="161"/>
      <c r="FY148" s="161"/>
      <c r="FZ148" s="161"/>
      <c r="GA148" s="161"/>
      <c r="GB148" s="161"/>
      <c r="GC148" s="161"/>
      <c r="GD148" s="161"/>
      <c r="GE148" s="161"/>
      <c r="GF148" s="161"/>
      <c r="GG148" s="161"/>
      <c r="GH148" s="161"/>
      <c r="GI148" s="161"/>
      <c r="GJ148" s="161"/>
      <c r="GK148" s="161"/>
      <c r="GL148" s="161"/>
      <c r="GM148" s="161"/>
    </row>
    <row r="149" spans="1:195" ht="13.8" collapsed="1">
      <c r="D149" s="40" t="s">
        <v>23</v>
      </c>
      <c r="E149" s="41" t="s">
        <v>91</v>
      </c>
      <c r="F149" s="30">
        <f>F158+F165+F172+F177+F182+F190+F192+F198+F204</f>
        <v>1767569.9061959998</v>
      </c>
      <c r="G149" s="30">
        <f>G158+G165+G172+G177+G182+G190+G192+G198+G204</f>
        <v>1909610.9246402453</v>
      </c>
      <c r="H149" s="29">
        <f t="shared" si="13"/>
        <v>142041.01844424545</v>
      </c>
      <c r="I149" s="219">
        <f t="shared" si="12"/>
        <v>8.0359491268966535E-2</v>
      </c>
      <c r="J149" s="1524"/>
      <c r="K149" s="72"/>
      <c r="L149" s="285"/>
      <c r="M149" s="129"/>
      <c r="N149" s="129"/>
      <c r="O149" s="129"/>
    </row>
    <row r="150" spans="1:195" s="112" customFormat="1" ht="13.8">
      <c r="A150" s="372"/>
      <c r="B150" s="312"/>
      <c r="C150" s="310"/>
      <c r="D150" s="108"/>
      <c r="E150" s="109" t="s">
        <v>436</v>
      </c>
      <c r="F150" s="110">
        <f>F159+F166+F173+F178+F183+F193+F199</f>
        <v>1112249.7242959999</v>
      </c>
      <c r="G150" s="110">
        <f>G159+G166+G173+G178+G183+G193+G199</f>
        <v>1163859.3707402451</v>
      </c>
      <c r="H150" s="111">
        <f t="shared" si="13"/>
        <v>51609.646444245242</v>
      </c>
      <c r="I150" s="227">
        <f t="shared" si="12"/>
        <v>4.6401132153043818E-2</v>
      </c>
      <c r="J150" s="1514"/>
      <c r="K150" s="141"/>
      <c r="L150" s="368"/>
      <c r="M150" s="116"/>
      <c r="N150" s="116"/>
      <c r="O150" s="116"/>
      <c r="P150" s="249"/>
      <c r="Q150" s="249"/>
      <c r="R150" s="249"/>
      <c r="S150" s="249"/>
      <c r="T150" s="249"/>
      <c r="U150" s="249"/>
      <c r="V150" s="249"/>
      <c r="W150" s="249"/>
      <c r="X150" s="249"/>
      <c r="Y150" s="249"/>
      <c r="Z150" s="249"/>
      <c r="AA150" s="249"/>
      <c r="AB150" s="249"/>
      <c r="AC150" s="249"/>
      <c r="AD150" s="249"/>
      <c r="AE150" s="249"/>
      <c r="AF150" s="249"/>
      <c r="AG150" s="249"/>
      <c r="AH150" s="249"/>
      <c r="AI150" s="249"/>
      <c r="AJ150" s="249"/>
      <c r="AK150" s="249"/>
      <c r="AL150" s="249"/>
      <c r="AM150" s="249"/>
      <c r="AN150" s="249"/>
      <c r="AO150" s="249"/>
      <c r="AP150" s="249"/>
      <c r="AQ150" s="249"/>
      <c r="AR150" s="249"/>
      <c r="AS150" s="249"/>
      <c r="AT150" s="249"/>
      <c r="AU150" s="249"/>
      <c r="AV150" s="249"/>
      <c r="AW150" s="249"/>
      <c r="AX150" s="249"/>
      <c r="AY150" s="249"/>
      <c r="AZ150" s="249"/>
      <c r="BA150" s="249"/>
      <c r="BB150" s="249"/>
      <c r="BC150" s="249"/>
      <c r="BD150" s="249"/>
      <c r="BE150" s="249"/>
      <c r="BF150" s="249"/>
      <c r="BG150" s="249"/>
      <c r="BH150" s="249"/>
      <c r="BI150" s="249"/>
      <c r="BJ150" s="249"/>
      <c r="BK150" s="249"/>
      <c r="BL150" s="249"/>
      <c r="BM150" s="249"/>
      <c r="BN150" s="249"/>
      <c r="BO150" s="249"/>
      <c r="BP150" s="249"/>
      <c r="BQ150" s="249"/>
      <c r="BR150" s="249"/>
      <c r="BS150" s="249"/>
      <c r="BT150" s="249"/>
      <c r="BU150" s="249"/>
      <c r="BV150" s="249"/>
      <c r="BW150" s="249"/>
      <c r="BX150" s="249"/>
      <c r="BY150" s="249"/>
      <c r="BZ150" s="249"/>
      <c r="CA150" s="249"/>
      <c r="CB150" s="249"/>
      <c r="CC150" s="249"/>
      <c r="CD150" s="249"/>
      <c r="CE150" s="249"/>
      <c r="CF150" s="249"/>
      <c r="CG150" s="249"/>
      <c r="CH150" s="249"/>
      <c r="CI150" s="249"/>
      <c r="CJ150" s="249"/>
      <c r="CK150" s="249"/>
      <c r="CL150" s="249"/>
      <c r="CM150" s="249"/>
      <c r="CN150" s="249"/>
      <c r="CO150" s="249"/>
      <c r="CP150" s="249"/>
      <c r="CQ150" s="249"/>
      <c r="CR150" s="249"/>
      <c r="CS150" s="249"/>
      <c r="CT150" s="249"/>
      <c r="CU150" s="249"/>
      <c r="CV150" s="249"/>
      <c r="CW150" s="249"/>
      <c r="CX150" s="249"/>
      <c r="CY150" s="249"/>
      <c r="CZ150" s="249"/>
      <c r="DA150" s="249"/>
      <c r="DB150" s="249"/>
      <c r="DC150" s="249"/>
      <c r="DD150" s="249"/>
      <c r="DE150" s="249"/>
      <c r="DF150" s="249"/>
      <c r="DG150" s="249"/>
      <c r="DH150" s="249"/>
      <c r="DI150" s="249"/>
      <c r="DJ150" s="249"/>
      <c r="DK150" s="249"/>
      <c r="DL150" s="249"/>
      <c r="DM150" s="249"/>
      <c r="DN150" s="249"/>
      <c r="DO150" s="249"/>
      <c r="DP150" s="249"/>
      <c r="DQ150" s="249"/>
      <c r="DR150" s="249"/>
      <c r="DS150" s="249"/>
      <c r="DT150" s="249"/>
      <c r="DU150" s="249"/>
      <c r="DV150" s="249"/>
      <c r="DW150" s="249"/>
      <c r="DX150" s="249"/>
      <c r="DY150" s="249"/>
      <c r="DZ150" s="249"/>
      <c r="EA150" s="249"/>
      <c r="EB150" s="249"/>
      <c r="EC150" s="249"/>
      <c r="ED150" s="249"/>
      <c r="EE150" s="249"/>
      <c r="EF150" s="249"/>
      <c r="EG150" s="249"/>
      <c r="EH150" s="249"/>
      <c r="EI150" s="249"/>
      <c r="EJ150" s="249"/>
      <c r="EK150" s="249"/>
      <c r="EL150" s="249"/>
      <c r="EM150" s="249"/>
      <c r="EN150" s="249"/>
      <c r="EO150" s="249"/>
      <c r="EP150" s="249"/>
      <c r="EQ150" s="249"/>
      <c r="ER150" s="249"/>
      <c r="ES150" s="249"/>
      <c r="ET150" s="249"/>
      <c r="EU150" s="249"/>
      <c r="EV150" s="249"/>
      <c r="EW150" s="249"/>
      <c r="EX150" s="249"/>
      <c r="EY150" s="249"/>
      <c r="EZ150" s="249"/>
      <c r="FA150" s="249"/>
      <c r="FB150" s="249"/>
      <c r="FC150" s="249"/>
      <c r="FD150" s="249"/>
      <c r="FE150" s="249"/>
      <c r="FF150" s="249"/>
      <c r="FG150" s="249"/>
      <c r="FH150" s="249"/>
      <c r="FI150" s="249"/>
      <c r="FJ150" s="249"/>
      <c r="FK150" s="249"/>
      <c r="FL150" s="249"/>
      <c r="FM150" s="249"/>
      <c r="FN150" s="249"/>
      <c r="FO150" s="249"/>
      <c r="FP150" s="249"/>
      <c r="FQ150" s="249"/>
      <c r="FR150" s="249"/>
      <c r="FS150" s="249"/>
      <c r="FT150" s="249"/>
      <c r="FU150" s="249"/>
      <c r="FV150" s="249"/>
      <c r="FW150" s="249"/>
      <c r="FX150" s="249"/>
      <c r="FY150" s="249"/>
      <c r="FZ150" s="249"/>
      <c r="GA150" s="249"/>
      <c r="GB150" s="249"/>
      <c r="GC150" s="249"/>
      <c r="GD150" s="249"/>
      <c r="GE150" s="249"/>
      <c r="GF150" s="249"/>
      <c r="GG150" s="249"/>
      <c r="GH150" s="249"/>
      <c r="GI150" s="249"/>
      <c r="GJ150" s="249"/>
      <c r="GK150" s="249"/>
      <c r="GL150" s="249"/>
      <c r="GM150" s="249"/>
    </row>
    <row r="151" spans="1:195" s="112" customFormat="1" ht="13.8">
      <c r="A151" s="372"/>
      <c r="B151" s="312"/>
      <c r="C151" s="310"/>
      <c r="D151" s="113"/>
      <c r="E151" s="114" t="s">
        <v>376</v>
      </c>
      <c r="F151" s="115">
        <f>F160+F167+F174+F179+F184+F194+F200+F205</f>
        <v>352005.38189999998</v>
      </c>
      <c r="G151" s="115">
        <f>G160+G167+G174+G179+G184+G194+G200+G205</f>
        <v>378236.5539</v>
      </c>
      <c r="H151" s="111">
        <f t="shared" si="13"/>
        <v>26231.17200000002</v>
      </c>
      <c r="I151" s="227">
        <f t="shared" si="12"/>
        <v>7.451923563899357E-2</v>
      </c>
      <c r="J151" s="1514"/>
      <c r="K151" s="141"/>
      <c r="L151" s="368"/>
      <c r="M151" s="116"/>
      <c r="N151" s="116"/>
      <c r="O151" s="116"/>
      <c r="P151" s="249"/>
      <c r="Q151" s="249"/>
      <c r="R151" s="249"/>
      <c r="S151" s="249"/>
      <c r="T151" s="249"/>
      <c r="U151" s="249"/>
      <c r="V151" s="249"/>
      <c r="W151" s="249"/>
      <c r="X151" s="249"/>
      <c r="Y151" s="249"/>
      <c r="Z151" s="249"/>
      <c r="AA151" s="249"/>
      <c r="AB151" s="249"/>
      <c r="AC151" s="249"/>
      <c r="AD151" s="249"/>
      <c r="AE151" s="249"/>
      <c r="AF151" s="249"/>
      <c r="AG151" s="249"/>
      <c r="AH151" s="249"/>
      <c r="AI151" s="249"/>
      <c r="AJ151" s="249"/>
      <c r="AK151" s="249"/>
      <c r="AL151" s="249"/>
      <c r="AM151" s="249"/>
      <c r="AN151" s="249"/>
      <c r="AO151" s="249"/>
      <c r="AP151" s="249"/>
      <c r="AQ151" s="249"/>
      <c r="AR151" s="249"/>
      <c r="AS151" s="249"/>
      <c r="AT151" s="249"/>
      <c r="AU151" s="249"/>
      <c r="AV151" s="249"/>
      <c r="AW151" s="249"/>
      <c r="AX151" s="249"/>
      <c r="AY151" s="249"/>
      <c r="AZ151" s="249"/>
      <c r="BA151" s="249"/>
      <c r="BB151" s="249"/>
      <c r="BC151" s="249"/>
      <c r="BD151" s="249"/>
      <c r="BE151" s="249"/>
      <c r="BF151" s="249"/>
      <c r="BG151" s="249"/>
      <c r="BH151" s="249"/>
      <c r="BI151" s="249"/>
      <c r="BJ151" s="249"/>
      <c r="BK151" s="249"/>
      <c r="BL151" s="249"/>
      <c r="BM151" s="249"/>
      <c r="BN151" s="249"/>
      <c r="BO151" s="249"/>
      <c r="BP151" s="249"/>
      <c r="BQ151" s="249"/>
      <c r="BR151" s="249"/>
      <c r="BS151" s="249"/>
      <c r="BT151" s="249"/>
      <c r="BU151" s="249"/>
      <c r="BV151" s="249"/>
      <c r="BW151" s="249"/>
      <c r="BX151" s="249"/>
      <c r="BY151" s="249"/>
      <c r="BZ151" s="249"/>
      <c r="CA151" s="249"/>
      <c r="CB151" s="249"/>
      <c r="CC151" s="249"/>
      <c r="CD151" s="249"/>
      <c r="CE151" s="249"/>
      <c r="CF151" s="249"/>
      <c r="CG151" s="249"/>
      <c r="CH151" s="249"/>
      <c r="CI151" s="249"/>
      <c r="CJ151" s="249"/>
      <c r="CK151" s="249"/>
      <c r="CL151" s="249"/>
      <c r="CM151" s="249"/>
      <c r="CN151" s="249"/>
      <c r="CO151" s="249"/>
      <c r="CP151" s="249"/>
      <c r="CQ151" s="249"/>
      <c r="CR151" s="249"/>
      <c r="CS151" s="249"/>
      <c r="CT151" s="249"/>
      <c r="CU151" s="249"/>
      <c r="CV151" s="249"/>
      <c r="CW151" s="249"/>
      <c r="CX151" s="249"/>
      <c r="CY151" s="249"/>
      <c r="CZ151" s="249"/>
      <c r="DA151" s="249"/>
      <c r="DB151" s="249"/>
      <c r="DC151" s="249"/>
      <c r="DD151" s="249"/>
      <c r="DE151" s="249"/>
      <c r="DF151" s="249"/>
      <c r="DG151" s="249"/>
      <c r="DH151" s="249"/>
      <c r="DI151" s="249"/>
      <c r="DJ151" s="249"/>
      <c r="DK151" s="249"/>
      <c r="DL151" s="249"/>
      <c r="DM151" s="249"/>
      <c r="DN151" s="249"/>
      <c r="DO151" s="249"/>
      <c r="DP151" s="249"/>
      <c r="DQ151" s="249"/>
      <c r="DR151" s="249"/>
      <c r="DS151" s="249"/>
      <c r="DT151" s="249"/>
      <c r="DU151" s="249"/>
      <c r="DV151" s="249"/>
      <c r="DW151" s="249"/>
      <c r="DX151" s="249"/>
      <c r="DY151" s="249"/>
      <c r="DZ151" s="249"/>
      <c r="EA151" s="249"/>
      <c r="EB151" s="249"/>
      <c r="EC151" s="249"/>
      <c r="ED151" s="249"/>
      <c r="EE151" s="249"/>
      <c r="EF151" s="249"/>
      <c r="EG151" s="249"/>
      <c r="EH151" s="249"/>
      <c r="EI151" s="249"/>
      <c r="EJ151" s="249"/>
      <c r="EK151" s="249"/>
      <c r="EL151" s="249"/>
      <c r="EM151" s="249"/>
      <c r="EN151" s="249"/>
      <c r="EO151" s="249"/>
      <c r="EP151" s="249"/>
      <c r="EQ151" s="249"/>
      <c r="ER151" s="249"/>
      <c r="ES151" s="249"/>
      <c r="ET151" s="249"/>
      <c r="EU151" s="249"/>
      <c r="EV151" s="249"/>
      <c r="EW151" s="249"/>
      <c r="EX151" s="249"/>
      <c r="EY151" s="249"/>
      <c r="EZ151" s="249"/>
      <c r="FA151" s="249"/>
      <c r="FB151" s="249"/>
      <c r="FC151" s="249"/>
      <c r="FD151" s="249"/>
      <c r="FE151" s="249"/>
      <c r="FF151" s="249"/>
      <c r="FG151" s="249"/>
      <c r="FH151" s="249"/>
      <c r="FI151" s="249"/>
      <c r="FJ151" s="249"/>
      <c r="FK151" s="249"/>
      <c r="FL151" s="249"/>
      <c r="FM151" s="249"/>
      <c r="FN151" s="249"/>
      <c r="FO151" s="249"/>
      <c r="FP151" s="249"/>
      <c r="FQ151" s="249"/>
      <c r="FR151" s="249"/>
      <c r="FS151" s="249"/>
      <c r="FT151" s="249"/>
      <c r="FU151" s="249"/>
      <c r="FV151" s="249"/>
      <c r="FW151" s="249"/>
      <c r="FX151" s="249"/>
      <c r="FY151" s="249"/>
      <c r="FZ151" s="249"/>
      <c r="GA151" s="249"/>
      <c r="GB151" s="249"/>
      <c r="GC151" s="249"/>
      <c r="GD151" s="249"/>
      <c r="GE151" s="249"/>
      <c r="GF151" s="249"/>
      <c r="GG151" s="249"/>
      <c r="GH151" s="249"/>
      <c r="GI151" s="249"/>
      <c r="GJ151" s="249"/>
      <c r="GK151" s="249"/>
      <c r="GL151" s="249"/>
      <c r="GM151" s="249"/>
    </row>
    <row r="152" spans="1:195" s="112" customFormat="1" ht="13.8">
      <c r="A152" s="372"/>
      <c r="B152" s="312"/>
      <c r="C152" s="310"/>
      <c r="D152" s="389"/>
      <c r="E152" s="114" t="s">
        <v>1211</v>
      </c>
      <c r="F152" s="390">
        <f>SUM(F186)</f>
        <v>271536.8</v>
      </c>
      <c r="G152" s="390">
        <f>SUM(G186)</f>
        <v>324250</v>
      </c>
      <c r="H152" s="111">
        <f>G152-F152</f>
        <v>52713.200000000012</v>
      </c>
      <c r="I152" s="227">
        <f>IFERROR(H152/F152,"-")</f>
        <v>0.19412911988356649</v>
      </c>
      <c r="J152" s="1525"/>
      <c r="K152" s="141"/>
      <c r="L152" s="368"/>
      <c r="M152" s="116"/>
      <c r="N152" s="116"/>
      <c r="O152" s="116"/>
      <c r="P152" s="249"/>
      <c r="Q152" s="249"/>
      <c r="R152" s="249"/>
      <c r="S152" s="249"/>
      <c r="T152" s="249"/>
      <c r="U152" s="249"/>
      <c r="V152" s="249"/>
      <c r="W152" s="249"/>
      <c r="X152" s="249"/>
      <c r="Y152" s="249"/>
      <c r="Z152" s="249"/>
      <c r="AA152" s="249"/>
      <c r="AB152" s="249"/>
      <c r="AC152" s="249"/>
      <c r="AD152" s="249"/>
      <c r="AE152" s="249"/>
      <c r="AF152" s="249"/>
      <c r="AG152" s="249"/>
      <c r="AH152" s="249"/>
      <c r="AI152" s="249"/>
      <c r="AJ152" s="249"/>
      <c r="AK152" s="249"/>
      <c r="AL152" s="249"/>
      <c r="AM152" s="249"/>
      <c r="AN152" s="249"/>
      <c r="AO152" s="249"/>
      <c r="AP152" s="249"/>
      <c r="AQ152" s="249"/>
      <c r="AR152" s="249"/>
      <c r="AS152" s="249"/>
      <c r="AT152" s="249"/>
      <c r="AU152" s="249"/>
      <c r="AV152" s="249"/>
      <c r="AW152" s="249"/>
      <c r="AX152" s="249"/>
      <c r="AY152" s="249"/>
      <c r="AZ152" s="249"/>
      <c r="BA152" s="249"/>
      <c r="BB152" s="249"/>
      <c r="BC152" s="249"/>
      <c r="BD152" s="249"/>
      <c r="BE152" s="249"/>
      <c r="BF152" s="249"/>
      <c r="BG152" s="249"/>
      <c r="BH152" s="249"/>
      <c r="BI152" s="249"/>
      <c r="BJ152" s="249"/>
      <c r="BK152" s="249"/>
      <c r="BL152" s="249"/>
      <c r="BM152" s="249"/>
      <c r="BN152" s="249"/>
      <c r="BO152" s="249"/>
      <c r="BP152" s="249"/>
      <c r="BQ152" s="249"/>
      <c r="BR152" s="249"/>
      <c r="BS152" s="249"/>
      <c r="BT152" s="249"/>
      <c r="BU152" s="249"/>
      <c r="BV152" s="249"/>
      <c r="BW152" s="249"/>
      <c r="BX152" s="249"/>
      <c r="BY152" s="249"/>
      <c r="BZ152" s="249"/>
      <c r="CA152" s="249"/>
      <c r="CB152" s="249"/>
      <c r="CC152" s="249"/>
      <c r="CD152" s="249"/>
      <c r="CE152" s="249"/>
      <c r="CF152" s="249"/>
      <c r="CG152" s="249"/>
      <c r="CH152" s="249"/>
      <c r="CI152" s="249"/>
      <c r="CJ152" s="249"/>
      <c r="CK152" s="249"/>
      <c r="CL152" s="249"/>
      <c r="CM152" s="249"/>
      <c r="CN152" s="249"/>
      <c r="CO152" s="249"/>
      <c r="CP152" s="249"/>
      <c r="CQ152" s="249"/>
      <c r="CR152" s="249"/>
      <c r="CS152" s="249"/>
      <c r="CT152" s="249"/>
      <c r="CU152" s="249"/>
      <c r="CV152" s="249"/>
      <c r="CW152" s="249"/>
      <c r="CX152" s="249"/>
      <c r="CY152" s="249"/>
      <c r="CZ152" s="249"/>
      <c r="DA152" s="249"/>
      <c r="DB152" s="249"/>
      <c r="DC152" s="249"/>
      <c r="DD152" s="249"/>
      <c r="DE152" s="249"/>
      <c r="DF152" s="249"/>
      <c r="DG152" s="249"/>
      <c r="DH152" s="249"/>
      <c r="DI152" s="249"/>
      <c r="DJ152" s="249"/>
      <c r="DK152" s="249"/>
      <c r="DL152" s="249"/>
      <c r="DM152" s="249"/>
      <c r="DN152" s="249"/>
      <c r="DO152" s="249"/>
      <c r="DP152" s="249"/>
      <c r="DQ152" s="249"/>
      <c r="DR152" s="249"/>
      <c r="DS152" s="249"/>
      <c r="DT152" s="249"/>
      <c r="DU152" s="249"/>
      <c r="DV152" s="249"/>
      <c r="DW152" s="249"/>
      <c r="DX152" s="249"/>
      <c r="DY152" s="249"/>
      <c r="DZ152" s="249"/>
      <c r="EA152" s="249"/>
      <c r="EB152" s="249"/>
      <c r="EC152" s="249"/>
      <c r="ED152" s="249"/>
      <c r="EE152" s="249"/>
      <c r="EF152" s="249"/>
      <c r="EG152" s="249"/>
      <c r="EH152" s="249"/>
      <c r="EI152" s="249"/>
      <c r="EJ152" s="249"/>
      <c r="EK152" s="249"/>
      <c r="EL152" s="249"/>
      <c r="EM152" s="249"/>
      <c r="EN152" s="249"/>
      <c r="EO152" s="249"/>
      <c r="EP152" s="249"/>
      <c r="EQ152" s="249"/>
      <c r="ER152" s="249"/>
      <c r="ES152" s="249"/>
      <c r="ET152" s="249"/>
      <c r="EU152" s="249"/>
      <c r="EV152" s="249"/>
      <c r="EW152" s="249"/>
      <c r="EX152" s="249"/>
      <c r="EY152" s="249"/>
      <c r="EZ152" s="249"/>
      <c r="FA152" s="249"/>
      <c r="FB152" s="249"/>
      <c r="FC152" s="249"/>
      <c r="FD152" s="249"/>
      <c r="FE152" s="249"/>
      <c r="FF152" s="249"/>
      <c r="FG152" s="249"/>
      <c r="FH152" s="249"/>
      <c r="FI152" s="249"/>
      <c r="FJ152" s="249"/>
      <c r="FK152" s="249"/>
      <c r="FL152" s="249"/>
      <c r="FM152" s="249"/>
      <c r="FN152" s="249"/>
      <c r="FO152" s="249"/>
      <c r="FP152" s="249"/>
      <c r="FQ152" s="249"/>
      <c r="FR152" s="249"/>
      <c r="FS152" s="249"/>
      <c r="FT152" s="249"/>
      <c r="FU152" s="249"/>
      <c r="FV152" s="249"/>
      <c r="FW152" s="249"/>
      <c r="FX152" s="249"/>
      <c r="FY152" s="249"/>
      <c r="FZ152" s="249"/>
      <c r="GA152" s="249"/>
      <c r="GB152" s="249"/>
      <c r="GC152" s="249"/>
      <c r="GD152" s="249"/>
      <c r="GE152" s="249"/>
      <c r="GF152" s="249"/>
      <c r="GG152" s="249"/>
      <c r="GH152" s="249"/>
      <c r="GI152" s="249"/>
      <c r="GJ152" s="249"/>
      <c r="GK152" s="249"/>
      <c r="GL152" s="249"/>
      <c r="GM152" s="249"/>
    </row>
    <row r="153" spans="1:195" s="112" customFormat="1" ht="13.8">
      <c r="A153" s="372"/>
      <c r="B153" s="312"/>
      <c r="C153" s="310"/>
      <c r="D153" s="108"/>
      <c r="E153" s="109" t="s">
        <v>375</v>
      </c>
      <c r="F153" s="110">
        <f>F161+F168+F175+F180+F185+F195+F201+F206</f>
        <v>31778</v>
      </c>
      <c r="G153" s="110">
        <f>G161+G168+G175+G180+G185+G195+G201+G206</f>
        <v>43265</v>
      </c>
      <c r="H153" s="111">
        <f t="shared" si="13"/>
        <v>11487</v>
      </c>
      <c r="I153" s="227">
        <f t="shared" si="12"/>
        <v>0.36147649317137642</v>
      </c>
      <c r="J153" s="1514"/>
      <c r="K153" s="141"/>
      <c r="L153" s="368"/>
      <c r="M153" s="116"/>
      <c r="N153" s="116"/>
      <c r="O153" s="116"/>
      <c r="P153" s="249"/>
      <c r="Q153" s="249"/>
      <c r="R153" s="249"/>
      <c r="S153" s="249"/>
      <c r="T153" s="249"/>
      <c r="U153" s="249"/>
      <c r="V153" s="249"/>
      <c r="W153" s="249"/>
      <c r="X153" s="249"/>
      <c r="Y153" s="249"/>
      <c r="Z153" s="249"/>
      <c r="AA153" s="249"/>
      <c r="AB153" s="249"/>
      <c r="AC153" s="249"/>
      <c r="AD153" s="249"/>
      <c r="AE153" s="249"/>
      <c r="AF153" s="249"/>
      <c r="AG153" s="249"/>
      <c r="AH153" s="249"/>
      <c r="AI153" s="249"/>
      <c r="AJ153" s="249"/>
      <c r="AK153" s="249"/>
      <c r="AL153" s="249"/>
      <c r="AM153" s="249"/>
      <c r="AN153" s="249"/>
      <c r="AO153" s="249"/>
      <c r="AP153" s="249"/>
      <c r="AQ153" s="249"/>
      <c r="AR153" s="249"/>
      <c r="AS153" s="249"/>
      <c r="AT153" s="249"/>
      <c r="AU153" s="249"/>
      <c r="AV153" s="249"/>
      <c r="AW153" s="249"/>
      <c r="AX153" s="249"/>
      <c r="AY153" s="249"/>
      <c r="AZ153" s="249"/>
      <c r="BA153" s="249"/>
      <c r="BB153" s="249"/>
      <c r="BC153" s="249"/>
      <c r="BD153" s="249"/>
      <c r="BE153" s="249"/>
      <c r="BF153" s="249"/>
      <c r="BG153" s="249"/>
      <c r="BH153" s="249"/>
      <c r="BI153" s="249"/>
      <c r="BJ153" s="249"/>
      <c r="BK153" s="249"/>
      <c r="BL153" s="249"/>
      <c r="BM153" s="249"/>
      <c r="BN153" s="249"/>
      <c r="BO153" s="249"/>
      <c r="BP153" s="249"/>
      <c r="BQ153" s="249"/>
      <c r="BR153" s="249"/>
      <c r="BS153" s="249"/>
      <c r="BT153" s="249"/>
      <c r="BU153" s="249"/>
      <c r="BV153" s="249"/>
      <c r="BW153" s="249"/>
      <c r="BX153" s="249"/>
      <c r="BY153" s="249"/>
      <c r="BZ153" s="249"/>
      <c r="CA153" s="249"/>
      <c r="CB153" s="249"/>
      <c r="CC153" s="249"/>
      <c r="CD153" s="249"/>
      <c r="CE153" s="249"/>
      <c r="CF153" s="249"/>
      <c r="CG153" s="249"/>
      <c r="CH153" s="249"/>
      <c r="CI153" s="249"/>
      <c r="CJ153" s="249"/>
      <c r="CK153" s="249"/>
      <c r="CL153" s="249"/>
      <c r="CM153" s="249"/>
      <c r="CN153" s="249"/>
      <c r="CO153" s="249"/>
      <c r="CP153" s="249"/>
      <c r="CQ153" s="249"/>
      <c r="CR153" s="249"/>
      <c r="CS153" s="249"/>
      <c r="CT153" s="249"/>
      <c r="CU153" s="249"/>
      <c r="CV153" s="249"/>
      <c r="CW153" s="249"/>
      <c r="CX153" s="249"/>
      <c r="CY153" s="249"/>
      <c r="CZ153" s="249"/>
      <c r="DA153" s="249"/>
      <c r="DB153" s="249"/>
      <c r="DC153" s="249"/>
      <c r="DD153" s="249"/>
      <c r="DE153" s="249"/>
      <c r="DF153" s="249"/>
      <c r="DG153" s="249"/>
      <c r="DH153" s="249"/>
      <c r="DI153" s="249"/>
      <c r="DJ153" s="249"/>
      <c r="DK153" s="249"/>
      <c r="DL153" s="249"/>
      <c r="DM153" s="249"/>
      <c r="DN153" s="249"/>
      <c r="DO153" s="249"/>
      <c r="DP153" s="249"/>
      <c r="DQ153" s="249"/>
      <c r="DR153" s="249"/>
      <c r="DS153" s="249"/>
      <c r="DT153" s="249"/>
      <c r="DU153" s="249"/>
      <c r="DV153" s="249"/>
      <c r="DW153" s="249"/>
      <c r="DX153" s="249"/>
      <c r="DY153" s="249"/>
      <c r="DZ153" s="249"/>
      <c r="EA153" s="249"/>
      <c r="EB153" s="249"/>
      <c r="EC153" s="249"/>
      <c r="ED153" s="249"/>
      <c r="EE153" s="249"/>
      <c r="EF153" s="249"/>
      <c r="EG153" s="249"/>
      <c r="EH153" s="249"/>
      <c r="EI153" s="249"/>
      <c r="EJ153" s="249"/>
      <c r="EK153" s="249"/>
      <c r="EL153" s="249"/>
      <c r="EM153" s="249"/>
      <c r="EN153" s="249"/>
      <c r="EO153" s="249"/>
      <c r="EP153" s="249"/>
      <c r="EQ153" s="249"/>
      <c r="ER153" s="249"/>
      <c r="ES153" s="249"/>
      <c r="ET153" s="249"/>
      <c r="EU153" s="249"/>
      <c r="EV153" s="249"/>
      <c r="EW153" s="249"/>
      <c r="EX153" s="249"/>
      <c r="EY153" s="249"/>
      <c r="EZ153" s="249"/>
      <c r="FA153" s="249"/>
      <c r="FB153" s="249"/>
      <c r="FC153" s="249"/>
      <c r="FD153" s="249"/>
      <c r="FE153" s="249"/>
      <c r="FF153" s="249"/>
      <c r="FG153" s="249"/>
      <c r="FH153" s="249"/>
      <c r="FI153" s="249"/>
      <c r="FJ153" s="249"/>
      <c r="FK153" s="249"/>
      <c r="FL153" s="249"/>
      <c r="FM153" s="249"/>
      <c r="FN153" s="249"/>
      <c r="FO153" s="249"/>
      <c r="FP153" s="249"/>
      <c r="FQ153" s="249"/>
      <c r="FR153" s="249"/>
      <c r="FS153" s="249"/>
      <c r="FT153" s="249"/>
      <c r="FU153" s="249"/>
      <c r="FV153" s="249"/>
      <c r="FW153" s="249"/>
      <c r="FX153" s="249"/>
      <c r="FY153" s="249"/>
      <c r="FZ153" s="249"/>
      <c r="GA153" s="249"/>
      <c r="GB153" s="249"/>
      <c r="GC153" s="249"/>
      <c r="GD153" s="249"/>
      <c r="GE153" s="249"/>
      <c r="GF153" s="249"/>
      <c r="GG153" s="249"/>
      <c r="GH153" s="249"/>
      <c r="GI153" s="249"/>
      <c r="GJ153" s="249"/>
      <c r="GK153" s="249"/>
      <c r="GL153" s="249"/>
      <c r="GM153" s="249"/>
    </row>
    <row r="154" spans="1:195" s="166" customFormat="1" ht="13.8">
      <c r="A154" s="1546"/>
      <c r="B154" s="315"/>
      <c r="C154" s="316"/>
      <c r="D154" s="1201"/>
      <c r="E154" s="164" t="s">
        <v>692</v>
      </c>
      <c r="F154" s="156">
        <f>SUM(F162,F169,F187)</f>
        <v>549979</v>
      </c>
      <c r="G154" s="156">
        <f>SUM(G162,G169,G187)</f>
        <v>606130</v>
      </c>
      <c r="H154" s="158">
        <f t="shared" si="13"/>
        <v>56151</v>
      </c>
      <c r="I154" s="239">
        <f t="shared" si="12"/>
        <v>0.10209662550751938</v>
      </c>
      <c r="J154" s="1526"/>
      <c r="K154" s="317"/>
      <c r="L154" s="283"/>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c r="AM154" s="161"/>
      <c r="AN154" s="161"/>
      <c r="AO154" s="161"/>
      <c r="AP154" s="161"/>
      <c r="AQ154" s="161"/>
      <c r="AR154" s="161"/>
      <c r="AS154" s="161"/>
      <c r="AT154" s="161"/>
      <c r="AU154" s="161"/>
      <c r="AV154" s="161"/>
      <c r="AW154" s="161"/>
      <c r="AX154" s="161"/>
      <c r="AY154" s="161"/>
      <c r="AZ154" s="161"/>
      <c r="BA154" s="161"/>
      <c r="BB154" s="161"/>
      <c r="BC154" s="161"/>
      <c r="BD154" s="161"/>
      <c r="BE154" s="161"/>
      <c r="BF154" s="161"/>
      <c r="BG154" s="161"/>
      <c r="BH154" s="161"/>
      <c r="BI154" s="161"/>
      <c r="BJ154" s="161"/>
      <c r="BK154" s="161"/>
      <c r="BL154" s="161"/>
      <c r="BM154" s="161"/>
      <c r="BN154" s="161"/>
      <c r="BO154" s="161"/>
      <c r="BP154" s="161"/>
      <c r="BQ154" s="161"/>
      <c r="BR154" s="161"/>
      <c r="BS154" s="161"/>
      <c r="BT154" s="161"/>
      <c r="BU154" s="161"/>
      <c r="BV154" s="161"/>
      <c r="BW154" s="161"/>
      <c r="BX154" s="161"/>
      <c r="BY154" s="161"/>
      <c r="BZ154" s="161"/>
      <c r="CA154" s="161"/>
      <c r="CB154" s="161"/>
      <c r="CC154" s="161"/>
      <c r="CD154" s="161"/>
      <c r="CE154" s="161"/>
      <c r="CF154" s="161"/>
      <c r="CG154" s="161"/>
      <c r="CH154" s="161"/>
      <c r="CI154" s="161"/>
      <c r="CJ154" s="161"/>
      <c r="CK154" s="161"/>
      <c r="CL154" s="161"/>
      <c r="CM154" s="161"/>
      <c r="CN154" s="161"/>
      <c r="CO154" s="161"/>
      <c r="CP154" s="161"/>
      <c r="CQ154" s="161"/>
      <c r="CR154" s="161"/>
      <c r="CS154" s="161"/>
      <c r="CT154" s="161"/>
      <c r="CU154" s="161"/>
      <c r="CV154" s="161"/>
      <c r="CW154" s="161"/>
      <c r="CX154" s="161"/>
      <c r="CY154" s="161"/>
      <c r="CZ154" s="161"/>
      <c r="DA154" s="161"/>
      <c r="DB154" s="161"/>
      <c r="DC154" s="161"/>
      <c r="DD154" s="161"/>
      <c r="DE154" s="161"/>
      <c r="DF154" s="161"/>
      <c r="DG154" s="161"/>
      <c r="DH154" s="161"/>
      <c r="DI154" s="161"/>
      <c r="DJ154" s="161"/>
      <c r="DK154" s="161"/>
      <c r="DL154" s="161"/>
      <c r="DM154" s="161"/>
      <c r="DN154" s="161"/>
      <c r="DO154" s="161"/>
      <c r="DP154" s="161"/>
      <c r="DQ154" s="161"/>
      <c r="DR154" s="161"/>
      <c r="DS154" s="161"/>
      <c r="DT154" s="161"/>
      <c r="DU154" s="161"/>
      <c r="DV154" s="161"/>
      <c r="DW154" s="161"/>
      <c r="DX154" s="161"/>
      <c r="DY154" s="161"/>
      <c r="DZ154" s="161"/>
      <c r="EA154" s="161"/>
      <c r="EB154" s="161"/>
      <c r="EC154" s="161"/>
      <c r="ED154" s="161"/>
      <c r="EE154" s="161"/>
      <c r="EF154" s="161"/>
      <c r="EG154" s="161"/>
      <c r="EH154" s="161"/>
      <c r="EI154" s="161"/>
      <c r="EJ154" s="161"/>
      <c r="EK154" s="161"/>
      <c r="EL154" s="161"/>
      <c r="EM154" s="161"/>
      <c r="EN154" s="161"/>
      <c r="EO154" s="161"/>
      <c r="EP154" s="161"/>
      <c r="EQ154" s="161"/>
      <c r="ER154" s="161"/>
      <c r="ES154" s="161"/>
      <c r="ET154" s="161"/>
      <c r="EU154" s="161"/>
      <c r="EV154" s="161"/>
      <c r="EW154" s="161"/>
      <c r="EX154" s="161"/>
      <c r="EY154" s="161"/>
      <c r="EZ154" s="161"/>
      <c r="FA154" s="161"/>
      <c r="FB154" s="161"/>
      <c r="FC154" s="161"/>
      <c r="FD154" s="161"/>
      <c r="FE154" s="161"/>
      <c r="FF154" s="161"/>
      <c r="FG154" s="161"/>
      <c r="FH154" s="161"/>
      <c r="FI154" s="161"/>
      <c r="FJ154" s="161"/>
      <c r="FK154" s="161"/>
      <c r="FL154" s="161"/>
      <c r="FM154" s="161"/>
      <c r="FN154" s="161"/>
      <c r="FO154" s="161"/>
      <c r="FP154" s="161"/>
      <c r="FQ154" s="161"/>
      <c r="FR154" s="161"/>
      <c r="FS154" s="161"/>
      <c r="FT154" s="161"/>
      <c r="FU154" s="161"/>
      <c r="FV154" s="161"/>
      <c r="FW154" s="161"/>
      <c r="FX154" s="161"/>
      <c r="FY154" s="161"/>
      <c r="FZ154" s="161"/>
      <c r="GA154" s="161"/>
      <c r="GB154" s="161"/>
      <c r="GC154" s="161"/>
      <c r="GD154" s="161"/>
      <c r="GE154" s="161"/>
      <c r="GF154" s="161"/>
      <c r="GG154" s="161"/>
      <c r="GH154" s="161"/>
      <c r="GI154" s="161"/>
      <c r="GJ154" s="161"/>
      <c r="GK154" s="161"/>
      <c r="GL154" s="161"/>
      <c r="GM154" s="161"/>
    </row>
    <row r="155" spans="1:195" s="166" customFormat="1" ht="13.8">
      <c r="A155" s="1546"/>
      <c r="B155" s="315"/>
      <c r="C155" s="316"/>
      <c r="D155" s="1201"/>
      <c r="E155" s="318" t="s">
        <v>265</v>
      </c>
      <c r="F155" s="319">
        <f>F163+F170</f>
        <v>26360.1819</v>
      </c>
      <c r="G155" s="319">
        <f>G163+G170</f>
        <v>26226</v>
      </c>
      <c r="H155" s="158">
        <f>G155-F155</f>
        <v>-134.18189999999959</v>
      </c>
      <c r="I155" s="230">
        <f t="shared" si="12"/>
        <v>-5.0903252682030845E-3</v>
      </c>
      <c r="J155" s="1527"/>
      <c r="K155" s="317"/>
      <c r="L155" s="283"/>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c r="AM155" s="161"/>
      <c r="AN155" s="161"/>
      <c r="AO155" s="161"/>
      <c r="AP155" s="161"/>
      <c r="AQ155" s="161"/>
      <c r="AR155" s="161"/>
      <c r="AS155" s="161"/>
      <c r="AT155" s="161"/>
      <c r="AU155" s="161"/>
      <c r="AV155" s="161"/>
      <c r="AW155" s="161"/>
      <c r="AX155" s="161"/>
      <c r="AY155" s="161"/>
      <c r="AZ155" s="161"/>
      <c r="BA155" s="161"/>
      <c r="BB155" s="161"/>
      <c r="BC155" s="161"/>
      <c r="BD155" s="161"/>
      <c r="BE155" s="161"/>
      <c r="BF155" s="161"/>
      <c r="BG155" s="161"/>
      <c r="BH155" s="161"/>
      <c r="BI155" s="161"/>
      <c r="BJ155" s="161"/>
      <c r="BK155" s="161"/>
      <c r="BL155" s="161"/>
      <c r="BM155" s="161"/>
      <c r="BN155" s="161"/>
      <c r="BO155" s="161"/>
      <c r="BP155" s="161"/>
      <c r="BQ155" s="161"/>
      <c r="BR155" s="161"/>
      <c r="BS155" s="161"/>
      <c r="BT155" s="161"/>
      <c r="BU155" s="161"/>
      <c r="BV155" s="161"/>
      <c r="BW155" s="161"/>
      <c r="BX155" s="161"/>
      <c r="BY155" s="161"/>
      <c r="BZ155" s="161"/>
      <c r="CA155" s="161"/>
      <c r="CB155" s="161"/>
      <c r="CC155" s="161"/>
      <c r="CD155" s="161"/>
      <c r="CE155" s="161"/>
      <c r="CF155" s="161"/>
      <c r="CG155" s="161"/>
      <c r="CH155" s="161"/>
      <c r="CI155" s="161"/>
      <c r="CJ155" s="161"/>
      <c r="CK155" s="161"/>
      <c r="CL155" s="161"/>
      <c r="CM155" s="161"/>
      <c r="CN155" s="161"/>
      <c r="CO155" s="161"/>
      <c r="CP155" s="161"/>
      <c r="CQ155" s="161"/>
      <c r="CR155" s="161"/>
      <c r="CS155" s="161"/>
      <c r="CT155" s="161"/>
      <c r="CU155" s="161"/>
      <c r="CV155" s="161"/>
      <c r="CW155" s="161"/>
      <c r="CX155" s="161"/>
      <c r="CY155" s="161"/>
      <c r="CZ155" s="161"/>
      <c r="DA155" s="161"/>
      <c r="DB155" s="161"/>
      <c r="DC155" s="161"/>
      <c r="DD155" s="161"/>
      <c r="DE155" s="161"/>
      <c r="DF155" s="161"/>
      <c r="DG155" s="161"/>
      <c r="DH155" s="161"/>
      <c r="DI155" s="161"/>
      <c r="DJ155" s="161"/>
      <c r="DK155" s="161"/>
      <c r="DL155" s="161"/>
      <c r="DM155" s="161"/>
      <c r="DN155" s="161"/>
      <c r="DO155" s="161"/>
      <c r="DP155" s="161"/>
      <c r="DQ155" s="161"/>
      <c r="DR155" s="161"/>
      <c r="DS155" s="161"/>
      <c r="DT155" s="161"/>
      <c r="DU155" s="161"/>
      <c r="DV155" s="161"/>
      <c r="DW155" s="161"/>
      <c r="DX155" s="161"/>
      <c r="DY155" s="161"/>
      <c r="DZ155" s="161"/>
      <c r="EA155" s="161"/>
      <c r="EB155" s="161"/>
      <c r="EC155" s="161"/>
      <c r="ED155" s="161"/>
      <c r="EE155" s="161"/>
      <c r="EF155" s="161"/>
      <c r="EG155" s="161"/>
      <c r="EH155" s="161"/>
      <c r="EI155" s="161"/>
      <c r="EJ155" s="161"/>
      <c r="EK155" s="161"/>
      <c r="EL155" s="161"/>
      <c r="EM155" s="161"/>
      <c r="EN155" s="161"/>
      <c r="EO155" s="161"/>
      <c r="EP155" s="161"/>
      <c r="EQ155" s="161"/>
      <c r="ER155" s="161"/>
      <c r="ES155" s="161"/>
      <c r="ET155" s="161"/>
      <c r="EU155" s="161"/>
      <c r="EV155" s="161"/>
      <c r="EW155" s="161"/>
      <c r="EX155" s="161"/>
      <c r="EY155" s="161"/>
      <c r="EZ155" s="161"/>
      <c r="FA155" s="161"/>
      <c r="FB155" s="161"/>
      <c r="FC155" s="161"/>
      <c r="FD155" s="161"/>
      <c r="FE155" s="161"/>
      <c r="FF155" s="161"/>
      <c r="FG155" s="161"/>
      <c r="FH155" s="161"/>
      <c r="FI155" s="161"/>
      <c r="FJ155" s="161"/>
      <c r="FK155" s="161"/>
      <c r="FL155" s="161"/>
      <c r="FM155" s="161"/>
      <c r="FN155" s="161"/>
      <c r="FO155" s="161"/>
      <c r="FP155" s="161"/>
      <c r="FQ155" s="161"/>
      <c r="FR155" s="161"/>
      <c r="FS155" s="161"/>
      <c r="FT155" s="161"/>
      <c r="FU155" s="161"/>
      <c r="FV155" s="161"/>
      <c r="FW155" s="161"/>
      <c r="FX155" s="161"/>
      <c r="FY155" s="161"/>
      <c r="FZ155" s="161"/>
      <c r="GA155" s="161"/>
      <c r="GB155" s="161"/>
      <c r="GC155" s="161"/>
      <c r="GD155" s="161"/>
      <c r="GE155" s="161"/>
      <c r="GF155" s="161"/>
      <c r="GG155" s="161"/>
      <c r="GH155" s="161"/>
      <c r="GI155" s="161"/>
      <c r="GJ155" s="161"/>
      <c r="GK155" s="161"/>
      <c r="GL155" s="161"/>
      <c r="GM155" s="161"/>
    </row>
    <row r="156" spans="1:195" s="166" customFormat="1" ht="13.8">
      <c r="A156" s="1546"/>
      <c r="B156" s="315"/>
      <c r="C156" s="316"/>
      <c r="D156" s="1197"/>
      <c r="E156" s="164" t="s">
        <v>773</v>
      </c>
      <c r="F156" s="154">
        <f>F164+F171+F176+F181+F188+F191+F196+F202</f>
        <v>230718</v>
      </c>
      <c r="G156" s="154">
        <f>G164+G171+G176+G181+G188+G191+G196+G202</f>
        <v>396517</v>
      </c>
      <c r="H156" s="158">
        <f>G156-F156</f>
        <v>165799</v>
      </c>
      <c r="I156" s="230">
        <f t="shared" si="12"/>
        <v>0.71862186738789346</v>
      </c>
      <c r="J156" s="1516"/>
      <c r="K156" s="317"/>
      <c r="L156" s="283"/>
      <c r="M156" s="161"/>
      <c r="N156" s="161"/>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161"/>
      <c r="AM156" s="161"/>
      <c r="AN156" s="161"/>
      <c r="AO156" s="161"/>
      <c r="AP156" s="161"/>
      <c r="AQ156" s="161"/>
      <c r="AR156" s="161"/>
      <c r="AS156" s="161"/>
      <c r="AT156" s="161"/>
      <c r="AU156" s="161"/>
      <c r="AV156" s="161"/>
      <c r="AW156" s="161"/>
      <c r="AX156" s="161"/>
      <c r="AY156" s="161"/>
      <c r="AZ156" s="161"/>
      <c r="BA156" s="161"/>
      <c r="BB156" s="161"/>
      <c r="BC156" s="161"/>
      <c r="BD156" s="161"/>
      <c r="BE156" s="161"/>
      <c r="BF156" s="161"/>
      <c r="BG156" s="161"/>
      <c r="BH156" s="161"/>
      <c r="BI156" s="161"/>
      <c r="BJ156" s="161"/>
      <c r="BK156" s="161"/>
      <c r="BL156" s="161"/>
      <c r="BM156" s="161"/>
      <c r="BN156" s="161"/>
      <c r="BO156" s="161"/>
      <c r="BP156" s="161"/>
      <c r="BQ156" s="161"/>
      <c r="BR156" s="161"/>
      <c r="BS156" s="161"/>
      <c r="BT156" s="161"/>
      <c r="BU156" s="161"/>
      <c r="BV156" s="161"/>
      <c r="BW156" s="161"/>
      <c r="BX156" s="161"/>
      <c r="BY156" s="161"/>
      <c r="BZ156" s="161"/>
      <c r="CA156" s="161"/>
      <c r="CB156" s="161"/>
      <c r="CC156" s="161"/>
      <c r="CD156" s="161"/>
      <c r="CE156" s="161"/>
      <c r="CF156" s="161"/>
      <c r="CG156" s="161"/>
      <c r="CH156" s="161"/>
      <c r="CI156" s="161"/>
      <c r="CJ156" s="161"/>
      <c r="CK156" s="161"/>
      <c r="CL156" s="161"/>
      <c r="CM156" s="161"/>
      <c r="CN156" s="161"/>
      <c r="CO156" s="161"/>
      <c r="CP156" s="161"/>
      <c r="CQ156" s="161"/>
      <c r="CR156" s="161"/>
      <c r="CS156" s="161"/>
      <c r="CT156" s="161"/>
      <c r="CU156" s="161"/>
      <c r="CV156" s="161"/>
      <c r="CW156" s="161"/>
      <c r="CX156" s="161"/>
      <c r="CY156" s="161"/>
      <c r="CZ156" s="161"/>
      <c r="DA156" s="161"/>
      <c r="DB156" s="161"/>
      <c r="DC156" s="161"/>
      <c r="DD156" s="161"/>
      <c r="DE156" s="161"/>
      <c r="DF156" s="161"/>
      <c r="DG156" s="161"/>
      <c r="DH156" s="161"/>
      <c r="DI156" s="161"/>
      <c r="DJ156" s="161"/>
      <c r="DK156" s="161"/>
      <c r="DL156" s="161"/>
      <c r="DM156" s="161"/>
      <c r="DN156" s="161"/>
      <c r="DO156" s="161"/>
      <c r="DP156" s="161"/>
      <c r="DQ156" s="161"/>
      <c r="DR156" s="161"/>
      <c r="DS156" s="161"/>
      <c r="DT156" s="161"/>
      <c r="DU156" s="161"/>
      <c r="DV156" s="161"/>
      <c r="DW156" s="161"/>
      <c r="DX156" s="161"/>
      <c r="DY156" s="161"/>
      <c r="DZ156" s="161"/>
      <c r="EA156" s="161"/>
      <c r="EB156" s="161"/>
      <c r="EC156" s="161"/>
      <c r="ED156" s="161"/>
      <c r="EE156" s="161"/>
      <c r="EF156" s="161"/>
      <c r="EG156" s="161"/>
      <c r="EH156" s="161"/>
      <c r="EI156" s="161"/>
      <c r="EJ156" s="161"/>
      <c r="EK156" s="161"/>
      <c r="EL156" s="161"/>
      <c r="EM156" s="161"/>
      <c r="EN156" s="161"/>
      <c r="EO156" s="161"/>
      <c r="EP156" s="161"/>
      <c r="EQ156" s="161"/>
      <c r="ER156" s="161"/>
      <c r="ES156" s="161"/>
      <c r="ET156" s="161"/>
      <c r="EU156" s="161"/>
      <c r="EV156" s="161"/>
      <c r="EW156" s="161"/>
      <c r="EX156" s="161"/>
      <c r="EY156" s="161"/>
      <c r="EZ156" s="161"/>
      <c r="FA156" s="161"/>
      <c r="FB156" s="161"/>
      <c r="FC156" s="161"/>
      <c r="FD156" s="161"/>
      <c r="FE156" s="161"/>
      <c r="FF156" s="161"/>
      <c r="FG156" s="161"/>
      <c r="FH156" s="161"/>
      <c r="FI156" s="161"/>
      <c r="FJ156" s="161"/>
      <c r="FK156" s="161"/>
      <c r="FL156" s="161"/>
      <c r="FM156" s="161"/>
      <c r="FN156" s="161"/>
      <c r="FO156" s="161"/>
      <c r="FP156" s="161"/>
      <c r="FQ156" s="161"/>
      <c r="FR156" s="161"/>
      <c r="FS156" s="161"/>
      <c r="FT156" s="161"/>
      <c r="FU156" s="161"/>
      <c r="FV156" s="161"/>
      <c r="FW156" s="161"/>
      <c r="FX156" s="161"/>
      <c r="FY156" s="161"/>
      <c r="FZ156" s="161"/>
      <c r="GA156" s="161"/>
      <c r="GB156" s="161"/>
      <c r="GC156" s="161"/>
      <c r="GD156" s="161"/>
      <c r="GE156" s="161"/>
      <c r="GF156" s="161"/>
      <c r="GG156" s="161"/>
      <c r="GH156" s="161"/>
      <c r="GI156" s="161"/>
      <c r="GJ156" s="161"/>
      <c r="GK156" s="161"/>
      <c r="GL156" s="161"/>
      <c r="GM156" s="161"/>
    </row>
    <row r="157" spans="1:195" s="166" customFormat="1" ht="13.8">
      <c r="A157" s="1546"/>
      <c r="B157" s="315"/>
      <c r="C157" s="316"/>
      <c r="D157" s="1201"/>
      <c r="E157" s="164" t="s">
        <v>365</v>
      </c>
      <c r="F157" s="156">
        <f>F189+F197+F203</f>
        <v>0</v>
      </c>
      <c r="G157" s="156">
        <f>G189+G197+G203</f>
        <v>0</v>
      </c>
      <c r="H157" s="167"/>
      <c r="I157" s="239" t="str">
        <f t="shared" si="12"/>
        <v>-</v>
      </c>
      <c r="J157" s="1526"/>
      <c r="K157" s="317"/>
      <c r="L157" s="283"/>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c r="AM157" s="161"/>
      <c r="AN157" s="161"/>
      <c r="AO157" s="161"/>
      <c r="AP157" s="161"/>
      <c r="AQ157" s="161"/>
      <c r="AR157" s="161"/>
      <c r="AS157" s="161"/>
      <c r="AT157" s="161"/>
      <c r="AU157" s="161"/>
      <c r="AV157" s="161"/>
      <c r="AW157" s="161"/>
      <c r="AX157" s="161"/>
      <c r="AY157" s="161"/>
      <c r="AZ157" s="161"/>
      <c r="BA157" s="161"/>
      <c r="BB157" s="161"/>
      <c r="BC157" s="161"/>
      <c r="BD157" s="161"/>
      <c r="BE157" s="161"/>
      <c r="BF157" s="161"/>
      <c r="BG157" s="161"/>
      <c r="BH157" s="161"/>
      <c r="BI157" s="161"/>
      <c r="BJ157" s="161"/>
      <c r="BK157" s="161"/>
      <c r="BL157" s="161"/>
      <c r="BM157" s="161"/>
      <c r="BN157" s="161"/>
      <c r="BO157" s="161"/>
      <c r="BP157" s="161"/>
      <c r="BQ157" s="161"/>
      <c r="BR157" s="161"/>
      <c r="BS157" s="161"/>
      <c r="BT157" s="161"/>
      <c r="BU157" s="161"/>
      <c r="BV157" s="161"/>
      <c r="BW157" s="161"/>
      <c r="BX157" s="161"/>
      <c r="BY157" s="161"/>
      <c r="BZ157" s="161"/>
      <c r="CA157" s="161"/>
      <c r="CB157" s="161"/>
      <c r="CC157" s="161"/>
      <c r="CD157" s="161"/>
      <c r="CE157" s="161"/>
      <c r="CF157" s="161"/>
      <c r="CG157" s="161"/>
      <c r="CH157" s="161"/>
      <c r="CI157" s="161"/>
      <c r="CJ157" s="161"/>
      <c r="CK157" s="161"/>
      <c r="CL157" s="161"/>
      <c r="CM157" s="161"/>
      <c r="CN157" s="161"/>
      <c r="CO157" s="161"/>
      <c r="CP157" s="161"/>
      <c r="CQ157" s="161"/>
      <c r="CR157" s="161"/>
      <c r="CS157" s="161"/>
      <c r="CT157" s="161"/>
      <c r="CU157" s="161"/>
      <c r="CV157" s="161"/>
      <c r="CW157" s="161"/>
      <c r="CX157" s="161"/>
      <c r="CY157" s="161"/>
      <c r="CZ157" s="161"/>
      <c r="DA157" s="161"/>
      <c r="DB157" s="161"/>
      <c r="DC157" s="161"/>
      <c r="DD157" s="161"/>
      <c r="DE157" s="161"/>
      <c r="DF157" s="161"/>
      <c r="DG157" s="161"/>
      <c r="DH157" s="161"/>
      <c r="DI157" s="161"/>
      <c r="DJ157" s="161"/>
      <c r="DK157" s="161"/>
      <c r="DL157" s="161"/>
      <c r="DM157" s="161"/>
      <c r="DN157" s="161"/>
      <c r="DO157" s="161"/>
      <c r="DP157" s="161"/>
      <c r="DQ157" s="161"/>
      <c r="DR157" s="161"/>
      <c r="DS157" s="161"/>
      <c r="DT157" s="161"/>
      <c r="DU157" s="161"/>
      <c r="DV157" s="161"/>
      <c r="DW157" s="161"/>
      <c r="DX157" s="161"/>
      <c r="DY157" s="161"/>
      <c r="DZ157" s="161"/>
      <c r="EA157" s="161"/>
      <c r="EB157" s="161"/>
      <c r="EC157" s="161"/>
      <c r="ED157" s="161"/>
      <c r="EE157" s="161"/>
      <c r="EF157" s="161"/>
      <c r="EG157" s="161"/>
      <c r="EH157" s="161"/>
      <c r="EI157" s="161"/>
      <c r="EJ157" s="161"/>
      <c r="EK157" s="161"/>
      <c r="EL157" s="161"/>
      <c r="EM157" s="161"/>
      <c r="EN157" s="161"/>
      <c r="EO157" s="161"/>
      <c r="EP157" s="161"/>
      <c r="EQ157" s="161"/>
      <c r="ER157" s="161"/>
      <c r="ES157" s="161"/>
      <c r="ET157" s="161"/>
      <c r="EU157" s="161"/>
      <c r="EV157" s="161"/>
      <c r="EW157" s="161"/>
      <c r="EX157" s="161"/>
      <c r="EY157" s="161"/>
      <c r="EZ157" s="161"/>
      <c r="FA157" s="161"/>
      <c r="FB157" s="161"/>
      <c r="FC157" s="161"/>
      <c r="FD157" s="161"/>
      <c r="FE157" s="161"/>
      <c r="FF157" s="161"/>
      <c r="FG157" s="161"/>
      <c r="FH157" s="161"/>
      <c r="FI157" s="161"/>
      <c r="FJ157" s="161"/>
      <c r="FK157" s="161"/>
      <c r="FL157" s="161"/>
      <c r="FM157" s="161"/>
      <c r="FN157" s="161"/>
      <c r="FO157" s="161"/>
      <c r="FP157" s="161"/>
      <c r="FQ157" s="161"/>
      <c r="FR157" s="161"/>
      <c r="FS157" s="161"/>
      <c r="FT157" s="161"/>
      <c r="FU157" s="161"/>
      <c r="FV157" s="161"/>
      <c r="FW157" s="161"/>
      <c r="FX157" s="161"/>
      <c r="FY157" s="161"/>
      <c r="FZ157" s="161"/>
      <c r="GA157" s="161"/>
      <c r="GB157" s="161"/>
      <c r="GC157" s="161"/>
      <c r="GD157" s="161"/>
      <c r="GE157" s="161"/>
      <c r="GF157" s="161"/>
      <c r="GG157" s="161"/>
      <c r="GH157" s="161"/>
      <c r="GI157" s="161"/>
      <c r="GJ157" s="161"/>
      <c r="GK157" s="161"/>
      <c r="GL157" s="161"/>
      <c r="GM157" s="161"/>
    </row>
    <row r="158" spans="1:195" ht="13.8">
      <c r="D158" s="38" t="s">
        <v>87</v>
      </c>
      <c r="E158" s="39" t="s">
        <v>387</v>
      </c>
      <c r="F158" s="91">
        <f>F159+F160+F161</f>
        <v>493585.46766759991</v>
      </c>
      <c r="G158" s="91">
        <f>G159+G160+G161</f>
        <v>505245.31177860021</v>
      </c>
      <c r="H158" s="33">
        <f t="shared" ref="H158:H170" si="14">G158-F158</f>
        <v>11659.844111000304</v>
      </c>
      <c r="I158" s="222">
        <f t="shared" si="12"/>
        <v>2.3622745957448867E-2</v>
      </c>
      <c r="J158" s="1523"/>
      <c r="K158" s="72"/>
      <c r="L158" s="285"/>
      <c r="M158" s="129"/>
      <c r="N158" s="129"/>
      <c r="O158" s="129"/>
    </row>
    <row r="159" spans="1:195" s="8" customFormat="1" ht="13.8" hidden="1" outlineLevel="1">
      <c r="A159" s="179" t="s">
        <v>1915</v>
      </c>
      <c r="B159" s="179" t="s">
        <v>436</v>
      </c>
      <c r="C159" s="248"/>
      <c r="D159" s="58"/>
      <c r="E159" s="65" t="s">
        <v>436</v>
      </c>
      <c r="F159" s="92">
        <f>SUMIFS(INPUT!$H:$H,INPUT!$E:$E,BAZE_2026!$A159,INPUT!$B:$B,BAZE_2026!$B159)</f>
        <v>393215.46766759991</v>
      </c>
      <c r="G159" s="92">
        <f>SUMIFS(INPUT!$L:$L,INPUT!$E:$E,BAZE_2026!$A159,INPUT!$B:$B,BAZE_2026!$B159)</f>
        <v>389046.31177860021</v>
      </c>
      <c r="H159" s="48">
        <f t="shared" si="14"/>
        <v>-4169.1558889996959</v>
      </c>
      <c r="I159" s="232">
        <f t="shared" si="12"/>
        <v>-1.060272606703265E-2</v>
      </c>
      <c r="J159" s="2727" t="s">
        <v>5168</v>
      </c>
      <c r="K159" s="72"/>
      <c r="L159" s="285"/>
      <c r="M159" s="129"/>
      <c r="N159" s="129"/>
      <c r="O159" s="12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row>
    <row r="160" spans="1:195" s="8" customFormat="1" ht="69" hidden="1" outlineLevel="1">
      <c r="A160" s="179" t="s">
        <v>1915</v>
      </c>
      <c r="B160" s="179" t="s">
        <v>772</v>
      </c>
      <c r="C160" s="248"/>
      <c r="D160" s="64"/>
      <c r="E160" s="59" t="s">
        <v>376</v>
      </c>
      <c r="F160" s="92">
        <f>SUMIFS(INPUT!$H:$H,INPUT!$E:$E,BAZE_2026!$A160,INPUT!$B:$B,BAZE_2026!$B160)</f>
        <v>89140</v>
      </c>
      <c r="G160" s="92">
        <f>SUMIFS(INPUT!$L:$L,INPUT!$E:$E,BAZE_2026!$A160,INPUT!$B:$B,BAZE_2026!$B160)</f>
        <v>96924</v>
      </c>
      <c r="H160" s="48">
        <f t="shared" si="14"/>
        <v>7784</v>
      </c>
      <c r="I160" s="232">
        <f t="shared" si="12"/>
        <v>8.7323311644603996E-2</v>
      </c>
      <c r="J160" s="2572" t="s">
        <v>5142</v>
      </c>
      <c r="K160" s="54"/>
      <c r="L160" s="135"/>
      <c r="M160" s="129"/>
      <c r="N160" s="129"/>
      <c r="O160" s="129"/>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row>
    <row r="161" spans="1:195" s="8" customFormat="1" ht="27.6" hidden="1" outlineLevel="1">
      <c r="A161" s="179" t="s">
        <v>1915</v>
      </c>
      <c r="B161" s="179" t="s">
        <v>774</v>
      </c>
      <c r="C161" s="248"/>
      <c r="D161" s="58"/>
      <c r="E161" s="59" t="s">
        <v>375</v>
      </c>
      <c r="F161" s="92">
        <f>SUMIFS(INPUT!$H:$H,INPUT!$E:$E,BAZE_2026!$A161,INPUT!$B:$B,BAZE_2026!$B161)</f>
        <v>11230</v>
      </c>
      <c r="G161" s="92">
        <f>SUMIFS(INPUT!$L:$L,INPUT!$E:$E,BAZE_2026!$A161,INPUT!$B:$B,BAZE_2026!$B161)</f>
        <v>19275</v>
      </c>
      <c r="H161" s="48">
        <f t="shared" si="14"/>
        <v>8045</v>
      </c>
      <c r="I161" s="232">
        <f t="shared" si="12"/>
        <v>0.71638468388245768</v>
      </c>
      <c r="J161" s="2572" t="s">
        <v>5023</v>
      </c>
      <c r="K161" s="72"/>
      <c r="L161" s="285"/>
      <c r="M161" s="129"/>
      <c r="N161" s="129"/>
      <c r="O161" s="129"/>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row>
    <row r="162" spans="1:195" s="166" customFormat="1" ht="13.8" hidden="1" outlineLevel="1">
      <c r="A162" s="315" t="s">
        <v>1915</v>
      </c>
      <c r="B162" s="315" t="s">
        <v>692</v>
      </c>
      <c r="C162" s="316"/>
      <c r="D162" s="2919"/>
      <c r="E162" s="164" t="s">
        <v>692</v>
      </c>
      <c r="F162" s="154">
        <f>SUMIFS(INPUT!$H:$H,INPUT!$E:$E,BAZE_2026!$A162,INPUT!$B:$B,BAZE_2026!$B162)</f>
        <v>276250</v>
      </c>
      <c r="G162" s="154">
        <f>SUMIFS(INPUT!$L:$L,INPUT!$E:$E,BAZE_2026!$A162,INPUT!$B:$B,BAZE_2026!$B162)</f>
        <v>282800</v>
      </c>
      <c r="H162" s="158">
        <f t="shared" si="14"/>
        <v>6550</v>
      </c>
      <c r="I162" s="230">
        <f>IFERROR(H162/F162,"-")</f>
        <v>2.3710407239819004E-2</v>
      </c>
      <c r="J162" s="2920"/>
      <c r="K162" s="317"/>
      <c r="L162" s="283"/>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c r="AM162" s="161"/>
      <c r="AN162" s="161"/>
      <c r="AO162" s="161"/>
      <c r="AP162" s="161"/>
      <c r="AQ162" s="161"/>
      <c r="AR162" s="161"/>
      <c r="AS162" s="161"/>
      <c r="AT162" s="161"/>
      <c r="AU162" s="161"/>
      <c r="AV162" s="161"/>
      <c r="AW162" s="161"/>
      <c r="AX162" s="161"/>
      <c r="AY162" s="161"/>
      <c r="AZ162" s="161"/>
      <c r="BA162" s="161"/>
      <c r="BB162" s="161"/>
      <c r="BC162" s="161"/>
      <c r="BD162" s="161"/>
      <c r="BE162" s="161"/>
      <c r="BF162" s="161"/>
      <c r="BG162" s="161"/>
      <c r="BH162" s="161"/>
      <c r="BI162" s="161"/>
      <c r="BJ162" s="161"/>
      <c r="BK162" s="161"/>
      <c r="BL162" s="161"/>
      <c r="BM162" s="161"/>
      <c r="BN162" s="161"/>
      <c r="BO162" s="161"/>
      <c r="BP162" s="161"/>
      <c r="BQ162" s="161"/>
      <c r="BR162" s="161"/>
      <c r="BS162" s="161"/>
      <c r="BT162" s="161"/>
      <c r="BU162" s="161"/>
      <c r="BV162" s="161"/>
      <c r="BW162" s="161"/>
      <c r="BX162" s="161"/>
      <c r="BY162" s="161"/>
      <c r="BZ162" s="161"/>
      <c r="CA162" s="161"/>
      <c r="CB162" s="161"/>
      <c r="CC162" s="161"/>
      <c r="CD162" s="161"/>
      <c r="CE162" s="161"/>
      <c r="CF162" s="161"/>
      <c r="CG162" s="161"/>
      <c r="CH162" s="161"/>
      <c r="CI162" s="161"/>
      <c r="CJ162" s="161"/>
      <c r="CK162" s="161"/>
      <c r="CL162" s="161"/>
      <c r="CM162" s="161"/>
      <c r="CN162" s="161"/>
      <c r="CO162" s="161"/>
      <c r="CP162" s="161"/>
      <c r="CQ162" s="161"/>
      <c r="CR162" s="161"/>
      <c r="CS162" s="161"/>
      <c r="CT162" s="161"/>
      <c r="CU162" s="161"/>
      <c r="CV162" s="161"/>
      <c r="CW162" s="161"/>
      <c r="CX162" s="161"/>
      <c r="CY162" s="161"/>
      <c r="CZ162" s="161"/>
      <c r="DA162" s="161"/>
      <c r="DB162" s="161"/>
      <c r="DC162" s="161"/>
      <c r="DD162" s="161"/>
      <c r="DE162" s="161"/>
      <c r="DF162" s="161"/>
      <c r="DG162" s="161"/>
      <c r="DH162" s="161"/>
      <c r="DI162" s="161"/>
      <c r="DJ162" s="161"/>
      <c r="DK162" s="161"/>
      <c r="DL162" s="161"/>
      <c r="DM162" s="161"/>
      <c r="DN162" s="161"/>
      <c r="DO162" s="161"/>
      <c r="DP162" s="161"/>
      <c r="DQ162" s="161"/>
      <c r="DR162" s="161"/>
      <c r="DS162" s="161"/>
      <c r="DT162" s="161"/>
      <c r="DU162" s="161"/>
      <c r="DV162" s="161"/>
      <c r="DW162" s="161"/>
      <c r="DX162" s="161"/>
      <c r="DY162" s="161"/>
      <c r="DZ162" s="161"/>
      <c r="EA162" s="161"/>
      <c r="EB162" s="161"/>
      <c r="EC162" s="161"/>
      <c r="ED162" s="161"/>
      <c r="EE162" s="161"/>
      <c r="EF162" s="161"/>
      <c r="EG162" s="161"/>
      <c r="EH162" s="161"/>
      <c r="EI162" s="161"/>
      <c r="EJ162" s="161"/>
      <c r="EK162" s="161"/>
      <c r="EL162" s="161"/>
      <c r="EM162" s="161"/>
      <c r="EN162" s="161"/>
      <c r="EO162" s="161"/>
      <c r="EP162" s="161"/>
      <c r="EQ162" s="161"/>
      <c r="ER162" s="161"/>
      <c r="ES162" s="161"/>
      <c r="ET162" s="161"/>
      <c r="EU162" s="161"/>
      <c r="EV162" s="161"/>
      <c r="EW162" s="161"/>
      <c r="EX162" s="161"/>
      <c r="EY162" s="161"/>
      <c r="EZ162" s="161"/>
      <c r="FA162" s="161"/>
      <c r="FB162" s="161"/>
      <c r="FC162" s="161"/>
      <c r="FD162" s="161"/>
      <c r="FE162" s="161"/>
      <c r="FF162" s="161"/>
      <c r="FG162" s="161"/>
      <c r="FH162" s="161"/>
      <c r="FI162" s="161"/>
      <c r="FJ162" s="161"/>
      <c r="FK162" s="161"/>
      <c r="FL162" s="161"/>
      <c r="FM162" s="161"/>
      <c r="FN162" s="161"/>
      <c r="FO162" s="161"/>
      <c r="FP162" s="161"/>
      <c r="FQ162" s="161"/>
      <c r="FR162" s="161"/>
      <c r="FS162" s="161"/>
      <c r="FT162" s="161"/>
      <c r="FU162" s="161"/>
      <c r="FV162" s="161"/>
      <c r="FW162" s="161"/>
      <c r="FX162" s="161"/>
      <c r="FY162" s="161"/>
      <c r="FZ162" s="161"/>
      <c r="GA162" s="161"/>
      <c r="GB162" s="161"/>
      <c r="GC162" s="161"/>
      <c r="GD162" s="161"/>
      <c r="GE162" s="161"/>
      <c r="GF162" s="161"/>
      <c r="GG162" s="161"/>
      <c r="GH162" s="161"/>
      <c r="GI162" s="161"/>
      <c r="GJ162" s="161"/>
      <c r="GK162" s="161"/>
      <c r="GL162" s="161"/>
      <c r="GM162" s="161"/>
    </row>
    <row r="163" spans="1:195" s="166" customFormat="1" ht="13.8" hidden="1" outlineLevel="1">
      <c r="A163" s="315" t="s">
        <v>1915</v>
      </c>
      <c r="B163" s="315" t="s">
        <v>326</v>
      </c>
      <c r="C163" s="316"/>
      <c r="D163" s="2926"/>
      <c r="E163" s="318" t="s">
        <v>265</v>
      </c>
      <c r="F163" s="154">
        <f>SUMIFS(INPUT!$H:$H,INPUT!$E:$E,BAZE_2026!$A163,INPUT!$B:$B,BAZE_2026!$B163)</f>
        <v>15310</v>
      </c>
      <c r="G163" s="154">
        <f>SUMIFS(INPUT!$L:$L,INPUT!$E:$E,BAZE_2026!$A163,INPUT!$B:$B,BAZE_2026!$B163)</f>
        <v>15228</v>
      </c>
      <c r="H163" s="158">
        <f t="shared" si="14"/>
        <v>-82</v>
      </c>
      <c r="I163" s="230">
        <f t="shared" si="12"/>
        <v>-5.3559764859568912E-3</v>
      </c>
      <c r="J163" s="2920"/>
      <c r="K163" s="317"/>
      <c r="L163" s="283"/>
      <c r="M163" s="161"/>
      <c r="N163" s="161"/>
      <c r="O163" s="161"/>
      <c r="P163" s="161"/>
      <c r="Q163" s="161"/>
      <c r="R163" s="161"/>
      <c r="S163" s="161"/>
      <c r="T163" s="161"/>
      <c r="U163" s="161"/>
      <c r="V163" s="161"/>
      <c r="W163" s="161"/>
      <c r="X163" s="161"/>
      <c r="Y163" s="161"/>
      <c r="Z163" s="161"/>
      <c r="AA163" s="161"/>
      <c r="AB163" s="161"/>
      <c r="AC163" s="161"/>
      <c r="AD163" s="161"/>
      <c r="AE163" s="161"/>
      <c r="AF163" s="161"/>
      <c r="AG163" s="161"/>
      <c r="AH163" s="161"/>
      <c r="AI163" s="161"/>
      <c r="AJ163" s="161"/>
      <c r="AK163" s="161"/>
      <c r="AL163" s="161"/>
      <c r="AM163" s="161"/>
      <c r="AN163" s="161"/>
      <c r="AO163" s="161"/>
      <c r="AP163" s="161"/>
      <c r="AQ163" s="161"/>
      <c r="AR163" s="161"/>
      <c r="AS163" s="161"/>
      <c r="AT163" s="161"/>
      <c r="AU163" s="161"/>
      <c r="AV163" s="161"/>
      <c r="AW163" s="161"/>
      <c r="AX163" s="161"/>
      <c r="AY163" s="161"/>
      <c r="AZ163" s="161"/>
      <c r="BA163" s="161"/>
      <c r="BB163" s="161"/>
      <c r="BC163" s="161"/>
      <c r="BD163" s="161"/>
      <c r="BE163" s="161"/>
      <c r="BF163" s="161"/>
      <c r="BG163" s="161"/>
      <c r="BH163" s="161"/>
      <c r="BI163" s="161"/>
      <c r="BJ163" s="161"/>
      <c r="BK163" s="161"/>
      <c r="BL163" s="161"/>
      <c r="BM163" s="161"/>
      <c r="BN163" s="161"/>
      <c r="BO163" s="161"/>
      <c r="BP163" s="161"/>
      <c r="BQ163" s="161"/>
      <c r="BR163" s="161"/>
      <c r="BS163" s="161"/>
      <c r="BT163" s="161"/>
      <c r="BU163" s="161"/>
      <c r="BV163" s="161"/>
      <c r="BW163" s="161"/>
      <c r="BX163" s="161"/>
      <c r="BY163" s="161"/>
      <c r="BZ163" s="161"/>
      <c r="CA163" s="161"/>
      <c r="CB163" s="161"/>
      <c r="CC163" s="161"/>
      <c r="CD163" s="161"/>
      <c r="CE163" s="161"/>
      <c r="CF163" s="161"/>
      <c r="CG163" s="161"/>
      <c r="CH163" s="161"/>
      <c r="CI163" s="161"/>
      <c r="CJ163" s="161"/>
      <c r="CK163" s="161"/>
      <c r="CL163" s="161"/>
      <c r="CM163" s="161"/>
      <c r="CN163" s="161"/>
      <c r="CO163" s="161"/>
      <c r="CP163" s="161"/>
      <c r="CQ163" s="161"/>
      <c r="CR163" s="161"/>
      <c r="CS163" s="161"/>
      <c r="CT163" s="161"/>
      <c r="CU163" s="161"/>
      <c r="CV163" s="161"/>
      <c r="CW163" s="161"/>
      <c r="CX163" s="161"/>
      <c r="CY163" s="161"/>
      <c r="CZ163" s="161"/>
      <c r="DA163" s="161"/>
      <c r="DB163" s="161"/>
      <c r="DC163" s="161"/>
      <c r="DD163" s="161"/>
      <c r="DE163" s="161"/>
      <c r="DF163" s="161"/>
      <c r="DG163" s="161"/>
      <c r="DH163" s="161"/>
      <c r="DI163" s="161"/>
      <c r="DJ163" s="161"/>
      <c r="DK163" s="161"/>
      <c r="DL163" s="161"/>
      <c r="DM163" s="161"/>
      <c r="DN163" s="161"/>
      <c r="DO163" s="161"/>
      <c r="DP163" s="161"/>
      <c r="DQ163" s="161"/>
      <c r="DR163" s="161"/>
      <c r="DS163" s="161"/>
      <c r="DT163" s="161"/>
      <c r="DU163" s="161"/>
      <c r="DV163" s="161"/>
      <c r="DW163" s="161"/>
      <c r="DX163" s="161"/>
      <c r="DY163" s="161"/>
      <c r="DZ163" s="161"/>
      <c r="EA163" s="161"/>
      <c r="EB163" s="161"/>
      <c r="EC163" s="161"/>
      <c r="ED163" s="161"/>
      <c r="EE163" s="161"/>
      <c r="EF163" s="161"/>
      <c r="EG163" s="161"/>
      <c r="EH163" s="161"/>
      <c r="EI163" s="161"/>
      <c r="EJ163" s="161"/>
      <c r="EK163" s="161"/>
      <c r="EL163" s="161"/>
      <c r="EM163" s="161"/>
      <c r="EN163" s="161"/>
      <c r="EO163" s="161"/>
      <c r="EP163" s="161"/>
      <c r="EQ163" s="161"/>
      <c r="ER163" s="161"/>
      <c r="ES163" s="161"/>
      <c r="ET163" s="161"/>
      <c r="EU163" s="161"/>
      <c r="EV163" s="161"/>
      <c r="EW163" s="161"/>
      <c r="EX163" s="161"/>
      <c r="EY163" s="161"/>
      <c r="EZ163" s="161"/>
      <c r="FA163" s="161"/>
      <c r="FB163" s="161"/>
      <c r="FC163" s="161"/>
      <c r="FD163" s="161"/>
      <c r="FE163" s="161"/>
      <c r="FF163" s="161"/>
      <c r="FG163" s="161"/>
      <c r="FH163" s="161"/>
      <c r="FI163" s="161"/>
      <c r="FJ163" s="161"/>
      <c r="FK163" s="161"/>
      <c r="FL163" s="161"/>
      <c r="FM163" s="161"/>
      <c r="FN163" s="161"/>
      <c r="FO163" s="161"/>
      <c r="FP163" s="161"/>
      <c r="FQ163" s="161"/>
      <c r="FR163" s="161"/>
      <c r="FS163" s="161"/>
      <c r="FT163" s="161"/>
      <c r="FU163" s="161"/>
      <c r="FV163" s="161"/>
      <c r="FW163" s="161"/>
      <c r="FX163" s="161"/>
      <c r="FY163" s="161"/>
      <c r="FZ163" s="161"/>
      <c r="GA163" s="161"/>
      <c r="GB163" s="161"/>
      <c r="GC163" s="161"/>
      <c r="GD163" s="161"/>
      <c r="GE163" s="161"/>
      <c r="GF163" s="161"/>
      <c r="GG163" s="161"/>
      <c r="GH163" s="161"/>
      <c r="GI163" s="161"/>
      <c r="GJ163" s="161"/>
      <c r="GK163" s="161"/>
      <c r="GL163" s="161"/>
      <c r="GM163" s="161"/>
    </row>
    <row r="164" spans="1:195" s="166" customFormat="1" ht="13.8" hidden="1" outlineLevel="1">
      <c r="A164" s="315" t="s">
        <v>1915</v>
      </c>
      <c r="B164" s="315" t="s">
        <v>773</v>
      </c>
      <c r="C164" s="316"/>
      <c r="D164" s="2926"/>
      <c r="E164" s="164" t="s">
        <v>773</v>
      </c>
      <c r="F164" s="154">
        <f>SUMIFS(INPUT!$H:$H,INPUT!$E:$E,BAZE_2026!$A164,INPUT!$B:$B,BAZE_2026!$B164)</f>
        <v>34235</v>
      </c>
      <c r="G164" s="154">
        <f>SUMIFS(INPUT!$L:$L,INPUT!$E:$E,BAZE_2026!$A164,INPUT!$B:$B,BAZE_2026!$B164)</f>
        <v>9840</v>
      </c>
      <c r="H164" s="158">
        <f t="shared" si="14"/>
        <v>-24395</v>
      </c>
      <c r="I164" s="230">
        <f t="shared" si="12"/>
        <v>-0.71257485029940115</v>
      </c>
      <c r="J164" s="2920"/>
      <c r="K164" s="317"/>
      <c r="L164" s="283"/>
      <c r="M164" s="161"/>
      <c r="N164" s="161"/>
      <c r="O164" s="161"/>
      <c r="P164" s="161"/>
      <c r="Q164" s="161"/>
      <c r="R164" s="161"/>
      <c r="S164" s="161"/>
      <c r="T164" s="161"/>
      <c r="U164" s="161"/>
      <c r="V164" s="161"/>
      <c r="W164" s="161"/>
      <c r="X164" s="161"/>
      <c r="Y164" s="161"/>
      <c r="Z164" s="161"/>
      <c r="AA164" s="161"/>
      <c r="AB164" s="161"/>
      <c r="AC164" s="161"/>
      <c r="AD164" s="161"/>
      <c r="AE164" s="161"/>
      <c r="AF164" s="161"/>
      <c r="AG164" s="161"/>
      <c r="AH164" s="161"/>
      <c r="AI164" s="161"/>
      <c r="AJ164" s="161"/>
      <c r="AK164" s="161"/>
      <c r="AL164" s="161"/>
      <c r="AM164" s="161"/>
      <c r="AN164" s="161"/>
      <c r="AO164" s="161"/>
      <c r="AP164" s="161"/>
      <c r="AQ164" s="161"/>
      <c r="AR164" s="161"/>
      <c r="AS164" s="161"/>
      <c r="AT164" s="161"/>
      <c r="AU164" s="161"/>
      <c r="AV164" s="161"/>
      <c r="AW164" s="161"/>
      <c r="AX164" s="161"/>
      <c r="AY164" s="161"/>
      <c r="AZ164" s="161"/>
      <c r="BA164" s="161"/>
      <c r="BB164" s="161"/>
      <c r="BC164" s="161"/>
      <c r="BD164" s="161"/>
      <c r="BE164" s="161"/>
      <c r="BF164" s="161"/>
      <c r="BG164" s="161"/>
      <c r="BH164" s="161"/>
      <c r="BI164" s="161"/>
      <c r="BJ164" s="161"/>
      <c r="BK164" s="161"/>
      <c r="BL164" s="161"/>
      <c r="BM164" s="161"/>
      <c r="BN164" s="161"/>
      <c r="BO164" s="161"/>
      <c r="BP164" s="161"/>
      <c r="BQ164" s="161"/>
      <c r="BR164" s="161"/>
      <c r="BS164" s="161"/>
      <c r="BT164" s="161"/>
      <c r="BU164" s="161"/>
      <c r="BV164" s="161"/>
      <c r="BW164" s="161"/>
      <c r="BX164" s="161"/>
      <c r="BY164" s="161"/>
      <c r="BZ164" s="161"/>
      <c r="CA164" s="161"/>
      <c r="CB164" s="161"/>
      <c r="CC164" s="161"/>
      <c r="CD164" s="161"/>
      <c r="CE164" s="161"/>
      <c r="CF164" s="161"/>
      <c r="CG164" s="161"/>
      <c r="CH164" s="161"/>
      <c r="CI164" s="161"/>
      <c r="CJ164" s="161"/>
      <c r="CK164" s="161"/>
      <c r="CL164" s="161"/>
      <c r="CM164" s="161"/>
      <c r="CN164" s="161"/>
      <c r="CO164" s="161"/>
      <c r="CP164" s="161"/>
      <c r="CQ164" s="161"/>
      <c r="CR164" s="161"/>
      <c r="CS164" s="161"/>
      <c r="CT164" s="161"/>
      <c r="CU164" s="161"/>
      <c r="CV164" s="161"/>
      <c r="CW164" s="161"/>
      <c r="CX164" s="161"/>
      <c r="CY164" s="161"/>
      <c r="CZ164" s="161"/>
      <c r="DA164" s="161"/>
      <c r="DB164" s="161"/>
      <c r="DC164" s="161"/>
      <c r="DD164" s="161"/>
      <c r="DE164" s="161"/>
      <c r="DF164" s="161"/>
      <c r="DG164" s="161"/>
      <c r="DH164" s="161"/>
      <c r="DI164" s="161"/>
      <c r="DJ164" s="161"/>
      <c r="DK164" s="161"/>
      <c r="DL164" s="161"/>
      <c r="DM164" s="161"/>
      <c r="DN164" s="161"/>
      <c r="DO164" s="161"/>
      <c r="DP164" s="161"/>
      <c r="DQ164" s="161"/>
      <c r="DR164" s="161"/>
      <c r="DS164" s="161"/>
      <c r="DT164" s="161"/>
      <c r="DU164" s="161"/>
      <c r="DV164" s="161"/>
      <c r="DW164" s="161"/>
      <c r="DX164" s="161"/>
      <c r="DY164" s="161"/>
      <c r="DZ164" s="161"/>
      <c r="EA164" s="161"/>
      <c r="EB164" s="161"/>
      <c r="EC164" s="161"/>
      <c r="ED164" s="161"/>
      <c r="EE164" s="161"/>
      <c r="EF164" s="161"/>
      <c r="EG164" s="161"/>
      <c r="EH164" s="161"/>
      <c r="EI164" s="161"/>
      <c r="EJ164" s="161"/>
      <c r="EK164" s="161"/>
      <c r="EL164" s="161"/>
      <c r="EM164" s="161"/>
      <c r="EN164" s="161"/>
      <c r="EO164" s="161"/>
      <c r="EP164" s="161"/>
      <c r="EQ164" s="161"/>
      <c r="ER164" s="161"/>
      <c r="ES164" s="161"/>
      <c r="ET164" s="161"/>
      <c r="EU164" s="161"/>
      <c r="EV164" s="161"/>
      <c r="EW164" s="161"/>
      <c r="EX164" s="161"/>
      <c r="EY164" s="161"/>
      <c r="EZ164" s="161"/>
      <c r="FA164" s="161"/>
      <c r="FB164" s="161"/>
      <c r="FC164" s="161"/>
      <c r="FD164" s="161"/>
      <c r="FE164" s="161"/>
      <c r="FF164" s="161"/>
      <c r="FG164" s="161"/>
      <c r="FH164" s="161"/>
      <c r="FI164" s="161"/>
      <c r="FJ164" s="161"/>
      <c r="FK164" s="161"/>
      <c r="FL164" s="161"/>
      <c r="FM164" s="161"/>
      <c r="FN164" s="161"/>
      <c r="FO164" s="161"/>
      <c r="FP164" s="161"/>
      <c r="FQ164" s="161"/>
      <c r="FR164" s="161"/>
      <c r="FS164" s="161"/>
      <c r="FT164" s="161"/>
      <c r="FU164" s="161"/>
      <c r="FV164" s="161"/>
      <c r="FW164" s="161"/>
      <c r="FX164" s="161"/>
      <c r="FY164" s="161"/>
      <c r="FZ164" s="161"/>
      <c r="GA164" s="161"/>
      <c r="GB164" s="161"/>
      <c r="GC164" s="161"/>
      <c r="GD164" s="161"/>
      <c r="GE164" s="161"/>
      <c r="GF164" s="161"/>
      <c r="GG164" s="161"/>
      <c r="GH164" s="161"/>
      <c r="GI164" s="161"/>
      <c r="GJ164" s="161"/>
      <c r="GK164" s="161"/>
      <c r="GL164" s="161"/>
      <c r="GM164" s="161"/>
    </row>
    <row r="165" spans="1:195" ht="13.8" collapsed="1">
      <c r="D165" s="38" t="s">
        <v>88</v>
      </c>
      <c r="E165" s="39" t="s">
        <v>945</v>
      </c>
      <c r="F165" s="91">
        <f>F166+F167+F168</f>
        <v>285483.56755399995</v>
      </c>
      <c r="G165" s="91">
        <f>G166+G167+G168</f>
        <v>298403.48484048498</v>
      </c>
      <c r="H165" s="33">
        <f t="shared" si="14"/>
        <v>12919.917286485026</v>
      </c>
      <c r="I165" s="222">
        <f t="shared" si="12"/>
        <v>4.5256255542768464E-2</v>
      </c>
      <c r="J165" s="1523"/>
      <c r="K165" s="72"/>
      <c r="L165" s="285"/>
      <c r="M165" s="129"/>
      <c r="N165" s="129"/>
      <c r="O165" s="129"/>
    </row>
    <row r="166" spans="1:195" s="8" customFormat="1" ht="13.8" hidden="1" outlineLevel="1">
      <c r="A166" s="179" t="s">
        <v>1916</v>
      </c>
      <c r="B166" s="179" t="s">
        <v>436</v>
      </c>
      <c r="C166" s="248"/>
      <c r="D166" s="99"/>
      <c r="E166" s="65" t="s">
        <v>436</v>
      </c>
      <c r="F166" s="92">
        <f>SUMIFS(INPUT!$H:$H,INPUT!$E:$E,BAZE_2026!$A166,INPUT!$B:$B,BAZE_2026!$B166)</f>
        <v>239737.56755399998</v>
      </c>
      <c r="G166" s="92">
        <f>SUMIFS(INPUT!$L:$L,INPUT!$E:$E,BAZE_2026!$A166,INPUT!$B:$B,BAZE_2026!$B166)</f>
        <v>246726.48484048498</v>
      </c>
      <c r="H166" s="48">
        <f t="shared" si="14"/>
        <v>6988.917286484997</v>
      </c>
      <c r="I166" s="232">
        <f t="shared" si="12"/>
        <v>2.9152365888215539E-2</v>
      </c>
      <c r="J166" s="2569"/>
      <c r="K166" s="72"/>
      <c r="L166" s="285"/>
      <c r="M166" s="129"/>
      <c r="N166" s="129"/>
      <c r="O166" s="129"/>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row>
    <row r="167" spans="1:195" s="8" customFormat="1" ht="55.2" hidden="1" outlineLevel="1">
      <c r="A167" s="179" t="s">
        <v>1916</v>
      </c>
      <c r="B167" s="179" t="s">
        <v>772</v>
      </c>
      <c r="C167" s="248"/>
      <c r="D167" s="101"/>
      <c r="E167" s="59" t="s">
        <v>376</v>
      </c>
      <c r="F167" s="1103">
        <f>SUMIFS(INPUT!$H:$H,INPUT!$E:$E,BAZE_2026!$A167,INPUT!$B:$B,BAZE_2026!$B167)</f>
        <v>44161</v>
      </c>
      <c r="G167" s="92">
        <f>SUMIFS(INPUT!$L:$L,INPUT!$E:$E,BAZE_2026!$A167,INPUT!$B:$B,BAZE_2026!$B167)</f>
        <v>46787</v>
      </c>
      <c r="H167" s="48">
        <f t="shared" si="14"/>
        <v>2626</v>
      </c>
      <c r="I167" s="232">
        <f t="shared" si="12"/>
        <v>5.9464233146894321E-2</v>
      </c>
      <c r="J167" s="2560" t="s">
        <v>5143</v>
      </c>
      <c r="K167" s="54"/>
      <c r="L167" s="135"/>
      <c r="M167" s="129"/>
      <c r="N167" s="129"/>
      <c r="O167" s="129"/>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row>
    <row r="168" spans="1:195" s="8" customFormat="1" ht="13.8" hidden="1" outlineLevel="1">
      <c r="A168" s="179" t="s">
        <v>1916</v>
      </c>
      <c r="B168" s="179" t="s">
        <v>774</v>
      </c>
      <c r="C168" s="248"/>
      <c r="D168" s="99"/>
      <c r="E168" s="59" t="s">
        <v>375</v>
      </c>
      <c r="F168" s="92">
        <f>SUMIFS(INPUT!$H:$H,INPUT!$E:$E,BAZE_2026!$A168,INPUT!$B:$B,BAZE_2026!$B168)</f>
        <v>1585</v>
      </c>
      <c r="G168" s="92">
        <f>SUMIFS(INPUT!$L:$L,INPUT!$E:$E,BAZE_2026!$A168,INPUT!$B:$B,BAZE_2026!$B168)</f>
        <v>4890</v>
      </c>
      <c r="H168" s="48">
        <f t="shared" si="14"/>
        <v>3305</v>
      </c>
      <c r="I168" s="232">
        <f t="shared" si="12"/>
        <v>2.085173501577287</v>
      </c>
      <c r="J168" s="2563" t="s">
        <v>5144</v>
      </c>
      <c r="K168" s="72" t="s">
        <v>3849</v>
      </c>
      <c r="L168" s="285"/>
      <c r="M168" s="129"/>
      <c r="N168" s="129"/>
      <c r="O168" s="129"/>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row>
    <row r="169" spans="1:195" s="166" customFormat="1" ht="13.8" hidden="1" outlineLevel="1">
      <c r="A169" s="315" t="s">
        <v>1916</v>
      </c>
      <c r="B169" s="315" t="s">
        <v>692</v>
      </c>
      <c r="C169" s="316"/>
      <c r="D169" s="2919"/>
      <c r="E169" s="164" t="s">
        <v>692</v>
      </c>
      <c r="F169" s="154">
        <f>SUMIFS(INPUT!$H:$H,INPUT!$E:$E,BAZE_2026!$A169,INPUT!$B:$B,BAZE_2026!$B169)</f>
        <v>219854</v>
      </c>
      <c r="G169" s="154">
        <f>SUMIFS(INPUT!$L:$L,INPUT!$E:$E,BAZE_2026!$A169,INPUT!$B:$B,BAZE_2026!$B169)</f>
        <v>245700</v>
      </c>
      <c r="H169" s="158">
        <f t="shared" si="14"/>
        <v>25846</v>
      </c>
      <c r="I169" s="230">
        <f t="shared" si="12"/>
        <v>0.11755983516333567</v>
      </c>
      <c r="J169" s="2920"/>
      <c r="K169" s="317"/>
      <c r="L169" s="283"/>
      <c r="M169" s="161"/>
      <c r="N169" s="161"/>
      <c r="O169" s="161"/>
      <c r="P169" s="161"/>
      <c r="Q169" s="161"/>
      <c r="R169" s="161"/>
      <c r="S169" s="161"/>
      <c r="T169" s="161"/>
      <c r="U169" s="161"/>
      <c r="V169" s="161"/>
      <c r="W169" s="161"/>
      <c r="X169" s="161"/>
      <c r="Y169" s="161"/>
      <c r="Z169" s="161"/>
      <c r="AA169" s="161"/>
      <c r="AB169" s="161"/>
      <c r="AC169" s="161"/>
      <c r="AD169" s="161"/>
      <c r="AE169" s="161"/>
      <c r="AF169" s="161"/>
      <c r="AG169" s="161"/>
      <c r="AH169" s="161"/>
      <c r="AI169" s="161"/>
      <c r="AJ169" s="161"/>
      <c r="AK169" s="161"/>
      <c r="AL169" s="161"/>
      <c r="AM169" s="161"/>
      <c r="AN169" s="161"/>
      <c r="AO169" s="161"/>
      <c r="AP169" s="161"/>
      <c r="AQ169" s="161"/>
      <c r="AR169" s="161"/>
      <c r="AS169" s="161"/>
      <c r="AT169" s="161"/>
      <c r="AU169" s="161"/>
      <c r="AV169" s="161"/>
      <c r="AW169" s="161"/>
      <c r="AX169" s="161"/>
      <c r="AY169" s="161"/>
      <c r="AZ169" s="161"/>
      <c r="BA169" s="161"/>
      <c r="BB169" s="161"/>
      <c r="BC169" s="161"/>
      <c r="BD169" s="161"/>
      <c r="BE169" s="161"/>
      <c r="BF169" s="161"/>
      <c r="BG169" s="161"/>
      <c r="BH169" s="161"/>
      <c r="BI169" s="161"/>
      <c r="BJ169" s="161"/>
      <c r="BK169" s="161"/>
      <c r="BL169" s="161"/>
      <c r="BM169" s="161"/>
      <c r="BN169" s="161"/>
      <c r="BO169" s="161"/>
      <c r="BP169" s="161"/>
      <c r="BQ169" s="161"/>
      <c r="BR169" s="161"/>
      <c r="BS169" s="161"/>
      <c r="BT169" s="161"/>
      <c r="BU169" s="161"/>
      <c r="BV169" s="161"/>
      <c r="BW169" s="161"/>
      <c r="BX169" s="161"/>
      <c r="BY169" s="161"/>
      <c r="BZ169" s="161"/>
      <c r="CA169" s="161"/>
      <c r="CB169" s="161"/>
      <c r="CC169" s="161"/>
      <c r="CD169" s="161"/>
      <c r="CE169" s="161"/>
      <c r="CF169" s="161"/>
      <c r="CG169" s="161"/>
      <c r="CH169" s="161"/>
      <c r="CI169" s="161"/>
      <c r="CJ169" s="161"/>
      <c r="CK169" s="161"/>
      <c r="CL169" s="161"/>
      <c r="CM169" s="161"/>
      <c r="CN169" s="161"/>
      <c r="CO169" s="161"/>
      <c r="CP169" s="161"/>
      <c r="CQ169" s="161"/>
      <c r="CR169" s="161"/>
      <c r="CS169" s="161"/>
      <c r="CT169" s="161"/>
      <c r="CU169" s="161"/>
      <c r="CV169" s="161"/>
      <c r="CW169" s="161"/>
      <c r="CX169" s="161"/>
      <c r="CY169" s="161"/>
      <c r="CZ169" s="161"/>
      <c r="DA169" s="161"/>
      <c r="DB169" s="161"/>
      <c r="DC169" s="161"/>
      <c r="DD169" s="161"/>
      <c r="DE169" s="161"/>
      <c r="DF169" s="161"/>
      <c r="DG169" s="161"/>
      <c r="DH169" s="161"/>
      <c r="DI169" s="161"/>
      <c r="DJ169" s="161"/>
      <c r="DK169" s="161"/>
      <c r="DL169" s="161"/>
      <c r="DM169" s="161"/>
      <c r="DN169" s="161"/>
      <c r="DO169" s="161"/>
      <c r="DP169" s="161"/>
      <c r="DQ169" s="161"/>
      <c r="DR169" s="161"/>
      <c r="DS169" s="161"/>
      <c r="DT169" s="161"/>
      <c r="DU169" s="161"/>
      <c r="DV169" s="161"/>
      <c r="DW169" s="161"/>
      <c r="DX169" s="161"/>
      <c r="DY169" s="161"/>
      <c r="DZ169" s="161"/>
      <c r="EA169" s="161"/>
      <c r="EB169" s="161"/>
      <c r="EC169" s="161"/>
      <c r="ED169" s="161"/>
      <c r="EE169" s="161"/>
      <c r="EF169" s="161"/>
      <c r="EG169" s="161"/>
      <c r="EH169" s="161"/>
      <c r="EI169" s="161"/>
      <c r="EJ169" s="161"/>
      <c r="EK169" s="161"/>
      <c r="EL169" s="161"/>
      <c r="EM169" s="161"/>
      <c r="EN169" s="161"/>
      <c r="EO169" s="161"/>
      <c r="EP169" s="161"/>
      <c r="EQ169" s="161"/>
      <c r="ER169" s="161"/>
      <c r="ES169" s="161"/>
      <c r="ET169" s="161"/>
      <c r="EU169" s="161"/>
      <c r="EV169" s="161"/>
      <c r="EW169" s="161"/>
      <c r="EX169" s="161"/>
      <c r="EY169" s="161"/>
      <c r="EZ169" s="161"/>
      <c r="FA169" s="161"/>
      <c r="FB169" s="161"/>
      <c r="FC169" s="161"/>
      <c r="FD169" s="161"/>
      <c r="FE169" s="161"/>
      <c r="FF169" s="161"/>
      <c r="FG169" s="161"/>
      <c r="FH169" s="161"/>
      <c r="FI169" s="161"/>
      <c r="FJ169" s="161"/>
      <c r="FK169" s="161"/>
      <c r="FL169" s="161"/>
      <c r="FM169" s="161"/>
      <c r="FN169" s="161"/>
      <c r="FO169" s="161"/>
      <c r="FP169" s="161"/>
      <c r="FQ169" s="161"/>
      <c r="FR169" s="161"/>
      <c r="FS169" s="161"/>
      <c r="FT169" s="161"/>
      <c r="FU169" s="161"/>
      <c r="FV169" s="161"/>
      <c r="FW169" s="161"/>
      <c r="FX169" s="161"/>
      <c r="FY169" s="161"/>
      <c r="FZ169" s="161"/>
      <c r="GA169" s="161"/>
      <c r="GB169" s="161"/>
      <c r="GC169" s="161"/>
      <c r="GD169" s="161"/>
      <c r="GE169" s="161"/>
      <c r="GF169" s="161"/>
      <c r="GG169" s="161"/>
      <c r="GH169" s="161"/>
      <c r="GI169" s="161"/>
      <c r="GJ169" s="161"/>
      <c r="GK169" s="161"/>
      <c r="GL169" s="161"/>
      <c r="GM169" s="161"/>
    </row>
    <row r="170" spans="1:195" s="166" customFormat="1" ht="13.8" hidden="1" outlineLevel="1">
      <c r="A170" s="315" t="s">
        <v>1916</v>
      </c>
      <c r="B170" s="315" t="s">
        <v>326</v>
      </c>
      <c r="C170" s="316"/>
      <c r="D170" s="2926"/>
      <c r="E170" s="318" t="s">
        <v>265</v>
      </c>
      <c r="F170" s="154">
        <f>SUMIFS(INPUT!$H:$H,INPUT!$E:$E,BAZE_2026!$A170,INPUT!$B:$B,BAZE_2026!$B170)</f>
        <v>11050.1819</v>
      </c>
      <c r="G170" s="154">
        <f>SUMIFS(INPUT!$L:$L,INPUT!$E:$E,BAZE_2026!$A170,INPUT!$B:$B,BAZE_2026!$B170)</f>
        <v>10998</v>
      </c>
      <c r="H170" s="158">
        <f t="shared" si="14"/>
        <v>-52.181899999999587</v>
      </c>
      <c r="I170" s="230">
        <f t="shared" si="12"/>
        <v>-4.7222661556367311E-3</v>
      </c>
      <c r="J170" s="2920"/>
      <c r="K170" s="317"/>
      <c r="L170" s="283"/>
      <c r="M170" s="161"/>
      <c r="N170" s="161"/>
      <c r="O170" s="161"/>
      <c r="P170" s="161"/>
      <c r="Q170" s="161"/>
      <c r="R170" s="161"/>
      <c r="S170" s="161"/>
      <c r="T170" s="161"/>
      <c r="U170" s="161"/>
      <c r="V170" s="161"/>
      <c r="W170" s="161"/>
      <c r="X170" s="161"/>
      <c r="Y170" s="161"/>
      <c r="Z170" s="161"/>
      <c r="AA170" s="161"/>
      <c r="AB170" s="161"/>
      <c r="AC170" s="161"/>
      <c r="AD170" s="161"/>
      <c r="AE170" s="161"/>
      <c r="AF170" s="161"/>
      <c r="AG170" s="161"/>
      <c r="AH170" s="161"/>
      <c r="AI170" s="161"/>
      <c r="AJ170" s="161"/>
      <c r="AK170" s="161"/>
      <c r="AL170" s="161"/>
      <c r="AM170" s="161"/>
      <c r="AN170" s="161"/>
      <c r="AO170" s="161"/>
      <c r="AP170" s="161"/>
      <c r="AQ170" s="161"/>
      <c r="AR170" s="161"/>
      <c r="AS170" s="161"/>
      <c r="AT170" s="161"/>
      <c r="AU170" s="161"/>
      <c r="AV170" s="161"/>
      <c r="AW170" s="161"/>
      <c r="AX170" s="161"/>
      <c r="AY170" s="161"/>
      <c r="AZ170" s="161"/>
      <c r="BA170" s="161"/>
      <c r="BB170" s="161"/>
      <c r="BC170" s="161"/>
      <c r="BD170" s="161"/>
      <c r="BE170" s="161"/>
      <c r="BF170" s="161"/>
      <c r="BG170" s="161"/>
      <c r="BH170" s="161"/>
      <c r="BI170" s="161"/>
      <c r="BJ170" s="161"/>
      <c r="BK170" s="161"/>
      <c r="BL170" s="161"/>
      <c r="BM170" s="161"/>
      <c r="BN170" s="161"/>
      <c r="BO170" s="161"/>
      <c r="BP170" s="161"/>
      <c r="BQ170" s="161"/>
      <c r="BR170" s="161"/>
      <c r="BS170" s="161"/>
      <c r="BT170" s="161"/>
      <c r="BU170" s="161"/>
      <c r="BV170" s="161"/>
      <c r="BW170" s="161"/>
      <c r="BX170" s="161"/>
      <c r="BY170" s="161"/>
      <c r="BZ170" s="161"/>
      <c r="CA170" s="161"/>
      <c r="CB170" s="161"/>
      <c r="CC170" s="161"/>
      <c r="CD170" s="161"/>
      <c r="CE170" s="161"/>
      <c r="CF170" s="161"/>
      <c r="CG170" s="161"/>
      <c r="CH170" s="161"/>
      <c r="CI170" s="161"/>
      <c r="CJ170" s="161"/>
      <c r="CK170" s="161"/>
      <c r="CL170" s="161"/>
      <c r="CM170" s="161"/>
      <c r="CN170" s="161"/>
      <c r="CO170" s="161"/>
      <c r="CP170" s="161"/>
      <c r="CQ170" s="161"/>
      <c r="CR170" s="161"/>
      <c r="CS170" s="161"/>
      <c r="CT170" s="161"/>
      <c r="CU170" s="161"/>
      <c r="CV170" s="161"/>
      <c r="CW170" s="161"/>
      <c r="CX170" s="161"/>
      <c r="CY170" s="161"/>
      <c r="CZ170" s="161"/>
      <c r="DA170" s="161"/>
      <c r="DB170" s="161"/>
      <c r="DC170" s="161"/>
      <c r="DD170" s="161"/>
      <c r="DE170" s="161"/>
      <c r="DF170" s="161"/>
      <c r="DG170" s="161"/>
      <c r="DH170" s="161"/>
      <c r="DI170" s="161"/>
      <c r="DJ170" s="161"/>
      <c r="DK170" s="161"/>
      <c r="DL170" s="161"/>
      <c r="DM170" s="161"/>
      <c r="DN170" s="161"/>
      <c r="DO170" s="161"/>
      <c r="DP170" s="161"/>
      <c r="DQ170" s="161"/>
      <c r="DR170" s="161"/>
      <c r="DS170" s="161"/>
      <c r="DT170" s="161"/>
      <c r="DU170" s="161"/>
      <c r="DV170" s="161"/>
      <c r="DW170" s="161"/>
      <c r="DX170" s="161"/>
      <c r="DY170" s="161"/>
      <c r="DZ170" s="161"/>
      <c r="EA170" s="161"/>
      <c r="EB170" s="161"/>
      <c r="EC170" s="161"/>
      <c r="ED170" s="161"/>
      <c r="EE170" s="161"/>
      <c r="EF170" s="161"/>
      <c r="EG170" s="161"/>
      <c r="EH170" s="161"/>
      <c r="EI170" s="161"/>
      <c r="EJ170" s="161"/>
      <c r="EK170" s="161"/>
      <c r="EL170" s="161"/>
      <c r="EM170" s="161"/>
      <c r="EN170" s="161"/>
      <c r="EO170" s="161"/>
      <c r="EP170" s="161"/>
      <c r="EQ170" s="161"/>
      <c r="ER170" s="161"/>
      <c r="ES170" s="161"/>
      <c r="ET170" s="161"/>
      <c r="EU170" s="161"/>
      <c r="EV170" s="161"/>
      <c r="EW170" s="161"/>
      <c r="EX170" s="161"/>
      <c r="EY170" s="161"/>
      <c r="EZ170" s="161"/>
      <c r="FA170" s="161"/>
      <c r="FB170" s="161"/>
      <c r="FC170" s="161"/>
      <c r="FD170" s="161"/>
      <c r="FE170" s="161"/>
      <c r="FF170" s="161"/>
      <c r="FG170" s="161"/>
      <c r="FH170" s="161"/>
      <c r="FI170" s="161"/>
      <c r="FJ170" s="161"/>
      <c r="FK170" s="161"/>
      <c r="FL170" s="161"/>
      <c r="FM170" s="161"/>
      <c r="FN170" s="161"/>
      <c r="FO170" s="161"/>
      <c r="FP170" s="161"/>
      <c r="FQ170" s="161"/>
      <c r="FR170" s="161"/>
      <c r="FS170" s="161"/>
      <c r="FT170" s="161"/>
      <c r="FU170" s="161"/>
      <c r="FV170" s="161"/>
      <c r="FW170" s="161"/>
      <c r="FX170" s="161"/>
      <c r="FY170" s="161"/>
      <c r="FZ170" s="161"/>
      <c r="GA170" s="161"/>
      <c r="GB170" s="161"/>
      <c r="GC170" s="161"/>
      <c r="GD170" s="161"/>
      <c r="GE170" s="161"/>
      <c r="GF170" s="161"/>
      <c r="GG170" s="161"/>
      <c r="GH170" s="161"/>
      <c r="GI170" s="161"/>
      <c r="GJ170" s="161"/>
      <c r="GK170" s="161"/>
      <c r="GL170" s="161"/>
      <c r="GM170" s="161"/>
    </row>
    <row r="171" spans="1:195" s="166" customFormat="1" ht="13.8" hidden="1" outlineLevel="1">
      <c r="A171" s="315" t="s">
        <v>1916</v>
      </c>
      <c r="B171" s="315" t="s">
        <v>773</v>
      </c>
      <c r="C171" s="316"/>
      <c r="D171" s="2919"/>
      <c r="E171" s="164" t="s">
        <v>773</v>
      </c>
      <c r="F171" s="154">
        <f>SUMIFS(INPUT!$H:$H,INPUT!$E:$E,BAZE_2026!$A171,INPUT!$B:$B,BAZE_2026!$B171)</f>
        <v>9640</v>
      </c>
      <c r="G171" s="154">
        <f>SUMIFS(INPUT!$L:$L,INPUT!$E:$E,BAZE_2026!$A171,INPUT!$B:$B,BAZE_2026!$B171)</f>
        <v>11266</v>
      </c>
      <c r="H171" s="158">
        <f>G171-F171</f>
        <v>1626</v>
      </c>
      <c r="I171" s="230">
        <f t="shared" si="12"/>
        <v>0.16867219917012449</v>
      </c>
      <c r="J171" s="2920"/>
      <c r="K171" s="317"/>
      <c r="L171" s="283"/>
      <c r="M171" s="161"/>
      <c r="N171" s="161"/>
      <c r="O171" s="161"/>
      <c r="P171" s="161"/>
      <c r="Q171" s="161"/>
      <c r="R171" s="161"/>
      <c r="S171" s="161"/>
      <c r="T171" s="161"/>
      <c r="U171" s="161"/>
      <c r="V171" s="161"/>
      <c r="W171" s="161"/>
      <c r="X171" s="161"/>
      <c r="Y171" s="161"/>
      <c r="Z171" s="161"/>
      <c r="AA171" s="161"/>
      <c r="AB171" s="161"/>
      <c r="AC171" s="161"/>
      <c r="AD171" s="161"/>
      <c r="AE171" s="161"/>
      <c r="AF171" s="161"/>
      <c r="AG171" s="161"/>
      <c r="AH171" s="161"/>
      <c r="AI171" s="161"/>
      <c r="AJ171" s="161"/>
      <c r="AK171" s="161"/>
      <c r="AL171" s="161"/>
      <c r="AM171" s="161"/>
      <c r="AN171" s="161"/>
      <c r="AO171" s="161"/>
      <c r="AP171" s="161"/>
      <c r="AQ171" s="161"/>
      <c r="AR171" s="161"/>
      <c r="AS171" s="161"/>
      <c r="AT171" s="161"/>
      <c r="AU171" s="161"/>
      <c r="AV171" s="161"/>
      <c r="AW171" s="161"/>
      <c r="AX171" s="161"/>
      <c r="AY171" s="161"/>
      <c r="AZ171" s="161"/>
      <c r="BA171" s="161"/>
      <c r="BB171" s="161"/>
      <c r="BC171" s="161"/>
      <c r="BD171" s="161"/>
      <c r="BE171" s="161"/>
      <c r="BF171" s="161"/>
      <c r="BG171" s="161"/>
      <c r="BH171" s="161"/>
      <c r="BI171" s="161"/>
      <c r="BJ171" s="161"/>
      <c r="BK171" s="161"/>
      <c r="BL171" s="161"/>
      <c r="BM171" s="161"/>
      <c r="BN171" s="161"/>
      <c r="BO171" s="161"/>
      <c r="BP171" s="161"/>
      <c r="BQ171" s="161"/>
      <c r="BR171" s="161"/>
      <c r="BS171" s="161"/>
      <c r="BT171" s="161"/>
      <c r="BU171" s="161"/>
      <c r="BV171" s="161"/>
      <c r="BW171" s="161"/>
      <c r="BX171" s="161"/>
      <c r="BY171" s="161"/>
      <c r="BZ171" s="161"/>
      <c r="CA171" s="161"/>
      <c r="CB171" s="161"/>
      <c r="CC171" s="161"/>
      <c r="CD171" s="161"/>
      <c r="CE171" s="161"/>
      <c r="CF171" s="161"/>
      <c r="CG171" s="161"/>
      <c r="CH171" s="161"/>
      <c r="CI171" s="161"/>
      <c r="CJ171" s="161"/>
      <c r="CK171" s="161"/>
      <c r="CL171" s="161"/>
      <c r="CM171" s="161"/>
      <c r="CN171" s="161"/>
      <c r="CO171" s="161"/>
      <c r="CP171" s="161"/>
      <c r="CQ171" s="161"/>
      <c r="CR171" s="161"/>
      <c r="CS171" s="161"/>
      <c r="CT171" s="161"/>
      <c r="CU171" s="161"/>
      <c r="CV171" s="161"/>
      <c r="CW171" s="161"/>
      <c r="CX171" s="161"/>
      <c r="CY171" s="161"/>
      <c r="CZ171" s="161"/>
      <c r="DA171" s="161"/>
      <c r="DB171" s="161"/>
      <c r="DC171" s="161"/>
      <c r="DD171" s="161"/>
      <c r="DE171" s="161"/>
      <c r="DF171" s="161"/>
      <c r="DG171" s="161"/>
      <c r="DH171" s="161"/>
      <c r="DI171" s="161"/>
      <c r="DJ171" s="161"/>
      <c r="DK171" s="161"/>
      <c r="DL171" s="161"/>
      <c r="DM171" s="161"/>
      <c r="DN171" s="161"/>
      <c r="DO171" s="161"/>
      <c r="DP171" s="161"/>
      <c r="DQ171" s="161"/>
      <c r="DR171" s="161"/>
      <c r="DS171" s="161"/>
      <c r="DT171" s="161"/>
      <c r="DU171" s="161"/>
      <c r="DV171" s="161"/>
      <c r="DW171" s="161"/>
      <c r="DX171" s="161"/>
      <c r="DY171" s="161"/>
      <c r="DZ171" s="161"/>
      <c r="EA171" s="161"/>
      <c r="EB171" s="161"/>
      <c r="EC171" s="161"/>
      <c r="ED171" s="161"/>
      <c r="EE171" s="161"/>
      <c r="EF171" s="161"/>
      <c r="EG171" s="161"/>
      <c r="EH171" s="161"/>
      <c r="EI171" s="161"/>
      <c r="EJ171" s="161"/>
      <c r="EK171" s="161"/>
      <c r="EL171" s="161"/>
      <c r="EM171" s="161"/>
      <c r="EN171" s="161"/>
      <c r="EO171" s="161"/>
      <c r="EP171" s="161"/>
      <c r="EQ171" s="161"/>
      <c r="ER171" s="161"/>
      <c r="ES171" s="161"/>
      <c r="ET171" s="161"/>
      <c r="EU171" s="161"/>
      <c r="EV171" s="161"/>
      <c r="EW171" s="161"/>
      <c r="EX171" s="161"/>
      <c r="EY171" s="161"/>
      <c r="EZ171" s="161"/>
      <c r="FA171" s="161"/>
      <c r="FB171" s="161"/>
      <c r="FC171" s="161"/>
      <c r="FD171" s="161"/>
      <c r="FE171" s="161"/>
      <c r="FF171" s="161"/>
      <c r="FG171" s="161"/>
      <c r="FH171" s="161"/>
      <c r="FI171" s="161"/>
      <c r="FJ171" s="161"/>
      <c r="FK171" s="161"/>
      <c r="FL171" s="161"/>
      <c r="FM171" s="161"/>
      <c r="FN171" s="161"/>
      <c r="FO171" s="161"/>
      <c r="FP171" s="161"/>
      <c r="FQ171" s="161"/>
      <c r="FR171" s="161"/>
      <c r="FS171" s="161"/>
      <c r="FT171" s="161"/>
      <c r="FU171" s="161"/>
      <c r="FV171" s="161"/>
      <c r="FW171" s="161"/>
      <c r="FX171" s="161"/>
      <c r="FY171" s="161"/>
      <c r="FZ171" s="161"/>
      <c r="GA171" s="161"/>
      <c r="GB171" s="161"/>
      <c r="GC171" s="161"/>
      <c r="GD171" s="161"/>
      <c r="GE171" s="161"/>
      <c r="GF171" s="161"/>
      <c r="GG171" s="161"/>
      <c r="GH171" s="161"/>
      <c r="GI171" s="161"/>
      <c r="GJ171" s="161"/>
      <c r="GK171" s="161"/>
      <c r="GL171" s="161"/>
      <c r="GM171" s="161"/>
    </row>
    <row r="172" spans="1:195" ht="13.8" collapsed="1">
      <c r="D172" s="38" t="s">
        <v>89</v>
      </c>
      <c r="E172" s="39" t="s">
        <v>942</v>
      </c>
      <c r="F172" s="91">
        <f>F173+F174+F175</f>
        <v>158076.37377760001</v>
      </c>
      <c r="G172" s="91">
        <f>G173+G174+G175</f>
        <v>162922.30499610002</v>
      </c>
      <c r="H172" s="33">
        <f>G172-F172</f>
        <v>4845.9312185000163</v>
      </c>
      <c r="I172" s="222">
        <f t="shared" si="12"/>
        <v>3.0655632481282932E-2</v>
      </c>
      <c r="J172" s="1523"/>
      <c r="K172" s="72"/>
      <c r="L172" s="285"/>
      <c r="M172" s="129"/>
      <c r="N172" s="129"/>
      <c r="O172" s="129"/>
    </row>
    <row r="173" spans="1:195" s="8" customFormat="1" ht="13.8" hidden="1" outlineLevel="1">
      <c r="A173" s="179" t="s">
        <v>872</v>
      </c>
      <c r="B173" s="179" t="s">
        <v>436</v>
      </c>
      <c r="C173" s="248"/>
      <c r="D173" s="58"/>
      <c r="E173" s="65" t="s">
        <v>436</v>
      </c>
      <c r="F173" s="92">
        <f>SUMIFS(INPUT!$H:$H,INPUT!$E:$E,BAZE_2026!$A173,INPUT!$B:$B,BAZE_2026!$B173)</f>
        <v>94983.625777599998</v>
      </c>
      <c r="G173" s="92">
        <f>SUMIFS(INPUT!$L:$L,INPUT!$E:$E,BAZE_2026!$A173,INPUT!$B:$B,BAZE_2026!$B173)</f>
        <v>100996.54499610001</v>
      </c>
      <c r="H173" s="48">
        <f>G173-F173</f>
        <v>6012.9192185000138</v>
      </c>
      <c r="I173" s="232">
        <f t="shared" si="12"/>
        <v>6.3304797740391605E-2</v>
      </c>
      <c r="J173" s="2563" t="s">
        <v>4760</v>
      </c>
      <c r="K173" s="72"/>
      <c r="L173" s="285"/>
      <c r="M173" s="129"/>
      <c r="N173" s="129"/>
      <c r="O173" s="129"/>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row>
    <row r="174" spans="1:195" s="8" customFormat="1" ht="13.8" hidden="1" outlineLevel="1">
      <c r="A174" s="179" t="s">
        <v>872</v>
      </c>
      <c r="B174" s="179" t="s">
        <v>772</v>
      </c>
      <c r="C174" s="248"/>
      <c r="D174" s="64"/>
      <c r="E174" s="59" t="s">
        <v>376</v>
      </c>
      <c r="F174" s="92">
        <f>SUMIFS(INPUT!$H:$H,INPUT!$E:$E,BAZE_2026!$A174,INPUT!$B:$B,BAZE_2026!$B174)</f>
        <v>51388.748</v>
      </c>
      <c r="G174" s="92">
        <f>SUMIFS(INPUT!$L:$L,INPUT!$E:$E,BAZE_2026!$A174,INPUT!$B:$B,BAZE_2026!$B174)</f>
        <v>52325.759999999995</v>
      </c>
      <c r="H174" s="48">
        <f>G174-F174</f>
        <v>937.01199999999517</v>
      </c>
      <c r="I174" s="232">
        <f t="shared" si="12"/>
        <v>1.8233797017199078E-2</v>
      </c>
      <c r="J174" s="2727"/>
      <c r="K174" s="54"/>
      <c r="L174" s="135"/>
      <c r="M174" s="129"/>
      <c r="N174" s="129"/>
      <c r="O174" s="129"/>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row>
    <row r="175" spans="1:195" s="8" customFormat="1" ht="13.8" hidden="1" outlineLevel="1">
      <c r="A175" s="179" t="s">
        <v>872</v>
      </c>
      <c r="B175" s="179" t="s">
        <v>774</v>
      </c>
      <c r="C175" s="248"/>
      <c r="D175" s="58"/>
      <c r="E175" s="59" t="s">
        <v>375</v>
      </c>
      <c r="F175" s="92">
        <f>SUMIFS(INPUT!$H:$H,INPUT!$E:$E,BAZE_2026!$A175,INPUT!$B:$B,BAZE_2026!$B175)</f>
        <v>11704</v>
      </c>
      <c r="G175" s="92">
        <f>SUMIFS(INPUT!$L:$L,INPUT!$E:$E,BAZE_2026!$A175,INPUT!$B:$B,BAZE_2026!$B175)</f>
        <v>9600</v>
      </c>
      <c r="H175" s="48">
        <f>G175-F175</f>
        <v>-2104</v>
      </c>
      <c r="I175" s="232">
        <f t="shared" si="12"/>
        <v>-0.17976760082023241</v>
      </c>
      <c r="J175" s="2562"/>
      <c r="K175" s="72"/>
      <c r="L175" s="285"/>
      <c r="M175" s="129"/>
      <c r="N175" s="129"/>
      <c r="O175" s="129"/>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row>
    <row r="176" spans="1:195" s="166" customFormat="1" ht="13.8" hidden="1" outlineLevel="1">
      <c r="A176" s="315" t="s">
        <v>872</v>
      </c>
      <c r="B176" s="315" t="s">
        <v>773</v>
      </c>
      <c r="C176" s="316"/>
      <c r="D176" s="2919"/>
      <c r="E176" s="164" t="s">
        <v>773</v>
      </c>
      <c r="F176" s="154">
        <f>SUMIFS(INPUT!$H:$H,INPUT!$E:$E,BAZE_2026!$A176,INPUT!$B:$B,BAZE_2026!$B176)</f>
        <v>0</v>
      </c>
      <c r="G176" s="154">
        <f>SUMIFS(INPUT!$L:$L,INPUT!$E:$E,BAZE_2026!$A176,INPUT!$B:$B,BAZE_2026!$B176)</f>
        <v>0</v>
      </c>
      <c r="H176" s="158">
        <f t="shared" ref="H176:H244" si="15">G176-F176</f>
        <v>0</v>
      </c>
      <c r="I176" s="230" t="str">
        <f t="shared" si="12"/>
        <v>-</v>
      </c>
      <c r="J176" s="2920"/>
      <c r="K176" s="317"/>
      <c r="L176" s="283"/>
      <c r="M176" s="161"/>
      <c r="N176" s="161"/>
      <c r="O176" s="161"/>
      <c r="P176" s="161"/>
      <c r="Q176" s="161"/>
      <c r="R176" s="161"/>
      <c r="S176" s="161"/>
      <c r="T176" s="161"/>
      <c r="U176" s="161"/>
      <c r="V176" s="161"/>
      <c r="W176" s="161"/>
      <c r="X176" s="161"/>
      <c r="Y176" s="161"/>
      <c r="Z176" s="161"/>
      <c r="AA176" s="161"/>
      <c r="AB176" s="161"/>
      <c r="AC176" s="161"/>
      <c r="AD176" s="161"/>
      <c r="AE176" s="161"/>
      <c r="AF176" s="161"/>
      <c r="AG176" s="161"/>
      <c r="AH176" s="161"/>
      <c r="AI176" s="161"/>
      <c r="AJ176" s="161"/>
      <c r="AK176" s="161"/>
      <c r="AL176" s="161"/>
      <c r="AM176" s="161"/>
      <c r="AN176" s="161"/>
      <c r="AO176" s="161"/>
      <c r="AP176" s="161"/>
      <c r="AQ176" s="161"/>
      <c r="AR176" s="161"/>
      <c r="AS176" s="161"/>
      <c r="AT176" s="161"/>
      <c r="AU176" s="161"/>
      <c r="AV176" s="161"/>
      <c r="AW176" s="161"/>
      <c r="AX176" s="161"/>
      <c r="AY176" s="161"/>
      <c r="AZ176" s="161"/>
      <c r="BA176" s="161"/>
      <c r="BB176" s="161"/>
      <c r="BC176" s="161"/>
      <c r="BD176" s="161"/>
      <c r="BE176" s="161"/>
      <c r="BF176" s="161"/>
      <c r="BG176" s="161"/>
      <c r="BH176" s="161"/>
      <c r="BI176" s="161"/>
      <c r="BJ176" s="161"/>
      <c r="BK176" s="161"/>
      <c r="BL176" s="161"/>
      <c r="BM176" s="161"/>
      <c r="BN176" s="161"/>
      <c r="BO176" s="161"/>
      <c r="BP176" s="161"/>
      <c r="BQ176" s="161"/>
      <c r="BR176" s="161"/>
      <c r="BS176" s="161"/>
      <c r="BT176" s="161"/>
      <c r="BU176" s="161"/>
      <c r="BV176" s="161"/>
      <c r="BW176" s="161"/>
      <c r="BX176" s="161"/>
      <c r="BY176" s="161"/>
      <c r="BZ176" s="161"/>
      <c r="CA176" s="161"/>
      <c r="CB176" s="161"/>
      <c r="CC176" s="161"/>
      <c r="CD176" s="161"/>
      <c r="CE176" s="161"/>
      <c r="CF176" s="161"/>
      <c r="CG176" s="161"/>
      <c r="CH176" s="161"/>
      <c r="CI176" s="161"/>
      <c r="CJ176" s="161"/>
      <c r="CK176" s="161"/>
      <c r="CL176" s="161"/>
      <c r="CM176" s="161"/>
      <c r="CN176" s="161"/>
      <c r="CO176" s="161"/>
      <c r="CP176" s="161"/>
      <c r="CQ176" s="161"/>
      <c r="CR176" s="161"/>
      <c r="CS176" s="161"/>
      <c r="CT176" s="161"/>
      <c r="CU176" s="161"/>
      <c r="CV176" s="161"/>
      <c r="CW176" s="161"/>
      <c r="CX176" s="161"/>
      <c r="CY176" s="161"/>
      <c r="CZ176" s="161"/>
      <c r="DA176" s="161"/>
      <c r="DB176" s="161"/>
      <c r="DC176" s="161"/>
      <c r="DD176" s="161"/>
      <c r="DE176" s="161"/>
      <c r="DF176" s="161"/>
      <c r="DG176" s="161"/>
      <c r="DH176" s="161"/>
      <c r="DI176" s="161"/>
      <c r="DJ176" s="161"/>
      <c r="DK176" s="161"/>
      <c r="DL176" s="161"/>
      <c r="DM176" s="161"/>
      <c r="DN176" s="161"/>
      <c r="DO176" s="161"/>
      <c r="DP176" s="161"/>
      <c r="DQ176" s="161"/>
      <c r="DR176" s="161"/>
      <c r="DS176" s="161"/>
      <c r="DT176" s="161"/>
      <c r="DU176" s="161"/>
      <c r="DV176" s="161"/>
      <c r="DW176" s="161"/>
      <c r="DX176" s="161"/>
      <c r="DY176" s="161"/>
      <c r="DZ176" s="161"/>
      <c r="EA176" s="161"/>
      <c r="EB176" s="161"/>
      <c r="EC176" s="161"/>
      <c r="ED176" s="161"/>
      <c r="EE176" s="161"/>
      <c r="EF176" s="161"/>
      <c r="EG176" s="161"/>
      <c r="EH176" s="161"/>
      <c r="EI176" s="161"/>
      <c r="EJ176" s="161"/>
      <c r="EK176" s="161"/>
      <c r="EL176" s="161"/>
      <c r="EM176" s="161"/>
      <c r="EN176" s="161"/>
      <c r="EO176" s="161"/>
      <c r="EP176" s="161"/>
      <c r="EQ176" s="161"/>
      <c r="ER176" s="161"/>
      <c r="ES176" s="161"/>
      <c r="ET176" s="161"/>
      <c r="EU176" s="161"/>
      <c r="EV176" s="161"/>
      <c r="EW176" s="161"/>
      <c r="EX176" s="161"/>
      <c r="EY176" s="161"/>
      <c r="EZ176" s="161"/>
      <c r="FA176" s="161"/>
      <c r="FB176" s="161"/>
      <c r="FC176" s="161"/>
      <c r="FD176" s="161"/>
      <c r="FE176" s="161"/>
      <c r="FF176" s="161"/>
      <c r="FG176" s="161"/>
      <c r="FH176" s="161"/>
      <c r="FI176" s="161"/>
      <c r="FJ176" s="161"/>
      <c r="FK176" s="161"/>
      <c r="FL176" s="161"/>
      <c r="FM176" s="161"/>
      <c r="FN176" s="161"/>
      <c r="FO176" s="161"/>
      <c r="FP176" s="161"/>
      <c r="FQ176" s="161"/>
      <c r="FR176" s="161"/>
      <c r="FS176" s="161"/>
      <c r="FT176" s="161"/>
      <c r="FU176" s="161"/>
      <c r="FV176" s="161"/>
      <c r="FW176" s="161"/>
      <c r="FX176" s="161"/>
      <c r="FY176" s="161"/>
      <c r="FZ176" s="161"/>
      <c r="GA176" s="161"/>
      <c r="GB176" s="161"/>
      <c r="GC176" s="161"/>
      <c r="GD176" s="161"/>
      <c r="GE176" s="161"/>
      <c r="GF176" s="161"/>
      <c r="GG176" s="161"/>
      <c r="GH176" s="161"/>
      <c r="GI176" s="161"/>
      <c r="GJ176" s="161"/>
      <c r="GK176" s="161"/>
      <c r="GL176" s="161"/>
      <c r="GM176" s="161"/>
    </row>
    <row r="177" spans="1:195" ht="13.8" collapsed="1">
      <c r="D177" s="38" t="s">
        <v>90</v>
      </c>
      <c r="E177" s="39" t="s">
        <v>943</v>
      </c>
      <c r="F177" s="91">
        <f>F178+F179+F180</f>
        <v>73071.201917600003</v>
      </c>
      <c r="G177" s="91">
        <f>G178+G179+G180</f>
        <v>77819.794303670002</v>
      </c>
      <c r="H177" s="33">
        <f t="shared" si="15"/>
        <v>4748.5923860699986</v>
      </c>
      <c r="I177" s="222">
        <f t="shared" si="12"/>
        <v>6.4985825625597765E-2</v>
      </c>
      <c r="J177" s="1523"/>
      <c r="K177" s="72"/>
      <c r="L177" s="285"/>
      <c r="M177" s="129"/>
      <c r="N177" s="129"/>
      <c r="O177" s="129"/>
    </row>
    <row r="178" spans="1:195" s="8" customFormat="1" ht="13.8" hidden="1" outlineLevel="1">
      <c r="A178" s="179" t="s">
        <v>873</v>
      </c>
      <c r="B178" s="179" t="s">
        <v>436</v>
      </c>
      <c r="C178" s="248"/>
      <c r="D178" s="58"/>
      <c r="E178" s="65" t="s">
        <v>436</v>
      </c>
      <c r="F178" s="92">
        <f>SUMIFS(INPUT!$H:$H,INPUT!$E:$E,BAZE_2026!$A178,INPUT!$B:$B,BAZE_2026!$B178)</f>
        <v>55595.201917600003</v>
      </c>
      <c r="G178" s="92">
        <f>SUMIFS(INPUT!$L:$L,INPUT!$E:$E,BAZE_2026!$A178,INPUT!$B:$B,BAZE_2026!$B178)</f>
        <v>58545.794303669994</v>
      </c>
      <c r="H178" s="48">
        <f t="shared" si="15"/>
        <v>2950.5923860699913</v>
      </c>
      <c r="I178" s="232">
        <f t="shared" si="12"/>
        <v>5.3072788375572208E-2</v>
      </c>
      <c r="J178" s="2563" t="s">
        <v>4760</v>
      </c>
      <c r="K178" s="72"/>
      <c r="L178" s="285"/>
      <c r="M178" s="129"/>
      <c r="N178" s="129"/>
      <c r="O178" s="129"/>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row>
    <row r="179" spans="1:195" s="8" customFormat="1" ht="13.8" hidden="1" outlineLevel="1">
      <c r="A179" s="179" t="s">
        <v>873</v>
      </c>
      <c r="B179" s="179" t="s">
        <v>772</v>
      </c>
      <c r="C179" s="248"/>
      <c r="D179" s="64"/>
      <c r="E179" s="59" t="s">
        <v>376</v>
      </c>
      <c r="F179" s="92">
        <f>SUMIFS(INPUT!$H:$H,INPUT!$E:$E,BAZE_2026!$A179,INPUT!$B:$B,BAZE_2026!$B179)</f>
        <v>15495</v>
      </c>
      <c r="G179" s="92">
        <f>SUMIFS(INPUT!$L:$L,INPUT!$E:$E,BAZE_2026!$A179,INPUT!$B:$B,BAZE_2026!$B179)</f>
        <v>14574</v>
      </c>
      <c r="H179" s="48">
        <f t="shared" si="15"/>
        <v>-921</v>
      </c>
      <c r="I179" s="232">
        <f t="shared" si="12"/>
        <v>-5.9438528557599228E-2</v>
      </c>
      <c r="J179" s="2572"/>
      <c r="K179" s="54"/>
      <c r="L179" s="135"/>
      <c r="M179" s="129"/>
      <c r="N179" s="129"/>
      <c r="O179" s="12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row>
    <row r="180" spans="1:195" s="8" customFormat="1" ht="13.8" hidden="1" outlineLevel="1">
      <c r="A180" s="179" t="s">
        <v>873</v>
      </c>
      <c r="B180" s="179" t="s">
        <v>774</v>
      </c>
      <c r="C180" s="248"/>
      <c r="D180" s="58"/>
      <c r="E180" s="59" t="s">
        <v>375</v>
      </c>
      <c r="F180" s="92">
        <f>SUMIFS(INPUT!$H:$H,INPUT!$E:$E,BAZE_2026!$A180,INPUT!$B:$B,BAZE_2026!$B180)</f>
        <v>1981</v>
      </c>
      <c r="G180" s="92">
        <f>SUMIFS(INPUT!$L:$L,INPUT!$E:$E,BAZE_2026!$A180,INPUT!$B:$B,BAZE_2026!$B180)</f>
        <v>4700</v>
      </c>
      <c r="H180" s="48">
        <f t="shared" si="15"/>
        <v>2719</v>
      </c>
      <c r="I180" s="232">
        <f t="shared" si="12"/>
        <v>1.3725391216557294</v>
      </c>
      <c r="J180" s="2563" t="s">
        <v>4793</v>
      </c>
      <c r="K180" s="72"/>
      <c r="L180" s="285"/>
      <c r="M180" s="129"/>
      <c r="N180" s="129"/>
      <c r="O180" s="129"/>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row>
    <row r="181" spans="1:195" s="166" customFormat="1" ht="13.8" hidden="1" outlineLevel="1">
      <c r="A181" s="315" t="s">
        <v>873</v>
      </c>
      <c r="B181" s="315" t="s">
        <v>773</v>
      </c>
      <c r="C181" s="316"/>
      <c r="D181" s="2919"/>
      <c r="E181" s="164" t="s">
        <v>773</v>
      </c>
      <c r="F181" s="154">
        <f>SUMIFS(INPUT!$H:$H,INPUT!$E:$E,BAZE_2026!$A181,INPUT!$B:$B,BAZE_2026!$B181)</f>
        <v>0</v>
      </c>
      <c r="G181" s="154">
        <f>SUMIFS(INPUT!$L:$L,INPUT!$E:$E,BAZE_2026!$A181,INPUT!$B:$B,BAZE_2026!$B181)</f>
        <v>0</v>
      </c>
      <c r="H181" s="158">
        <f>G181-F181</f>
        <v>0</v>
      </c>
      <c r="I181" s="230" t="str">
        <f t="shared" si="12"/>
        <v>-</v>
      </c>
      <c r="J181" s="2920"/>
      <c r="K181" s="317"/>
      <c r="L181" s="283"/>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c r="BB181" s="161"/>
      <c r="BC181" s="161"/>
      <c r="BD181" s="161"/>
      <c r="BE181" s="161"/>
      <c r="BF181" s="161"/>
      <c r="BG181" s="161"/>
      <c r="BH181" s="161"/>
      <c r="BI181" s="161"/>
      <c r="BJ181" s="161"/>
      <c r="BK181" s="161"/>
      <c r="BL181" s="161"/>
      <c r="BM181" s="161"/>
      <c r="BN181" s="161"/>
      <c r="BO181" s="161"/>
      <c r="BP181" s="161"/>
      <c r="BQ181" s="161"/>
      <c r="BR181" s="161"/>
      <c r="BS181" s="161"/>
      <c r="BT181" s="161"/>
      <c r="BU181" s="161"/>
      <c r="BV181" s="161"/>
      <c r="BW181" s="161"/>
      <c r="BX181" s="161"/>
      <c r="BY181" s="161"/>
      <c r="BZ181" s="161"/>
      <c r="CA181" s="161"/>
      <c r="CB181" s="161"/>
      <c r="CC181" s="161"/>
      <c r="CD181" s="161"/>
      <c r="CE181" s="161"/>
      <c r="CF181" s="161"/>
      <c r="CG181" s="161"/>
      <c r="CH181" s="161"/>
      <c r="CI181" s="161"/>
      <c r="CJ181" s="161"/>
      <c r="CK181" s="161"/>
      <c r="CL181" s="161"/>
      <c r="CM181" s="161"/>
      <c r="CN181" s="161"/>
      <c r="CO181" s="161"/>
      <c r="CP181" s="161"/>
      <c r="CQ181" s="161"/>
      <c r="CR181" s="161"/>
      <c r="CS181" s="161"/>
      <c r="CT181" s="161"/>
      <c r="CU181" s="161"/>
      <c r="CV181" s="161"/>
      <c r="CW181" s="161"/>
      <c r="CX181" s="161"/>
      <c r="CY181" s="161"/>
      <c r="CZ181" s="161"/>
      <c r="DA181" s="161"/>
      <c r="DB181" s="161"/>
      <c r="DC181" s="161"/>
      <c r="DD181" s="161"/>
      <c r="DE181" s="161"/>
      <c r="DF181" s="161"/>
      <c r="DG181" s="161"/>
      <c r="DH181" s="161"/>
      <c r="DI181" s="161"/>
      <c r="DJ181" s="161"/>
      <c r="DK181" s="161"/>
      <c r="DL181" s="161"/>
      <c r="DM181" s="161"/>
      <c r="DN181" s="161"/>
      <c r="DO181" s="161"/>
      <c r="DP181" s="161"/>
      <c r="DQ181" s="161"/>
      <c r="DR181" s="161"/>
      <c r="DS181" s="161"/>
      <c r="DT181" s="161"/>
      <c r="DU181" s="161"/>
      <c r="DV181" s="161"/>
      <c r="DW181" s="161"/>
      <c r="DX181" s="161"/>
      <c r="DY181" s="161"/>
      <c r="DZ181" s="161"/>
      <c r="EA181" s="161"/>
      <c r="EB181" s="161"/>
      <c r="EC181" s="161"/>
      <c r="ED181" s="161"/>
      <c r="EE181" s="161"/>
      <c r="EF181" s="161"/>
      <c r="EG181" s="161"/>
      <c r="EH181" s="161"/>
      <c r="EI181" s="161"/>
      <c r="EJ181" s="161"/>
      <c r="EK181" s="161"/>
      <c r="EL181" s="161"/>
      <c r="EM181" s="161"/>
      <c r="EN181" s="161"/>
      <c r="EO181" s="161"/>
      <c r="EP181" s="161"/>
      <c r="EQ181" s="161"/>
      <c r="ER181" s="161"/>
      <c r="ES181" s="161"/>
      <c r="ET181" s="161"/>
      <c r="EU181" s="161"/>
      <c r="EV181" s="161"/>
      <c r="EW181" s="161"/>
      <c r="EX181" s="161"/>
      <c r="EY181" s="161"/>
      <c r="EZ181" s="161"/>
      <c r="FA181" s="161"/>
      <c r="FB181" s="161"/>
      <c r="FC181" s="161"/>
      <c r="FD181" s="161"/>
      <c r="FE181" s="161"/>
      <c r="FF181" s="161"/>
      <c r="FG181" s="161"/>
      <c r="FH181" s="161"/>
      <c r="FI181" s="161"/>
      <c r="FJ181" s="161"/>
      <c r="FK181" s="161"/>
      <c r="FL181" s="161"/>
      <c r="FM181" s="161"/>
      <c r="FN181" s="161"/>
      <c r="FO181" s="161"/>
      <c r="FP181" s="161"/>
      <c r="FQ181" s="161"/>
      <c r="FR181" s="161"/>
      <c r="FS181" s="161"/>
      <c r="FT181" s="161"/>
      <c r="FU181" s="161"/>
      <c r="FV181" s="161"/>
      <c r="FW181" s="161"/>
      <c r="FX181" s="161"/>
      <c r="FY181" s="161"/>
      <c r="FZ181" s="161"/>
      <c r="GA181" s="161"/>
      <c r="GB181" s="161"/>
      <c r="GC181" s="161"/>
      <c r="GD181" s="161"/>
      <c r="GE181" s="161"/>
      <c r="GF181" s="161"/>
      <c r="GG181" s="161"/>
      <c r="GH181" s="161"/>
      <c r="GI181" s="161"/>
      <c r="GJ181" s="161"/>
      <c r="GK181" s="161"/>
      <c r="GL181" s="161"/>
      <c r="GM181" s="161"/>
    </row>
    <row r="182" spans="1:195" ht="13.8" collapsed="1">
      <c r="D182" s="38" t="s">
        <v>941</v>
      </c>
      <c r="E182" s="39" t="s">
        <v>386</v>
      </c>
      <c r="F182" s="91">
        <f>F183+F184+F185+F186</f>
        <v>532210.03501560003</v>
      </c>
      <c r="G182" s="91">
        <f>G183+G184+G185+G186</f>
        <v>616696.74413639004</v>
      </c>
      <c r="H182" s="33">
        <f t="shared" si="15"/>
        <v>84486.709120790008</v>
      </c>
      <c r="I182" s="222">
        <f t="shared" si="12"/>
        <v>0.15874692990017286</v>
      </c>
      <c r="J182" s="1523"/>
      <c r="K182" s="72"/>
      <c r="L182" s="285"/>
      <c r="M182" s="129"/>
      <c r="N182" s="129"/>
      <c r="O182" s="129"/>
    </row>
    <row r="183" spans="1:195" s="8" customFormat="1" ht="27.6" hidden="1" outlineLevel="1">
      <c r="A183" s="179" t="s">
        <v>1914</v>
      </c>
      <c r="B183" s="179" t="s">
        <v>436</v>
      </c>
      <c r="C183" s="248"/>
      <c r="D183" s="99"/>
      <c r="E183" s="65" t="s">
        <v>436</v>
      </c>
      <c r="F183" s="92">
        <f>SUMIFS(INPUT!$H:$H,INPUT!$E:$E,BAZE_2026!$A183,INPUT!$B:$B,BAZE_2026!$B183)</f>
        <v>190392.87501560003</v>
      </c>
      <c r="G183" s="92">
        <f>SUMIFS(INPUT!$L:$L,INPUT!$E:$E,BAZE_2026!$A183,INPUT!$B:$B,BAZE_2026!$B183)</f>
        <v>221772.22413639</v>
      </c>
      <c r="H183" s="73">
        <f t="shared" si="15"/>
        <v>31379.349120789964</v>
      </c>
      <c r="I183" s="220">
        <f t="shared" si="12"/>
        <v>0.16481367340148032</v>
      </c>
      <c r="J183" s="2988" t="s">
        <v>4951</v>
      </c>
      <c r="K183" s="72"/>
      <c r="L183" s="285"/>
      <c r="M183" s="129"/>
      <c r="N183" s="129"/>
      <c r="O183" s="129"/>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row>
    <row r="184" spans="1:195" s="8" customFormat="1" ht="17.25" hidden="1" customHeight="1" outlineLevel="1">
      <c r="A184" s="179" t="s">
        <v>1914</v>
      </c>
      <c r="B184" s="179" t="s">
        <v>772</v>
      </c>
      <c r="C184" s="248"/>
      <c r="D184" s="101"/>
      <c r="E184" s="65" t="s">
        <v>772</v>
      </c>
      <c r="F184" s="92">
        <f>SUMIFS(INPUT!$H:$H,INPUT!$E:$E,BAZE_2026!$A184,INPUT!$B:$B,BAZE_2026!$B184)</f>
        <v>68700.36</v>
      </c>
      <c r="G184" s="92">
        <f>SUMIFS(INPUT!$L:$L,INPUT!$E:$E,BAZE_2026!$A184,INPUT!$B:$B,BAZE_2026!$B184)</f>
        <v>68474.52</v>
      </c>
      <c r="H184" s="48">
        <f t="shared" si="15"/>
        <v>-225.83999999999651</v>
      </c>
      <c r="I184" s="232">
        <f t="shared" si="12"/>
        <v>-3.2873190184155732E-3</v>
      </c>
      <c r="J184" s="2560" t="s">
        <v>4957</v>
      </c>
      <c r="K184" s="54"/>
      <c r="L184" s="135"/>
      <c r="M184" s="129"/>
      <c r="N184" s="129"/>
      <c r="O184" s="129"/>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row>
    <row r="185" spans="1:195" s="8" customFormat="1" ht="27.6" hidden="1" outlineLevel="1">
      <c r="A185" s="179" t="s">
        <v>1914</v>
      </c>
      <c r="B185" s="179" t="s">
        <v>774</v>
      </c>
      <c r="C185" s="248"/>
      <c r="D185" s="99"/>
      <c r="E185" s="59" t="s">
        <v>375</v>
      </c>
      <c r="F185" s="92">
        <f>SUMIFS(INPUT!$H:$H,INPUT!$E:$E,BAZE_2026!$A185,INPUT!$B:$B,BAZE_2026!$B185)</f>
        <v>1580</v>
      </c>
      <c r="G185" s="92">
        <f>SUMIFS(INPUT!$L:$L,INPUT!$E:$E,BAZE_2026!$A185,INPUT!$B:$B,BAZE_2026!$B185)</f>
        <v>2200</v>
      </c>
      <c r="H185" s="60">
        <f t="shared" si="15"/>
        <v>620</v>
      </c>
      <c r="I185" s="237">
        <f t="shared" si="12"/>
        <v>0.39240506329113922</v>
      </c>
      <c r="J185" s="2565" t="s">
        <v>4794</v>
      </c>
      <c r="K185" s="72"/>
      <c r="L185" s="285"/>
      <c r="M185" s="129"/>
      <c r="N185" s="129"/>
      <c r="O185" s="129"/>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row>
    <row r="186" spans="1:195" s="357" customFormat="1" ht="60" hidden="1" customHeight="1" outlineLevel="1">
      <c r="A186" s="179" t="s">
        <v>1914</v>
      </c>
      <c r="B186" s="372" t="s">
        <v>1211</v>
      </c>
      <c r="C186" s="248"/>
      <c r="D186" s="1198"/>
      <c r="E186" s="1134" t="s">
        <v>1211</v>
      </c>
      <c r="F186" s="92">
        <f>SUMIFS(INPUT!$H:$H,INPUT!$E:$E,BAZE_2026!$A186,INPUT!$B:$B,BAZE_2026!$B186)</f>
        <v>271536.8</v>
      </c>
      <c r="G186" s="92">
        <f>SUMIFS(INPUT!$L:$L,INPUT!$E:$E,BAZE_2026!$A186,INPUT!$B:$B,BAZE_2026!$B186)</f>
        <v>324250</v>
      </c>
      <c r="H186" s="48">
        <f>G186-F186</f>
        <v>52713.200000000012</v>
      </c>
      <c r="I186" s="232">
        <f>IFERROR(H186/F186,"-")</f>
        <v>0.19412911988356649</v>
      </c>
      <c r="J186" s="2565" t="s">
        <v>5024</v>
      </c>
      <c r="K186" s="309"/>
      <c r="L186" s="285"/>
      <c r="M186" s="129"/>
      <c r="N186" s="129"/>
      <c r="O186" s="129"/>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row>
    <row r="187" spans="1:195" s="166" customFormat="1" ht="13.8" hidden="1" outlineLevel="1">
      <c r="A187" s="315" t="s">
        <v>1914</v>
      </c>
      <c r="B187" s="315" t="s">
        <v>823</v>
      </c>
      <c r="C187" s="316"/>
      <c r="D187" s="2926"/>
      <c r="E187" s="324" t="s">
        <v>692</v>
      </c>
      <c r="F187" s="154">
        <f>SUMIFS(INPUT!$H:$H,INPUT!$E:$E,BAZE_2026!$A187,INPUT!$B:$B,BAZE_2026!$B187)</f>
        <v>53875</v>
      </c>
      <c r="G187" s="154">
        <f>SUMIFS(INPUT!$L:$L,INPUT!$E:$E,BAZE_2026!$A187,INPUT!$B:$B,BAZE_2026!$B187)</f>
        <v>77630</v>
      </c>
      <c r="H187" s="158">
        <f>G187-F187</f>
        <v>23755</v>
      </c>
      <c r="I187" s="230">
        <f t="shared" si="12"/>
        <v>0.44092807424593966</v>
      </c>
      <c r="J187" s="2931" t="s">
        <v>4956</v>
      </c>
      <c r="K187" s="317"/>
      <c r="L187" s="283"/>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c r="BB187" s="161"/>
      <c r="BC187" s="161"/>
      <c r="BD187" s="161"/>
      <c r="BE187" s="161"/>
      <c r="BF187" s="161"/>
      <c r="BG187" s="161"/>
      <c r="BH187" s="161"/>
      <c r="BI187" s="161"/>
      <c r="BJ187" s="161"/>
      <c r="BK187" s="161"/>
      <c r="BL187" s="161"/>
      <c r="BM187" s="161"/>
      <c r="BN187" s="161"/>
      <c r="BO187" s="161"/>
      <c r="BP187" s="161"/>
      <c r="BQ187" s="161"/>
      <c r="BR187" s="161"/>
      <c r="BS187" s="161"/>
      <c r="BT187" s="161"/>
      <c r="BU187" s="161"/>
      <c r="BV187" s="161"/>
      <c r="BW187" s="161"/>
      <c r="BX187" s="161"/>
      <c r="BY187" s="161"/>
      <c r="BZ187" s="161"/>
      <c r="CA187" s="161"/>
      <c r="CB187" s="161"/>
      <c r="CC187" s="161"/>
      <c r="CD187" s="161"/>
      <c r="CE187" s="161"/>
      <c r="CF187" s="161"/>
      <c r="CG187" s="161"/>
      <c r="CH187" s="161"/>
      <c r="CI187" s="161"/>
      <c r="CJ187" s="161"/>
      <c r="CK187" s="161"/>
      <c r="CL187" s="161"/>
      <c r="CM187" s="161"/>
      <c r="CN187" s="161"/>
      <c r="CO187" s="161"/>
      <c r="CP187" s="161"/>
      <c r="CQ187" s="161"/>
      <c r="CR187" s="161"/>
      <c r="CS187" s="161"/>
      <c r="CT187" s="161"/>
      <c r="CU187" s="161"/>
      <c r="CV187" s="161"/>
      <c r="CW187" s="161"/>
      <c r="CX187" s="161"/>
      <c r="CY187" s="161"/>
      <c r="CZ187" s="161"/>
      <c r="DA187" s="161"/>
      <c r="DB187" s="161"/>
      <c r="DC187" s="161"/>
      <c r="DD187" s="161"/>
      <c r="DE187" s="161"/>
      <c r="DF187" s="161"/>
      <c r="DG187" s="161"/>
      <c r="DH187" s="161"/>
      <c r="DI187" s="161"/>
      <c r="DJ187" s="161"/>
      <c r="DK187" s="161"/>
      <c r="DL187" s="161"/>
      <c r="DM187" s="161"/>
      <c r="DN187" s="161"/>
      <c r="DO187" s="161"/>
      <c r="DP187" s="161"/>
      <c r="DQ187" s="161"/>
      <c r="DR187" s="161"/>
      <c r="DS187" s="161"/>
      <c r="DT187" s="161"/>
      <c r="DU187" s="161"/>
      <c r="DV187" s="161"/>
      <c r="DW187" s="161"/>
      <c r="DX187" s="161"/>
      <c r="DY187" s="161"/>
      <c r="DZ187" s="161"/>
      <c r="EA187" s="161"/>
      <c r="EB187" s="161"/>
      <c r="EC187" s="161"/>
      <c r="ED187" s="161"/>
      <c r="EE187" s="161"/>
      <c r="EF187" s="161"/>
      <c r="EG187" s="161"/>
      <c r="EH187" s="161"/>
      <c r="EI187" s="161"/>
      <c r="EJ187" s="161"/>
      <c r="EK187" s="161"/>
      <c r="EL187" s="161"/>
      <c r="EM187" s="161"/>
      <c r="EN187" s="161"/>
      <c r="EO187" s="161"/>
      <c r="EP187" s="161"/>
      <c r="EQ187" s="161"/>
      <c r="ER187" s="161"/>
      <c r="ES187" s="161"/>
      <c r="ET187" s="161"/>
      <c r="EU187" s="161"/>
      <c r="EV187" s="161"/>
      <c r="EW187" s="161"/>
      <c r="EX187" s="161"/>
      <c r="EY187" s="161"/>
      <c r="EZ187" s="161"/>
      <c r="FA187" s="161"/>
      <c r="FB187" s="161"/>
      <c r="FC187" s="161"/>
      <c r="FD187" s="161"/>
      <c r="FE187" s="161"/>
      <c r="FF187" s="161"/>
      <c r="FG187" s="161"/>
      <c r="FH187" s="161"/>
      <c r="FI187" s="161"/>
      <c r="FJ187" s="161"/>
      <c r="FK187" s="161"/>
      <c r="FL187" s="161"/>
      <c r="FM187" s="161"/>
      <c r="FN187" s="161"/>
      <c r="FO187" s="161"/>
      <c r="FP187" s="161"/>
      <c r="FQ187" s="161"/>
      <c r="FR187" s="161"/>
      <c r="FS187" s="161"/>
      <c r="FT187" s="161"/>
      <c r="FU187" s="161"/>
      <c r="FV187" s="161"/>
      <c r="FW187" s="161"/>
      <c r="FX187" s="161"/>
      <c r="FY187" s="161"/>
      <c r="FZ187" s="161"/>
      <c r="GA187" s="161"/>
      <c r="GB187" s="161"/>
      <c r="GC187" s="161"/>
      <c r="GD187" s="161"/>
      <c r="GE187" s="161"/>
      <c r="GF187" s="161"/>
      <c r="GG187" s="161"/>
      <c r="GH187" s="161"/>
      <c r="GI187" s="161"/>
      <c r="GJ187" s="161"/>
      <c r="GK187" s="161"/>
      <c r="GL187" s="161"/>
      <c r="GM187" s="161"/>
    </row>
    <row r="188" spans="1:195" s="166" customFormat="1" ht="13.8" hidden="1" outlineLevel="1">
      <c r="A188" s="315" t="s">
        <v>1914</v>
      </c>
      <c r="B188" s="315" t="s">
        <v>773</v>
      </c>
      <c r="C188" s="316"/>
      <c r="D188" s="2919"/>
      <c r="E188" s="164" t="s">
        <v>773</v>
      </c>
      <c r="F188" s="154">
        <f>SUMIFS(INPUT!$H:$H,INPUT!$E:$E,BAZE_2026!$A188,INPUT!$B:$B,BAZE_2026!$B188)</f>
        <v>182343</v>
      </c>
      <c r="G188" s="154">
        <f>SUMIFS(INPUT!$L:$L,INPUT!$E:$E,BAZE_2026!$A188,INPUT!$B:$B,BAZE_2026!$B188)</f>
        <v>361188</v>
      </c>
      <c r="H188" s="158">
        <f t="shared" si="15"/>
        <v>178845</v>
      </c>
      <c r="I188" s="230">
        <f t="shared" si="12"/>
        <v>0.98081637353778317</v>
      </c>
      <c r="J188" s="2928"/>
      <c r="K188" s="317"/>
      <c r="L188" s="283"/>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c r="BB188" s="161"/>
      <c r="BC188" s="161"/>
      <c r="BD188" s="161"/>
      <c r="BE188" s="161"/>
      <c r="BF188" s="161"/>
      <c r="BG188" s="161"/>
      <c r="BH188" s="161"/>
      <c r="BI188" s="161"/>
      <c r="BJ188" s="161"/>
      <c r="BK188" s="161"/>
      <c r="BL188" s="161"/>
      <c r="BM188" s="161"/>
      <c r="BN188" s="161"/>
      <c r="BO188" s="161"/>
      <c r="BP188" s="161"/>
      <c r="BQ188" s="161"/>
      <c r="BR188" s="161"/>
      <c r="BS188" s="161"/>
      <c r="BT188" s="161"/>
      <c r="BU188" s="161"/>
      <c r="BV188" s="161"/>
      <c r="BW188" s="161"/>
      <c r="BX188" s="161"/>
      <c r="BY188" s="161"/>
      <c r="BZ188" s="161"/>
      <c r="CA188" s="161"/>
      <c r="CB188" s="161"/>
      <c r="CC188" s="161"/>
      <c r="CD188" s="161"/>
      <c r="CE188" s="161"/>
      <c r="CF188" s="161"/>
      <c r="CG188" s="161"/>
      <c r="CH188" s="161"/>
      <c r="CI188" s="161"/>
      <c r="CJ188" s="161"/>
      <c r="CK188" s="161"/>
      <c r="CL188" s="161"/>
      <c r="CM188" s="161"/>
      <c r="CN188" s="161"/>
      <c r="CO188" s="161"/>
      <c r="CP188" s="161"/>
      <c r="CQ188" s="161"/>
      <c r="CR188" s="161"/>
      <c r="CS188" s="161"/>
      <c r="CT188" s="161"/>
      <c r="CU188" s="161"/>
      <c r="CV188" s="161"/>
      <c r="CW188" s="161"/>
      <c r="CX188" s="161"/>
      <c r="CY188" s="161"/>
      <c r="CZ188" s="161"/>
      <c r="DA188" s="161"/>
      <c r="DB188" s="161"/>
      <c r="DC188" s="161"/>
      <c r="DD188" s="161"/>
      <c r="DE188" s="161"/>
      <c r="DF188" s="161"/>
      <c r="DG188" s="161"/>
      <c r="DH188" s="161"/>
      <c r="DI188" s="161"/>
      <c r="DJ188" s="161"/>
      <c r="DK188" s="161"/>
      <c r="DL188" s="161"/>
      <c r="DM188" s="161"/>
      <c r="DN188" s="161"/>
      <c r="DO188" s="161"/>
      <c r="DP188" s="161"/>
      <c r="DQ188" s="161"/>
      <c r="DR188" s="161"/>
      <c r="DS188" s="161"/>
      <c r="DT188" s="161"/>
      <c r="DU188" s="161"/>
      <c r="DV188" s="161"/>
      <c r="DW188" s="161"/>
      <c r="DX188" s="161"/>
      <c r="DY188" s="161"/>
      <c r="DZ188" s="161"/>
      <c r="EA188" s="161"/>
      <c r="EB188" s="161"/>
      <c r="EC188" s="161"/>
      <c r="ED188" s="161"/>
      <c r="EE188" s="161"/>
      <c r="EF188" s="161"/>
      <c r="EG188" s="161"/>
      <c r="EH188" s="161"/>
      <c r="EI188" s="161"/>
      <c r="EJ188" s="161"/>
      <c r="EK188" s="161"/>
      <c r="EL188" s="161"/>
      <c r="EM188" s="161"/>
      <c r="EN188" s="161"/>
      <c r="EO188" s="161"/>
      <c r="EP188" s="161"/>
      <c r="EQ188" s="161"/>
      <c r="ER188" s="161"/>
      <c r="ES188" s="161"/>
      <c r="ET188" s="161"/>
      <c r="EU188" s="161"/>
      <c r="EV188" s="161"/>
      <c r="EW188" s="161"/>
      <c r="EX188" s="161"/>
      <c r="EY188" s="161"/>
      <c r="EZ188" s="161"/>
      <c r="FA188" s="161"/>
      <c r="FB188" s="161"/>
      <c r="FC188" s="161"/>
      <c r="FD188" s="161"/>
      <c r="FE188" s="161"/>
      <c r="FF188" s="161"/>
      <c r="FG188" s="161"/>
      <c r="FH188" s="161"/>
      <c r="FI188" s="161"/>
      <c r="FJ188" s="161"/>
      <c r="FK188" s="161"/>
      <c r="FL188" s="161"/>
      <c r="FM188" s="161"/>
      <c r="FN188" s="161"/>
      <c r="FO188" s="161"/>
      <c r="FP188" s="161"/>
      <c r="FQ188" s="161"/>
      <c r="FR188" s="161"/>
      <c r="FS188" s="161"/>
      <c r="FT188" s="161"/>
      <c r="FU188" s="161"/>
      <c r="FV188" s="161"/>
      <c r="FW188" s="161"/>
      <c r="FX188" s="161"/>
      <c r="FY188" s="161"/>
      <c r="FZ188" s="161"/>
      <c r="GA188" s="161"/>
      <c r="GB188" s="161"/>
      <c r="GC188" s="161"/>
      <c r="GD188" s="161"/>
      <c r="GE188" s="161"/>
      <c r="GF188" s="161"/>
      <c r="GG188" s="161"/>
      <c r="GH188" s="161"/>
      <c r="GI188" s="161"/>
      <c r="GJ188" s="161"/>
      <c r="GK188" s="161"/>
      <c r="GL188" s="161"/>
      <c r="GM188" s="161"/>
    </row>
    <row r="189" spans="1:195" s="166" customFormat="1" ht="13.8" hidden="1" outlineLevel="1">
      <c r="A189" s="315" t="s">
        <v>1914</v>
      </c>
      <c r="B189" s="315" t="s">
        <v>365</v>
      </c>
      <c r="C189" s="316"/>
      <c r="D189" s="2926"/>
      <c r="E189" s="324" t="s">
        <v>365</v>
      </c>
      <c r="F189" s="154">
        <f>SUMIFS(INPUT!$H:$H,INPUT!$E:$E,BAZE_2026!$A189,INPUT!$B:$B,BAZE_2026!$B189)</f>
        <v>0</v>
      </c>
      <c r="G189" s="154">
        <f>SUMIFS(INPUT!$L:$L,INPUT!$E:$E,BAZE_2026!$A189,INPUT!$B:$B,BAZE_2026!$B189)</f>
        <v>0</v>
      </c>
      <c r="H189" s="167"/>
      <c r="I189" s="239" t="str">
        <f t="shared" si="12"/>
        <v>-</v>
      </c>
      <c r="J189" s="2931"/>
      <c r="K189" s="317"/>
      <c r="L189" s="283"/>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c r="BB189" s="161"/>
      <c r="BC189" s="161"/>
      <c r="BD189" s="161"/>
      <c r="BE189" s="161"/>
      <c r="BF189" s="161"/>
      <c r="BG189" s="161"/>
      <c r="BH189" s="161"/>
      <c r="BI189" s="161"/>
      <c r="BJ189" s="161"/>
      <c r="BK189" s="161"/>
      <c r="BL189" s="161"/>
      <c r="BM189" s="161"/>
      <c r="BN189" s="161"/>
      <c r="BO189" s="161"/>
      <c r="BP189" s="161"/>
      <c r="BQ189" s="161"/>
      <c r="BR189" s="161"/>
      <c r="BS189" s="161"/>
      <c r="BT189" s="161"/>
      <c r="BU189" s="161"/>
      <c r="BV189" s="161"/>
      <c r="BW189" s="161"/>
      <c r="BX189" s="161"/>
      <c r="BY189" s="161"/>
      <c r="BZ189" s="161"/>
      <c r="CA189" s="161"/>
      <c r="CB189" s="161"/>
      <c r="CC189" s="161"/>
      <c r="CD189" s="161"/>
      <c r="CE189" s="161"/>
      <c r="CF189" s="161"/>
      <c r="CG189" s="161"/>
      <c r="CH189" s="161"/>
      <c r="CI189" s="161"/>
      <c r="CJ189" s="161"/>
      <c r="CK189" s="161"/>
      <c r="CL189" s="161"/>
      <c r="CM189" s="161"/>
      <c r="CN189" s="161"/>
      <c r="CO189" s="161"/>
      <c r="CP189" s="161"/>
      <c r="CQ189" s="161"/>
      <c r="CR189" s="161"/>
      <c r="CS189" s="161"/>
      <c r="CT189" s="161"/>
      <c r="CU189" s="161"/>
      <c r="CV189" s="161"/>
      <c r="CW189" s="161"/>
      <c r="CX189" s="161"/>
      <c r="CY189" s="161"/>
      <c r="CZ189" s="161"/>
      <c r="DA189" s="161"/>
      <c r="DB189" s="161"/>
      <c r="DC189" s="161"/>
      <c r="DD189" s="161"/>
      <c r="DE189" s="161"/>
      <c r="DF189" s="161"/>
      <c r="DG189" s="161"/>
      <c r="DH189" s="161"/>
      <c r="DI189" s="161"/>
      <c r="DJ189" s="161"/>
      <c r="DK189" s="161"/>
      <c r="DL189" s="161"/>
      <c r="DM189" s="161"/>
      <c r="DN189" s="161"/>
      <c r="DO189" s="161"/>
      <c r="DP189" s="161"/>
      <c r="DQ189" s="161"/>
      <c r="DR189" s="161"/>
      <c r="DS189" s="161"/>
      <c r="DT189" s="161"/>
      <c r="DU189" s="161"/>
      <c r="DV189" s="161"/>
      <c r="DW189" s="161"/>
      <c r="DX189" s="161"/>
      <c r="DY189" s="161"/>
      <c r="DZ189" s="161"/>
      <c r="EA189" s="161"/>
      <c r="EB189" s="161"/>
      <c r="EC189" s="161"/>
      <c r="ED189" s="161"/>
      <c r="EE189" s="161"/>
      <c r="EF189" s="161"/>
      <c r="EG189" s="161"/>
      <c r="EH189" s="161"/>
      <c r="EI189" s="161"/>
      <c r="EJ189" s="161"/>
      <c r="EK189" s="161"/>
      <c r="EL189" s="161"/>
      <c r="EM189" s="161"/>
      <c r="EN189" s="161"/>
      <c r="EO189" s="161"/>
      <c r="EP189" s="161"/>
      <c r="EQ189" s="161"/>
      <c r="ER189" s="161"/>
      <c r="ES189" s="161"/>
      <c r="ET189" s="161"/>
      <c r="EU189" s="161"/>
      <c r="EV189" s="161"/>
      <c r="EW189" s="161"/>
      <c r="EX189" s="161"/>
      <c r="EY189" s="161"/>
      <c r="EZ189" s="161"/>
      <c r="FA189" s="161"/>
      <c r="FB189" s="161"/>
      <c r="FC189" s="161"/>
      <c r="FD189" s="161"/>
      <c r="FE189" s="161"/>
      <c r="FF189" s="161"/>
      <c r="FG189" s="161"/>
      <c r="FH189" s="161"/>
      <c r="FI189" s="161"/>
      <c r="FJ189" s="161"/>
      <c r="FK189" s="161"/>
      <c r="FL189" s="161"/>
      <c r="FM189" s="161"/>
      <c r="FN189" s="161"/>
      <c r="FO189" s="161"/>
      <c r="FP189" s="161"/>
      <c r="FQ189" s="161"/>
      <c r="FR189" s="161"/>
      <c r="FS189" s="161"/>
      <c r="FT189" s="161"/>
      <c r="FU189" s="161"/>
      <c r="FV189" s="161"/>
      <c r="FW189" s="161"/>
      <c r="FX189" s="161"/>
      <c r="FY189" s="161"/>
      <c r="FZ189" s="161"/>
      <c r="GA189" s="161"/>
      <c r="GB189" s="161"/>
      <c r="GC189" s="161"/>
      <c r="GD189" s="161"/>
      <c r="GE189" s="161"/>
      <c r="GF189" s="161"/>
      <c r="GG189" s="161"/>
      <c r="GH189" s="161"/>
      <c r="GI189" s="161"/>
      <c r="GJ189" s="161"/>
      <c r="GK189" s="161"/>
      <c r="GL189" s="161"/>
      <c r="GM189" s="161"/>
    </row>
    <row r="190" spans="1:195" ht="13.8" collapsed="1">
      <c r="D190" s="38" t="s">
        <v>384</v>
      </c>
      <c r="E190" s="39" t="s">
        <v>95</v>
      </c>
      <c r="F190" s="148"/>
      <c r="G190" s="175"/>
      <c r="H190" s="45">
        <f t="shared" si="15"/>
        <v>0</v>
      </c>
      <c r="I190" s="241" t="str">
        <f t="shared" si="12"/>
        <v>-</v>
      </c>
      <c r="J190" s="1523"/>
      <c r="K190" s="72"/>
      <c r="L190" s="285"/>
      <c r="M190" s="129"/>
      <c r="N190" s="129"/>
      <c r="O190" s="129"/>
    </row>
    <row r="191" spans="1:195" s="66" customFormat="1" ht="13.8" hidden="1" outlineLevel="1">
      <c r="A191" s="179" t="s">
        <v>1952</v>
      </c>
      <c r="B191" s="179" t="s">
        <v>773</v>
      </c>
      <c r="C191" s="248"/>
      <c r="D191" s="1197"/>
      <c r="E191" s="62" t="s">
        <v>773</v>
      </c>
      <c r="F191" s="92"/>
      <c r="G191" s="153"/>
      <c r="H191" s="94">
        <f>G191-F191</f>
        <v>0</v>
      </c>
      <c r="I191" s="238" t="str">
        <f t="shared" si="12"/>
        <v>-</v>
      </c>
      <c r="J191" s="1219"/>
      <c r="K191" s="72"/>
      <c r="L191" s="285"/>
      <c r="M191" s="129"/>
      <c r="N191" s="129"/>
      <c r="O191" s="129"/>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71"/>
      <c r="CD191" s="71"/>
      <c r="CE191" s="71"/>
      <c r="CF191" s="71"/>
      <c r="CG191" s="71"/>
      <c r="CH191" s="71"/>
      <c r="CI191" s="71"/>
      <c r="CJ191" s="71"/>
      <c r="CK191" s="71"/>
      <c r="CL191" s="71"/>
      <c r="CM191" s="71"/>
      <c r="CN191" s="71"/>
      <c r="CO191" s="71"/>
      <c r="CP191" s="71"/>
      <c r="CQ191" s="71"/>
      <c r="CR191" s="71"/>
      <c r="CS191" s="71"/>
      <c r="CT191" s="71"/>
      <c r="CU191" s="71"/>
      <c r="CV191" s="71"/>
      <c r="CW191" s="71"/>
      <c r="CX191" s="71"/>
      <c r="CY191" s="71"/>
      <c r="CZ191" s="71"/>
      <c r="DA191" s="71"/>
      <c r="DB191" s="71"/>
      <c r="DC191" s="71"/>
      <c r="DD191" s="71"/>
      <c r="DE191" s="71"/>
      <c r="DF191" s="71"/>
      <c r="DG191" s="71"/>
      <c r="DH191" s="71"/>
      <c r="DI191" s="71"/>
      <c r="DJ191" s="71"/>
      <c r="DK191" s="71"/>
      <c r="DL191" s="71"/>
      <c r="DM191" s="71"/>
      <c r="DN191" s="71"/>
      <c r="DO191" s="71"/>
      <c r="DP191" s="71"/>
      <c r="DQ191" s="71"/>
      <c r="DR191" s="71"/>
      <c r="DS191" s="71"/>
      <c r="DT191" s="71"/>
      <c r="DU191" s="71"/>
      <c r="DV191" s="71"/>
      <c r="DW191" s="71"/>
      <c r="DX191" s="71"/>
      <c r="DY191" s="71"/>
      <c r="DZ191" s="71"/>
      <c r="EA191" s="71"/>
      <c r="EB191" s="71"/>
      <c r="EC191" s="71"/>
      <c r="ED191" s="71"/>
      <c r="EE191" s="71"/>
      <c r="EF191" s="71"/>
      <c r="EG191" s="71"/>
      <c r="EH191" s="71"/>
      <c r="EI191" s="71"/>
      <c r="EJ191" s="71"/>
      <c r="EK191" s="71"/>
      <c r="EL191" s="71"/>
      <c r="EM191" s="71"/>
      <c r="EN191" s="71"/>
      <c r="EO191" s="71"/>
      <c r="EP191" s="71"/>
      <c r="EQ191" s="71"/>
      <c r="ER191" s="71"/>
      <c r="ES191" s="71"/>
      <c r="ET191" s="71"/>
      <c r="EU191" s="71"/>
      <c r="EV191" s="71"/>
      <c r="EW191" s="71"/>
      <c r="EX191" s="71"/>
      <c r="EY191" s="71"/>
      <c r="EZ191" s="71"/>
      <c r="FA191" s="71"/>
      <c r="FB191" s="71"/>
      <c r="FC191" s="71"/>
      <c r="FD191" s="71"/>
      <c r="FE191" s="71"/>
      <c r="FF191" s="71"/>
      <c r="FG191" s="71"/>
      <c r="FH191" s="71"/>
      <c r="FI191" s="71"/>
      <c r="FJ191" s="71"/>
      <c r="FK191" s="71"/>
      <c r="FL191" s="71"/>
      <c r="FM191" s="71"/>
      <c r="FN191" s="71"/>
      <c r="FO191" s="71"/>
      <c r="FP191" s="71"/>
      <c r="FQ191" s="71"/>
      <c r="FR191" s="71"/>
      <c r="FS191" s="71"/>
      <c r="FT191" s="71"/>
      <c r="FU191" s="71"/>
      <c r="FV191" s="71"/>
      <c r="FW191" s="71"/>
      <c r="FX191" s="71"/>
      <c r="FY191" s="71"/>
      <c r="FZ191" s="71"/>
      <c r="GA191" s="71"/>
      <c r="GB191" s="71"/>
      <c r="GC191" s="71"/>
      <c r="GD191" s="71"/>
      <c r="GE191" s="71"/>
      <c r="GF191" s="71"/>
      <c r="GG191" s="71"/>
      <c r="GH191" s="71"/>
      <c r="GI191" s="71"/>
      <c r="GJ191" s="71"/>
      <c r="GK191" s="71"/>
      <c r="GL191" s="71"/>
      <c r="GM191" s="71"/>
    </row>
    <row r="192" spans="1:195" ht="27.6" collapsed="1">
      <c r="D192" s="38" t="s">
        <v>385</v>
      </c>
      <c r="E192" s="39" t="s">
        <v>944</v>
      </c>
      <c r="F192" s="91">
        <f>F193+F194+F195</f>
        <v>179916.1063636</v>
      </c>
      <c r="G192" s="91">
        <f>G193+G194+G195</f>
        <v>190846.13068499998</v>
      </c>
      <c r="H192" s="33">
        <f t="shared" si="15"/>
        <v>10930.024321399978</v>
      </c>
      <c r="I192" s="222">
        <f t="shared" si="12"/>
        <v>6.0750671756485401E-2</v>
      </c>
      <c r="J192" s="1523"/>
      <c r="K192" s="72"/>
      <c r="L192" s="285"/>
      <c r="M192" s="129"/>
      <c r="N192" s="129"/>
      <c r="O192" s="129"/>
    </row>
    <row r="193" spans="1:195" s="8" customFormat="1" ht="13.8" hidden="1" outlineLevel="1">
      <c r="A193" s="179" t="s">
        <v>1917</v>
      </c>
      <c r="B193" s="179" t="s">
        <v>436</v>
      </c>
      <c r="C193" s="248"/>
      <c r="D193" s="58"/>
      <c r="E193" s="65" t="s">
        <v>436</v>
      </c>
      <c r="F193" s="92">
        <f>SUMIFS(INPUT!$H:$H,INPUT!$E:$E,BAZE_2026!$A193,INPUT!$B:$B,BAZE_2026!$B193)</f>
        <v>138324.98636360001</v>
      </c>
      <c r="G193" s="92">
        <f>SUMIFS(INPUT!$L:$L,INPUT!$E:$E,BAZE_2026!$A193,INPUT!$B:$B,BAZE_2026!$B193)</f>
        <v>146772.01068499999</v>
      </c>
      <c r="H193" s="48">
        <f t="shared" si="15"/>
        <v>8447.0243213999784</v>
      </c>
      <c r="I193" s="232">
        <f t="shared" si="12"/>
        <v>6.1066511144965481E-2</v>
      </c>
      <c r="J193" s="2563" t="s">
        <v>4760</v>
      </c>
      <c r="K193" s="72"/>
      <c r="L193" s="285"/>
      <c r="M193" s="129"/>
      <c r="N193" s="129"/>
      <c r="O193" s="129"/>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row>
    <row r="194" spans="1:195" s="8" customFormat="1" ht="41.4" hidden="1" outlineLevel="1">
      <c r="A194" s="179" t="s">
        <v>1917</v>
      </c>
      <c r="B194" s="179" t="s">
        <v>772</v>
      </c>
      <c r="C194" s="248"/>
      <c r="D194" s="64"/>
      <c r="E194" s="65" t="s">
        <v>376</v>
      </c>
      <c r="F194" s="92">
        <f>SUMIFS(INPUT!$H:$H,INPUT!$E:$E,BAZE_2026!$A194,INPUT!$B:$B,BAZE_2026!$B194)</f>
        <v>38693.119999999995</v>
      </c>
      <c r="G194" s="92">
        <f>SUMIFS(INPUT!$L:$L,INPUT!$E:$E,BAZE_2026!$A194,INPUT!$B:$B,BAZE_2026!$B194)</f>
        <v>43774.12</v>
      </c>
      <c r="H194" s="48">
        <f t="shared" si="15"/>
        <v>5081.0000000000073</v>
      </c>
      <c r="I194" s="232">
        <f t="shared" si="12"/>
        <v>0.13131533461245845</v>
      </c>
      <c r="J194" s="2572" t="s">
        <v>5025</v>
      </c>
      <c r="K194" s="54"/>
      <c r="L194" s="135"/>
      <c r="M194" s="129"/>
      <c r="N194" s="129"/>
      <c r="O194" s="129"/>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row>
    <row r="195" spans="1:195" s="8" customFormat="1" ht="13.8" hidden="1" outlineLevel="1">
      <c r="A195" s="179" t="s">
        <v>1917</v>
      </c>
      <c r="B195" s="179" t="s">
        <v>774</v>
      </c>
      <c r="C195" s="248"/>
      <c r="D195" s="58"/>
      <c r="E195" s="59" t="s">
        <v>375</v>
      </c>
      <c r="F195" s="92">
        <f>SUMIFS(INPUT!$H:$H,INPUT!$E:$E,BAZE_2026!$A195,INPUT!$B:$B,BAZE_2026!$B195)</f>
        <v>2898</v>
      </c>
      <c r="G195" s="92">
        <f>SUMIFS(INPUT!$L:$L,INPUT!$E:$E,BAZE_2026!$A195,INPUT!$B:$B,BAZE_2026!$B195)</f>
        <v>300</v>
      </c>
      <c r="H195" s="48">
        <f t="shared" si="15"/>
        <v>-2598</v>
      </c>
      <c r="I195" s="232">
        <f t="shared" si="12"/>
        <v>-0.89648033126293991</v>
      </c>
      <c r="J195" s="2563"/>
      <c r="K195" s="72"/>
      <c r="L195" s="285"/>
      <c r="M195" s="129"/>
      <c r="N195" s="129"/>
      <c r="O195" s="129"/>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row>
    <row r="196" spans="1:195" s="166" customFormat="1" ht="13.8" hidden="1" outlineLevel="1">
      <c r="A196" s="315" t="s">
        <v>1917</v>
      </c>
      <c r="B196" s="315" t="s">
        <v>773</v>
      </c>
      <c r="C196" s="316"/>
      <c r="D196" s="2919"/>
      <c r="E196" s="164" t="s">
        <v>773</v>
      </c>
      <c r="F196" s="154">
        <f>SUMIFS(INPUT!$H:$H,INPUT!$E:$E,BAZE_2026!$A196,INPUT!$B:$B,BAZE_2026!$B196)</f>
        <v>0</v>
      </c>
      <c r="G196" s="154">
        <f>SUMIFS(INPUT!$L:$L,INPUT!$E:$E,BAZE_2026!$A196,INPUT!$B:$B,BAZE_2026!$B196)</f>
        <v>4000</v>
      </c>
      <c r="H196" s="158">
        <f t="shared" si="15"/>
        <v>4000</v>
      </c>
      <c r="I196" s="230" t="str">
        <f t="shared" si="12"/>
        <v>-</v>
      </c>
      <c r="J196" s="2920">
        <f>F196*$J$104</f>
        <v>0</v>
      </c>
      <c r="K196" s="317"/>
      <c r="L196" s="283"/>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c r="BB196" s="161"/>
      <c r="BC196" s="161"/>
      <c r="BD196" s="161"/>
      <c r="BE196" s="161"/>
      <c r="BF196" s="161"/>
      <c r="BG196" s="161"/>
      <c r="BH196" s="161"/>
      <c r="BI196" s="161"/>
      <c r="BJ196" s="161"/>
      <c r="BK196" s="161"/>
      <c r="BL196" s="161"/>
      <c r="BM196" s="161"/>
      <c r="BN196" s="161"/>
      <c r="BO196" s="161"/>
      <c r="BP196" s="161"/>
      <c r="BQ196" s="161"/>
      <c r="BR196" s="161"/>
      <c r="BS196" s="161"/>
      <c r="BT196" s="161"/>
      <c r="BU196" s="161"/>
      <c r="BV196" s="161"/>
      <c r="BW196" s="161"/>
      <c r="BX196" s="161"/>
      <c r="BY196" s="161"/>
      <c r="BZ196" s="161"/>
      <c r="CA196" s="161"/>
      <c r="CB196" s="161"/>
      <c r="CC196" s="161"/>
      <c r="CD196" s="161"/>
      <c r="CE196" s="161"/>
      <c r="CF196" s="161"/>
      <c r="CG196" s="161"/>
      <c r="CH196" s="161"/>
      <c r="CI196" s="161"/>
      <c r="CJ196" s="161"/>
      <c r="CK196" s="161"/>
      <c r="CL196" s="161"/>
      <c r="CM196" s="161"/>
      <c r="CN196" s="161"/>
      <c r="CO196" s="161"/>
      <c r="CP196" s="161"/>
      <c r="CQ196" s="161"/>
      <c r="CR196" s="161"/>
      <c r="CS196" s="161"/>
      <c r="CT196" s="161"/>
      <c r="CU196" s="161"/>
      <c r="CV196" s="161"/>
      <c r="CW196" s="161"/>
      <c r="CX196" s="161"/>
      <c r="CY196" s="161"/>
      <c r="CZ196" s="161"/>
      <c r="DA196" s="161"/>
      <c r="DB196" s="161"/>
      <c r="DC196" s="161"/>
      <c r="DD196" s="161"/>
      <c r="DE196" s="161"/>
      <c r="DF196" s="161"/>
      <c r="DG196" s="161"/>
      <c r="DH196" s="161"/>
      <c r="DI196" s="161"/>
      <c r="DJ196" s="161"/>
      <c r="DK196" s="161"/>
      <c r="DL196" s="161"/>
      <c r="DM196" s="161"/>
      <c r="DN196" s="161"/>
      <c r="DO196" s="161"/>
      <c r="DP196" s="161"/>
      <c r="DQ196" s="161"/>
      <c r="DR196" s="161"/>
      <c r="DS196" s="161"/>
      <c r="DT196" s="161"/>
      <c r="DU196" s="161"/>
      <c r="DV196" s="161"/>
      <c r="DW196" s="161"/>
      <c r="DX196" s="161"/>
      <c r="DY196" s="161"/>
      <c r="DZ196" s="161"/>
      <c r="EA196" s="161"/>
      <c r="EB196" s="161"/>
      <c r="EC196" s="161"/>
      <c r="ED196" s="161"/>
      <c r="EE196" s="161"/>
      <c r="EF196" s="161"/>
      <c r="EG196" s="161"/>
      <c r="EH196" s="161"/>
      <c r="EI196" s="161"/>
      <c r="EJ196" s="161"/>
      <c r="EK196" s="161"/>
      <c r="EL196" s="161"/>
      <c r="EM196" s="161"/>
      <c r="EN196" s="161"/>
      <c r="EO196" s="161"/>
      <c r="EP196" s="161"/>
      <c r="EQ196" s="161"/>
      <c r="ER196" s="161"/>
      <c r="ES196" s="161"/>
      <c r="ET196" s="161"/>
      <c r="EU196" s="161"/>
      <c r="EV196" s="161"/>
      <c r="EW196" s="161"/>
      <c r="EX196" s="161"/>
      <c r="EY196" s="161"/>
      <c r="EZ196" s="161"/>
      <c r="FA196" s="161"/>
      <c r="FB196" s="161"/>
      <c r="FC196" s="161"/>
      <c r="FD196" s="161"/>
      <c r="FE196" s="161"/>
      <c r="FF196" s="161"/>
      <c r="FG196" s="161"/>
      <c r="FH196" s="161"/>
      <c r="FI196" s="161"/>
      <c r="FJ196" s="161"/>
      <c r="FK196" s="161"/>
      <c r="FL196" s="161"/>
      <c r="FM196" s="161"/>
      <c r="FN196" s="161"/>
      <c r="FO196" s="161"/>
      <c r="FP196" s="161"/>
      <c r="FQ196" s="161"/>
      <c r="FR196" s="161"/>
      <c r="FS196" s="161"/>
      <c r="FT196" s="161"/>
      <c r="FU196" s="161"/>
      <c r="FV196" s="161"/>
      <c r="FW196" s="161"/>
      <c r="FX196" s="161"/>
      <c r="FY196" s="161"/>
      <c r="FZ196" s="161"/>
      <c r="GA196" s="161"/>
      <c r="GB196" s="161"/>
      <c r="GC196" s="161"/>
      <c r="GD196" s="161"/>
      <c r="GE196" s="161"/>
      <c r="GF196" s="161"/>
      <c r="GG196" s="161"/>
      <c r="GH196" s="161"/>
      <c r="GI196" s="161"/>
      <c r="GJ196" s="161"/>
      <c r="GK196" s="161"/>
      <c r="GL196" s="161"/>
      <c r="GM196" s="161"/>
    </row>
    <row r="197" spans="1:195" s="166" customFormat="1" ht="13.8" hidden="1" outlineLevel="1">
      <c r="A197" s="315" t="s">
        <v>1917</v>
      </c>
      <c r="B197" s="315" t="s">
        <v>365</v>
      </c>
      <c r="C197" s="316"/>
      <c r="D197" s="2926"/>
      <c r="E197" s="324" t="s">
        <v>49</v>
      </c>
      <c r="F197" s="154">
        <f>SUMIFS(INPUT!$H:$H,INPUT!$E:$E,BAZE_2026!$A197,INPUT!$B:$B,BAZE_2026!$B197)</f>
        <v>0</v>
      </c>
      <c r="G197" s="154">
        <f>SUMIFS(INPUT!$L:$L,INPUT!$E:$E,BAZE_2026!$A197,INPUT!$B:$B,BAZE_2026!$B197)</f>
        <v>0</v>
      </c>
      <c r="H197" s="158">
        <f t="shared" si="15"/>
        <v>0</v>
      </c>
      <c r="I197" s="230" t="str">
        <f t="shared" si="12"/>
        <v>-</v>
      </c>
      <c r="J197" s="2920"/>
      <c r="K197" s="317"/>
      <c r="L197" s="283"/>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c r="BB197" s="161"/>
      <c r="BC197" s="161"/>
      <c r="BD197" s="161"/>
      <c r="BE197" s="161"/>
      <c r="BF197" s="161"/>
      <c r="BG197" s="161"/>
      <c r="BH197" s="161"/>
      <c r="BI197" s="161"/>
      <c r="BJ197" s="161"/>
      <c r="BK197" s="161"/>
      <c r="BL197" s="161"/>
      <c r="BM197" s="161"/>
      <c r="BN197" s="161"/>
      <c r="BO197" s="161"/>
      <c r="BP197" s="161"/>
      <c r="BQ197" s="161"/>
      <c r="BR197" s="161"/>
      <c r="BS197" s="161"/>
      <c r="BT197" s="161"/>
      <c r="BU197" s="161"/>
      <c r="BV197" s="161"/>
      <c r="BW197" s="161"/>
      <c r="BX197" s="161"/>
      <c r="BY197" s="161"/>
      <c r="BZ197" s="161"/>
      <c r="CA197" s="161"/>
      <c r="CB197" s="161"/>
      <c r="CC197" s="161"/>
      <c r="CD197" s="161"/>
      <c r="CE197" s="161"/>
      <c r="CF197" s="161"/>
      <c r="CG197" s="161"/>
      <c r="CH197" s="161"/>
      <c r="CI197" s="161"/>
      <c r="CJ197" s="161"/>
      <c r="CK197" s="161"/>
      <c r="CL197" s="161"/>
      <c r="CM197" s="161"/>
      <c r="CN197" s="161"/>
      <c r="CO197" s="161"/>
      <c r="CP197" s="161"/>
      <c r="CQ197" s="161"/>
      <c r="CR197" s="161"/>
      <c r="CS197" s="161"/>
      <c r="CT197" s="161"/>
      <c r="CU197" s="161"/>
      <c r="CV197" s="161"/>
      <c r="CW197" s="161"/>
      <c r="CX197" s="161"/>
      <c r="CY197" s="161"/>
      <c r="CZ197" s="161"/>
      <c r="DA197" s="161"/>
      <c r="DB197" s="161"/>
      <c r="DC197" s="161"/>
      <c r="DD197" s="161"/>
      <c r="DE197" s="161"/>
      <c r="DF197" s="161"/>
      <c r="DG197" s="161"/>
      <c r="DH197" s="161"/>
      <c r="DI197" s="161"/>
      <c r="DJ197" s="161"/>
      <c r="DK197" s="161"/>
      <c r="DL197" s="161"/>
      <c r="DM197" s="161"/>
      <c r="DN197" s="161"/>
      <c r="DO197" s="161"/>
      <c r="DP197" s="161"/>
      <c r="DQ197" s="161"/>
      <c r="DR197" s="161"/>
      <c r="DS197" s="161"/>
      <c r="DT197" s="161"/>
      <c r="DU197" s="161"/>
      <c r="DV197" s="161"/>
      <c r="DW197" s="161"/>
      <c r="DX197" s="161"/>
      <c r="DY197" s="161"/>
      <c r="DZ197" s="161"/>
      <c r="EA197" s="161"/>
      <c r="EB197" s="161"/>
      <c r="EC197" s="161"/>
      <c r="ED197" s="161"/>
      <c r="EE197" s="161"/>
      <c r="EF197" s="161"/>
      <c r="EG197" s="161"/>
      <c r="EH197" s="161"/>
      <c r="EI197" s="161"/>
      <c r="EJ197" s="161"/>
      <c r="EK197" s="161"/>
      <c r="EL197" s="161"/>
      <c r="EM197" s="161"/>
      <c r="EN197" s="161"/>
      <c r="EO197" s="161"/>
      <c r="EP197" s="161"/>
      <c r="EQ197" s="161"/>
      <c r="ER197" s="161"/>
      <c r="ES197" s="161"/>
      <c r="ET197" s="161"/>
      <c r="EU197" s="161"/>
      <c r="EV197" s="161"/>
      <c r="EW197" s="161"/>
      <c r="EX197" s="161"/>
      <c r="EY197" s="161"/>
      <c r="EZ197" s="161"/>
      <c r="FA197" s="161"/>
      <c r="FB197" s="161"/>
      <c r="FC197" s="161"/>
      <c r="FD197" s="161"/>
      <c r="FE197" s="161"/>
      <c r="FF197" s="161"/>
      <c r="FG197" s="161"/>
      <c r="FH197" s="161"/>
      <c r="FI197" s="161"/>
      <c r="FJ197" s="161"/>
      <c r="FK197" s="161"/>
      <c r="FL197" s="161"/>
      <c r="FM197" s="161"/>
      <c r="FN197" s="161"/>
      <c r="FO197" s="161"/>
      <c r="FP197" s="161"/>
      <c r="FQ197" s="161"/>
      <c r="FR197" s="161"/>
      <c r="FS197" s="161"/>
      <c r="FT197" s="161"/>
      <c r="FU197" s="161"/>
      <c r="FV197" s="161"/>
      <c r="FW197" s="161"/>
      <c r="FX197" s="161"/>
      <c r="FY197" s="161"/>
      <c r="FZ197" s="161"/>
      <c r="GA197" s="161"/>
      <c r="GB197" s="161"/>
      <c r="GC197" s="161"/>
      <c r="GD197" s="161"/>
      <c r="GE197" s="161"/>
      <c r="GF197" s="161"/>
      <c r="GG197" s="161"/>
      <c r="GH197" s="161"/>
      <c r="GI197" s="161"/>
      <c r="GJ197" s="161"/>
      <c r="GK197" s="161"/>
      <c r="GL197" s="161"/>
      <c r="GM197" s="161"/>
    </row>
    <row r="198" spans="1:195" ht="13.8" collapsed="1">
      <c r="D198" s="38" t="s">
        <v>1496</v>
      </c>
      <c r="E198" s="39" t="s">
        <v>1497</v>
      </c>
      <c r="F198" s="91">
        <f>F199+F200+F201</f>
        <v>25998.98</v>
      </c>
      <c r="G198" s="91">
        <f>G199+G200+G201</f>
        <v>38448.979999999996</v>
      </c>
      <c r="H198" s="33">
        <f t="shared" ref="H198:H203" si="16">G198-F198</f>
        <v>12449.999999999996</v>
      </c>
      <c r="I198" s="222">
        <f t="shared" ref="I198:I207" si="17">IFERROR(H198/F198,"-")</f>
        <v>0.47886494008611091</v>
      </c>
      <c r="J198" s="1523"/>
      <c r="K198" s="72"/>
      <c r="L198" s="285"/>
      <c r="M198" s="129"/>
      <c r="N198" s="129"/>
      <c r="O198" s="129"/>
    </row>
    <row r="199" spans="1:195" s="8" customFormat="1" ht="13.8" hidden="1" outlineLevel="1">
      <c r="A199" s="179" t="s">
        <v>1918</v>
      </c>
      <c r="B199" s="179" t="s">
        <v>436</v>
      </c>
      <c r="C199" s="248"/>
      <c r="D199" s="58"/>
      <c r="E199" s="65" t="s">
        <v>436</v>
      </c>
      <c r="F199" s="92">
        <f>SUMIFS(INPUT!$H:$H,INPUT!$E:$E,BAZE_2026!$A199,INPUT!$B:$B,BAZE_2026!$B199)</f>
        <v>0</v>
      </c>
      <c r="G199" s="92">
        <f>SUMIFS(INPUT!$L:$L,INPUT!$E:$E,BAZE_2026!$A199,INPUT!$B:$B,BAZE_2026!$B199)</f>
        <v>0</v>
      </c>
      <c r="H199" s="48">
        <f t="shared" si="16"/>
        <v>0</v>
      </c>
      <c r="I199" s="232" t="str">
        <f t="shared" si="17"/>
        <v>-</v>
      </c>
      <c r="J199" s="2573"/>
      <c r="K199" s="72"/>
      <c r="L199" s="285"/>
      <c r="M199" s="129"/>
      <c r="N199" s="129"/>
      <c r="O199" s="12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row>
    <row r="200" spans="1:195" s="8" customFormat="1" ht="27.6" hidden="1" outlineLevel="1">
      <c r="A200" s="179" t="s">
        <v>1918</v>
      </c>
      <c r="B200" s="179" t="s">
        <v>772</v>
      </c>
      <c r="C200" s="248"/>
      <c r="D200" s="64"/>
      <c r="E200" s="65" t="s">
        <v>376</v>
      </c>
      <c r="F200" s="92">
        <f>SUMIFS(INPUT!$H:$H,INPUT!$E:$E,BAZE_2026!$A200,INPUT!$B:$B,BAZE_2026!$B200)</f>
        <v>25198.98</v>
      </c>
      <c r="G200" s="92">
        <f>SUMIFS(INPUT!$L:$L,INPUT!$E:$E,BAZE_2026!$A200,INPUT!$B:$B,BAZE_2026!$B200)</f>
        <v>36148.979999999996</v>
      </c>
      <c r="H200" s="48">
        <f t="shared" si="16"/>
        <v>10949.999999999996</v>
      </c>
      <c r="I200" s="232">
        <f t="shared" si="17"/>
        <v>0.43454139810420883</v>
      </c>
      <c r="J200" s="2572" t="s">
        <v>5145</v>
      </c>
      <c r="K200" s="54"/>
      <c r="L200" s="135"/>
      <c r="M200" s="129"/>
      <c r="N200" s="129"/>
      <c r="O200" s="129"/>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row>
    <row r="201" spans="1:195" s="8" customFormat="1" ht="13.8" hidden="1" outlineLevel="1">
      <c r="A201" s="179" t="s">
        <v>1918</v>
      </c>
      <c r="B201" s="179" t="s">
        <v>774</v>
      </c>
      <c r="C201" s="248"/>
      <c r="D201" s="58"/>
      <c r="E201" s="59" t="s">
        <v>375</v>
      </c>
      <c r="F201" s="92">
        <f>SUMIFS(INPUT!$H:$H,INPUT!$E:$E,BAZE_2026!$A201,INPUT!$B:$B,BAZE_2026!$B201)</f>
        <v>800</v>
      </c>
      <c r="G201" s="92">
        <f>SUMIFS(INPUT!$L:$L,INPUT!$E:$E,BAZE_2026!$A201,INPUT!$B:$B,BAZE_2026!$B201)</f>
        <v>2300</v>
      </c>
      <c r="H201" s="48">
        <f t="shared" si="16"/>
        <v>1500</v>
      </c>
      <c r="I201" s="232">
        <f t="shared" si="17"/>
        <v>1.875</v>
      </c>
      <c r="J201" s="2830" t="s">
        <v>5146</v>
      </c>
      <c r="K201" s="72"/>
      <c r="L201" s="285"/>
      <c r="M201" s="129"/>
      <c r="N201" s="129"/>
      <c r="O201" s="129"/>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row>
    <row r="202" spans="1:195" s="166" customFormat="1" ht="13.8" hidden="1" outlineLevel="1">
      <c r="A202" s="315" t="s">
        <v>1918</v>
      </c>
      <c r="B202" s="315" t="s">
        <v>773</v>
      </c>
      <c r="C202" s="316"/>
      <c r="D202" s="2919"/>
      <c r="E202" s="164" t="s">
        <v>773</v>
      </c>
      <c r="F202" s="154">
        <f>SUMIFS(INPUT!$H:$H,INPUT!$E:$E,BAZE_2026!$A202,INPUT!$B:$B,BAZE_2026!$B202)</f>
        <v>4500</v>
      </c>
      <c r="G202" s="154">
        <f>SUMIFS(INPUT!$L:$L,INPUT!$E:$E,BAZE_2026!$A202,INPUT!$B:$B,BAZE_2026!$B202)</f>
        <v>10223</v>
      </c>
      <c r="H202" s="158">
        <f t="shared" si="16"/>
        <v>5723</v>
      </c>
      <c r="I202" s="230">
        <f t="shared" si="17"/>
        <v>1.2717777777777777</v>
      </c>
      <c r="J202" s="2920">
        <f>F202*$J$104</f>
        <v>0</v>
      </c>
      <c r="K202" s="317"/>
      <c r="L202" s="283"/>
      <c r="M202" s="161"/>
      <c r="N202" s="161"/>
      <c r="O202" s="161"/>
      <c r="P202" s="161"/>
      <c r="Q202" s="161"/>
      <c r="R202" s="161"/>
      <c r="S202" s="161"/>
      <c r="T202" s="161"/>
      <c r="U202" s="161"/>
      <c r="V202" s="161"/>
      <c r="W202" s="161"/>
      <c r="X202" s="161"/>
      <c r="Y202" s="161"/>
      <c r="Z202" s="161"/>
      <c r="AA202" s="161"/>
      <c r="AB202" s="161"/>
      <c r="AC202" s="161"/>
      <c r="AD202" s="161"/>
      <c r="AE202" s="161"/>
      <c r="AF202" s="161"/>
      <c r="AG202" s="161"/>
      <c r="AH202" s="161"/>
      <c r="AI202" s="161"/>
      <c r="AJ202" s="161"/>
      <c r="AK202" s="161"/>
      <c r="AL202" s="161"/>
      <c r="AM202" s="161"/>
      <c r="AN202" s="161"/>
      <c r="AO202" s="161"/>
      <c r="AP202" s="161"/>
      <c r="AQ202" s="161"/>
      <c r="AR202" s="161"/>
      <c r="AS202" s="161"/>
      <c r="AT202" s="161"/>
      <c r="AU202" s="161"/>
      <c r="AV202" s="161"/>
      <c r="AW202" s="161"/>
      <c r="AX202" s="161"/>
      <c r="AY202" s="161"/>
      <c r="AZ202" s="161"/>
      <c r="BA202" s="161"/>
      <c r="BB202" s="161"/>
      <c r="BC202" s="161"/>
      <c r="BD202" s="161"/>
      <c r="BE202" s="161"/>
      <c r="BF202" s="161"/>
      <c r="BG202" s="161"/>
      <c r="BH202" s="161"/>
      <c r="BI202" s="161"/>
      <c r="BJ202" s="161"/>
      <c r="BK202" s="161"/>
      <c r="BL202" s="161"/>
      <c r="BM202" s="161"/>
      <c r="BN202" s="161"/>
      <c r="BO202" s="161"/>
      <c r="BP202" s="161"/>
      <c r="BQ202" s="161"/>
      <c r="BR202" s="161"/>
      <c r="BS202" s="161"/>
      <c r="BT202" s="161"/>
      <c r="BU202" s="161"/>
      <c r="BV202" s="161"/>
      <c r="BW202" s="161"/>
      <c r="BX202" s="161"/>
      <c r="BY202" s="161"/>
      <c r="BZ202" s="161"/>
      <c r="CA202" s="161"/>
      <c r="CB202" s="161"/>
      <c r="CC202" s="161"/>
      <c r="CD202" s="161"/>
      <c r="CE202" s="161"/>
      <c r="CF202" s="161"/>
      <c r="CG202" s="161"/>
      <c r="CH202" s="161"/>
      <c r="CI202" s="161"/>
      <c r="CJ202" s="161"/>
      <c r="CK202" s="161"/>
      <c r="CL202" s="161"/>
      <c r="CM202" s="161"/>
      <c r="CN202" s="161"/>
      <c r="CO202" s="161"/>
      <c r="CP202" s="161"/>
      <c r="CQ202" s="161"/>
      <c r="CR202" s="161"/>
      <c r="CS202" s="161"/>
      <c r="CT202" s="161"/>
      <c r="CU202" s="161"/>
      <c r="CV202" s="161"/>
      <c r="CW202" s="161"/>
      <c r="CX202" s="161"/>
      <c r="CY202" s="161"/>
      <c r="CZ202" s="161"/>
      <c r="DA202" s="161"/>
      <c r="DB202" s="161"/>
      <c r="DC202" s="161"/>
      <c r="DD202" s="161"/>
      <c r="DE202" s="161"/>
      <c r="DF202" s="161"/>
      <c r="DG202" s="161"/>
      <c r="DH202" s="161"/>
      <c r="DI202" s="161"/>
      <c r="DJ202" s="161"/>
      <c r="DK202" s="161"/>
      <c r="DL202" s="161"/>
      <c r="DM202" s="161"/>
      <c r="DN202" s="161"/>
      <c r="DO202" s="161"/>
      <c r="DP202" s="161"/>
      <c r="DQ202" s="161"/>
      <c r="DR202" s="161"/>
      <c r="DS202" s="161"/>
      <c r="DT202" s="161"/>
      <c r="DU202" s="161"/>
      <c r="DV202" s="161"/>
      <c r="DW202" s="161"/>
      <c r="DX202" s="161"/>
      <c r="DY202" s="161"/>
      <c r="DZ202" s="161"/>
      <c r="EA202" s="161"/>
      <c r="EB202" s="161"/>
      <c r="EC202" s="161"/>
      <c r="ED202" s="161"/>
      <c r="EE202" s="161"/>
      <c r="EF202" s="161"/>
      <c r="EG202" s="161"/>
      <c r="EH202" s="161"/>
      <c r="EI202" s="161"/>
      <c r="EJ202" s="161"/>
      <c r="EK202" s="161"/>
      <c r="EL202" s="161"/>
      <c r="EM202" s="161"/>
      <c r="EN202" s="161"/>
      <c r="EO202" s="161"/>
      <c r="EP202" s="161"/>
      <c r="EQ202" s="161"/>
      <c r="ER202" s="161"/>
      <c r="ES202" s="161"/>
      <c r="ET202" s="161"/>
      <c r="EU202" s="161"/>
      <c r="EV202" s="161"/>
      <c r="EW202" s="161"/>
      <c r="EX202" s="161"/>
      <c r="EY202" s="161"/>
      <c r="EZ202" s="161"/>
      <c r="FA202" s="161"/>
      <c r="FB202" s="161"/>
      <c r="FC202" s="161"/>
      <c r="FD202" s="161"/>
      <c r="FE202" s="161"/>
      <c r="FF202" s="161"/>
      <c r="FG202" s="161"/>
      <c r="FH202" s="161"/>
      <c r="FI202" s="161"/>
      <c r="FJ202" s="161"/>
      <c r="FK202" s="161"/>
      <c r="FL202" s="161"/>
      <c r="FM202" s="161"/>
      <c r="FN202" s="161"/>
      <c r="FO202" s="161"/>
      <c r="FP202" s="161"/>
      <c r="FQ202" s="161"/>
      <c r="FR202" s="161"/>
      <c r="FS202" s="161"/>
      <c r="FT202" s="161"/>
      <c r="FU202" s="161"/>
      <c r="FV202" s="161"/>
      <c r="FW202" s="161"/>
      <c r="FX202" s="161"/>
      <c r="FY202" s="161"/>
      <c r="FZ202" s="161"/>
      <c r="GA202" s="161"/>
      <c r="GB202" s="161"/>
      <c r="GC202" s="161"/>
      <c r="GD202" s="161"/>
      <c r="GE202" s="161"/>
      <c r="GF202" s="161"/>
      <c r="GG202" s="161"/>
      <c r="GH202" s="161"/>
      <c r="GI202" s="161"/>
      <c r="GJ202" s="161"/>
      <c r="GK202" s="161"/>
      <c r="GL202" s="161"/>
      <c r="GM202" s="161"/>
    </row>
    <row r="203" spans="1:195" s="166" customFormat="1" ht="13.8" hidden="1" outlineLevel="1">
      <c r="A203" s="315" t="s">
        <v>1918</v>
      </c>
      <c r="B203" s="315" t="s">
        <v>365</v>
      </c>
      <c r="C203" s="316"/>
      <c r="D203" s="2926"/>
      <c r="E203" s="324" t="s">
        <v>49</v>
      </c>
      <c r="F203" s="154">
        <f>SUMIFS(INPUT!$H:$H,INPUT!$E:$E,BAZE_2026!$A203,INPUT!$B:$B,BAZE_2026!$B203)</f>
        <v>0</v>
      </c>
      <c r="G203" s="154">
        <f>SUMIFS(INPUT!$L:$L,INPUT!$E:$E,BAZE_2026!$A203,INPUT!$B:$B,BAZE_2026!$B203)</f>
        <v>0</v>
      </c>
      <c r="H203" s="158">
        <f t="shared" si="16"/>
        <v>0</v>
      </c>
      <c r="I203" s="230" t="str">
        <f t="shared" si="17"/>
        <v>-</v>
      </c>
      <c r="J203" s="2920"/>
      <c r="K203" s="317"/>
      <c r="L203" s="283"/>
      <c r="M203" s="161"/>
      <c r="N203" s="161"/>
      <c r="O203" s="161"/>
      <c r="P203" s="161"/>
      <c r="Q203" s="161"/>
      <c r="R203" s="161"/>
      <c r="S203" s="161"/>
      <c r="T203" s="161"/>
      <c r="U203" s="161"/>
      <c r="V203" s="161"/>
      <c r="W203" s="161"/>
      <c r="X203" s="161"/>
      <c r="Y203" s="161"/>
      <c r="Z203" s="161"/>
      <c r="AA203" s="161"/>
      <c r="AB203" s="161"/>
      <c r="AC203" s="161"/>
      <c r="AD203" s="161"/>
      <c r="AE203" s="161"/>
      <c r="AF203" s="161"/>
      <c r="AG203" s="161"/>
      <c r="AH203" s="161"/>
      <c r="AI203" s="161"/>
      <c r="AJ203" s="161"/>
      <c r="AK203" s="161"/>
      <c r="AL203" s="161"/>
      <c r="AM203" s="161"/>
      <c r="AN203" s="161"/>
      <c r="AO203" s="161"/>
      <c r="AP203" s="161"/>
      <c r="AQ203" s="161"/>
      <c r="AR203" s="161"/>
      <c r="AS203" s="161"/>
      <c r="AT203" s="161"/>
      <c r="AU203" s="161"/>
      <c r="AV203" s="161"/>
      <c r="AW203" s="161"/>
      <c r="AX203" s="161"/>
      <c r="AY203" s="161"/>
      <c r="AZ203" s="161"/>
      <c r="BA203" s="161"/>
      <c r="BB203" s="161"/>
      <c r="BC203" s="161"/>
      <c r="BD203" s="161"/>
      <c r="BE203" s="161"/>
      <c r="BF203" s="161"/>
      <c r="BG203" s="161"/>
      <c r="BH203" s="161"/>
      <c r="BI203" s="161"/>
      <c r="BJ203" s="161"/>
      <c r="BK203" s="161"/>
      <c r="BL203" s="161"/>
      <c r="BM203" s="161"/>
      <c r="BN203" s="161"/>
      <c r="BO203" s="161"/>
      <c r="BP203" s="161"/>
      <c r="BQ203" s="161"/>
      <c r="BR203" s="161"/>
      <c r="BS203" s="161"/>
      <c r="BT203" s="161"/>
      <c r="BU203" s="161"/>
      <c r="BV203" s="161"/>
      <c r="BW203" s="161"/>
      <c r="BX203" s="161"/>
      <c r="BY203" s="161"/>
      <c r="BZ203" s="161"/>
      <c r="CA203" s="161"/>
      <c r="CB203" s="161"/>
      <c r="CC203" s="161"/>
      <c r="CD203" s="161"/>
      <c r="CE203" s="161"/>
      <c r="CF203" s="161"/>
      <c r="CG203" s="161"/>
      <c r="CH203" s="161"/>
      <c r="CI203" s="161"/>
      <c r="CJ203" s="161"/>
      <c r="CK203" s="161"/>
      <c r="CL203" s="161"/>
      <c r="CM203" s="161"/>
      <c r="CN203" s="161"/>
      <c r="CO203" s="161"/>
      <c r="CP203" s="161"/>
      <c r="CQ203" s="161"/>
      <c r="CR203" s="161"/>
      <c r="CS203" s="161"/>
      <c r="CT203" s="161"/>
      <c r="CU203" s="161"/>
      <c r="CV203" s="161"/>
      <c r="CW203" s="161"/>
      <c r="CX203" s="161"/>
      <c r="CY203" s="161"/>
      <c r="CZ203" s="161"/>
      <c r="DA203" s="161"/>
      <c r="DB203" s="161"/>
      <c r="DC203" s="161"/>
      <c r="DD203" s="161"/>
      <c r="DE203" s="161"/>
      <c r="DF203" s="161"/>
      <c r="DG203" s="161"/>
      <c r="DH203" s="161"/>
      <c r="DI203" s="161"/>
      <c r="DJ203" s="161"/>
      <c r="DK203" s="161"/>
      <c r="DL203" s="161"/>
      <c r="DM203" s="161"/>
      <c r="DN203" s="161"/>
      <c r="DO203" s="161"/>
      <c r="DP203" s="161"/>
      <c r="DQ203" s="161"/>
      <c r="DR203" s="161"/>
      <c r="DS203" s="161"/>
      <c r="DT203" s="161"/>
      <c r="DU203" s="161"/>
      <c r="DV203" s="161"/>
      <c r="DW203" s="161"/>
      <c r="DX203" s="161"/>
      <c r="DY203" s="161"/>
      <c r="DZ203" s="161"/>
      <c r="EA203" s="161"/>
      <c r="EB203" s="161"/>
      <c r="EC203" s="161"/>
      <c r="ED203" s="161"/>
      <c r="EE203" s="161"/>
      <c r="EF203" s="161"/>
      <c r="EG203" s="161"/>
      <c r="EH203" s="161"/>
      <c r="EI203" s="161"/>
      <c r="EJ203" s="161"/>
      <c r="EK203" s="161"/>
      <c r="EL203" s="161"/>
      <c r="EM203" s="161"/>
      <c r="EN203" s="161"/>
      <c r="EO203" s="161"/>
      <c r="EP203" s="161"/>
      <c r="EQ203" s="161"/>
      <c r="ER203" s="161"/>
      <c r="ES203" s="161"/>
      <c r="ET203" s="161"/>
      <c r="EU203" s="161"/>
      <c r="EV203" s="161"/>
      <c r="EW203" s="161"/>
      <c r="EX203" s="161"/>
      <c r="EY203" s="161"/>
      <c r="EZ203" s="161"/>
      <c r="FA203" s="161"/>
      <c r="FB203" s="161"/>
      <c r="FC203" s="161"/>
      <c r="FD203" s="161"/>
      <c r="FE203" s="161"/>
      <c r="FF203" s="161"/>
      <c r="FG203" s="161"/>
      <c r="FH203" s="161"/>
      <c r="FI203" s="161"/>
      <c r="FJ203" s="161"/>
      <c r="FK203" s="161"/>
      <c r="FL203" s="161"/>
      <c r="FM203" s="161"/>
      <c r="FN203" s="161"/>
      <c r="FO203" s="161"/>
      <c r="FP203" s="161"/>
      <c r="FQ203" s="161"/>
      <c r="FR203" s="161"/>
      <c r="FS203" s="161"/>
      <c r="FT203" s="161"/>
      <c r="FU203" s="161"/>
      <c r="FV203" s="161"/>
      <c r="FW203" s="161"/>
      <c r="FX203" s="161"/>
      <c r="FY203" s="161"/>
      <c r="FZ203" s="161"/>
      <c r="GA203" s="161"/>
      <c r="GB203" s="161"/>
      <c r="GC203" s="161"/>
      <c r="GD203" s="161"/>
      <c r="GE203" s="161"/>
      <c r="GF203" s="161"/>
      <c r="GG203" s="161"/>
      <c r="GH203" s="161"/>
      <c r="GI203" s="161"/>
      <c r="GJ203" s="161"/>
      <c r="GK203" s="161"/>
      <c r="GL203" s="161"/>
      <c r="GM203" s="161"/>
    </row>
    <row r="204" spans="1:195" s="166" customFormat="1" ht="13.8" collapsed="1">
      <c r="A204" s="372"/>
      <c r="B204" s="315"/>
      <c r="C204" s="316"/>
      <c r="D204" s="38" t="s">
        <v>2854</v>
      </c>
      <c r="E204" s="39" t="s">
        <v>414</v>
      </c>
      <c r="F204" s="91">
        <f>F205+F206</f>
        <v>19228.173900000002</v>
      </c>
      <c r="G204" s="91">
        <f>G205+G206</f>
        <v>19228.173900000002</v>
      </c>
      <c r="H204" s="33">
        <f>G204-F204</f>
        <v>0</v>
      </c>
      <c r="I204" s="222">
        <f t="shared" si="17"/>
        <v>0</v>
      </c>
      <c r="J204" s="1402"/>
      <c r="K204" s="317"/>
      <c r="L204" s="283"/>
      <c r="M204" s="161"/>
      <c r="N204" s="161"/>
      <c r="O204" s="161"/>
      <c r="P204" s="161"/>
      <c r="Q204" s="161"/>
      <c r="R204" s="161"/>
      <c r="S204" s="161"/>
      <c r="T204" s="161"/>
      <c r="U204" s="161"/>
      <c r="V204" s="161"/>
      <c r="W204" s="161"/>
      <c r="X204" s="161"/>
      <c r="Y204" s="161"/>
      <c r="Z204" s="161"/>
      <c r="AA204" s="161"/>
      <c r="AB204" s="161"/>
      <c r="AC204" s="161"/>
      <c r="AD204" s="161"/>
      <c r="AE204" s="161"/>
      <c r="AF204" s="161"/>
      <c r="AG204" s="161"/>
      <c r="AH204" s="161"/>
      <c r="AI204" s="161"/>
      <c r="AJ204" s="161"/>
      <c r="AK204" s="161"/>
      <c r="AL204" s="161"/>
      <c r="AM204" s="161"/>
      <c r="AN204" s="161"/>
      <c r="AO204" s="161"/>
      <c r="AP204" s="161"/>
      <c r="AQ204" s="161"/>
      <c r="AR204" s="161"/>
      <c r="AS204" s="161"/>
      <c r="AT204" s="161"/>
      <c r="AU204" s="161"/>
      <c r="AV204" s="161"/>
      <c r="AW204" s="161"/>
      <c r="AX204" s="161"/>
      <c r="AY204" s="161"/>
      <c r="AZ204" s="161"/>
      <c r="BA204" s="161"/>
      <c r="BB204" s="161"/>
      <c r="BC204" s="161"/>
      <c r="BD204" s="161"/>
      <c r="BE204" s="161"/>
      <c r="BF204" s="161"/>
      <c r="BG204" s="161"/>
      <c r="BH204" s="161"/>
      <c r="BI204" s="161"/>
      <c r="BJ204" s="161"/>
      <c r="BK204" s="161"/>
      <c r="BL204" s="161"/>
      <c r="BM204" s="161"/>
      <c r="BN204" s="161"/>
      <c r="BO204" s="161"/>
      <c r="BP204" s="161"/>
      <c r="BQ204" s="161"/>
      <c r="BR204" s="161"/>
      <c r="BS204" s="161"/>
      <c r="BT204" s="161"/>
      <c r="BU204" s="161"/>
      <c r="BV204" s="161"/>
      <c r="BW204" s="161"/>
      <c r="BX204" s="161"/>
      <c r="BY204" s="161"/>
      <c r="BZ204" s="161"/>
      <c r="CA204" s="161"/>
      <c r="CB204" s="161"/>
      <c r="CC204" s="161"/>
      <c r="CD204" s="161"/>
      <c r="CE204" s="161"/>
      <c r="CF204" s="161"/>
      <c r="CG204" s="161"/>
      <c r="CH204" s="161"/>
      <c r="CI204" s="161"/>
      <c r="CJ204" s="161"/>
      <c r="CK204" s="161"/>
      <c r="CL204" s="161"/>
      <c r="CM204" s="161"/>
      <c r="CN204" s="161"/>
      <c r="CO204" s="161"/>
      <c r="CP204" s="161"/>
      <c r="CQ204" s="161"/>
      <c r="CR204" s="161"/>
      <c r="CS204" s="161"/>
      <c r="CT204" s="161"/>
      <c r="CU204" s="161"/>
      <c r="CV204" s="161"/>
      <c r="CW204" s="161"/>
      <c r="CX204" s="161"/>
      <c r="CY204" s="161"/>
      <c r="CZ204" s="161"/>
      <c r="DA204" s="161"/>
      <c r="DB204" s="161"/>
      <c r="DC204" s="161"/>
      <c r="DD204" s="161"/>
      <c r="DE204" s="161"/>
      <c r="DF204" s="161"/>
      <c r="DG204" s="161"/>
      <c r="DH204" s="161"/>
      <c r="DI204" s="161"/>
      <c r="DJ204" s="161"/>
      <c r="DK204" s="161"/>
      <c r="DL204" s="161"/>
      <c r="DM204" s="161"/>
      <c r="DN204" s="161"/>
      <c r="DO204" s="161"/>
      <c r="DP204" s="161"/>
      <c r="DQ204" s="161"/>
      <c r="DR204" s="161"/>
      <c r="DS204" s="161"/>
      <c r="DT204" s="161"/>
      <c r="DU204" s="161"/>
      <c r="DV204" s="161"/>
      <c r="DW204" s="161"/>
      <c r="DX204" s="161"/>
      <c r="DY204" s="161"/>
      <c r="DZ204" s="161"/>
      <c r="EA204" s="161"/>
      <c r="EB204" s="161"/>
      <c r="EC204" s="161"/>
      <c r="ED204" s="161"/>
      <c r="EE204" s="161"/>
      <c r="EF204" s="161"/>
      <c r="EG204" s="161"/>
      <c r="EH204" s="161"/>
      <c r="EI204" s="161"/>
      <c r="EJ204" s="161"/>
      <c r="EK204" s="161"/>
      <c r="EL204" s="161"/>
      <c r="EM204" s="161"/>
      <c r="EN204" s="161"/>
      <c r="EO204" s="161"/>
      <c r="EP204" s="161"/>
      <c r="EQ204" s="161"/>
      <c r="ER204" s="161"/>
      <c r="ES204" s="161"/>
      <c r="ET204" s="161"/>
      <c r="EU204" s="161"/>
      <c r="EV204" s="161"/>
      <c r="EW204" s="161"/>
      <c r="EX204" s="161"/>
      <c r="EY204" s="161"/>
      <c r="EZ204" s="161"/>
      <c r="FA204" s="161"/>
      <c r="FB204" s="161"/>
      <c r="FC204" s="161"/>
      <c r="FD204" s="161"/>
      <c r="FE204" s="161"/>
      <c r="FF204" s="161"/>
      <c r="FG204" s="161"/>
      <c r="FH204" s="161"/>
      <c r="FI204" s="161"/>
      <c r="FJ204" s="161"/>
      <c r="FK204" s="161"/>
      <c r="FL204" s="161"/>
      <c r="FM204" s="161"/>
      <c r="FN204" s="161"/>
      <c r="FO204" s="161"/>
      <c r="FP204" s="161"/>
      <c r="FQ204" s="161"/>
      <c r="FR204" s="161"/>
      <c r="FS204" s="161"/>
      <c r="FT204" s="161"/>
      <c r="FU204" s="161"/>
      <c r="FV204" s="161"/>
      <c r="FW204" s="161"/>
      <c r="FX204" s="161"/>
      <c r="FY204" s="161"/>
      <c r="FZ204" s="161"/>
      <c r="GA204" s="161"/>
      <c r="GB204" s="161"/>
      <c r="GC204" s="161"/>
      <c r="GD204" s="161"/>
      <c r="GE204" s="161"/>
      <c r="GF204" s="161"/>
      <c r="GG204" s="161"/>
      <c r="GH204" s="161"/>
      <c r="GI204" s="161"/>
      <c r="GJ204" s="161"/>
      <c r="GK204" s="161"/>
      <c r="GL204" s="161"/>
      <c r="GM204" s="161"/>
    </row>
    <row r="205" spans="1:195" s="166" customFormat="1" ht="13.8" hidden="1" outlineLevel="1">
      <c r="A205" s="179" t="s">
        <v>1919</v>
      </c>
      <c r="B205" s="179" t="s">
        <v>772</v>
      </c>
      <c r="C205" s="316"/>
      <c r="D205" s="58"/>
      <c r="E205" s="59" t="s">
        <v>376</v>
      </c>
      <c r="F205" s="92">
        <f>SUMIFS(INPUT!$H:$H,INPUT!$E:$E,BAZE_2026!$A205,INPUT!$B:$B,BAZE_2026!$B205)</f>
        <v>19228.173900000002</v>
      </c>
      <c r="G205" s="92">
        <f>SUMIFS(INPUT!$L:$L,INPUT!$E:$E,BAZE_2026!$A205,INPUT!$B:$B,BAZE_2026!$B205)</f>
        <v>19228.173900000002</v>
      </c>
      <c r="H205" s="48">
        <f>G205-F205</f>
        <v>0</v>
      </c>
      <c r="I205" s="232">
        <f t="shared" si="17"/>
        <v>0</v>
      </c>
      <c r="J205" s="1528"/>
      <c r="K205" s="317"/>
      <c r="L205" s="283"/>
      <c r="M205" s="161"/>
      <c r="N205" s="161"/>
      <c r="O205" s="161"/>
      <c r="P205" s="161"/>
      <c r="Q205" s="161"/>
      <c r="R205" s="161"/>
      <c r="S205" s="161"/>
      <c r="T205" s="161"/>
      <c r="U205" s="161"/>
      <c r="V205" s="161"/>
      <c r="W205" s="161"/>
      <c r="X205" s="161"/>
      <c r="Y205" s="161"/>
      <c r="Z205" s="161"/>
      <c r="AA205" s="161"/>
      <c r="AB205" s="161"/>
      <c r="AC205" s="161"/>
      <c r="AD205" s="161"/>
      <c r="AE205" s="161"/>
      <c r="AF205" s="161"/>
      <c r="AG205" s="161"/>
      <c r="AH205" s="161"/>
      <c r="AI205" s="161"/>
      <c r="AJ205" s="161"/>
      <c r="AK205" s="161"/>
      <c r="AL205" s="161"/>
      <c r="AM205" s="161"/>
      <c r="AN205" s="161"/>
      <c r="AO205" s="161"/>
      <c r="AP205" s="161"/>
      <c r="AQ205" s="161"/>
      <c r="AR205" s="161"/>
      <c r="AS205" s="161"/>
      <c r="AT205" s="161"/>
      <c r="AU205" s="161"/>
      <c r="AV205" s="161"/>
      <c r="AW205" s="161"/>
      <c r="AX205" s="161"/>
      <c r="AY205" s="161"/>
      <c r="AZ205" s="161"/>
      <c r="BA205" s="161"/>
      <c r="BB205" s="161"/>
      <c r="BC205" s="161"/>
      <c r="BD205" s="161"/>
      <c r="BE205" s="161"/>
      <c r="BF205" s="161"/>
      <c r="BG205" s="161"/>
      <c r="BH205" s="161"/>
      <c r="BI205" s="161"/>
      <c r="BJ205" s="161"/>
      <c r="BK205" s="161"/>
      <c r="BL205" s="161"/>
      <c r="BM205" s="161"/>
      <c r="BN205" s="161"/>
      <c r="BO205" s="161"/>
      <c r="BP205" s="161"/>
      <c r="BQ205" s="161"/>
      <c r="BR205" s="161"/>
      <c r="BS205" s="161"/>
      <c r="BT205" s="161"/>
      <c r="BU205" s="161"/>
      <c r="BV205" s="161"/>
      <c r="BW205" s="161"/>
      <c r="BX205" s="161"/>
      <c r="BY205" s="161"/>
      <c r="BZ205" s="161"/>
      <c r="CA205" s="161"/>
      <c r="CB205" s="161"/>
      <c r="CC205" s="161"/>
      <c r="CD205" s="161"/>
      <c r="CE205" s="161"/>
      <c r="CF205" s="161"/>
      <c r="CG205" s="161"/>
      <c r="CH205" s="161"/>
      <c r="CI205" s="161"/>
      <c r="CJ205" s="161"/>
      <c r="CK205" s="161"/>
      <c r="CL205" s="161"/>
      <c r="CM205" s="161"/>
      <c r="CN205" s="161"/>
      <c r="CO205" s="161"/>
      <c r="CP205" s="161"/>
      <c r="CQ205" s="161"/>
      <c r="CR205" s="161"/>
      <c r="CS205" s="161"/>
      <c r="CT205" s="161"/>
      <c r="CU205" s="161"/>
      <c r="CV205" s="161"/>
      <c r="CW205" s="161"/>
      <c r="CX205" s="161"/>
      <c r="CY205" s="161"/>
      <c r="CZ205" s="161"/>
      <c r="DA205" s="161"/>
      <c r="DB205" s="161"/>
      <c r="DC205" s="161"/>
      <c r="DD205" s="161"/>
      <c r="DE205" s="161"/>
      <c r="DF205" s="161"/>
      <c r="DG205" s="161"/>
      <c r="DH205" s="161"/>
      <c r="DI205" s="161"/>
      <c r="DJ205" s="161"/>
      <c r="DK205" s="161"/>
      <c r="DL205" s="161"/>
      <c r="DM205" s="161"/>
      <c r="DN205" s="161"/>
      <c r="DO205" s="161"/>
      <c r="DP205" s="161"/>
      <c r="DQ205" s="161"/>
      <c r="DR205" s="161"/>
      <c r="DS205" s="161"/>
      <c r="DT205" s="161"/>
      <c r="DU205" s="161"/>
      <c r="DV205" s="161"/>
      <c r="DW205" s="161"/>
      <c r="DX205" s="161"/>
      <c r="DY205" s="161"/>
      <c r="DZ205" s="161"/>
      <c r="EA205" s="161"/>
      <c r="EB205" s="161"/>
      <c r="EC205" s="161"/>
      <c r="ED205" s="161"/>
      <c r="EE205" s="161"/>
      <c r="EF205" s="161"/>
      <c r="EG205" s="161"/>
      <c r="EH205" s="161"/>
      <c r="EI205" s="161"/>
      <c r="EJ205" s="161"/>
      <c r="EK205" s="161"/>
      <c r="EL205" s="161"/>
      <c r="EM205" s="161"/>
      <c r="EN205" s="161"/>
      <c r="EO205" s="161"/>
      <c r="EP205" s="161"/>
      <c r="EQ205" s="161"/>
      <c r="ER205" s="161"/>
      <c r="ES205" s="161"/>
      <c r="ET205" s="161"/>
      <c r="EU205" s="161"/>
      <c r="EV205" s="161"/>
      <c r="EW205" s="161"/>
      <c r="EX205" s="161"/>
      <c r="EY205" s="161"/>
      <c r="EZ205" s="161"/>
      <c r="FA205" s="161"/>
      <c r="FB205" s="161"/>
      <c r="FC205" s="161"/>
      <c r="FD205" s="161"/>
      <c r="FE205" s="161"/>
      <c r="FF205" s="161"/>
      <c r="FG205" s="161"/>
      <c r="FH205" s="161"/>
      <c r="FI205" s="161"/>
      <c r="FJ205" s="161"/>
      <c r="FK205" s="161"/>
      <c r="FL205" s="161"/>
      <c r="FM205" s="161"/>
      <c r="FN205" s="161"/>
      <c r="FO205" s="161"/>
      <c r="FP205" s="161"/>
      <c r="FQ205" s="161"/>
      <c r="FR205" s="161"/>
      <c r="FS205" s="161"/>
      <c r="FT205" s="161"/>
      <c r="FU205" s="161"/>
      <c r="FV205" s="161"/>
      <c r="FW205" s="161"/>
      <c r="FX205" s="161"/>
      <c r="FY205" s="161"/>
      <c r="FZ205" s="161"/>
      <c r="GA205" s="161"/>
      <c r="GB205" s="161"/>
      <c r="GC205" s="161"/>
      <c r="GD205" s="161"/>
      <c r="GE205" s="161"/>
      <c r="GF205" s="161"/>
      <c r="GG205" s="161"/>
      <c r="GH205" s="161"/>
      <c r="GI205" s="161"/>
      <c r="GJ205" s="161"/>
      <c r="GK205" s="161"/>
      <c r="GL205" s="161"/>
      <c r="GM205" s="161"/>
    </row>
    <row r="206" spans="1:195" s="166" customFormat="1" ht="13.8" hidden="1" outlineLevel="1">
      <c r="A206" s="179" t="s">
        <v>1919</v>
      </c>
      <c r="B206" s="179" t="s">
        <v>774</v>
      </c>
      <c r="C206" s="316"/>
      <c r="D206" s="58"/>
      <c r="E206" s="59" t="s">
        <v>375</v>
      </c>
      <c r="F206" s="92">
        <f>SUMIFS(INPUT!$H:$H,INPUT!$E:$E,BAZE_2026!$A206,INPUT!$B:$B,BAZE_2026!$B206)</f>
        <v>0</v>
      </c>
      <c r="G206" s="92">
        <f>SUMIFS(INPUT!$L:$L,INPUT!$E:$E,BAZE_2026!$A206,INPUT!$B:$B,BAZE_2026!$B206)</f>
        <v>0</v>
      </c>
      <c r="H206" s="48">
        <f>G206-F206</f>
        <v>0</v>
      </c>
      <c r="I206" s="232" t="str">
        <f t="shared" si="17"/>
        <v>-</v>
      </c>
      <c r="J206" s="1528"/>
      <c r="K206" s="317"/>
      <c r="L206" s="283"/>
      <c r="M206" s="161"/>
      <c r="N206" s="161"/>
      <c r="O206" s="161"/>
      <c r="P206" s="161"/>
      <c r="Q206" s="161"/>
      <c r="R206" s="161"/>
      <c r="S206" s="161"/>
      <c r="T206" s="161"/>
      <c r="U206" s="161"/>
      <c r="V206" s="161"/>
      <c r="W206" s="161"/>
      <c r="X206" s="161"/>
      <c r="Y206" s="161"/>
      <c r="Z206" s="161"/>
      <c r="AA206" s="161"/>
      <c r="AB206" s="161"/>
      <c r="AC206" s="161"/>
      <c r="AD206" s="161"/>
      <c r="AE206" s="161"/>
      <c r="AF206" s="161"/>
      <c r="AG206" s="161"/>
      <c r="AH206" s="161"/>
      <c r="AI206" s="161"/>
      <c r="AJ206" s="161"/>
      <c r="AK206" s="161"/>
      <c r="AL206" s="161"/>
      <c r="AM206" s="161"/>
      <c r="AN206" s="161"/>
      <c r="AO206" s="161"/>
      <c r="AP206" s="161"/>
      <c r="AQ206" s="161"/>
      <c r="AR206" s="161"/>
      <c r="AS206" s="161"/>
      <c r="AT206" s="161"/>
      <c r="AU206" s="161"/>
      <c r="AV206" s="161"/>
      <c r="AW206" s="161"/>
      <c r="AX206" s="161"/>
      <c r="AY206" s="161"/>
      <c r="AZ206" s="161"/>
      <c r="BA206" s="161"/>
      <c r="BB206" s="161"/>
      <c r="BC206" s="161"/>
      <c r="BD206" s="161"/>
      <c r="BE206" s="161"/>
      <c r="BF206" s="161"/>
      <c r="BG206" s="161"/>
      <c r="BH206" s="161"/>
      <c r="BI206" s="161"/>
      <c r="BJ206" s="161"/>
      <c r="BK206" s="161"/>
      <c r="BL206" s="161"/>
      <c r="BM206" s="161"/>
      <c r="BN206" s="161"/>
      <c r="BO206" s="161"/>
      <c r="BP206" s="161"/>
      <c r="BQ206" s="161"/>
      <c r="BR206" s="161"/>
      <c r="BS206" s="161"/>
      <c r="BT206" s="161"/>
      <c r="BU206" s="161"/>
      <c r="BV206" s="161"/>
      <c r="BW206" s="161"/>
      <c r="BX206" s="161"/>
      <c r="BY206" s="161"/>
      <c r="BZ206" s="161"/>
      <c r="CA206" s="161"/>
      <c r="CB206" s="161"/>
      <c r="CC206" s="161"/>
      <c r="CD206" s="161"/>
      <c r="CE206" s="161"/>
      <c r="CF206" s="161"/>
      <c r="CG206" s="161"/>
      <c r="CH206" s="161"/>
      <c r="CI206" s="161"/>
      <c r="CJ206" s="161"/>
      <c r="CK206" s="161"/>
      <c r="CL206" s="161"/>
      <c r="CM206" s="161"/>
      <c r="CN206" s="161"/>
      <c r="CO206" s="161"/>
      <c r="CP206" s="161"/>
      <c r="CQ206" s="161"/>
      <c r="CR206" s="161"/>
      <c r="CS206" s="161"/>
      <c r="CT206" s="161"/>
      <c r="CU206" s="161"/>
      <c r="CV206" s="161"/>
      <c r="CW206" s="161"/>
      <c r="CX206" s="161"/>
      <c r="CY206" s="161"/>
      <c r="CZ206" s="161"/>
      <c r="DA206" s="161"/>
      <c r="DB206" s="161"/>
      <c r="DC206" s="161"/>
      <c r="DD206" s="161"/>
      <c r="DE206" s="161"/>
      <c r="DF206" s="161"/>
      <c r="DG206" s="161"/>
      <c r="DH206" s="161"/>
      <c r="DI206" s="161"/>
      <c r="DJ206" s="161"/>
      <c r="DK206" s="161"/>
      <c r="DL206" s="161"/>
      <c r="DM206" s="161"/>
      <c r="DN206" s="161"/>
      <c r="DO206" s="161"/>
      <c r="DP206" s="161"/>
      <c r="DQ206" s="161"/>
      <c r="DR206" s="161"/>
      <c r="DS206" s="161"/>
      <c r="DT206" s="161"/>
      <c r="DU206" s="161"/>
      <c r="DV206" s="161"/>
      <c r="DW206" s="161"/>
      <c r="DX206" s="161"/>
      <c r="DY206" s="161"/>
      <c r="DZ206" s="161"/>
      <c r="EA206" s="161"/>
      <c r="EB206" s="161"/>
      <c r="EC206" s="161"/>
      <c r="ED206" s="161"/>
      <c r="EE206" s="161"/>
      <c r="EF206" s="161"/>
      <c r="EG206" s="161"/>
      <c r="EH206" s="161"/>
      <c r="EI206" s="161"/>
      <c r="EJ206" s="161"/>
      <c r="EK206" s="161"/>
      <c r="EL206" s="161"/>
      <c r="EM206" s="161"/>
      <c r="EN206" s="161"/>
      <c r="EO206" s="161"/>
      <c r="EP206" s="161"/>
      <c r="EQ206" s="161"/>
      <c r="ER206" s="161"/>
      <c r="ES206" s="161"/>
      <c r="ET206" s="161"/>
      <c r="EU206" s="161"/>
      <c r="EV206" s="161"/>
      <c r="EW206" s="161"/>
      <c r="EX206" s="161"/>
      <c r="EY206" s="161"/>
      <c r="EZ206" s="161"/>
      <c r="FA206" s="161"/>
      <c r="FB206" s="161"/>
      <c r="FC206" s="161"/>
      <c r="FD206" s="161"/>
      <c r="FE206" s="161"/>
      <c r="FF206" s="161"/>
      <c r="FG206" s="161"/>
      <c r="FH206" s="161"/>
      <c r="FI206" s="161"/>
      <c r="FJ206" s="161"/>
      <c r="FK206" s="161"/>
      <c r="FL206" s="161"/>
      <c r="FM206" s="161"/>
      <c r="FN206" s="161"/>
      <c r="FO206" s="161"/>
      <c r="FP206" s="161"/>
      <c r="FQ206" s="161"/>
      <c r="FR206" s="161"/>
      <c r="FS206" s="161"/>
      <c r="FT206" s="161"/>
      <c r="FU206" s="161"/>
      <c r="FV206" s="161"/>
      <c r="FW206" s="161"/>
      <c r="FX206" s="161"/>
      <c r="FY206" s="161"/>
      <c r="FZ206" s="161"/>
      <c r="GA206" s="161"/>
      <c r="GB206" s="161"/>
      <c r="GC206" s="161"/>
      <c r="GD206" s="161"/>
      <c r="GE206" s="161"/>
      <c r="GF206" s="161"/>
      <c r="GG206" s="161"/>
      <c r="GH206" s="161"/>
      <c r="GI206" s="161"/>
      <c r="GJ206" s="161"/>
      <c r="GK206" s="161"/>
      <c r="GL206" s="161"/>
      <c r="GM206" s="161"/>
    </row>
    <row r="207" spans="1:195" s="166" customFormat="1" ht="13.8" hidden="1" outlineLevel="1">
      <c r="A207" s="315" t="s">
        <v>1919</v>
      </c>
      <c r="B207" s="315" t="s">
        <v>773</v>
      </c>
      <c r="C207" s="316"/>
      <c r="D207" s="2919"/>
      <c r="E207" s="164" t="s">
        <v>773</v>
      </c>
      <c r="F207" s="154">
        <f>SUMIFS(INPUT!$H:$H,INPUT!$E:$E,BAZE_2026!$A207,INPUT!$B:$B,BAZE_2026!$B207)</f>
        <v>0</v>
      </c>
      <c r="G207" s="154">
        <f>SUMIFS(INPUT!$L:$L,INPUT!$E:$E,BAZE_2026!$A207,INPUT!$B:$B,BAZE_2026!$B207)</f>
        <v>0</v>
      </c>
      <c r="H207" s="158">
        <f>G207-F207</f>
        <v>0</v>
      </c>
      <c r="I207" s="230" t="str">
        <f t="shared" si="17"/>
        <v>-</v>
      </c>
      <c r="J207" s="2932"/>
      <c r="K207" s="317"/>
      <c r="L207" s="283"/>
      <c r="M207" s="161"/>
      <c r="N207" s="161"/>
      <c r="O207" s="161"/>
      <c r="P207" s="161"/>
      <c r="Q207" s="161"/>
      <c r="R207" s="161"/>
      <c r="S207" s="161"/>
      <c r="T207" s="161"/>
      <c r="U207" s="161"/>
      <c r="V207" s="161"/>
      <c r="W207" s="161"/>
      <c r="X207" s="161"/>
      <c r="Y207" s="161"/>
      <c r="Z207" s="161"/>
      <c r="AA207" s="161"/>
      <c r="AB207" s="161"/>
      <c r="AC207" s="161"/>
      <c r="AD207" s="161"/>
      <c r="AE207" s="161"/>
      <c r="AF207" s="161"/>
      <c r="AG207" s="161"/>
      <c r="AH207" s="161"/>
      <c r="AI207" s="161"/>
      <c r="AJ207" s="161"/>
      <c r="AK207" s="161"/>
      <c r="AL207" s="161"/>
      <c r="AM207" s="161"/>
      <c r="AN207" s="161"/>
      <c r="AO207" s="161"/>
      <c r="AP207" s="161"/>
      <c r="AQ207" s="161"/>
      <c r="AR207" s="161"/>
      <c r="AS207" s="161"/>
      <c r="AT207" s="161"/>
      <c r="AU207" s="161"/>
      <c r="AV207" s="161"/>
      <c r="AW207" s="161"/>
      <c r="AX207" s="161"/>
      <c r="AY207" s="161"/>
      <c r="AZ207" s="161"/>
      <c r="BA207" s="161"/>
      <c r="BB207" s="161"/>
      <c r="BC207" s="161"/>
      <c r="BD207" s="161"/>
      <c r="BE207" s="161"/>
      <c r="BF207" s="161"/>
      <c r="BG207" s="161"/>
      <c r="BH207" s="161"/>
      <c r="BI207" s="161"/>
      <c r="BJ207" s="161"/>
      <c r="BK207" s="161"/>
      <c r="BL207" s="161"/>
      <c r="BM207" s="161"/>
      <c r="BN207" s="161"/>
      <c r="BO207" s="161"/>
      <c r="BP207" s="161"/>
      <c r="BQ207" s="161"/>
      <c r="BR207" s="161"/>
      <c r="BS207" s="161"/>
      <c r="BT207" s="161"/>
      <c r="BU207" s="161"/>
      <c r="BV207" s="161"/>
      <c r="BW207" s="161"/>
      <c r="BX207" s="161"/>
      <c r="BY207" s="161"/>
      <c r="BZ207" s="161"/>
      <c r="CA207" s="161"/>
      <c r="CB207" s="161"/>
      <c r="CC207" s="161"/>
      <c r="CD207" s="161"/>
      <c r="CE207" s="161"/>
      <c r="CF207" s="161"/>
      <c r="CG207" s="161"/>
      <c r="CH207" s="161"/>
      <c r="CI207" s="161"/>
      <c r="CJ207" s="161"/>
      <c r="CK207" s="161"/>
      <c r="CL207" s="161"/>
      <c r="CM207" s="161"/>
      <c r="CN207" s="161"/>
      <c r="CO207" s="161"/>
      <c r="CP207" s="161"/>
      <c r="CQ207" s="161"/>
      <c r="CR207" s="161"/>
      <c r="CS207" s="161"/>
      <c r="CT207" s="161"/>
      <c r="CU207" s="161"/>
      <c r="CV207" s="161"/>
      <c r="CW207" s="161"/>
      <c r="CX207" s="161"/>
      <c r="CY207" s="161"/>
      <c r="CZ207" s="161"/>
      <c r="DA207" s="161"/>
      <c r="DB207" s="161"/>
      <c r="DC207" s="161"/>
      <c r="DD207" s="161"/>
      <c r="DE207" s="161"/>
      <c r="DF207" s="161"/>
      <c r="DG207" s="161"/>
      <c r="DH207" s="161"/>
      <c r="DI207" s="161"/>
      <c r="DJ207" s="161"/>
      <c r="DK207" s="161"/>
      <c r="DL207" s="161"/>
      <c r="DM207" s="161"/>
      <c r="DN207" s="161"/>
      <c r="DO207" s="161"/>
      <c r="DP207" s="161"/>
      <c r="DQ207" s="161"/>
      <c r="DR207" s="161"/>
      <c r="DS207" s="161"/>
      <c r="DT207" s="161"/>
      <c r="DU207" s="161"/>
      <c r="DV207" s="161"/>
      <c r="DW207" s="161"/>
      <c r="DX207" s="161"/>
      <c r="DY207" s="161"/>
      <c r="DZ207" s="161"/>
      <c r="EA207" s="161"/>
      <c r="EB207" s="161"/>
      <c r="EC207" s="161"/>
      <c r="ED207" s="161"/>
      <c r="EE207" s="161"/>
      <c r="EF207" s="161"/>
      <c r="EG207" s="161"/>
      <c r="EH207" s="161"/>
      <c r="EI207" s="161"/>
      <c r="EJ207" s="161"/>
      <c r="EK207" s="161"/>
      <c r="EL207" s="161"/>
      <c r="EM207" s="161"/>
      <c r="EN207" s="161"/>
      <c r="EO207" s="161"/>
      <c r="EP207" s="161"/>
      <c r="EQ207" s="161"/>
      <c r="ER207" s="161"/>
      <c r="ES207" s="161"/>
      <c r="ET207" s="161"/>
      <c r="EU207" s="161"/>
      <c r="EV207" s="161"/>
      <c r="EW207" s="161"/>
      <c r="EX207" s="161"/>
      <c r="EY207" s="161"/>
      <c r="EZ207" s="161"/>
      <c r="FA207" s="161"/>
      <c r="FB207" s="161"/>
      <c r="FC207" s="161"/>
      <c r="FD207" s="161"/>
      <c r="FE207" s="161"/>
      <c r="FF207" s="161"/>
      <c r="FG207" s="161"/>
      <c r="FH207" s="161"/>
      <c r="FI207" s="161"/>
      <c r="FJ207" s="161"/>
      <c r="FK207" s="161"/>
      <c r="FL207" s="161"/>
      <c r="FM207" s="161"/>
      <c r="FN207" s="161"/>
      <c r="FO207" s="161"/>
      <c r="FP207" s="161"/>
      <c r="FQ207" s="161"/>
      <c r="FR207" s="161"/>
      <c r="FS207" s="161"/>
      <c r="FT207" s="161"/>
      <c r="FU207" s="161"/>
      <c r="FV207" s="161"/>
      <c r="FW207" s="161"/>
      <c r="FX207" s="161"/>
      <c r="FY207" s="161"/>
      <c r="FZ207" s="161"/>
      <c r="GA207" s="161"/>
      <c r="GB207" s="161"/>
      <c r="GC207" s="161"/>
      <c r="GD207" s="161"/>
      <c r="GE207" s="161"/>
      <c r="GF207" s="161"/>
      <c r="GG207" s="161"/>
      <c r="GH207" s="161"/>
      <c r="GI207" s="161"/>
      <c r="GJ207" s="161"/>
      <c r="GK207" s="161"/>
      <c r="GL207" s="161"/>
      <c r="GM207" s="161"/>
    </row>
    <row r="208" spans="1:195" s="16" customFormat="1" ht="13.8" collapsed="1">
      <c r="A208" s="372"/>
      <c r="B208" s="179"/>
      <c r="C208" s="248"/>
      <c r="D208" s="40" t="s">
        <v>25</v>
      </c>
      <c r="E208" s="41" t="s">
        <v>96</v>
      </c>
      <c r="F208" s="85">
        <f>F217+F229+F235+F238</f>
        <v>2295296.2043067403</v>
      </c>
      <c r="G208" s="85">
        <f>G217+G229+G235+G238</f>
        <v>2554097.3515422898</v>
      </c>
      <c r="H208" s="29">
        <f t="shared" si="15"/>
        <v>258801.14723554952</v>
      </c>
      <c r="I208" s="219">
        <f t="shared" si="12"/>
        <v>0.11275283196563143</v>
      </c>
      <c r="J208" s="1524"/>
      <c r="K208" s="72"/>
      <c r="L208" s="263"/>
    </row>
    <row r="209" spans="1:195" s="103" customFormat="1" ht="13.8">
      <c r="A209" s="372"/>
      <c r="B209" s="312"/>
      <c r="C209" s="310"/>
      <c r="D209" s="99"/>
      <c r="E209" s="109" t="s">
        <v>436</v>
      </c>
      <c r="F209" s="110">
        <f>F218+F230+F239</f>
        <v>1095545.2043067401</v>
      </c>
      <c r="G209" s="110">
        <f>G218+G230+G239</f>
        <v>1125206.9012422902</v>
      </c>
      <c r="H209" s="111">
        <f t="shared" si="15"/>
        <v>29661.696935550077</v>
      </c>
      <c r="I209" s="227">
        <f t="shared" ref="I209:I264" si="18">IFERROR(H209/F209,"-")</f>
        <v>2.7074827053183963E-2</v>
      </c>
      <c r="J209" s="1219"/>
      <c r="K209" s="141"/>
      <c r="L209" s="286"/>
      <c r="M209" s="250"/>
      <c r="N209" s="250"/>
      <c r="O209" s="250"/>
      <c r="P209" s="250"/>
      <c r="Q209" s="250"/>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c r="AM209" s="250"/>
      <c r="AN209" s="250"/>
      <c r="AO209" s="250"/>
      <c r="AP209" s="250"/>
      <c r="AQ209" s="250"/>
      <c r="AR209" s="250"/>
      <c r="AS209" s="250"/>
      <c r="AT209" s="250"/>
      <c r="AU209" s="250"/>
      <c r="AV209" s="250"/>
      <c r="AW209" s="250"/>
      <c r="AX209" s="250"/>
      <c r="AY209" s="250"/>
      <c r="AZ209" s="250"/>
      <c r="BA209" s="250"/>
      <c r="BB209" s="250"/>
      <c r="BC209" s="250"/>
      <c r="BD209" s="250"/>
      <c r="BE209" s="250"/>
      <c r="BF209" s="250"/>
      <c r="BG209" s="250"/>
      <c r="BH209" s="250"/>
      <c r="BI209" s="250"/>
      <c r="BJ209" s="250"/>
      <c r="BK209" s="250"/>
      <c r="BL209" s="250"/>
      <c r="BM209" s="250"/>
      <c r="BN209" s="250"/>
      <c r="BO209" s="250"/>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250"/>
      <c r="DL209" s="250"/>
      <c r="DM209" s="250"/>
      <c r="DN209" s="250"/>
      <c r="DO209" s="250"/>
      <c r="DP209" s="250"/>
      <c r="DQ209" s="250"/>
      <c r="DR209" s="250"/>
      <c r="DS209" s="250"/>
      <c r="DT209" s="250"/>
      <c r="DU209" s="250"/>
      <c r="DV209" s="250"/>
      <c r="DW209" s="250"/>
      <c r="DX209" s="250"/>
      <c r="DY209" s="250"/>
      <c r="DZ209" s="250"/>
      <c r="EA209" s="250"/>
      <c r="EB209" s="250"/>
      <c r="EC209" s="250"/>
      <c r="ED209" s="250"/>
      <c r="EE209" s="250"/>
      <c r="EF209" s="250"/>
      <c r="EG209" s="250"/>
      <c r="EH209" s="250"/>
      <c r="EI209" s="250"/>
      <c r="EJ209" s="250"/>
      <c r="EK209" s="250"/>
      <c r="EL209" s="250"/>
      <c r="EM209" s="250"/>
      <c r="EN209" s="250"/>
      <c r="EO209" s="250"/>
      <c r="EP209" s="250"/>
      <c r="EQ209" s="250"/>
      <c r="ER209" s="250"/>
      <c r="ES209" s="250"/>
      <c r="ET209" s="250"/>
      <c r="EU209" s="250"/>
      <c r="EV209" s="250"/>
      <c r="EW209" s="250"/>
      <c r="EX209" s="250"/>
      <c r="EY209" s="250"/>
      <c r="EZ209" s="250"/>
      <c r="FA209" s="250"/>
      <c r="FB209" s="250"/>
      <c r="FC209" s="250"/>
      <c r="FD209" s="250"/>
      <c r="FE209" s="250"/>
      <c r="FF209" s="250"/>
      <c r="FG209" s="250"/>
      <c r="FH209" s="250"/>
      <c r="FI209" s="250"/>
      <c r="FJ209" s="250"/>
      <c r="FK209" s="250"/>
      <c r="FL209" s="250"/>
      <c r="FM209" s="250"/>
      <c r="FN209" s="250"/>
      <c r="FO209" s="250"/>
      <c r="FP209" s="250"/>
      <c r="FQ209" s="250"/>
      <c r="FR209" s="250"/>
      <c r="FS209" s="250"/>
      <c r="FT209" s="250"/>
      <c r="FU209" s="250"/>
      <c r="FV209" s="250"/>
      <c r="FW209" s="250"/>
      <c r="FX209" s="250"/>
      <c r="FY209" s="250"/>
      <c r="FZ209" s="250"/>
      <c r="GA209" s="250"/>
      <c r="GB209" s="250"/>
      <c r="GC209" s="250"/>
      <c r="GD209" s="250"/>
      <c r="GE209" s="250"/>
      <c r="GF209" s="250"/>
      <c r="GG209" s="250"/>
      <c r="GH209" s="250"/>
      <c r="GI209" s="250"/>
      <c r="GJ209" s="250"/>
      <c r="GK209" s="250"/>
      <c r="GL209" s="250"/>
      <c r="GM209" s="250"/>
    </row>
    <row r="210" spans="1:195" s="103" customFormat="1" ht="13.8">
      <c r="A210" s="372"/>
      <c r="B210" s="312"/>
      <c r="C210" s="310"/>
      <c r="D210" s="101"/>
      <c r="E210" s="114" t="s">
        <v>376</v>
      </c>
      <c r="F210" s="115">
        <f>F219+F231+F236+F240</f>
        <v>113041.99999999999</v>
      </c>
      <c r="G210" s="115">
        <f>G219+G231+G236+G240</f>
        <v>119868.4</v>
      </c>
      <c r="H210" s="111">
        <f t="shared" si="15"/>
        <v>6826.4000000000087</v>
      </c>
      <c r="I210" s="227">
        <f t="shared" si="18"/>
        <v>6.0388174306894866E-2</v>
      </c>
      <c r="J210" s="1219"/>
      <c r="K210" s="141"/>
      <c r="L210" s="286"/>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250"/>
      <c r="BF210" s="250"/>
      <c r="BG210" s="250"/>
      <c r="BH210" s="250"/>
      <c r="BI210" s="250"/>
      <c r="BJ210" s="250"/>
      <c r="BK210" s="250"/>
      <c r="BL210" s="250"/>
      <c r="BM210" s="250"/>
      <c r="BN210" s="250"/>
      <c r="BO210" s="250"/>
      <c r="BP210" s="250"/>
      <c r="BQ210" s="250"/>
      <c r="BR210" s="250"/>
      <c r="BS210" s="250"/>
      <c r="BT210" s="250"/>
      <c r="BU210" s="250"/>
      <c r="BV210" s="250"/>
      <c r="BW210" s="250"/>
      <c r="BX210" s="250"/>
      <c r="BY210" s="250"/>
      <c r="BZ210" s="250"/>
      <c r="CA210" s="250"/>
      <c r="CB210" s="250"/>
      <c r="CC210" s="250"/>
      <c r="CD210" s="250"/>
      <c r="CE210" s="250"/>
      <c r="CF210" s="250"/>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250"/>
      <c r="DL210" s="250"/>
      <c r="DM210" s="250"/>
      <c r="DN210" s="250"/>
      <c r="DO210" s="250"/>
      <c r="DP210" s="250"/>
      <c r="DQ210" s="250"/>
      <c r="DR210" s="250"/>
      <c r="DS210" s="250"/>
      <c r="DT210" s="250"/>
      <c r="DU210" s="250"/>
      <c r="DV210" s="250"/>
      <c r="DW210" s="250"/>
      <c r="DX210" s="250"/>
      <c r="DY210" s="250"/>
      <c r="DZ210" s="250"/>
      <c r="EA210" s="250"/>
      <c r="EB210" s="250"/>
      <c r="EC210" s="250"/>
      <c r="ED210" s="250"/>
      <c r="EE210" s="250"/>
      <c r="EF210" s="250"/>
      <c r="EG210" s="250"/>
      <c r="EH210" s="250"/>
      <c r="EI210" s="250"/>
      <c r="EJ210" s="250"/>
      <c r="EK210" s="250"/>
      <c r="EL210" s="250"/>
      <c r="EM210" s="250"/>
      <c r="EN210" s="250"/>
      <c r="EO210" s="250"/>
      <c r="EP210" s="250"/>
      <c r="EQ210" s="250"/>
      <c r="ER210" s="250"/>
      <c r="ES210" s="250"/>
      <c r="ET210" s="250"/>
      <c r="EU210" s="250"/>
      <c r="EV210" s="250"/>
      <c r="EW210" s="250"/>
      <c r="EX210" s="250"/>
      <c r="EY210" s="250"/>
      <c r="EZ210" s="250"/>
      <c r="FA210" s="250"/>
      <c r="FB210" s="250"/>
      <c r="FC210" s="250"/>
      <c r="FD210" s="250"/>
      <c r="FE210" s="250"/>
      <c r="FF210" s="250"/>
      <c r="FG210" s="250"/>
      <c r="FH210" s="250"/>
      <c r="FI210" s="250"/>
      <c r="FJ210" s="250"/>
      <c r="FK210" s="250"/>
      <c r="FL210" s="250"/>
      <c r="FM210" s="250"/>
      <c r="FN210" s="250"/>
      <c r="FO210" s="250"/>
      <c r="FP210" s="250"/>
      <c r="FQ210" s="250"/>
      <c r="FR210" s="250"/>
      <c r="FS210" s="250"/>
      <c r="FT210" s="250"/>
      <c r="FU210" s="250"/>
      <c r="FV210" s="250"/>
      <c r="FW210" s="250"/>
      <c r="FX210" s="250"/>
      <c r="FY210" s="250"/>
      <c r="FZ210" s="250"/>
      <c r="GA210" s="250"/>
      <c r="GB210" s="250"/>
      <c r="GC210" s="250"/>
      <c r="GD210" s="250"/>
      <c r="GE210" s="250"/>
      <c r="GF210" s="250"/>
      <c r="GG210" s="250"/>
      <c r="GH210" s="250"/>
      <c r="GI210" s="250"/>
      <c r="GJ210" s="250"/>
      <c r="GK210" s="250"/>
      <c r="GL210" s="250"/>
      <c r="GM210" s="250"/>
    </row>
    <row r="211" spans="1:195" s="103" customFormat="1" ht="13.8">
      <c r="A211" s="372"/>
      <c r="B211" s="312"/>
      <c r="C211" s="310"/>
      <c r="D211" s="99"/>
      <c r="E211" s="109" t="s">
        <v>338</v>
      </c>
      <c r="F211" s="110">
        <f>F220+F234</f>
        <v>1018073</v>
      </c>
      <c r="G211" s="110">
        <f>G220+G234</f>
        <v>1228999</v>
      </c>
      <c r="H211" s="111">
        <f t="shared" si="15"/>
        <v>210926</v>
      </c>
      <c r="I211" s="227">
        <f t="shared" si="18"/>
        <v>0.20718160681994316</v>
      </c>
      <c r="J211" s="1219"/>
      <c r="K211" s="141"/>
      <c r="L211" s="286"/>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250"/>
      <c r="BF211" s="250"/>
      <c r="BG211" s="250"/>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0"/>
      <c r="DL211" s="250"/>
      <c r="DM211" s="250"/>
      <c r="DN211" s="250"/>
      <c r="DO211" s="250"/>
      <c r="DP211" s="250"/>
      <c r="DQ211" s="250"/>
      <c r="DR211" s="250"/>
      <c r="DS211" s="250"/>
      <c r="DT211" s="250"/>
      <c r="DU211" s="250"/>
      <c r="DV211" s="250"/>
      <c r="DW211" s="250"/>
      <c r="DX211" s="250"/>
      <c r="DY211" s="250"/>
      <c r="DZ211" s="250"/>
      <c r="EA211" s="250"/>
      <c r="EB211" s="250"/>
      <c r="EC211" s="250"/>
      <c r="ED211" s="250"/>
      <c r="EE211" s="250"/>
      <c r="EF211" s="250"/>
      <c r="EG211" s="250"/>
      <c r="EH211" s="250"/>
      <c r="EI211" s="250"/>
      <c r="EJ211" s="250"/>
      <c r="EK211" s="250"/>
      <c r="EL211" s="250"/>
      <c r="EM211" s="250"/>
      <c r="EN211" s="250"/>
      <c r="EO211" s="250"/>
      <c r="EP211" s="250"/>
      <c r="EQ211" s="250"/>
      <c r="ER211" s="250"/>
      <c r="ES211" s="250"/>
      <c r="ET211" s="250"/>
      <c r="EU211" s="250"/>
      <c r="EV211" s="250"/>
      <c r="EW211" s="250"/>
      <c r="EX211" s="250"/>
      <c r="EY211" s="250"/>
      <c r="EZ211" s="250"/>
      <c r="FA211" s="250"/>
      <c r="FB211" s="250"/>
      <c r="FC211" s="250"/>
      <c r="FD211" s="250"/>
      <c r="FE211" s="250"/>
      <c r="FF211" s="250"/>
      <c r="FG211" s="250"/>
      <c r="FH211" s="250"/>
      <c r="FI211" s="250"/>
      <c r="FJ211" s="250"/>
      <c r="FK211" s="250"/>
      <c r="FL211" s="250"/>
      <c r="FM211" s="250"/>
      <c r="FN211" s="250"/>
      <c r="FO211" s="250"/>
      <c r="FP211" s="250"/>
      <c r="FQ211" s="250"/>
      <c r="FR211" s="250"/>
      <c r="FS211" s="250"/>
      <c r="FT211" s="250"/>
      <c r="FU211" s="250"/>
      <c r="FV211" s="250"/>
      <c r="FW211" s="250"/>
      <c r="FX211" s="250"/>
      <c r="FY211" s="250"/>
      <c r="FZ211" s="250"/>
      <c r="GA211" s="250"/>
      <c r="GB211" s="250"/>
      <c r="GC211" s="250"/>
      <c r="GD211" s="250"/>
      <c r="GE211" s="250"/>
      <c r="GF211" s="250"/>
      <c r="GG211" s="250"/>
      <c r="GH211" s="250"/>
      <c r="GI211" s="250"/>
      <c r="GJ211" s="250"/>
      <c r="GK211" s="250"/>
      <c r="GL211" s="250"/>
      <c r="GM211" s="250"/>
    </row>
    <row r="212" spans="1:195" s="103" customFormat="1" ht="13.8">
      <c r="A212" s="372"/>
      <c r="B212" s="312"/>
      <c r="C212" s="310"/>
      <c r="D212" s="99"/>
      <c r="E212" s="109" t="s">
        <v>375</v>
      </c>
      <c r="F212" s="110">
        <f>F221+F233+F241</f>
        <v>1000</v>
      </c>
      <c r="G212" s="110">
        <f>G221+G233+G241</f>
        <v>1000</v>
      </c>
      <c r="H212" s="111">
        <f t="shared" si="15"/>
        <v>0</v>
      </c>
      <c r="I212" s="227">
        <f t="shared" si="18"/>
        <v>0</v>
      </c>
      <c r="J212" s="1219"/>
      <c r="K212" s="141"/>
      <c r="L212" s="286"/>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250"/>
      <c r="BF212" s="250"/>
      <c r="BG212" s="250"/>
      <c r="BH212" s="250"/>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0"/>
      <c r="DL212" s="250"/>
      <c r="DM212" s="250"/>
      <c r="DN212" s="250"/>
      <c r="DO212" s="250"/>
      <c r="DP212" s="250"/>
      <c r="DQ212" s="250"/>
      <c r="DR212" s="250"/>
      <c r="DS212" s="250"/>
      <c r="DT212" s="250"/>
      <c r="DU212" s="250"/>
      <c r="DV212" s="250"/>
      <c r="DW212" s="250"/>
      <c r="DX212" s="250"/>
      <c r="DY212" s="250"/>
      <c r="DZ212" s="250"/>
      <c r="EA212" s="250"/>
      <c r="EB212" s="250"/>
      <c r="EC212" s="250"/>
      <c r="ED212" s="250"/>
      <c r="EE212" s="250"/>
      <c r="EF212" s="250"/>
      <c r="EG212" s="250"/>
      <c r="EH212" s="250"/>
      <c r="EI212" s="250"/>
      <c r="EJ212" s="250"/>
      <c r="EK212" s="250"/>
      <c r="EL212" s="250"/>
      <c r="EM212" s="250"/>
      <c r="EN212" s="250"/>
      <c r="EO212" s="250"/>
      <c r="EP212" s="250"/>
      <c r="EQ212" s="250"/>
      <c r="ER212" s="250"/>
      <c r="ES212" s="250"/>
      <c r="ET212" s="250"/>
      <c r="EU212" s="250"/>
      <c r="EV212" s="250"/>
      <c r="EW212" s="250"/>
      <c r="EX212" s="250"/>
      <c r="EY212" s="250"/>
      <c r="EZ212" s="250"/>
      <c r="FA212" s="250"/>
      <c r="FB212" s="250"/>
      <c r="FC212" s="250"/>
      <c r="FD212" s="250"/>
      <c r="FE212" s="250"/>
      <c r="FF212" s="250"/>
      <c r="FG212" s="250"/>
      <c r="FH212" s="250"/>
      <c r="FI212" s="250"/>
      <c r="FJ212" s="250"/>
      <c r="FK212" s="250"/>
      <c r="FL212" s="250"/>
      <c r="FM212" s="250"/>
      <c r="FN212" s="250"/>
      <c r="FO212" s="250"/>
      <c r="FP212" s="250"/>
      <c r="FQ212" s="250"/>
      <c r="FR212" s="250"/>
      <c r="FS212" s="250"/>
      <c r="FT212" s="250"/>
      <c r="FU212" s="250"/>
      <c r="FV212" s="250"/>
      <c r="FW212" s="250"/>
      <c r="FX212" s="250"/>
      <c r="FY212" s="250"/>
      <c r="FZ212" s="250"/>
      <c r="GA212" s="250"/>
      <c r="GB212" s="250"/>
      <c r="GC212" s="250"/>
      <c r="GD212" s="250"/>
      <c r="GE212" s="250"/>
      <c r="GF212" s="250"/>
      <c r="GG212" s="250"/>
      <c r="GH212" s="250"/>
      <c r="GI212" s="250"/>
      <c r="GJ212" s="250"/>
      <c r="GK212" s="250"/>
      <c r="GL212" s="250"/>
      <c r="GM212" s="250"/>
    </row>
    <row r="213" spans="1:195" s="103" customFormat="1" ht="13.8">
      <c r="A213" s="372"/>
      <c r="B213" s="312"/>
      <c r="C213" s="310"/>
      <c r="D213" s="1050"/>
      <c r="E213" s="114" t="s">
        <v>1211</v>
      </c>
      <c r="F213" s="1543">
        <f>SUM(F222,F232,)</f>
        <v>14386</v>
      </c>
      <c r="G213" s="1543">
        <f>SUM(G222,G232,)</f>
        <v>13415</v>
      </c>
      <c r="H213" s="111">
        <f t="shared" ref="H213" si="19">G213-F213</f>
        <v>-971</v>
      </c>
      <c r="I213" s="227">
        <f t="shared" ref="I213" si="20">IFERROR(H213/F213,"-")</f>
        <v>-6.7496176838593075E-2</v>
      </c>
      <c r="J213" s="1529"/>
      <c r="K213" s="141"/>
      <c r="L213" s="286"/>
      <c r="M213" s="250"/>
      <c r="N213" s="250"/>
      <c r="O213" s="250"/>
      <c r="P213" s="250"/>
      <c r="Q213" s="250"/>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c r="AM213" s="250"/>
      <c r="AN213" s="250"/>
      <c r="AO213" s="250"/>
      <c r="AP213" s="250"/>
      <c r="AQ213" s="250"/>
      <c r="AR213" s="250"/>
      <c r="AS213" s="250"/>
      <c r="AT213" s="250"/>
      <c r="AU213" s="250"/>
      <c r="AV213" s="250"/>
      <c r="AW213" s="250"/>
      <c r="AX213" s="250"/>
      <c r="AY213" s="250"/>
      <c r="AZ213" s="250"/>
      <c r="BA213" s="250"/>
      <c r="BB213" s="250"/>
      <c r="BC213" s="250"/>
      <c r="BD213" s="250"/>
      <c r="BE213" s="250"/>
      <c r="BF213" s="250"/>
      <c r="BG213" s="250"/>
      <c r="BH213" s="250"/>
      <c r="BI213" s="250"/>
      <c r="BJ213" s="250"/>
      <c r="BK213" s="250"/>
      <c r="BL213" s="250"/>
      <c r="BM213" s="250"/>
      <c r="BN213" s="250"/>
      <c r="BO213" s="250"/>
      <c r="BP213" s="250"/>
      <c r="BQ213" s="250"/>
      <c r="BR213" s="250"/>
      <c r="BS213" s="250"/>
      <c r="BT213" s="250"/>
      <c r="BU213" s="250"/>
      <c r="BV213" s="250"/>
      <c r="BW213" s="250"/>
      <c r="BX213" s="250"/>
      <c r="BY213" s="250"/>
      <c r="BZ213" s="250"/>
      <c r="CA213" s="250"/>
      <c r="CB213" s="250"/>
      <c r="CC213" s="250"/>
      <c r="CD213" s="250"/>
      <c r="CE213" s="250"/>
      <c r="CF213" s="250"/>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250"/>
      <c r="DL213" s="250"/>
      <c r="DM213" s="250"/>
      <c r="DN213" s="250"/>
      <c r="DO213" s="250"/>
      <c r="DP213" s="250"/>
      <c r="DQ213" s="250"/>
      <c r="DR213" s="250"/>
      <c r="DS213" s="250"/>
      <c r="DT213" s="250"/>
      <c r="DU213" s="250"/>
      <c r="DV213" s="250"/>
      <c r="DW213" s="250"/>
      <c r="DX213" s="250"/>
      <c r="DY213" s="250"/>
      <c r="DZ213" s="250"/>
      <c r="EA213" s="250"/>
      <c r="EB213" s="250"/>
      <c r="EC213" s="250"/>
      <c r="ED213" s="250"/>
      <c r="EE213" s="250"/>
      <c r="EF213" s="250"/>
      <c r="EG213" s="250"/>
      <c r="EH213" s="250"/>
      <c r="EI213" s="250"/>
      <c r="EJ213" s="250"/>
      <c r="EK213" s="250"/>
      <c r="EL213" s="250"/>
      <c r="EM213" s="250"/>
      <c r="EN213" s="250"/>
      <c r="EO213" s="250"/>
      <c r="EP213" s="250"/>
      <c r="EQ213" s="250"/>
      <c r="ER213" s="250"/>
      <c r="ES213" s="250"/>
      <c r="ET213" s="250"/>
      <c r="EU213" s="250"/>
      <c r="EV213" s="250"/>
      <c r="EW213" s="250"/>
      <c r="EX213" s="250"/>
      <c r="EY213" s="250"/>
      <c r="EZ213" s="250"/>
      <c r="FA213" s="250"/>
      <c r="FB213" s="250"/>
      <c r="FC213" s="250"/>
      <c r="FD213" s="250"/>
      <c r="FE213" s="250"/>
      <c r="FF213" s="250"/>
      <c r="FG213" s="250"/>
      <c r="FH213" s="250"/>
      <c r="FI213" s="250"/>
      <c r="FJ213" s="250"/>
      <c r="FK213" s="250"/>
      <c r="FL213" s="250"/>
      <c r="FM213" s="250"/>
      <c r="FN213" s="250"/>
      <c r="FO213" s="250"/>
      <c r="FP213" s="250"/>
      <c r="FQ213" s="250"/>
      <c r="FR213" s="250"/>
      <c r="FS213" s="250"/>
      <c r="FT213" s="250"/>
      <c r="FU213" s="250"/>
      <c r="FV213" s="250"/>
      <c r="FW213" s="250"/>
      <c r="FX213" s="250"/>
      <c r="FY213" s="250"/>
      <c r="FZ213" s="250"/>
      <c r="GA213" s="250"/>
      <c r="GB213" s="250"/>
      <c r="GC213" s="250"/>
      <c r="GD213" s="250"/>
      <c r="GE213" s="250"/>
      <c r="GF213" s="250"/>
      <c r="GG213" s="250"/>
      <c r="GH213" s="250"/>
      <c r="GI213" s="250"/>
      <c r="GJ213" s="250"/>
      <c r="GK213" s="250"/>
      <c r="GL213" s="250"/>
      <c r="GM213" s="250"/>
    </row>
    <row r="214" spans="1:195" s="162" customFormat="1" ht="13.8">
      <c r="A214" s="372"/>
      <c r="B214" s="179"/>
      <c r="C214" s="248"/>
      <c r="D214" s="101"/>
      <c r="E214" s="164" t="s">
        <v>265</v>
      </c>
      <c r="F214" s="165">
        <f>F223+F225+F237</f>
        <v>593476</v>
      </c>
      <c r="G214" s="165">
        <f>G223+G225+G237</f>
        <v>647868.995</v>
      </c>
      <c r="H214" s="158">
        <f>G214-F214</f>
        <v>54392.994999999995</v>
      </c>
      <c r="I214" s="230">
        <f t="shared" si="18"/>
        <v>9.165154951506041E-2</v>
      </c>
      <c r="J214" s="1530"/>
      <c r="K214" s="155"/>
      <c r="L214" s="128"/>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c r="CG214" s="127"/>
      <c r="CH214" s="127"/>
      <c r="CI214" s="127"/>
      <c r="CJ214" s="127"/>
      <c r="CK214" s="127"/>
      <c r="CL214" s="127"/>
      <c r="CM214" s="127"/>
      <c r="CN214" s="127"/>
      <c r="CO214" s="127"/>
      <c r="CP214" s="127"/>
      <c r="CQ214" s="127"/>
      <c r="CR214" s="127"/>
      <c r="CS214" s="127"/>
      <c r="CT214" s="127"/>
      <c r="CU214" s="127"/>
      <c r="CV214" s="127"/>
      <c r="CW214" s="127"/>
      <c r="CX214" s="127"/>
      <c r="CY214" s="127"/>
      <c r="CZ214" s="127"/>
      <c r="DA214" s="127"/>
      <c r="DB214" s="127"/>
      <c r="DC214" s="127"/>
      <c r="DD214" s="127"/>
      <c r="DE214" s="127"/>
      <c r="DF214" s="127"/>
      <c r="DG214" s="127"/>
      <c r="DH214" s="127"/>
      <c r="DI214" s="127"/>
      <c r="DJ214" s="127"/>
      <c r="DK214" s="127"/>
      <c r="DL214" s="127"/>
      <c r="DM214" s="127"/>
      <c r="DN214" s="127"/>
      <c r="DO214" s="127"/>
      <c r="DP214" s="127"/>
      <c r="DQ214" s="127"/>
      <c r="DR214" s="127"/>
      <c r="DS214" s="127"/>
      <c r="DT214" s="127"/>
      <c r="DU214" s="127"/>
      <c r="DV214" s="127"/>
      <c r="DW214" s="127"/>
      <c r="DX214" s="127"/>
      <c r="DY214" s="127"/>
      <c r="DZ214" s="127"/>
      <c r="EA214" s="127"/>
      <c r="EB214" s="127"/>
      <c r="EC214" s="127"/>
      <c r="ED214" s="127"/>
      <c r="EE214" s="127"/>
      <c r="EF214" s="127"/>
      <c r="EG214" s="127"/>
      <c r="EH214" s="127"/>
      <c r="EI214" s="127"/>
      <c r="EJ214" s="127"/>
      <c r="EK214" s="127"/>
      <c r="EL214" s="127"/>
      <c r="EM214" s="127"/>
      <c r="EN214" s="127"/>
      <c r="EO214" s="127"/>
      <c r="EP214" s="127"/>
      <c r="EQ214" s="127"/>
      <c r="ER214" s="127"/>
      <c r="ES214" s="127"/>
      <c r="ET214" s="127"/>
      <c r="EU214" s="127"/>
      <c r="EV214" s="127"/>
      <c r="EW214" s="127"/>
      <c r="EX214" s="127"/>
      <c r="EY214" s="127"/>
      <c r="EZ214" s="127"/>
      <c r="FA214" s="127"/>
      <c r="FB214" s="127"/>
      <c r="FC214" s="127"/>
      <c r="FD214" s="127"/>
      <c r="FE214" s="127"/>
      <c r="FF214" s="127"/>
      <c r="FG214" s="127"/>
      <c r="FH214" s="127"/>
      <c r="FI214" s="127"/>
      <c r="FJ214" s="127"/>
      <c r="FK214" s="127"/>
      <c r="FL214" s="127"/>
      <c r="FM214" s="127"/>
      <c r="FN214" s="127"/>
      <c r="FO214" s="127"/>
      <c r="FP214" s="127"/>
      <c r="FQ214" s="127"/>
      <c r="FR214" s="127"/>
      <c r="FS214" s="127"/>
      <c r="FT214" s="127"/>
      <c r="FU214" s="127"/>
      <c r="FV214" s="127"/>
      <c r="FW214" s="127"/>
      <c r="FX214" s="127"/>
      <c r="FY214" s="127"/>
      <c r="FZ214" s="127"/>
      <c r="GA214" s="127"/>
      <c r="GB214" s="127"/>
      <c r="GC214" s="127"/>
      <c r="GD214" s="127"/>
      <c r="GE214" s="127"/>
      <c r="GF214" s="127"/>
      <c r="GG214" s="127"/>
      <c r="GH214" s="127"/>
      <c r="GI214" s="127"/>
      <c r="GJ214" s="127"/>
      <c r="GK214" s="127"/>
      <c r="GL214" s="127"/>
      <c r="GM214" s="127"/>
    </row>
    <row r="215" spans="1:195" s="166" customFormat="1" ht="13.8">
      <c r="A215" s="372"/>
      <c r="B215" s="179"/>
      <c r="C215" s="248"/>
      <c r="D215" s="1197"/>
      <c r="E215" s="164" t="s">
        <v>773</v>
      </c>
      <c r="F215" s="154">
        <f>F224+F242</f>
        <v>366810</v>
      </c>
      <c r="G215" s="154">
        <f>G224+G242</f>
        <v>453430</v>
      </c>
      <c r="H215" s="158">
        <f t="shared" si="15"/>
        <v>86620</v>
      </c>
      <c r="I215" s="230">
        <f t="shared" si="18"/>
        <v>0.23614405277936806</v>
      </c>
      <c r="J215" s="1219"/>
      <c r="K215" s="155"/>
      <c r="L215" s="283"/>
      <c r="M215" s="161"/>
      <c r="N215" s="161"/>
      <c r="O215" s="161"/>
      <c r="P215" s="161"/>
      <c r="Q215" s="161"/>
      <c r="R215" s="16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1"/>
      <c r="BC215" s="161"/>
      <c r="BD215" s="161"/>
      <c r="BE215" s="161"/>
      <c r="BF215" s="161"/>
      <c r="BG215" s="161"/>
      <c r="BH215" s="161"/>
      <c r="BI215" s="161"/>
      <c r="BJ215" s="161"/>
      <c r="BK215" s="161"/>
      <c r="BL215" s="161"/>
      <c r="BM215" s="161"/>
      <c r="BN215" s="161"/>
      <c r="BO215" s="161"/>
      <c r="BP215" s="161"/>
      <c r="BQ215" s="161"/>
      <c r="BR215" s="161"/>
      <c r="BS215" s="161"/>
      <c r="BT215" s="161"/>
      <c r="BU215" s="161"/>
      <c r="BV215" s="161"/>
      <c r="BW215" s="161"/>
      <c r="BX215" s="161"/>
      <c r="BY215" s="161"/>
      <c r="BZ215" s="161"/>
      <c r="CA215" s="161"/>
      <c r="CB215" s="161"/>
      <c r="CC215" s="161"/>
      <c r="CD215" s="161"/>
      <c r="CE215" s="161"/>
      <c r="CF215" s="161"/>
      <c r="CG215" s="161"/>
      <c r="CH215" s="161"/>
      <c r="CI215" s="161"/>
      <c r="CJ215" s="161"/>
      <c r="CK215" s="161"/>
      <c r="CL215" s="161"/>
      <c r="CM215" s="161"/>
      <c r="CN215" s="161"/>
      <c r="CO215" s="161"/>
      <c r="CP215" s="161"/>
      <c r="CQ215" s="161"/>
      <c r="CR215" s="161"/>
      <c r="CS215" s="161"/>
      <c r="CT215" s="161"/>
      <c r="CU215" s="161"/>
      <c r="CV215" s="161"/>
      <c r="CW215" s="161"/>
      <c r="CX215" s="161"/>
      <c r="CY215" s="161"/>
      <c r="CZ215" s="161"/>
      <c r="DA215" s="161"/>
      <c r="DB215" s="161"/>
      <c r="DC215" s="161"/>
      <c r="DD215" s="161"/>
      <c r="DE215" s="161"/>
      <c r="DF215" s="161"/>
      <c r="DG215" s="161"/>
      <c r="DH215" s="161"/>
      <c r="DI215" s="161"/>
      <c r="DJ215" s="161"/>
      <c r="DK215" s="161"/>
      <c r="DL215" s="161"/>
      <c r="DM215" s="161"/>
      <c r="DN215" s="161"/>
      <c r="DO215" s="161"/>
      <c r="DP215" s="161"/>
      <c r="DQ215" s="161"/>
      <c r="DR215" s="161"/>
      <c r="DS215" s="161"/>
      <c r="DT215" s="161"/>
      <c r="DU215" s="161"/>
      <c r="DV215" s="161"/>
      <c r="DW215" s="161"/>
      <c r="DX215" s="161"/>
      <c r="DY215" s="161"/>
      <c r="DZ215" s="161"/>
      <c r="EA215" s="161"/>
      <c r="EB215" s="161"/>
      <c r="EC215" s="161"/>
      <c r="ED215" s="161"/>
      <c r="EE215" s="161"/>
      <c r="EF215" s="161"/>
      <c r="EG215" s="161"/>
      <c r="EH215" s="161"/>
      <c r="EI215" s="161"/>
      <c r="EJ215" s="161"/>
      <c r="EK215" s="161"/>
      <c r="EL215" s="161"/>
      <c r="EM215" s="161"/>
      <c r="EN215" s="161"/>
      <c r="EO215" s="161"/>
      <c r="EP215" s="161"/>
      <c r="EQ215" s="161"/>
      <c r="ER215" s="161"/>
      <c r="ES215" s="161"/>
      <c r="ET215" s="161"/>
      <c r="EU215" s="161"/>
      <c r="EV215" s="161"/>
      <c r="EW215" s="161"/>
      <c r="EX215" s="161"/>
      <c r="EY215" s="161"/>
      <c r="EZ215" s="161"/>
      <c r="FA215" s="161"/>
      <c r="FB215" s="161"/>
      <c r="FC215" s="161"/>
      <c r="FD215" s="161"/>
      <c r="FE215" s="161"/>
      <c r="FF215" s="161"/>
      <c r="FG215" s="161"/>
      <c r="FH215" s="161"/>
      <c r="FI215" s="161"/>
      <c r="FJ215" s="161"/>
      <c r="FK215" s="161"/>
      <c r="FL215" s="161"/>
      <c r="FM215" s="161"/>
      <c r="FN215" s="161"/>
      <c r="FO215" s="161"/>
      <c r="FP215" s="161"/>
      <c r="FQ215" s="161"/>
      <c r="FR215" s="161"/>
      <c r="FS215" s="161"/>
      <c r="FT215" s="161"/>
      <c r="FU215" s="161"/>
      <c r="FV215" s="161"/>
      <c r="FW215" s="161"/>
      <c r="FX215" s="161"/>
      <c r="FY215" s="161"/>
      <c r="FZ215" s="161"/>
      <c r="GA215" s="161"/>
      <c r="GB215" s="161"/>
      <c r="GC215" s="161"/>
      <c r="GD215" s="161"/>
      <c r="GE215" s="161"/>
      <c r="GF215" s="161"/>
      <c r="GG215" s="161"/>
      <c r="GH215" s="161"/>
      <c r="GI215" s="161"/>
      <c r="GJ215" s="161"/>
      <c r="GK215" s="161"/>
      <c r="GL215" s="161"/>
      <c r="GM215" s="161"/>
    </row>
    <row r="216" spans="1:195" s="166" customFormat="1" ht="13.8">
      <c r="A216" s="372"/>
      <c r="B216" s="179"/>
      <c r="C216" s="248"/>
      <c r="D216" s="1197"/>
      <c r="E216" s="164" t="s">
        <v>691</v>
      </c>
      <c r="F216" s="154"/>
      <c r="G216" s="154"/>
      <c r="H216" s="158">
        <f>G216-F216</f>
        <v>0</v>
      </c>
      <c r="I216" s="230" t="str">
        <f t="shared" si="18"/>
        <v>-</v>
      </c>
      <c r="J216" s="1516"/>
      <c r="K216" s="155"/>
      <c r="L216" s="283"/>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61"/>
      <c r="AZ216" s="161"/>
      <c r="BA216" s="161"/>
      <c r="BB216" s="161"/>
      <c r="BC216" s="161"/>
      <c r="BD216" s="161"/>
      <c r="BE216" s="161"/>
      <c r="BF216" s="161"/>
      <c r="BG216" s="161"/>
      <c r="BH216" s="161"/>
      <c r="BI216" s="161"/>
      <c r="BJ216" s="161"/>
      <c r="BK216" s="161"/>
      <c r="BL216" s="161"/>
      <c r="BM216" s="161"/>
      <c r="BN216" s="161"/>
      <c r="BO216" s="161"/>
      <c r="BP216" s="161"/>
      <c r="BQ216" s="161"/>
      <c r="BR216" s="161"/>
      <c r="BS216" s="161"/>
      <c r="BT216" s="161"/>
      <c r="BU216" s="161"/>
      <c r="BV216" s="161"/>
      <c r="BW216" s="161"/>
      <c r="BX216" s="161"/>
      <c r="BY216" s="161"/>
      <c r="BZ216" s="161"/>
      <c r="CA216" s="161"/>
      <c r="CB216" s="161"/>
      <c r="CC216" s="161"/>
      <c r="CD216" s="161"/>
      <c r="CE216" s="161"/>
      <c r="CF216" s="161"/>
      <c r="CG216" s="161"/>
      <c r="CH216" s="161"/>
      <c r="CI216" s="161"/>
      <c r="CJ216" s="161"/>
      <c r="CK216" s="161"/>
      <c r="CL216" s="161"/>
      <c r="CM216" s="161"/>
      <c r="CN216" s="161"/>
      <c r="CO216" s="161"/>
      <c r="CP216" s="161"/>
      <c r="CQ216" s="161"/>
      <c r="CR216" s="161"/>
      <c r="CS216" s="161"/>
      <c r="CT216" s="161"/>
      <c r="CU216" s="161"/>
      <c r="CV216" s="161"/>
      <c r="CW216" s="161"/>
      <c r="CX216" s="161"/>
      <c r="CY216" s="161"/>
      <c r="CZ216" s="161"/>
      <c r="DA216" s="161"/>
      <c r="DB216" s="161"/>
      <c r="DC216" s="161"/>
      <c r="DD216" s="161"/>
      <c r="DE216" s="161"/>
      <c r="DF216" s="161"/>
      <c r="DG216" s="161"/>
      <c r="DH216" s="161"/>
      <c r="DI216" s="161"/>
      <c r="DJ216" s="161"/>
      <c r="DK216" s="161"/>
      <c r="DL216" s="161"/>
      <c r="DM216" s="161"/>
      <c r="DN216" s="161"/>
      <c r="DO216" s="161"/>
      <c r="DP216" s="161"/>
      <c r="DQ216" s="161"/>
      <c r="DR216" s="161"/>
      <c r="DS216" s="161"/>
      <c r="DT216" s="161"/>
      <c r="DU216" s="161"/>
      <c r="DV216" s="161"/>
      <c r="DW216" s="161"/>
      <c r="DX216" s="161"/>
      <c r="DY216" s="161"/>
      <c r="DZ216" s="161"/>
      <c r="EA216" s="161"/>
      <c r="EB216" s="161"/>
      <c r="EC216" s="161"/>
      <c r="ED216" s="161"/>
      <c r="EE216" s="161"/>
      <c r="EF216" s="161"/>
      <c r="EG216" s="161"/>
      <c r="EH216" s="161"/>
      <c r="EI216" s="161"/>
      <c r="EJ216" s="161"/>
      <c r="EK216" s="161"/>
      <c r="EL216" s="161"/>
      <c r="EM216" s="161"/>
      <c r="EN216" s="161"/>
      <c r="EO216" s="161"/>
      <c r="EP216" s="161"/>
      <c r="EQ216" s="161"/>
      <c r="ER216" s="161"/>
      <c r="ES216" s="161"/>
      <c r="ET216" s="161"/>
      <c r="EU216" s="161"/>
      <c r="EV216" s="161"/>
      <c r="EW216" s="161"/>
      <c r="EX216" s="161"/>
      <c r="EY216" s="161"/>
      <c r="EZ216" s="161"/>
      <c r="FA216" s="161"/>
      <c r="FB216" s="161"/>
      <c r="FC216" s="161"/>
      <c r="FD216" s="161"/>
      <c r="FE216" s="161"/>
      <c r="FF216" s="161"/>
      <c r="FG216" s="161"/>
      <c r="FH216" s="161"/>
      <c r="FI216" s="161"/>
      <c r="FJ216" s="161"/>
      <c r="FK216" s="161"/>
      <c r="FL216" s="161"/>
      <c r="FM216" s="161"/>
      <c r="FN216" s="161"/>
      <c r="FO216" s="161"/>
      <c r="FP216" s="161"/>
      <c r="FQ216" s="161"/>
      <c r="FR216" s="161"/>
      <c r="FS216" s="161"/>
      <c r="FT216" s="161"/>
      <c r="FU216" s="161"/>
      <c r="FV216" s="161"/>
      <c r="FW216" s="161"/>
      <c r="FX216" s="161"/>
      <c r="FY216" s="161"/>
      <c r="FZ216" s="161"/>
      <c r="GA216" s="161"/>
      <c r="GB216" s="161"/>
      <c r="GC216" s="161"/>
      <c r="GD216" s="161"/>
      <c r="GE216" s="161"/>
      <c r="GF216" s="161"/>
      <c r="GG216" s="161"/>
      <c r="GH216" s="161"/>
      <c r="GI216" s="161"/>
      <c r="GJ216" s="161"/>
      <c r="GK216" s="161"/>
      <c r="GL216" s="161"/>
      <c r="GM216" s="161"/>
    </row>
    <row r="217" spans="1:195" ht="13.8">
      <c r="D217" s="38" t="s">
        <v>27</v>
      </c>
      <c r="E217" s="39" t="s">
        <v>388</v>
      </c>
      <c r="F217" s="91">
        <f>F218+F219+F220+F221+F222+F226+F227+F228</f>
        <v>1712033.0341129601</v>
      </c>
      <c r="G217" s="91">
        <f>G218+G219+G220+G221+G222+G226+G227+G228</f>
        <v>1960814.87565216</v>
      </c>
      <c r="H217" s="33">
        <f t="shared" si="15"/>
        <v>248781.84153919993</v>
      </c>
      <c r="I217" s="222">
        <f t="shared" si="18"/>
        <v>0.14531369230740279</v>
      </c>
      <c r="J217" s="1523"/>
      <c r="K217" s="72"/>
    </row>
    <row r="218" spans="1:195" s="8" customFormat="1" ht="13.8" hidden="1" outlineLevel="1">
      <c r="A218" s="179" t="s">
        <v>430</v>
      </c>
      <c r="B218" s="179" t="s">
        <v>436</v>
      </c>
      <c r="C218" s="248"/>
      <c r="D218" s="99"/>
      <c r="E218" s="59" t="s">
        <v>436</v>
      </c>
      <c r="F218" s="92">
        <f>SUMIFS(INPUT!$H:$H,INPUT!$E:$E,BAZE_2026!$A218,INPUT!$B:$B,BAZE_2026!$B218)</f>
        <v>579114.83411296015</v>
      </c>
      <c r="G218" s="92">
        <f>SUMIFS(INPUT!$L:$L,INPUT!$E:$E,BAZE_2026!$A218,INPUT!$B:$B,BAZE_2026!$B218)</f>
        <v>602104.22535216005</v>
      </c>
      <c r="H218" s="48">
        <f t="shared" si="15"/>
        <v>22989.391239199904</v>
      </c>
      <c r="I218" s="232">
        <f t="shared" si="18"/>
        <v>3.9697465657934902E-2</v>
      </c>
      <c r="J218" s="1219"/>
      <c r="K218" s="72"/>
      <c r="L218" s="12"/>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row>
    <row r="219" spans="1:195" s="8" customFormat="1" ht="41.4" hidden="1" outlineLevel="1">
      <c r="A219" s="179" t="s">
        <v>430</v>
      </c>
      <c r="B219" s="179" t="s">
        <v>772</v>
      </c>
      <c r="C219" s="248"/>
      <c r="D219" s="101"/>
      <c r="E219" s="65" t="s">
        <v>376</v>
      </c>
      <c r="F219" s="92">
        <f>SUMIFS(INPUT!$H:$H,INPUT!$E:$E,BAZE_2026!$A219,INPUT!$B:$B,BAZE_2026!$B219)</f>
        <v>59873.2</v>
      </c>
      <c r="G219" s="92">
        <f>SUMIFS(INPUT!$L:$L,INPUT!$E:$E,BAZE_2026!$A219,INPUT!$B:$B,BAZE_2026!$B219)</f>
        <v>62337.599999999999</v>
      </c>
      <c r="H219" s="48">
        <f t="shared" si="15"/>
        <v>2464.4000000000015</v>
      </c>
      <c r="I219" s="232">
        <f t="shared" si="18"/>
        <v>4.1160318807078988E-2</v>
      </c>
      <c r="J219" s="2601" t="s">
        <v>5147</v>
      </c>
      <c r="K219" s="54"/>
      <c r="L219" s="135"/>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row>
    <row r="220" spans="1:195" s="8" customFormat="1" ht="13.8" hidden="1" outlineLevel="1">
      <c r="A220" s="179" t="s">
        <v>430</v>
      </c>
      <c r="B220" s="179" t="s">
        <v>338</v>
      </c>
      <c r="C220" s="248"/>
      <c r="D220" s="99"/>
      <c r="E220" s="59" t="s">
        <v>338</v>
      </c>
      <c r="F220" s="92">
        <f>SUMIFS(INPUT!$H:$H,INPUT!$E:$E,BAZE_2026!$A220,INPUT!$B:$B,BAZE_2026!$B220)</f>
        <v>1018073</v>
      </c>
      <c r="G220" s="92">
        <f>SUMIFS(INPUT!$L:$L,INPUT!$E:$E,BAZE_2026!$A220,INPUT!$B:$B,BAZE_2026!$B220)-53930</f>
        <v>1228999</v>
      </c>
      <c r="H220" s="48">
        <f>G220-F220</f>
        <v>210926</v>
      </c>
      <c r="I220" s="232">
        <f t="shared" si="18"/>
        <v>0.20718160681994316</v>
      </c>
      <c r="J220" s="2601" t="s">
        <v>5148</v>
      </c>
      <c r="K220" s="72"/>
      <c r="L220" s="12"/>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row>
    <row r="221" spans="1:195" s="8" customFormat="1" ht="13.8" hidden="1" outlineLevel="1">
      <c r="A221" s="179" t="s">
        <v>430</v>
      </c>
      <c r="B221" s="179" t="s">
        <v>774</v>
      </c>
      <c r="C221" s="248"/>
      <c r="D221" s="99"/>
      <c r="E221" s="59" t="s">
        <v>375</v>
      </c>
      <c r="F221" s="92">
        <f>SUMIFS(INPUT!$H:$H,INPUT!$E:$E,BAZE_2026!$A221,INPUT!$B:$B,BAZE_2026!$B221)</f>
        <v>0</v>
      </c>
      <c r="G221" s="92">
        <f>SUMIFS(INPUT!$L:$L,INPUT!$E:$E,BAZE_2026!$A221,INPUT!$B:$B,BAZE_2026!$B221)</f>
        <v>0</v>
      </c>
      <c r="H221" s="48">
        <f t="shared" si="15"/>
        <v>0</v>
      </c>
      <c r="I221" s="232" t="str">
        <f t="shared" si="18"/>
        <v>-</v>
      </c>
      <c r="J221" s="1219"/>
      <c r="K221" s="72"/>
      <c r="L221" s="12"/>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row>
    <row r="222" spans="1:195" s="8" customFormat="1" ht="13.8" hidden="1" outlineLevel="1">
      <c r="A222" s="179" t="s">
        <v>430</v>
      </c>
      <c r="B222" s="372" t="s">
        <v>1211</v>
      </c>
      <c r="C222" s="248"/>
      <c r="D222" s="1050"/>
      <c r="E222" s="1134" t="s">
        <v>1211</v>
      </c>
      <c r="F222" s="92">
        <f>SUMIFS(INPUT!$H:$H,INPUT!$E:$E,BAZE_2026!$A222,INPUT!$B:$B,BAZE_2026!$B222)</f>
        <v>1722</v>
      </c>
      <c r="G222" s="92">
        <f>SUMIFS(INPUT!$L:$L,INPUT!$E:$E,BAZE_2026!$A222,INPUT!$B:$B,BAZE_2026!$B222)</f>
        <v>1766</v>
      </c>
      <c r="H222" s="48">
        <f>G222-F222</f>
        <v>44</v>
      </c>
      <c r="I222" s="232">
        <f>IFERROR(H222/F222,"-")</f>
        <v>2.5551684088269456E-2</v>
      </c>
      <c r="J222" s="1529"/>
      <c r="K222" s="72"/>
      <c r="L222" s="1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row>
    <row r="223" spans="1:195" s="166" customFormat="1" ht="13.8" hidden="1" outlineLevel="1">
      <c r="A223" s="315" t="s">
        <v>430</v>
      </c>
      <c r="B223" s="315" t="s">
        <v>326</v>
      </c>
      <c r="C223" s="316"/>
      <c r="D223" s="2926"/>
      <c r="E223" s="164" t="s">
        <v>265</v>
      </c>
      <c r="F223" s="154">
        <f>SUMIFS(INPUT!$H:$H,INPUT!$E:$E,BAZE_2026!$A223,INPUT!$B:$B,BAZE_2026!$B223)</f>
        <v>0</v>
      </c>
      <c r="G223" s="154">
        <f>SUMIFS(INPUT!$L:$L,INPUT!$E:$E,BAZE_2026!$A223,INPUT!$B:$B,BAZE_2026!$B223)</f>
        <v>0</v>
      </c>
      <c r="H223" s="158">
        <f t="shared" si="15"/>
        <v>0</v>
      </c>
      <c r="I223" s="230" t="str">
        <f t="shared" si="18"/>
        <v>-</v>
      </c>
      <c r="J223" s="2936"/>
      <c r="K223" s="317"/>
      <c r="L223" s="283"/>
      <c r="M223" s="161"/>
      <c r="N223" s="161"/>
      <c r="O223" s="161"/>
      <c r="P223" s="161"/>
      <c r="Q223" s="161"/>
      <c r="R223" s="161"/>
      <c r="S223" s="161"/>
      <c r="T223" s="161"/>
      <c r="U223" s="161"/>
      <c r="V223" s="161"/>
      <c r="W223" s="161"/>
      <c r="X223" s="161"/>
      <c r="Y223" s="161"/>
      <c r="Z223" s="161"/>
      <c r="AA223" s="161"/>
      <c r="AB223" s="161"/>
      <c r="AC223" s="161"/>
      <c r="AD223" s="161"/>
      <c r="AE223" s="161"/>
      <c r="AF223" s="161"/>
      <c r="AG223" s="161"/>
      <c r="AH223" s="161"/>
      <c r="AI223" s="161"/>
      <c r="AJ223" s="161"/>
      <c r="AK223" s="161"/>
      <c r="AL223" s="161"/>
      <c r="AM223" s="161"/>
      <c r="AN223" s="161"/>
      <c r="AO223" s="161"/>
      <c r="AP223" s="161"/>
      <c r="AQ223" s="161"/>
      <c r="AR223" s="161"/>
      <c r="AS223" s="161"/>
      <c r="AT223" s="161"/>
      <c r="AU223" s="161"/>
      <c r="AV223" s="161"/>
      <c r="AW223" s="161"/>
      <c r="AX223" s="161"/>
      <c r="AY223" s="161"/>
      <c r="AZ223" s="161"/>
      <c r="BA223" s="161"/>
      <c r="BB223" s="161"/>
      <c r="BC223" s="161"/>
      <c r="BD223" s="161"/>
      <c r="BE223" s="161"/>
      <c r="BF223" s="161"/>
      <c r="BG223" s="161"/>
      <c r="BH223" s="161"/>
      <c r="BI223" s="161"/>
      <c r="BJ223" s="161"/>
      <c r="BK223" s="161"/>
      <c r="BL223" s="161"/>
      <c r="BM223" s="161"/>
      <c r="BN223" s="161"/>
      <c r="BO223" s="161"/>
      <c r="BP223" s="161"/>
      <c r="BQ223" s="161"/>
      <c r="BR223" s="161"/>
      <c r="BS223" s="161"/>
      <c r="BT223" s="161"/>
      <c r="BU223" s="161"/>
      <c r="BV223" s="161"/>
      <c r="BW223" s="161"/>
      <c r="BX223" s="161"/>
      <c r="BY223" s="161"/>
      <c r="BZ223" s="161"/>
      <c r="CA223" s="161"/>
      <c r="CB223" s="161"/>
      <c r="CC223" s="161"/>
      <c r="CD223" s="161"/>
      <c r="CE223" s="161"/>
      <c r="CF223" s="161"/>
      <c r="CG223" s="161"/>
      <c r="CH223" s="161"/>
      <c r="CI223" s="161"/>
      <c r="CJ223" s="161"/>
      <c r="CK223" s="161"/>
      <c r="CL223" s="161"/>
      <c r="CM223" s="161"/>
      <c r="CN223" s="161"/>
      <c r="CO223" s="161"/>
      <c r="CP223" s="161"/>
      <c r="CQ223" s="161"/>
      <c r="CR223" s="161"/>
      <c r="CS223" s="161"/>
      <c r="CT223" s="161"/>
      <c r="CU223" s="161"/>
      <c r="CV223" s="161"/>
      <c r="CW223" s="161"/>
      <c r="CX223" s="161"/>
      <c r="CY223" s="161"/>
      <c r="CZ223" s="161"/>
      <c r="DA223" s="161"/>
      <c r="DB223" s="161"/>
      <c r="DC223" s="161"/>
      <c r="DD223" s="161"/>
      <c r="DE223" s="161"/>
      <c r="DF223" s="161"/>
      <c r="DG223" s="161"/>
      <c r="DH223" s="161"/>
      <c r="DI223" s="161"/>
      <c r="DJ223" s="161"/>
      <c r="DK223" s="161"/>
      <c r="DL223" s="161"/>
      <c r="DM223" s="161"/>
      <c r="DN223" s="161"/>
      <c r="DO223" s="161"/>
      <c r="DP223" s="161"/>
      <c r="DQ223" s="161"/>
      <c r="DR223" s="161"/>
      <c r="DS223" s="161"/>
      <c r="DT223" s="161"/>
      <c r="DU223" s="161"/>
      <c r="DV223" s="161"/>
      <c r="DW223" s="161"/>
      <c r="DX223" s="161"/>
      <c r="DY223" s="161"/>
      <c r="DZ223" s="161"/>
      <c r="EA223" s="161"/>
      <c r="EB223" s="161"/>
      <c r="EC223" s="161"/>
      <c r="ED223" s="161"/>
      <c r="EE223" s="161"/>
      <c r="EF223" s="161"/>
      <c r="EG223" s="161"/>
      <c r="EH223" s="161"/>
      <c r="EI223" s="161"/>
      <c r="EJ223" s="161"/>
      <c r="EK223" s="161"/>
      <c r="EL223" s="161"/>
      <c r="EM223" s="161"/>
      <c r="EN223" s="161"/>
      <c r="EO223" s="161"/>
      <c r="EP223" s="161"/>
      <c r="EQ223" s="161"/>
      <c r="ER223" s="161"/>
      <c r="ES223" s="161"/>
      <c r="ET223" s="161"/>
      <c r="EU223" s="161"/>
      <c r="EV223" s="161"/>
      <c r="EW223" s="161"/>
      <c r="EX223" s="161"/>
      <c r="EY223" s="161"/>
      <c r="EZ223" s="161"/>
      <c r="FA223" s="161"/>
      <c r="FB223" s="161"/>
      <c r="FC223" s="161"/>
      <c r="FD223" s="161"/>
      <c r="FE223" s="161"/>
      <c r="FF223" s="161"/>
      <c r="FG223" s="161"/>
      <c r="FH223" s="161"/>
      <c r="FI223" s="161"/>
      <c r="FJ223" s="161"/>
      <c r="FK223" s="161"/>
      <c r="FL223" s="161"/>
      <c r="FM223" s="161"/>
      <c r="FN223" s="161"/>
      <c r="FO223" s="161"/>
      <c r="FP223" s="161"/>
      <c r="FQ223" s="161"/>
      <c r="FR223" s="161"/>
      <c r="FS223" s="161"/>
      <c r="FT223" s="161"/>
      <c r="FU223" s="161"/>
      <c r="FV223" s="161"/>
      <c r="FW223" s="161"/>
      <c r="FX223" s="161"/>
      <c r="FY223" s="161"/>
      <c r="FZ223" s="161"/>
      <c r="GA223" s="161"/>
      <c r="GB223" s="161"/>
      <c r="GC223" s="161"/>
      <c r="GD223" s="161"/>
      <c r="GE223" s="161"/>
      <c r="GF223" s="161"/>
      <c r="GG223" s="161"/>
      <c r="GH223" s="161"/>
      <c r="GI223" s="161"/>
      <c r="GJ223" s="161"/>
      <c r="GK223" s="161"/>
      <c r="GL223" s="161"/>
      <c r="GM223" s="161"/>
    </row>
    <row r="224" spans="1:195" s="166" customFormat="1" ht="13.8" hidden="1" outlineLevel="1">
      <c r="A224" s="315" t="s">
        <v>430</v>
      </c>
      <c r="B224" s="315" t="s">
        <v>773</v>
      </c>
      <c r="C224" s="316"/>
      <c r="D224" s="2919"/>
      <c r="E224" s="164" t="s">
        <v>773</v>
      </c>
      <c r="F224" s="154">
        <f>SUMIFS(INPUT!$H:$H,INPUT!$E:$E,BAZE_2026!$A224,INPUT!$B:$B,BAZE_2026!$B224)</f>
        <v>366810</v>
      </c>
      <c r="G224" s="154">
        <f>SUMIFS(INPUT!$L:$L,INPUT!$E:$E,BAZE_2026!$A224,INPUT!$B:$B,BAZE_2026!$B224)</f>
        <v>453430</v>
      </c>
      <c r="H224" s="158">
        <f t="shared" si="15"/>
        <v>86620</v>
      </c>
      <c r="I224" s="230">
        <f t="shared" si="18"/>
        <v>0.23614405277936806</v>
      </c>
      <c r="J224" s="2937"/>
      <c r="K224" s="317"/>
      <c r="L224" s="283"/>
      <c r="M224" s="161"/>
      <c r="N224" s="161"/>
      <c r="O224" s="161"/>
      <c r="P224" s="161"/>
      <c r="Q224" s="161"/>
      <c r="R224" s="161"/>
      <c r="S224" s="161"/>
      <c r="T224" s="161"/>
      <c r="U224" s="161"/>
      <c r="V224" s="161"/>
      <c r="W224" s="161"/>
      <c r="X224" s="161"/>
      <c r="Y224" s="161"/>
      <c r="Z224" s="161"/>
      <c r="AA224" s="161"/>
      <c r="AB224" s="161"/>
      <c r="AC224" s="161"/>
      <c r="AD224" s="161"/>
      <c r="AE224" s="161"/>
      <c r="AF224" s="161"/>
      <c r="AG224" s="161"/>
      <c r="AH224" s="161"/>
      <c r="AI224" s="161"/>
      <c r="AJ224" s="161"/>
      <c r="AK224" s="161"/>
      <c r="AL224" s="161"/>
      <c r="AM224" s="161"/>
      <c r="AN224" s="161"/>
      <c r="AO224" s="161"/>
      <c r="AP224" s="161"/>
      <c r="AQ224" s="161"/>
      <c r="AR224" s="161"/>
      <c r="AS224" s="161"/>
      <c r="AT224" s="161"/>
      <c r="AU224" s="161"/>
      <c r="AV224" s="161"/>
      <c r="AW224" s="161"/>
      <c r="AX224" s="161"/>
      <c r="AY224" s="161"/>
      <c r="AZ224" s="161"/>
      <c r="BA224" s="161"/>
      <c r="BB224" s="161"/>
      <c r="BC224" s="161"/>
      <c r="BD224" s="161"/>
      <c r="BE224" s="161"/>
      <c r="BF224" s="161"/>
      <c r="BG224" s="161"/>
      <c r="BH224" s="161"/>
      <c r="BI224" s="161"/>
      <c r="BJ224" s="161"/>
      <c r="BK224" s="161"/>
      <c r="BL224" s="161"/>
      <c r="BM224" s="161"/>
      <c r="BN224" s="161"/>
      <c r="BO224" s="161"/>
      <c r="BP224" s="161"/>
      <c r="BQ224" s="161"/>
      <c r="BR224" s="161"/>
      <c r="BS224" s="161"/>
      <c r="BT224" s="161"/>
      <c r="BU224" s="161"/>
      <c r="BV224" s="161"/>
      <c r="BW224" s="161"/>
      <c r="BX224" s="161"/>
      <c r="BY224" s="161"/>
      <c r="BZ224" s="161"/>
      <c r="CA224" s="161"/>
      <c r="CB224" s="161"/>
      <c r="CC224" s="161"/>
      <c r="CD224" s="161"/>
      <c r="CE224" s="161"/>
      <c r="CF224" s="161"/>
      <c r="CG224" s="161"/>
      <c r="CH224" s="161"/>
      <c r="CI224" s="161"/>
      <c r="CJ224" s="161"/>
      <c r="CK224" s="161"/>
      <c r="CL224" s="161"/>
      <c r="CM224" s="161"/>
      <c r="CN224" s="161"/>
      <c r="CO224" s="161"/>
      <c r="CP224" s="161"/>
      <c r="CQ224" s="161"/>
      <c r="CR224" s="161"/>
      <c r="CS224" s="161"/>
      <c r="CT224" s="161"/>
      <c r="CU224" s="161"/>
      <c r="CV224" s="161"/>
      <c r="CW224" s="161"/>
      <c r="CX224" s="161"/>
      <c r="CY224" s="161"/>
      <c r="CZ224" s="161"/>
      <c r="DA224" s="161"/>
      <c r="DB224" s="161"/>
      <c r="DC224" s="161"/>
      <c r="DD224" s="161"/>
      <c r="DE224" s="161"/>
      <c r="DF224" s="161"/>
      <c r="DG224" s="161"/>
      <c r="DH224" s="161"/>
      <c r="DI224" s="161"/>
      <c r="DJ224" s="161"/>
      <c r="DK224" s="161"/>
      <c r="DL224" s="161"/>
      <c r="DM224" s="161"/>
      <c r="DN224" s="161"/>
      <c r="DO224" s="161"/>
      <c r="DP224" s="161"/>
      <c r="DQ224" s="161"/>
      <c r="DR224" s="161"/>
      <c r="DS224" s="161"/>
      <c r="DT224" s="161"/>
      <c r="DU224" s="161"/>
      <c r="DV224" s="161"/>
      <c r="DW224" s="161"/>
      <c r="DX224" s="161"/>
      <c r="DY224" s="161"/>
      <c r="DZ224" s="161"/>
      <c r="EA224" s="161"/>
      <c r="EB224" s="161"/>
      <c r="EC224" s="161"/>
      <c r="ED224" s="161"/>
      <c r="EE224" s="161"/>
      <c r="EF224" s="161"/>
      <c r="EG224" s="161"/>
      <c r="EH224" s="161"/>
      <c r="EI224" s="161"/>
      <c r="EJ224" s="161"/>
      <c r="EK224" s="161"/>
      <c r="EL224" s="161"/>
      <c r="EM224" s="161"/>
      <c r="EN224" s="161"/>
      <c r="EO224" s="161"/>
      <c r="EP224" s="161"/>
      <c r="EQ224" s="161"/>
      <c r="ER224" s="161"/>
      <c r="ES224" s="161"/>
      <c r="ET224" s="161"/>
      <c r="EU224" s="161"/>
      <c r="EV224" s="161"/>
      <c r="EW224" s="161"/>
      <c r="EX224" s="161"/>
      <c r="EY224" s="161"/>
      <c r="EZ224" s="161"/>
      <c r="FA224" s="161"/>
      <c r="FB224" s="161"/>
      <c r="FC224" s="161"/>
      <c r="FD224" s="161"/>
      <c r="FE224" s="161"/>
      <c r="FF224" s="161"/>
      <c r="FG224" s="161"/>
      <c r="FH224" s="161"/>
      <c r="FI224" s="161"/>
      <c r="FJ224" s="161"/>
      <c r="FK224" s="161"/>
      <c r="FL224" s="161"/>
      <c r="FM224" s="161"/>
      <c r="FN224" s="161"/>
      <c r="FO224" s="161"/>
      <c r="FP224" s="161"/>
      <c r="FQ224" s="161"/>
      <c r="FR224" s="161"/>
      <c r="FS224" s="161"/>
      <c r="FT224" s="161"/>
      <c r="FU224" s="161"/>
      <c r="FV224" s="161"/>
      <c r="FW224" s="161"/>
      <c r="FX224" s="161"/>
      <c r="FY224" s="161"/>
      <c r="FZ224" s="161"/>
      <c r="GA224" s="161"/>
      <c r="GB224" s="161"/>
      <c r="GC224" s="161"/>
      <c r="GD224" s="161"/>
      <c r="GE224" s="161"/>
      <c r="GF224" s="161"/>
      <c r="GG224" s="161"/>
      <c r="GH224" s="161"/>
      <c r="GI224" s="161"/>
      <c r="GJ224" s="161"/>
      <c r="GK224" s="161"/>
      <c r="GL224" s="161"/>
      <c r="GM224" s="161"/>
    </row>
    <row r="225" spans="1:195" s="161" customFormat="1" ht="13.8" hidden="1" outlineLevel="1">
      <c r="A225" s="315" t="s">
        <v>1965</v>
      </c>
      <c r="B225" s="315" t="s">
        <v>326</v>
      </c>
      <c r="C225" s="316"/>
      <c r="D225" s="2919"/>
      <c r="E225" s="2933" t="s">
        <v>345</v>
      </c>
      <c r="F225" s="154">
        <f>SUMIFS(INPUT!$H:$H,INPUT!$E:$E,BAZE_2026!$A225,INPUT!$B:$B,BAZE_2026!$B225)</f>
        <v>580000</v>
      </c>
      <c r="G225" s="154">
        <f>SUMIFS(INPUT!$L:$L,INPUT!$E:$E,BAZE_2026!$A225,INPUT!$B:$B,BAZE_2026!$B225)</f>
        <v>641999.995</v>
      </c>
      <c r="H225" s="158">
        <f t="shared" si="15"/>
        <v>61999.994999999995</v>
      </c>
      <c r="I225" s="230">
        <f t="shared" si="18"/>
        <v>0.10689654310344827</v>
      </c>
      <c r="J225" s="2928"/>
      <c r="K225" s="317"/>
      <c r="L225" s="283"/>
    </row>
    <row r="226" spans="1:195" s="16" customFormat="1" ht="13.8" hidden="1" outlineLevel="1">
      <c r="A226" s="179" t="s">
        <v>3317</v>
      </c>
      <c r="B226" s="179" t="s">
        <v>338</v>
      </c>
      <c r="C226" s="246"/>
      <c r="D226" s="58"/>
      <c r="E226" s="2934" t="s">
        <v>3360</v>
      </c>
      <c r="F226" s="92">
        <f>SUMIFS(INPUT!$H:$H,INPUT!$E:$E,BAZE_2026!$A226,INPUT!$B:$B,BAZE_2026!$B226)</f>
        <v>42600</v>
      </c>
      <c r="G226" s="92">
        <f>SUMIFS(INPUT!$L:$L,INPUT!$E:$E,BAZE_2026!$A226,INPUT!$B:$B,BAZE_2026!$B226)</f>
        <v>51371.453300000001</v>
      </c>
      <c r="H226" s="48">
        <f t="shared" ref="H226" si="21">G226-F226</f>
        <v>8771.453300000001</v>
      </c>
      <c r="I226" s="232">
        <f t="shared" ref="I226" si="22">IFERROR(H226/F226,"-")</f>
        <v>0.20590265962441318</v>
      </c>
      <c r="J226" s="2935"/>
      <c r="K226" s="423"/>
      <c r="L226" s="263"/>
    </row>
    <row r="227" spans="1:195" s="16" customFormat="1" ht="13.8" hidden="1" outlineLevel="1">
      <c r="A227" s="179" t="s">
        <v>2957</v>
      </c>
      <c r="B227" s="179" t="s">
        <v>338</v>
      </c>
      <c r="C227" s="246"/>
      <c r="D227" s="58"/>
      <c r="E227" s="2934" t="s">
        <v>3362</v>
      </c>
      <c r="F227" s="92">
        <f>SUMIFS(INPUT!$H:$H,INPUT!$E:$E,BAZE_2026!$A227,INPUT!$B:$B,BAZE_2026!$B227)</f>
        <v>3150</v>
      </c>
      <c r="G227" s="92">
        <f>SUMIFS(INPUT!$L:$L,INPUT!$E:$E,BAZE_2026!$A227,INPUT!$B:$B,BAZE_2026!$B227)</f>
        <v>6617.5969999999998</v>
      </c>
      <c r="H227" s="48">
        <f t="shared" ref="H227" si="23">G227-F227</f>
        <v>3467.5969999999998</v>
      </c>
      <c r="I227" s="232">
        <f t="shared" ref="I227" si="24">IFERROR(H227/F227,"-")</f>
        <v>1.1008244444444444</v>
      </c>
      <c r="J227" s="2935"/>
      <c r="K227" s="423"/>
      <c r="L227" s="263"/>
    </row>
    <row r="228" spans="1:195" s="16" customFormat="1" ht="13.8" hidden="1" outlineLevel="1">
      <c r="A228" s="179" t="s">
        <v>3318</v>
      </c>
      <c r="B228" s="179" t="s">
        <v>365</v>
      </c>
      <c r="C228" s="246"/>
      <c r="D228" s="58"/>
      <c r="E228" s="2934" t="s">
        <v>4769</v>
      </c>
      <c r="F228" s="92">
        <f>SUMIFS(INPUT!$H:$H,INPUT!$E:$E,BAZE_2026!$A228,INPUT!$B:$B,BAZE_2026!$B228)</f>
        <v>7500</v>
      </c>
      <c r="G228" s="92">
        <f>SUMIFS(INPUT!$L:$L,INPUT!$E:$E,BAZE_2026!$A228,INPUT!$B:$B,BAZE_2026!$B228)</f>
        <v>7619</v>
      </c>
      <c r="H228" s="48">
        <f t="shared" ref="H228" si="25">G228-F228</f>
        <v>119</v>
      </c>
      <c r="I228" s="232">
        <f t="shared" ref="I228" si="26">IFERROR(H228/F228,"-")</f>
        <v>1.5866666666666668E-2</v>
      </c>
      <c r="J228" s="2935"/>
      <c r="K228" s="423"/>
      <c r="L228" s="263"/>
    </row>
    <row r="229" spans="1:195" ht="41.4" collapsed="1">
      <c r="D229" s="38" t="s">
        <v>28</v>
      </c>
      <c r="E229" s="39" t="s">
        <v>755</v>
      </c>
      <c r="F229" s="91">
        <f>F230+F231+F232+F233+F234</f>
        <v>423438.13100799994</v>
      </c>
      <c r="G229" s="91">
        <f>G230+G231+G232+G233+G234</f>
        <v>424883.80452180997</v>
      </c>
      <c r="H229" s="33">
        <f t="shared" ref="H229:H234" si="27">G229-F229</f>
        <v>1445.6735138100339</v>
      </c>
      <c r="I229" s="222">
        <f t="shared" si="18"/>
        <v>3.4141316238303562E-3</v>
      </c>
      <c r="J229" s="1531"/>
      <c r="K229" s="72"/>
    </row>
    <row r="230" spans="1:195" s="8" customFormat="1" ht="16.2" hidden="1" customHeight="1" outlineLevel="1">
      <c r="A230" s="179" t="s">
        <v>1969</v>
      </c>
      <c r="B230" s="179" t="s">
        <v>436</v>
      </c>
      <c r="C230" s="248"/>
      <c r="D230" s="99"/>
      <c r="E230" s="59" t="s">
        <v>436</v>
      </c>
      <c r="F230" s="92">
        <f>SUMIFS(INPUT!$H:$H,INPUT!$E:$E,BAZE_2026!$A230,INPUT!$B:$B,BAZE_2026!$B230)</f>
        <v>366551.53100799996</v>
      </c>
      <c r="G230" s="92">
        <f>SUMIFS(INPUT!$L:$L,INPUT!$E:$E,BAZE_2026!$A230,INPUT!$B:$B,BAZE_2026!$B230)</f>
        <v>364499.20452181</v>
      </c>
      <c r="H230" s="48">
        <f t="shared" si="27"/>
        <v>-2052.3264861899661</v>
      </c>
      <c r="I230" s="232">
        <f t="shared" si="18"/>
        <v>-5.599012178577353E-3</v>
      </c>
      <c r="J230" s="2601"/>
      <c r="K230" s="72"/>
      <c r="L230" s="292"/>
      <c r="M230" s="54"/>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row>
    <row r="231" spans="1:195" s="8" customFormat="1" ht="27.6" hidden="1" outlineLevel="1">
      <c r="A231" s="179" t="s">
        <v>1969</v>
      </c>
      <c r="B231" s="179" t="s">
        <v>772</v>
      </c>
      <c r="C231" s="248"/>
      <c r="D231" s="101"/>
      <c r="E231" s="65" t="s">
        <v>376</v>
      </c>
      <c r="F231" s="92">
        <f>SUMIFS(INPUT!$H:$H,INPUT!$E:$E,BAZE_2026!$A231,INPUT!$B:$B,BAZE_2026!$B231)</f>
        <v>43222.6</v>
      </c>
      <c r="G231" s="92">
        <f>SUMIFS(INPUT!$L:$L,INPUT!$E:$E,BAZE_2026!$A231,INPUT!$B:$B,BAZE_2026!$B231)</f>
        <v>47735.6</v>
      </c>
      <c r="H231" s="48">
        <f t="shared" si="27"/>
        <v>4513</v>
      </c>
      <c r="I231" s="232">
        <f t="shared" si="18"/>
        <v>0.10441296914114376</v>
      </c>
      <c r="J231" s="2601" t="s">
        <v>5026</v>
      </c>
      <c r="K231" s="54"/>
      <c r="L231" s="135"/>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row>
    <row r="232" spans="1:195" s="8" customFormat="1" ht="13.8" hidden="1" outlineLevel="1">
      <c r="A232" s="179" t="s">
        <v>1969</v>
      </c>
      <c r="B232" s="372" t="s">
        <v>1211</v>
      </c>
      <c r="C232" s="248"/>
      <c r="D232" s="1050"/>
      <c r="E232" s="1134" t="s">
        <v>1211</v>
      </c>
      <c r="F232" s="92">
        <f>SUMIFS(INPUT!$H:$H,INPUT!$E:$E,BAZE_2026!$A232,INPUT!$B:$B,BAZE_2026!$B232)</f>
        <v>12664</v>
      </c>
      <c r="G232" s="92">
        <f>SUMIFS(INPUT!$L:$L,INPUT!$E:$E,BAZE_2026!$A232,INPUT!$B:$B,BAZE_2026!$B232)</f>
        <v>11649</v>
      </c>
      <c r="H232" s="48">
        <f>G232-F232</f>
        <v>-1015</v>
      </c>
      <c r="I232" s="232">
        <f>IFERROR(H232/F232,"-")</f>
        <v>-8.0148452305748574E-2</v>
      </c>
      <c r="J232" s="2728"/>
      <c r="K232" s="54"/>
      <c r="L232" s="135"/>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row>
    <row r="233" spans="1:195" s="8" customFormat="1" ht="13.8" hidden="1" outlineLevel="1">
      <c r="A233" s="179" t="s">
        <v>1969</v>
      </c>
      <c r="B233" s="179" t="s">
        <v>774</v>
      </c>
      <c r="C233" s="248"/>
      <c r="D233" s="101"/>
      <c r="E233" s="59" t="s">
        <v>375</v>
      </c>
      <c r="F233" s="92">
        <f>SUMIFS(INPUT!$H:$H,INPUT!$E:$E,BAZE_2026!$A233,INPUT!$B:$B,BAZE_2026!$B233)</f>
        <v>1000</v>
      </c>
      <c r="G233" s="92">
        <f>SUMIFS(INPUT!$L:$L,INPUT!$E:$E,BAZE_2026!$A233,INPUT!$B:$B,BAZE_2026!$B233)</f>
        <v>1000</v>
      </c>
      <c r="H233" s="48">
        <f t="shared" si="27"/>
        <v>0</v>
      </c>
      <c r="I233" s="232">
        <f t="shared" si="18"/>
        <v>0</v>
      </c>
      <c r="J233" s="2729"/>
      <c r="K233" s="72"/>
      <c r="L233" s="12"/>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row>
    <row r="234" spans="1:195" s="166" customFormat="1" ht="13.8" hidden="1" outlineLevel="1">
      <c r="A234" s="315" t="s">
        <v>1969</v>
      </c>
      <c r="B234" s="315" t="s">
        <v>905</v>
      </c>
      <c r="C234" s="316"/>
      <c r="D234" s="2938"/>
      <c r="E234" s="164" t="s">
        <v>338</v>
      </c>
      <c r="F234" s="154">
        <f>SUMIFS(INPUT!$H:$H,INPUT!$E:$E,BAZE_2026!$A234,INPUT!$B:$B,BAZE_2026!$B234)</f>
        <v>0</v>
      </c>
      <c r="G234" s="154">
        <f>SUMIFS(INPUT!$L:$L,INPUT!$E:$E,BAZE_2026!$A234,INPUT!$B:$B,BAZE_2026!$B234)</f>
        <v>0</v>
      </c>
      <c r="H234" s="158">
        <f t="shared" si="27"/>
        <v>0</v>
      </c>
      <c r="I234" s="230" t="str">
        <f t="shared" si="18"/>
        <v>-</v>
      </c>
      <c r="J234" s="2918"/>
      <c r="K234" s="317"/>
      <c r="L234" s="283"/>
      <c r="M234" s="161"/>
      <c r="N234" s="161"/>
      <c r="O234" s="161"/>
      <c r="P234" s="161"/>
      <c r="Q234" s="161"/>
      <c r="R234" s="161"/>
      <c r="S234" s="161"/>
      <c r="T234" s="161"/>
      <c r="U234" s="161"/>
      <c r="V234" s="161"/>
      <c r="W234" s="161"/>
      <c r="X234" s="161"/>
      <c r="Y234" s="161"/>
      <c r="Z234" s="161"/>
      <c r="AA234" s="161"/>
      <c r="AB234" s="161"/>
      <c r="AC234" s="161"/>
      <c r="AD234" s="161"/>
      <c r="AE234" s="161"/>
      <c r="AF234" s="161"/>
      <c r="AG234" s="161"/>
      <c r="AH234" s="161"/>
      <c r="AI234" s="161"/>
      <c r="AJ234" s="161"/>
      <c r="AK234" s="161"/>
      <c r="AL234" s="161"/>
      <c r="AM234" s="161"/>
      <c r="AN234" s="161"/>
      <c r="AO234" s="161"/>
      <c r="AP234" s="161"/>
      <c r="AQ234" s="161"/>
      <c r="AR234" s="161"/>
      <c r="AS234" s="161"/>
      <c r="AT234" s="161"/>
      <c r="AU234" s="161"/>
      <c r="AV234" s="161"/>
      <c r="AW234" s="161"/>
      <c r="AX234" s="161"/>
      <c r="AY234" s="161"/>
      <c r="AZ234" s="161"/>
      <c r="BA234" s="161"/>
      <c r="BB234" s="161"/>
      <c r="BC234" s="161"/>
      <c r="BD234" s="161"/>
      <c r="BE234" s="161"/>
      <c r="BF234" s="161"/>
      <c r="BG234" s="161"/>
      <c r="BH234" s="161"/>
      <c r="BI234" s="161"/>
      <c r="BJ234" s="161"/>
      <c r="BK234" s="161"/>
      <c r="BL234" s="161"/>
      <c r="BM234" s="161"/>
      <c r="BN234" s="161"/>
      <c r="BO234" s="161"/>
      <c r="BP234" s="161"/>
      <c r="BQ234" s="161"/>
      <c r="BR234" s="161"/>
      <c r="BS234" s="161"/>
      <c r="BT234" s="161"/>
      <c r="BU234" s="161"/>
      <c r="BV234" s="161"/>
      <c r="BW234" s="161"/>
      <c r="BX234" s="161"/>
      <c r="BY234" s="161"/>
      <c r="BZ234" s="161"/>
      <c r="CA234" s="161"/>
      <c r="CB234" s="161"/>
      <c r="CC234" s="161"/>
      <c r="CD234" s="161"/>
      <c r="CE234" s="161"/>
      <c r="CF234" s="161"/>
      <c r="CG234" s="161"/>
      <c r="CH234" s="161"/>
      <c r="CI234" s="161"/>
      <c r="CJ234" s="161"/>
      <c r="CK234" s="161"/>
      <c r="CL234" s="161"/>
      <c r="CM234" s="161"/>
      <c r="CN234" s="161"/>
      <c r="CO234" s="161"/>
      <c r="CP234" s="161"/>
      <c r="CQ234" s="161"/>
      <c r="CR234" s="161"/>
      <c r="CS234" s="161"/>
      <c r="CT234" s="161"/>
      <c r="CU234" s="161"/>
      <c r="CV234" s="161"/>
      <c r="CW234" s="161"/>
      <c r="CX234" s="161"/>
      <c r="CY234" s="161"/>
      <c r="CZ234" s="161"/>
      <c r="DA234" s="161"/>
      <c r="DB234" s="161"/>
      <c r="DC234" s="161"/>
      <c r="DD234" s="161"/>
      <c r="DE234" s="161"/>
      <c r="DF234" s="161"/>
      <c r="DG234" s="161"/>
      <c r="DH234" s="161"/>
      <c r="DI234" s="161"/>
      <c r="DJ234" s="161"/>
      <c r="DK234" s="161"/>
      <c r="DL234" s="161"/>
      <c r="DM234" s="161"/>
      <c r="DN234" s="161"/>
      <c r="DO234" s="161"/>
      <c r="DP234" s="161"/>
      <c r="DQ234" s="161"/>
      <c r="DR234" s="161"/>
      <c r="DS234" s="161"/>
      <c r="DT234" s="161"/>
      <c r="DU234" s="161"/>
      <c r="DV234" s="161"/>
      <c r="DW234" s="161"/>
      <c r="DX234" s="161"/>
      <c r="DY234" s="161"/>
      <c r="DZ234" s="161"/>
      <c r="EA234" s="161"/>
      <c r="EB234" s="161"/>
      <c r="EC234" s="161"/>
      <c r="ED234" s="161"/>
      <c r="EE234" s="161"/>
      <c r="EF234" s="161"/>
      <c r="EG234" s="161"/>
      <c r="EH234" s="161"/>
      <c r="EI234" s="161"/>
      <c r="EJ234" s="161"/>
      <c r="EK234" s="161"/>
      <c r="EL234" s="161"/>
      <c r="EM234" s="161"/>
      <c r="EN234" s="161"/>
      <c r="EO234" s="161"/>
      <c r="EP234" s="161"/>
      <c r="EQ234" s="161"/>
      <c r="ER234" s="161"/>
      <c r="ES234" s="161"/>
      <c r="ET234" s="161"/>
      <c r="EU234" s="161"/>
      <c r="EV234" s="161"/>
      <c r="EW234" s="161"/>
      <c r="EX234" s="161"/>
      <c r="EY234" s="161"/>
      <c r="EZ234" s="161"/>
      <c r="FA234" s="161"/>
      <c r="FB234" s="161"/>
      <c r="FC234" s="161"/>
      <c r="FD234" s="161"/>
      <c r="FE234" s="161"/>
      <c r="FF234" s="161"/>
      <c r="FG234" s="161"/>
      <c r="FH234" s="161"/>
      <c r="FI234" s="161"/>
      <c r="FJ234" s="161"/>
      <c r="FK234" s="161"/>
      <c r="FL234" s="161"/>
      <c r="FM234" s="161"/>
      <c r="FN234" s="161"/>
      <c r="FO234" s="161"/>
      <c r="FP234" s="161"/>
      <c r="FQ234" s="161"/>
      <c r="FR234" s="161"/>
      <c r="FS234" s="161"/>
      <c r="FT234" s="161"/>
      <c r="FU234" s="161"/>
      <c r="FV234" s="161"/>
      <c r="FW234" s="161"/>
      <c r="FX234" s="161"/>
      <c r="FY234" s="161"/>
      <c r="FZ234" s="161"/>
      <c r="GA234" s="161"/>
      <c r="GB234" s="161"/>
      <c r="GC234" s="161"/>
      <c r="GD234" s="161"/>
      <c r="GE234" s="161"/>
      <c r="GF234" s="161"/>
      <c r="GG234" s="161"/>
      <c r="GH234" s="161"/>
      <c r="GI234" s="161"/>
      <c r="GJ234" s="161"/>
      <c r="GK234" s="161"/>
      <c r="GL234" s="161"/>
      <c r="GM234" s="161"/>
    </row>
    <row r="235" spans="1:195" ht="13.8" collapsed="1">
      <c r="D235" s="38" t="s">
        <v>93</v>
      </c>
      <c r="E235" s="39" t="s">
        <v>947</v>
      </c>
      <c r="F235" s="91">
        <f>F236</f>
        <v>1407</v>
      </c>
      <c r="G235" s="91">
        <f>G236</f>
        <v>1000</v>
      </c>
      <c r="H235" s="33">
        <f t="shared" si="15"/>
        <v>-407</v>
      </c>
      <c r="I235" s="222">
        <f t="shared" si="18"/>
        <v>-0.28926794598436389</v>
      </c>
      <c r="J235" s="1523"/>
      <c r="K235" s="72"/>
    </row>
    <row r="236" spans="1:195" s="8" customFormat="1" ht="13.8" hidden="1" outlineLevel="1">
      <c r="A236" s="179" t="s">
        <v>1964</v>
      </c>
      <c r="B236" s="179" t="s">
        <v>772</v>
      </c>
      <c r="C236" s="248"/>
      <c r="D236" s="99"/>
      <c r="E236" s="59" t="s">
        <v>376</v>
      </c>
      <c r="F236" s="92">
        <f>SUMIFS(INPUT!$H:$H,INPUT!$E:$E,BAZE_2026!$A236,INPUT!$B:$B,BAZE_2026!$B236)</f>
        <v>1407</v>
      </c>
      <c r="G236" s="92">
        <f>SUMIFS(INPUT!$L:$L,INPUT!$E:$E,BAZE_2026!$A236,INPUT!$B:$B,BAZE_2026!$B236)</f>
        <v>1000</v>
      </c>
      <c r="H236" s="48">
        <f>G236-F236</f>
        <v>-407</v>
      </c>
      <c r="I236" s="232">
        <f t="shared" si="18"/>
        <v>-0.28926794598436389</v>
      </c>
      <c r="J236" s="1219"/>
      <c r="K236" s="72"/>
      <c r="L236" s="12"/>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row>
    <row r="237" spans="1:195" s="166" customFormat="1" ht="13.8" hidden="1" outlineLevel="1">
      <c r="A237" s="315" t="s">
        <v>1964</v>
      </c>
      <c r="B237" s="315" t="s">
        <v>326</v>
      </c>
      <c r="C237" s="316"/>
      <c r="D237" s="2926"/>
      <c r="E237" s="164" t="s">
        <v>265</v>
      </c>
      <c r="F237" s="154">
        <f>SUMIFS(INPUT!$H:$H,INPUT!$E:$E,BAZE_2026!$A237,INPUT!$B:$B,BAZE_2026!$B237)</f>
        <v>13476</v>
      </c>
      <c r="G237" s="154">
        <f>SUMIFS(INPUT!$L:$L,INPUT!$E:$E,BAZE_2026!$A237,INPUT!$B:$B,BAZE_2026!$B237)</f>
        <v>5869</v>
      </c>
      <c r="H237" s="158"/>
      <c r="I237" s="230">
        <f t="shared" si="18"/>
        <v>0</v>
      </c>
      <c r="J237" s="2936"/>
      <c r="K237" s="317"/>
      <c r="L237" s="283"/>
      <c r="M237" s="161"/>
      <c r="N237" s="161"/>
      <c r="O237" s="161"/>
      <c r="P237" s="161"/>
      <c r="Q237" s="161"/>
      <c r="R237" s="161"/>
      <c r="S237" s="161"/>
      <c r="T237" s="161"/>
      <c r="U237" s="161"/>
      <c r="V237" s="161"/>
      <c r="W237" s="161"/>
      <c r="X237" s="161"/>
      <c r="Y237" s="161"/>
      <c r="Z237" s="161"/>
      <c r="AA237" s="161"/>
      <c r="AB237" s="161"/>
      <c r="AC237" s="161"/>
      <c r="AD237" s="161"/>
      <c r="AE237" s="161"/>
      <c r="AF237" s="161"/>
      <c r="AG237" s="161"/>
      <c r="AH237" s="161"/>
      <c r="AI237" s="161"/>
      <c r="AJ237" s="161"/>
      <c r="AK237" s="161"/>
      <c r="AL237" s="161"/>
      <c r="AM237" s="161"/>
      <c r="AN237" s="161"/>
      <c r="AO237" s="161"/>
      <c r="AP237" s="161"/>
      <c r="AQ237" s="161"/>
      <c r="AR237" s="161"/>
      <c r="AS237" s="161"/>
      <c r="AT237" s="161"/>
      <c r="AU237" s="161"/>
      <c r="AV237" s="161"/>
      <c r="AW237" s="161"/>
      <c r="AX237" s="161"/>
      <c r="AY237" s="161"/>
      <c r="AZ237" s="161"/>
      <c r="BA237" s="161"/>
      <c r="BB237" s="161"/>
      <c r="BC237" s="161"/>
      <c r="BD237" s="161"/>
      <c r="BE237" s="161"/>
      <c r="BF237" s="161"/>
      <c r="BG237" s="161"/>
      <c r="BH237" s="161"/>
      <c r="BI237" s="161"/>
      <c r="BJ237" s="161"/>
      <c r="BK237" s="161"/>
      <c r="BL237" s="161"/>
      <c r="BM237" s="161"/>
      <c r="BN237" s="161"/>
      <c r="BO237" s="161"/>
      <c r="BP237" s="161"/>
      <c r="BQ237" s="161"/>
      <c r="BR237" s="161"/>
      <c r="BS237" s="161"/>
      <c r="BT237" s="161"/>
      <c r="BU237" s="161"/>
      <c r="BV237" s="161"/>
      <c r="BW237" s="161"/>
      <c r="BX237" s="161"/>
      <c r="BY237" s="161"/>
      <c r="BZ237" s="161"/>
      <c r="CA237" s="161"/>
      <c r="CB237" s="161"/>
      <c r="CC237" s="161"/>
      <c r="CD237" s="161"/>
      <c r="CE237" s="161"/>
      <c r="CF237" s="161"/>
      <c r="CG237" s="161"/>
      <c r="CH237" s="161"/>
      <c r="CI237" s="161"/>
      <c r="CJ237" s="161"/>
      <c r="CK237" s="161"/>
      <c r="CL237" s="161"/>
      <c r="CM237" s="161"/>
      <c r="CN237" s="161"/>
      <c r="CO237" s="161"/>
      <c r="CP237" s="161"/>
      <c r="CQ237" s="161"/>
      <c r="CR237" s="161"/>
      <c r="CS237" s="161"/>
      <c r="CT237" s="161"/>
      <c r="CU237" s="161"/>
      <c r="CV237" s="161"/>
      <c r="CW237" s="161"/>
      <c r="CX237" s="161"/>
      <c r="CY237" s="161"/>
      <c r="CZ237" s="161"/>
      <c r="DA237" s="161"/>
      <c r="DB237" s="161"/>
      <c r="DC237" s="161"/>
      <c r="DD237" s="161"/>
      <c r="DE237" s="161"/>
      <c r="DF237" s="161"/>
      <c r="DG237" s="161"/>
      <c r="DH237" s="161"/>
      <c r="DI237" s="161"/>
      <c r="DJ237" s="161"/>
      <c r="DK237" s="161"/>
      <c r="DL237" s="161"/>
      <c r="DM237" s="161"/>
      <c r="DN237" s="161"/>
      <c r="DO237" s="161"/>
      <c r="DP237" s="161"/>
      <c r="DQ237" s="161"/>
      <c r="DR237" s="161"/>
      <c r="DS237" s="161"/>
      <c r="DT237" s="161"/>
      <c r="DU237" s="161"/>
      <c r="DV237" s="161"/>
      <c r="DW237" s="161"/>
      <c r="DX237" s="161"/>
      <c r="DY237" s="161"/>
      <c r="DZ237" s="161"/>
      <c r="EA237" s="161"/>
      <c r="EB237" s="161"/>
      <c r="EC237" s="161"/>
      <c r="ED237" s="161"/>
      <c r="EE237" s="161"/>
      <c r="EF237" s="161"/>
      <c r="EG237" s="161"/>
      <c r="EH237" s="161"/>
      <c r="EI237" s="161"/>
      <c r="EJ237" s="161"/>
      <c r="EK237" s="161"/>
      <c r="EL237" s="161"/>
      <c r="EM237" s="161"/>
      <c r="EN237" s="161"/>
      <c r="EO237" s="161"/>
      <c r="EP237" s="161"/>
      <c r="EQ237" s="161"/>
      <c r="ER237" s="161"/>
      <c r="ES237" s="161"/>
      <c r="ET237" s="161"/>
      <c r="EU237" s="161"/>
      <c r="EV237" s="161"/>
      <c r="EW237" s="161"/>
      <c r="EX237" s="161"/>
      <c r="EY237" s="161"/>
      <c r="EZ237" s="161"/>
      <c r="FA237" s="161"/>
      <c r="FB237" s="161"/>
      <c r="FC237" s="161"/>
      <c r="FD237" s="161"/>
      <c r="FE237" s="161"/>
      <c r="FF237" s="161"/>
      <c r="FG237" s="161"/>
      <c r="FH237" s="161"/>
      <c r="FI237" s="161"/>
      <c r="FJ237" s="161"/>
      <c r="FK237" s="161"/>
      <c r="FL237" s="161"/>
      <c r="FM237" s="161"/>
      <c r="FN237" s="161"/>
      <c r="FO237" s="161"/>
      <c r="FP237" s="161"/>
      <c r="FQ237" s="161"/>
      <c r="FR237" s="161"/>
      <c r="FS237" s="161"/>
      <c r="FT237" s="161"/>
      <c r="FU237" s="161"/>
      <c r="FV237" s="161"/>
      <c r="FW237" s="161"/>
      <c r="FX237" s="161"/>
      <c r="FY237" s="161"/>
      <c r="FZ237" s="161"/>
      <c r="GA237" s="161"/>
      <c r="GB237" s="161"/>
      <c r="GC237" s="161"/>
      <c r="GD237" s="161"/>
      <c r="GE237" s="161"/>
      <c r="GF237" s="161"/>
      <c r="GG237" s="161"/>
      <c r="GH237" s="161"/>
      <c r="GI237" s="161"/>
      <c r="GJ237" s="161"/>
      <c r="GK237" s="161"/>
      <c r="GL237" s="161"/>
      <c r="GM237" s="161"/>
    </row>
    <row r="238" spans="1:195" ht="13.8" collapsed="1">
      <c r="D238" s="38" t="s">
        <v>94</v>
      </c>
      <c r="E238" s="39" t="s">
        <v>99</v>
      </c>
      <c r="F238" s="91">
        <f>F239+F240+F241</f>
        <v>158418.03918578001</v>
      </c>
      <c r="G238" s="91">
        <f>G239+G240+G241</f>
        <v>167398.67136832001</v>
      </c>
      <c r="H238" s="33">
        <f t="shared" si="15"/>
        <v>8980.6321825399937</v>
      </c>
      <c r="I238" s="222">
        <f t="shared" si="18"/>
        <v>5.6689454235752952E-2</v>
      </c>
      <c r="J238" s="1523"/>
      <c r="K238" s="72"/>
    </row>
    <row r="239" spans="1:195" s="8" customFormat="1" ht="13.8" hidden="1" outlineLevel="1">
      <c r="A239" s="179" t="s">
        <v>1065</v>
      </c>
      <c r="B239" s="179" t="s">
        <v>436</v>
      </c>
      <c r="C239" s="248"/>
      <c r="D239" s="99"/>
      <c r="E239" s="59" t="s">
        <v>436</v>
      </c>
      <c r="F239" s="92">
        <f>SUMIFS(INPUT!$H:$H,INPUT!$E:$E,BAZE_2026!$A239,INPUT!$B:$B,BAZE_2026!$B239)</f>
        <v>149878.83918578</v>
      </c>
      <c r="G239" s="92">
        <f>SUMIFS(INPUT!$L:$L,INPUT!$E:$E,BAZE_2026!$A239,INPUT!$B:$B,BAZE_2026!$B239)</f>
        <v>158603.47136832</v>
      </c>
      <c r="H239" s="60">
        <f t="shared" si="15"/>
        <v>8724.6321825399937</v>
      </c>
      <c r="I239" s="237">
        <f t="shared" si="18"/>
        <v>5.8211234020337656E-2</v>
      </c>
      <c r="J239" s="2730"/>
      <c r="K239" s="72"/>
      <c r="L239" s="12"/>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row>
    <row r="240" spans="1:195" s="8" customFormat="1" ht="13.8" hidden="1" outlineLevel="1">
      <c r="A240" s="179" t="s">
        <v>1065</v>
      </c>
      <c r="B240" s="179" t="s">
        <v>772</v>
      </c>
      <c r="C240" s="248"/>
      <c r="D240" s="101"/>
      <c r="E240" s="65" t="s">
        <v>376</v>
      </c>
      <c r="F240" s="92">
        <f>SUMIFS(INPUT!$H:$H,INPUT!$E:$E,BAZE_2026!$A240,INPUT!$B:$B,BAZE_2026!$B240)</f>
        <v>8539.2000000000007</v>
      </c>
      <c r="G240" s="92">
        <f>SUMIFS(INPUT!$L:$L,INPUT!$E:$E,BAZE_2026!$A240,INPUT!$B:$B,BAZE_2026!$B240)</f>
        <v>8795.2000000000007</v>
      </c>
      <c r="H240" s="48">
        <f t="shared" si="15"/>
        <v>256</v>
      </c>
      <c r="I240" s="232">
        <f t="shared" si="18"/>
        <v>2.997938916994566E-2</v>
      </c>
      <c r="J240" s="2731"/>
      <c r="K240" s="54"/>
      <c r="L240" s="135"/>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row>
    <row r="241" spans="1:195" s="8" customFormat="1" ht="13.8" hidden="1" outlineLevel="1">
      <c r="A241" s="179" t="s">
        <v>1065</v>
      </c>
      <c r="B241" s="179" t="s">
        <v>774</v>
      </c>
      <c r="C241" s="248"/>
      <c r="D241" s="101"/>
      <c r="E241" s="59" t="s">
        <v>375</v>
      </c>
      <c r="F241" s="92">
        <f>SUMIFS(INPUT!$H:$H,INPUT!$E:$E,BAZE_2026!$A241,INPUT!$B:$B,BAZE_2026!$B241)</f>
        <v>0</v>
      </c>
      <c r="G241" s="92">
        <f>SUMIFS(INPUT!$L:$L,INPUT!$E:$E,BAZE_2026!$A241,INPUT!$B:$B,BAZE_2026!$B241)</f>
        <v>0</v>
      </c>
      <c r="H241" s="80"/>
      <c r="I241" s="240" t="str">
        <f t="shared" si="18"/>
        <v>-</v>
      </c>
      <c r="J241" s="2729"/>
      <c r="K241" s="72"/>
      <c r="L241" s="12"/>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row>
    <row r="242" spans="1:195" s="166" customFormat="1" ht="13.8" hidden="1" outlineLevel="1">
      <c r="A242" s="315" t="s">
        <v>1065</v>
      </c>
      <c r="B242" s="315" t="s">
        <v>773</v>
      </c>
      <c r="C242" s="316"/>
      <c r="D242" s="2919"/>
      <c r="E242" s="164" t="s">
        <v>773</v>
      </c>
      <c r="F242" s="154">
        <f>SUMIFS(INPUT!$H:$H,INPUT!$E:$E,BAZE_2026!$A242,INPUT!$B:$B,BAZE_2026!$B242)</f>
        <v>0</v>
      </c>
      <c r="G242" s="154">
        <f>SUMIFS(INPUT!$L:$L,INPUT!$E:$E,BAZE_2026!$A242,INPUT!$B:$B,BAZE_2026!$B242)</f>
        <v>0</v>
      </c>
      <c r="H242" s="158">
        <f t="shared" si="15"/>
        <v>0</v>
      </c>
      <c r="I242" s="230" t="str">
        <f t="shared" si="18"/>
        <v>-</v>
      </c>
      <c r="J242" s="2928"/>
      <c r="K242" s="317"/>
      <c r="L242" s="283"/>
      <c r="M242" s="161"/>
      <c r="N242" s="161"/>
      <c r="O242" s="161"/>
      <c r="P242" s="161"/>
      <c r="Q242" s="161"/>
      <c r="R242" s="161"/>
      <c r="S242" s="161"/>
      <c r="T242" s="161"/>
      <c r="U242" s="161"/>
      <c r="V242" s="161"/>
      <c r="W242" s="161"/>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c r="AS242" s="161"/>
      <c r="AT242" s="161"/>
      <c r="AU242" s="161"/>
      <c r="AV242" s="161"/>
      <c r="AW242" s="161"/>
      <c r="AX242" s="161"/>
      <c r="AY242" s="161"/>
      <c r="AZ242" s="161"/>
      <c r="BA242" s="161"/>
      <c r="BB242" s="161"/>
      <c r="BC242" s="161"/>
      <c r="BD242" s="161"/>
      <c r="BE242" s="161"/>
      <c r="BF242" s="161"/>
      <c r="BG242" s="161"/>
      <c r="BH242" s="161"/>
      <c r="BI242" s="161"/>
      <c r="BJ242" s="161"/>
      <c r="BK242" s="161"/>
      <c r="BL242" s="161"/>
      <c r="BM242" s="161"/>
      <c r="BN242" s="161"/>
      <c r="BO242" s="161"/>
      <c r="BP242" s="161"/>
      <c r="BQ242" s="161"/>
      <c r="BR242" s="161"/>
      <c r="BS242" s="161"/>
      <c r="BT242" s="161"/>
      <c r="BU242" s="161"/>
      <c r="BV242" s="161"/>
      <c r="BW242" s="161"/>
      <c r="BX242" s="161"/>
      <c r="BY242" s="161"/>
      <c r="BZ242" s="161"/>
      <c r="CA242" s="161"/>
      <c r="CB242" s="161"/>
      <c r="CC242" s="161"/>
      <c r="CD242" s="161"/>
      <c r="CE242" s="161"/>
      <c r="CF242" s="161"/>
      <c r="CG242" s="161"/>
      <c r="CH242" s="161"/>
      <c r="CI242" s="161"/>
      <c r="CJ242" s="161"/>
      <c r="CK242" s="161"/>
      <c r="CL242" s="161"/>
      <c r="CM242" s="161"/>
      <c r="CN242" s="161"/>
      <c r="CO242" s="161"/>
      <c r="CP242" s="161"/>
      <c r="CQ242" s="161"/>
      <c r="CR242" s="161"/>
      <c r="CS242" s="161"/>
      <c r="CT242" s="161"/>
      <c r="CU242" s="161"/>
      <c r="CV242" s="161"/>
      <c r="CW242" s="161"/>
      <c r="CX242" s="161"/>
      <c r="CY242" s="161"/>
      <c r="CZ242" s="161"/>
      <c r="DA242" s="161"/>
      <c r="DB242" s="161"/>
      <c r="DC242" s="161"/>
      <c r="DD242" s="161"/>
      <c r="DE242" s="161"/>
      <c r="DF242" s="161"/>
      <c r="DG242" s="161"/>
      <c r="DH242" s="161"/>
      <c r="DI242" s="161"/>
      <c r="DJ242" s="161"/>
      <c r="DK242" s="161"/>
      <c r="DL242" s="161"/>
      <c r="DM242" s="161"/>
      <c r="DN242" s="161"/>
      <c r="DO242" s="161"/>
      <c r="DP242" s="161"/>
      <c r="DQ242" s="161"/>
      <c r="DR242" s="161"/>
      <c r="DS242" s="161"/>
      <c r="DT242" s="161"/>
      <c r="DU242" s="161"/>
      <c r="DV242" s="161"/>
      <c r="DW242" s="161"/>
      <c r="DX242" s="161"/>
      <c r="DY242" s="161"/>
      <c r="DZ242" s="161"/>
      <c r="EA242" s="161"/>
      <c r="EB242" s="161"/>
      <c r="EC242" s="161"/>
      <c r="ED242" s="161"/>
      <c r="EE242" s="161"/>
      <c r="EF242" s="161"/>
      <c r="EG242" s="161"/>
      <c r="EH242" s="161"/>
      <c r="EI242" s="161"/>
      <c r="EJ242" s="161"/>
      <c r="EK242" s="161"/>
      <c r="EL242" s="161"/>
      <c r="EM242" s="161"/>
      <c r="EN242" s="161"/>
      <c r="EO242" s="161"/>
      <c r="EP242" s="161"/>
      <c r="EQ242" s="161"/>
      <c r="ER242" s="161"/>
      <c r="ES242" s="161"/>
      <c r="ET242" s="161"/>
      <c r="EU242" s="161"/>
      <c r="EV242" s="161"/>
      <c r="EW242" s="161"/>
      <c r="EX242" s="161"/>
      <c r="EY242" s="161"/>
      <c r="EZ242" s="161"/>
      <c r="FA242" s="161"/>
      <c r="FB242" s="161"/>
      <c r="FC242" s="161"/>
      <c r="FD242" s="161"/>
      <c r="FE242" s="161"/>
      <c r="FF242" s="161"/>
      <c r="FG242" s="161"/>
      <c r="FH242" s="161"/>
      <c r="FI242" s="161"/>
      <c r="FJ242" s="161"/>
      <c r="FK242" s="161"/>
      <c r="FL242" s="161"/>
      <c r="FM242" s="161"/>
      <c r="FN242" s="161"/>
      <c r="FO242" s="161"/>
      <c r="FP242" s="161"/>
      <c r="FQ242" s="161"/>
      <c r="FR242" s="161"/>
      <c r="FS242" s="161"/>
      <c r="FT242" s="161"/>
      <c r="FU242" s="161"/>
      <c r="FV242" s="161"/>
      <c r="FW242" s="161"/>
      <c r="FX242" s="161"/>
      <c r="FY242" s="161"/>
      <c r="FZ242" s="161"/>
      <c r="GA242" s="161"/>
      <c r="GB242" s="161"/>
      <c r="GC242" s="161"/>
      <c r="GD242" s="161"/>
      <c r="GE242" s="161"/>
      <c r="GF242" s="161"/>
      <c r="GG242" s="161"/>
      <c r="GH242" s="161"/>
      <c r="GI242" s="161"/>
      <c r="GJ242" s="161"/>
      <c r="GK242" s="161"/>
      <c r="GL242" s="161"/>
      <c r="GM242" s="161"/>
    </row>
    <row r="243" spans="1:195" s="250" customFormat="1" ht="13.8" collapsed="1">
      <c r="A243" s="372"/>
      <c r="B243" s="311"/>
      <c r="C243" s="310"/>
      <c r="D243" s="40" t="s">
        <v>29</v>
      </c>
      <c r="E243" s="325" t="s">
        <v>100</v>
      </c>
      <c r="F243" s="326">
        <f>F250+F251+F259+F267+F275+F282+F289+F295+F303+F315+F327+F341+F335+F348</f>
        <v>16455810.374418572</v>
      </c>
      <c r="G243" s="326">
        <f>G250+G251+G259+G267+G275+G282+G289+G295+G303+G315+G327+G341+G335+G348</f>
        <v>16159918.535847159</v>
      </c>
      <c r="H243" s="118">
        <f>G243-F243</f>
        <v>-295891.83857141249</v>
      </c>
      <c r="I243" s="327">
        <f t="shared" si="18"/>
        <v>-1.7980994666260377E-2</v>
      </c>
      <c r="J243" s="1401"/>
      <c r="K243" s="141"/>
      <c r="L243" s="286"/>
    </row>
    <row r="244" spans="1:195" s="112" customFormat="1" ht="13.8">
      <c r="A244" s="372"/>
      <c r="B244" s="312"/>
      <c r="C244" s="310"/>
      <c r="D244" s="1215"/>
      <c r="E244" s="136" t="s">
        <v>436</v>
      </c>
      <c r="F244" s="137">
        <f>F252+F260+F268+F276+F283+F296+F304+F316+F328+F336+F342+F349</f>
        <v>7477294.9577985723</v>
      </c>
      <c r="G244" s="137">
        <f>G252+G260+G268+G276+G283+G296+G304+G316+G328+G336+G342+G349</f>
        <v>7652029.6858471585</v>
      </c>
      <c r="H244" s="138">
        <f t="shared" si="15"/>
        <v>174734.72804858629</v>
      </c>
      <c r="I244" s="242">
        <f t="shared" si="18"/>
        <v>2.3368708742236219E-2</v>
      </c>
      <c r="J244" s="1532"/>
      <c r="K244" s="141"/>
      <c r="L244" s="282"/>
      <c r="M244" s="249"/>
      <c r="N244" s="249"/>
      <c r="O244" s="249"/>
      <c r="P244" s="249"/>
      <c r="Q244" s="249"/>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49"/>
      <c r="AO244" s="249"/>
      <c r="AP244" s="249"/>
      <c r="AQ244" s="249"/>
      <c r="AR244" s="249"/>
      <c r="AS244" s="249"/>
      <c r="AT244" s="249"/>
      <c r="AU244" s="249"/>
      <c r="AV244" s="249"/>
      <c r="AW244" s="249"/>
      <c r="AX244" s="249"/>
      <c r="AY244" s="249"/>
      <c r="AZ244" s="249"/>
      <c r="BA244" s="249"/>
      <c r="BB244" s="249"/>
      <c r="BC244" s="249"/>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249"/>
      <c r="CF244" s="249"/>
      <c r="CG244" s="249"/>
      <c r="CH244" s="249"/>
      <c r="CI244" s="249"/>
      <c r="CJ244" s="249"/>
      <c r="CK244" s="249"/>
      <c r="CL244" s="249"/>
      <c r="CM244" s="249"/>
      <c r="CN244" s="249"/>
      <c r="CO244" s="249"/>
      <c r="CP244" s="249"/>
      <c r="CQ244" s="249"/>
      <c r="CR244" s="249"/>
      <c r="CS244" s="249"/>
      <c r="CT244" s="249"/>
      <c r="CU244" s="249"/>
      <c r="CV244" s="249"/>
      <c r="CW244" s="249"/>
      <c r="CX244" s="249"/>
      <c r="CY244" s="249"/>
      <c r="CZ244" s="249"/>
      <c r="DA244" s="249"/>
      <c r="DB244" s="249"/>
      <c r="DC244" s="249"/>
      <c r="DD244" s="249"/>
      <c r="DE244" s="249"/>
      <c r="DF244" s="249"/>
      <c r="DG244" s="249"/>
      <c r="DH244" s="249"/>
      <c r="DI244" s="249"/>
      <c r="DJ244" s="249"/>
      <c r="DK244" s="249"/>
      <c r="DL244" s="249"/>
      <c r="DM244" s="249"/>
      <c r="DN244" s="249"/>
      <c r="DO244" s="249"/>
      <c r="DP244" s="249"/>
      <c r="DQ244" s="249"/>
      <c r="DR244" s="249"/>
      <c r="DS244" s="249"/>
      <c r="DT244" s="249"/>
      <c r="DU244" s="249"/>
      <c r="DV244" s="249"/>
      <c r="DW244" s="249"/>
      <c r="DX244" s="249"/>
      <c r="DY244" s="249"/>
      <c r="DZ244" s="249"/>
      <c r="EA244" s="249"/>
      <c r="EB244" s="249"/>
      <c r="EC244" s="249"/>
      <c r="ED244" s="249"/>
      <c r="EE244" s="249"/>
      <c r="EF244" s="249"/>
      <c r="EG244" s="249"/>
      <c r="EH244" s="249"/>
      <c r="EI244" s="249"/>
      <c r="EJ244" s="249"/>
      <c r="EK244" s="249"/>
      <c r="EL244" s="249"/>
      <c r="EM244" s="249"/>
      <c r="EN244" s="249"/>
      <c r="EO244" s="249"/>
      <c r="EP244" s="249"/>
      <c r="EQ244" s="249"/>
      <c r="ER244" s="249"/>
      <c r="ES244" s="249"/>
      <c r="ET244" s="249"/>
      <c r="EU244" s="249"/>
      <c r="EV244" s="249"/>
      <c r="EW244" s="249"/>
      <c r="EX244" s="249"/>
      <c r="EY244" s="249"/>
      <c r="EZ244" s="249"/>
      <c r="FA244" s="249"/>
      <c r="FB244" s="249"/>
      <c r="FC244" s="249"/>
      <c r="FD244" s="249"/>
      <c r="FE244" s="249"/>
      <c r="FF244" s="249"/>
      <c r="FG244" s="249"/>
      <c r="FH244" s="249"/>
      <c r="FI244" s="249"/>
      <c r="FJ244" s="249"/>
      <c r="FK244" s="249"/>
      <c r="FL244" s="249"/>
      <c r="FM244" s="249"/>
      <c r="FN244" s="249"/>
      <c r="FO244" s="249"/>
      <c r="FP244" s="249"/>
      <c r="FQ244" s="249"/>
      <c r="FR244" s="249"/>
      <c r="FS244" s="249"/>
      <c r="FT244" s="249"/>
      <c r="FU244" s="249"/>
      <c r="FV244" s="249"/>
      <c r="FW244" s="249"/>
      <c r="FX244" s="249"/>
      <c r="FY244" s="249"/>
      <c r="FZ244" s="249"/>
      <c r="GA244" s="249"/>
      <c r="GB244" s="249"/>
      <c r="GC244" s="249"/>
      <c r="GD244" s="249"/>
      <c r="GE244" s="249"/>
      <c r="GF244" s="249"/>
      <c r="GG244" s="249"/>
      <c r="GH244" s="249"/>
      <c r="GI244" s="249"/>
      <c r="GJ244" s="249"/>
      <c r="GK244" s="249"/>
      <c r="GL244" s="249"/>
      <c r="GM244" s="249"/>
    </row>
    <row r="245" spans="1:195" s="112" customFormat="1" ht="13.8">
      <c r="A245" s="372"/>
      <c r="B245" s="312"/>
      <c r="C245" s="310"/>
      <c r="D245" s="1216"/>
      <c r="E245" s="139" t="s">
        <v>376</v>
      </c>
      <c r="F245" s="137">
        <f>F250+F253+F261+F269+F277+F284+F290+F293+F294+F297+F305+F317+F329+F337+F343+F350</f>
        <v>6443355.5159999998</v>
      </c>
      <c r="G245" s="137">
        <f>G250+G253+G261+G269+G277+G284+G290+G293+G294+G297+G305+G317+G329+G337+G343+G350</f>
        <v>6046248.2699999996</v>
      </c>
      <c r="H245" s="138">
        <f>G245-F245</f>
        <v>-397107.24600000028</v>
      </c>
      <c r="I245" s="242">
        <f t="shared" si="18"/>
        <v>-6.1630503704771876E-2</v>
      </c>
      <c r="J245" s="1533"/>
      <c r="K245" s="141"/>
      <c r="L245" s="282"/>
      <c r="M245" s="249"/>
      <c r="N245" s="249"/>
      <c r="O245" s="249"/>
      <c r="P245" s="249"/>
      <c r="Q245" s="249"/>
      <c r="R245" s="249"/>
      <c r="S245" s="249"/>
      <c r="T245" s="249"/>
      <c r="U245" s="249"/>
      <c r="V245" s="249"/>
      <c r="W245" s="249"/>
      <c r="X245" s="249"/>
      <c r="Y245" s="249"/>
      <c r="Z245" s="249"/>
      <c r="AA245" s="249"/>
      <c r="AB245" s="249"/>
      <c r="AC245" s="249"/>
      <c r="AD245" s="249"/>
      <c r="AE245" s="249"/>
      <c r="AF245" s="249"/>
      <c r="AG245" s="249"/>
      <c r="AH245" s="249"/>
      <c r="AI245" s="249"/>
      <c r="AJ245" s="249"/>
      <c r="AK245" s="249"/>
      <c r="AL245" s="249"/>
      <c r="AM245" s="249"/>
      <c r="AN245" s="249"/>
      <c r="AO245" s="249"/>
      <c r="AP245" s="249"/>
      <c r="AQ245" s="249"/>
      <c r="AR245" s="249"/>
      <c r="AS245" s="249"/>
      <c r="AT245" s="249"/>
      <c r="AU245" s="249"/>
      <c r="AV245" s="249"/>
      <c r="AW245" s="249"/>
      <c r="AX245" s="249"/>
      <c r="AY245" s="249"/>
      <c r="AZ245" s="249"/>
      <c r="BA245" s="249"/>
      <c r="BB245" s="249"/>
      <c r="BC245" s="249"/>
      <c r="BD245" s="249"/>
      <c r="BE245" s="249"/>
      <c r="BF245" s="249"/>
      <c r="BG245" s="249"/>
      <c r="BH245" s="249"/>
      <c r="BI245" s="249"/>
      <c r="BJ245" s="249"/>
      <c r="BK245" s="249"/>
      <c r="BL245" s="249"/>
      <c r="BM245" s="249"/>
      <c r="BN245" s="249"/>
      <c r="BO245" s="249"/>
      <c r="BP245" s="249"/>
      <c r="BQ245" s="249"/>
      <c r="BR245" s="249"/>
      <c r="BS245" s="249"/>
      <c r="BT245" s="249"/>
      <c r="BU245" s="249"/>
      <c r="BV245" s="249"/>
      <c r="BW245" s="249"/>
      <c r="BX245" s="249"/>
      <c r="BY245" s="249"/>
      <c r="BZ245" s="249"/>
      <c r="CA245" s="249"/>
      <c r="CB245" s="249"/>
      <c r="CC245" s="249"/>
      <c r="CD245" s="249"/>
      <c r="CE245" s="249"/>
      <c r="CF245" s="249"/>
      <c r="CG245" s="249"/>
      <c r="CH245" s="249"/>
      <c r="CI245" s="249"/>
      <c r="CJ245" s="249"/>
      <c r="CK245" s="249"/>
      <c r="CL245" s="249"/>
      <c r="CM245" s="249"/>
      <c r="CN245" s="249"/>
      <c r="CO245" s="249"/>
      <c r="CP245" s="249"/>
      <c r="CQ245" s="249"/>
      <c r="CR245" s="249"/>
      <c r="CS245" s="249"/>
      <c r="CT245" s="249"/>
      <c r="CU245" s="249"/>
      <c r="CV245" s="249"/>
      <c r="CW245" s="249"/>
      <c r="CX245" s="249"/>
      <c r="CY245" s="249"/>
      <c r="CZ245" s="249"/>
      <c r="DA245" s="249"/>
      <c r="DB245" s="249"/>
      <c r="DC245" s="249"/>
      <c r="DD245" s="249"/>
      <c r="DE245" s="249"/>
      <c r="DF245" s="249"/>
      <c r="DG245" s="249"/>
      <c r="DH245" s="249"/>
      <c r="DI245" s="249"/>
      <c r="DJ245" s="249"/>
      <c r="DK245" s="249"/>
      <c r="DL245" s="249"/>
      <c r="DM245" s="249"/>
      <c r="DN245" s="249"/>
      <c r="DO245" s="249"/>
      <c r="DP245" s="249"/>
      <c r="DQ245" s="249"/>
      <c r="DR245" s="249"/>
      <c r="DS245" s="249"/>
      <c r="DT245" s="249"/>
      <c r="DU245" s="249"/>
      <c r="DV245" s="249"/>
      <c r="DW245" s="249"/>
      <c r="DX245" s="249"/>
      <c r="DY245" s="249"/>
      <c r="DZ245" s="249"/>
      <c r="EA245" s="249"/>
      <c r="EB245" s="249"/>
      <c r="EC245" s="249"/>
      <c r="ED245" s="249"/>
      <c r="EE245" s="249"/>
      <c r="EF245" s="249"/>
      <c r="EG245" s="249"/>
      <c r="EH245" s="249"/>
      <c r="EI245" s="249"/>
      <c r="EJ245" s="249"/>
      <c r="EK245" s="249"/>
      <c r="EL245" s="249"/>
      <c r="EM245" s="249"/>
      <c r="EN245" s="249"/>
      <c r="EO245" s="249"/>
      <c r="EP245" s="249"/>
      <c r="EQ245" s="249"/>
      <c r="ER245" s="249"/>
      <c r="ES245" s="249"/>
      <c r="ET245" s="249"/>
      <c r="EU245" s="249"/>
      <c r="EV245" s="249"/>
      <c r="EW245" s="249"/>
      <c r="EX245" s="249"/>
      <c r="EY245" s="249"/>
      <c r="EZ245" s="249"/>
      <c r="FA245" s="249"/>
      <c r="FB245" s="249"/>
      <c r="FC245" s="249"/>
      <c r="FD245" s="249"/>
      <c r="FE245" s="249"/>
      <c r="FF245" s="249"/>
      <c r="FG245" s="249"/>
      <c r="FH245" s="249"/>
      <c r="FI245" s="249"/>
      <c r="FJ245" s="249"/>
      <c r="FK245" s="249"/>
      <c r="FL245" s="249"/>
      <c r="FM245" s="249"/>
      <c r="FN245" s="249"/>
      <c r="FO245" s="249"/>
      <c r="FP245" s="249"/>
      <c r="FQ245" s="249"/>
      <c r="FR245" s="249"/>
      <c r="FS245" s="249"/>
      <c r="FT245" s="249"/>
      <c r="FU245" s="249"/>
      <c r="FV245" s="249"/>
      <c r="FW245" s="249"/>
      <c r="FX245" s="249"/>
      <c r="FY245" s="249"/>
      <c r="FZ245" s="249"/>
      <c r="GA245" s="249"/>
      <c r="GB245" s="249"/>
      <c r="GC245" s="249"/>
      <c r="GD245" s="249"/>
      <c r="GE245" s="249"/>
      <c r="GF245" s="249"/>
      <c r="GG245" s="249"/>
      <c r="GH245" s="249"/>
      <c r="GI245" s="249"/>
      <c r="GJ245" s="249"/>
      <c r="GK245" s="249"/>
      <c r="GL245" s="249"/>
      <c r="GM245" s="249"/>
    </row>
    <row r="246" spans="1:195" s="112" customFormat="1" ht="14.4">
      <c r="A246" s="372"/>
      <c r="B246" s="312"/>
      <c r="C246" s="310"/>
      <c r="D246" s="1217"/>
      <c r="E246" s="140" t="s">
        <v>1210</v>
      </c>
      <c r="F246" s="390">
        <f>SUM(F254,F262,F270,F278,F285,F298,F306,F318,F330,)</f>
        <v>2370037.3306200001</v>
      </c>
      <c r="G246" s="390">
        <f>SUM(G254,G262,G270,G278,G285,G298,G306,G318,G330,)</f>
        <v>2315079</v>
      </c>
      <c r="H246" s="138">
        <f>G246-F246</f>
        <v>-54958.330620000139</v>
      </c>
      <c r="I246" s="242">
        <f>IFERROR(H246/F246,"-")</f>
        <v>-2.3188803783788112E-2</v>
      </c>
      <c r="J246" s="1534"/>
      <c r="K246" s="141"/>
      <c r="L246" s="282"/>
      <c r="M246" s="249"/>
      <c r="N246" s="249"/>
      <c r="O246" s="249"/>
      <c r="P246" s="249"/>
      <c r="Q246" s="249"/>
      <c r="R246" s="249"/>
      <c r="S246" s="249"/>
      <c r="T246" s="249"/>
      <c r="U246" s="249"/>
      <c r="V246" s="249"/>
      <c r="W246" s="249"/>
      <c r="X246" s="249"/>
      <c r="Y246" s="249"/>
      <c r="Z246" s="249"/>
      <c r="AA246" s="249"/>
      <c r="AB246" s="249"/>
      <c r="AC246" s="249"/>
      <c r="AD246" s="249"/>
      <c r="AE246" s="249"/>
      <c r="AF246" s="249"/>
      <c r="AG246" s="249"/>
      <c r="AH246" s="249"/>
      <c r="AI246" s="249"/>
      <c r="AJ246" s="249"/>
      <c r="AK246" s="249"/>
      <c r="AL246" s="249"/>
      <c r="AM246" s="249"/>
      <c r="AN246" s="249"/>
      <c r="AO246" s="249"/>
      <c r="AP246" s="249"/>
      <c r="AQ246" s="249"/>
      <c r="AR246" s="249"/>
      <c r="AS246" s="249"/>
      <c r="AT246" s="249"/>
      <c r="AU246" s="249"/>
      <c r="AV246" s="249"/>
      <c r="AW246" s="249"/>
      <c r="AX246" s="249"/>
      <c r="AY246" s="249"/>
      <c r="AZ246" s="249"/>
      <c r="BA246" s="249"/>
      <c r="BB246" s="249"/>
      <c r="BC246" s="249"/>
      <c r="BD246" s="249"/>
      <c r="BE246" s="249"/>
      <c r="BF246" s="249"/>
      <c r="BG246" s="249"/>
      <c r="BH246" s="249"/>
      <c r="BI246" s="249"/>
      <c r="BJ246" s="249"/>
      <c r="BK246" s="249"/>
      <c r="BL246" s="249"/>
      <c r="BM246" s="249"/>
      <c r="BN246" s="249"/>
      <c r="BO246" s="249"/>
      <c r="BP246" s="249"/>
      <c r="BQ246" s="249"/>
      <c r="BR246" s="249"/>
      <c r="BS246" s="249"/>
      <c r="BT246" s="249"/>
      <c r="BU246" s="249"/>
      <c r="BV246" s="249"/>
      <c r="BW246" s="249"/>
      <c r="BX246" s="249"/>
      <c r="BY246" s="249"/>
      <c r="BZ246" s="249"/>
      <c r="CA246" s="249"/>
      <c r="CB246" s="249"/>
      <c r="CC246" s="249"/>
      <c r="CD246" s="249"/>
      <c r="CE246" s="249"/>
      <c r="CF246" s="249"/>
      <c r="CG246" s="249"/>
      <c r="CH246" s="249"/>
      <c r="CI246" s="249"/>
      <c r="CJ246" s="249"/>
      <c r="CK246" s="249"/>
      <c r="CL246" s="249"/>
      <c r="CM246" s="249"/>
      <c r="CN246" s="249"/>
      <c r="CO246" s="249"/>
      <c r="CP246" s="249"/>
      <c r="CQ246" s="249"/>
      <c r="CR246" s="249"/>
      <c r="CS246" s="249"/>
      <c r="CT246" s="249"/>
      <c r="CU246" s="249"/>
      <c r="CV246" s="249"/>
      <c r="CW246" s="249"/>
      <c r="CX246" s="249"/>
      <c r="CY246" s="249"/>
      <c r="CZ246" s="249"/>
      <c r="DA246" s="249"/>
      <c r="DB246" s="249"/>
      <c r="DC246" s="249"/>
      <c r="DD246" s="249"/>
      <c r="DE246" s="249"/>
      <c r="DF246" s="249"/>
      <c r="DG246" s="249"/>
      <c r="DH246" s="249"/>
      <c r="DI246" s="249"/>
      <c r="DJ246" s="249"/>
      <c r="DK246" s="249"/>
      <c r="DL246" s="249"/>
      <c r="DM246" s="249"/>
      <c r="DN246" s="249"/>
      <c r="DO246" s="249"/>
      <c r="DP246" s="249"/>
      <c r="DQ246" s="249"/>
      <c r="DR246" s="249"/>
      <c r="DS246" s="249"/>
      <c r="DT246" s="249"/>
      <c r="DU246" s="249"/>
      <c r="DV246" s="249"/>
      <c r="DW246" s="249"/>
      <c r="DX246" s="249"/>
      <c r="DY246" s="249"/>
      <c r="DZ246" s="249"/>
      <c r="EA246" s="249"/>
      <c r="EB246" s="249"/>
      <c r="EC246" s="249"/>
      <c r="ED246" s="249"/>
      <c r="EE246" s="249"/>
      <c r="EF246" s="249"/>
      <c r="EG246" s="249"/>
      <c r="EH246" s="249"/>
      <c r="EI246" s="249"/>
      <c r="EJ246" s="249"/>
      <c r="EK246" s="249"/>
      <c r="EL246" s="249"/>
      <c r="EM246" s="249"/>
      <c r="EN246" s="249"/>
      <c r="EO246" s="249"/>
      <c r="EP246" s="249"/>
      <c r="EQ246" s="249"/>
      <c r="ER246" s="249"/>
      <c r="ES246" s="249"/>
      <c r="ET246" s="249"/>
      <c r="EU246" s="249"/>
      <c r="EV246" s="249"/>
      <c r="EW246" s="249"/>
      <c r="EX246" s="249"/>
      <c r="EY246" s="249"/>
      <c r="EZ246" s="249"/>
      <c r="FA246" s="249"/>
      <c r="FB246" s="249"/>
      <c r="FC246" s="249"/>
      <c r="FD246" s="249"/>
      <c r="FE246" s="249"/>
      <c r="FF246" s="249"/>
      <c r="FG246" s="249"/>
      <c r="FH246" s="249"/>
      <c r="FI246" s="249"/>
      <c r="FJ246" s="249"/>
      <c r="FK246" s="249"/>
      <c r="FL246" s="249"/>
      <c r="FM246" s="249"/>
      <c r="FN246" s="249"/>
      <c r="FO246" s="249"/>
      <c r="FP246" s="249"/>
      <c r="FQ246" s="249"/>
      <c r="FR246" s="249"/>
      <c r="FS246" s="249"/>
      <c r="FT246" s="249"/>
      <c r="FU246" s="249"/>
      <c r="FV246" s="249"/>
      <c r="FW246" s="249"/>
      <c r="FX246" s="249"/>
      <c r="FY246" s="249"/>
      <c r="FZ246" s="249"/>
      <c r="GA246" s="249"/>
      <c r="GB246" s="249"/>
      <c r="GC246" s="249"/>
      <c r="GD246" s="249"/>
      <c r="GE246" s="249"/>
      <c r="GF246" s="249"/>
      <c r="GG246" s="249"/>
      <c r="GH246" s="249"/>
      <c r="GI246" s="249"/>
      <c r="GJ246" s="249"/>
      <c r="GK246" s="249"/>
      <c r="GL246" s="249"/>
      <c r="GM246" s="249"/>
    </row>
    <row r="247" spans="1:195" s="112" customFormat="1" ht="14.4">
      <c r="A247" s="372"/>
      <c r="B247" s="312"/>
      <c r="C247" s="310"/>
      <c r="D247" s="1216"/>
      <c r="E247" s="140" t="s">
        <v>375</v>
      </c>
      <c r="F247" s="117">
        <f>F255+F263+F271+F279+F286+F299+F307+F319+F331+F338+F344+F351</f>
        <v>165122.57</v>
      </c>
      <c r="G247" s="117">
        <f>G255+G263+G271+G279+G286+G299+G307+G319+G331+G338+G344+G351</f>
        <v>146561.58000000002</v>
      </c>
      <c r="H247" s="138">
        <f>G247-F247</f>
        <v>-18560.989999999991</v>
      </c>
      <c r="I247" s="242">
        <f t="shared" si="18"/>
        <v>-0.11240734685754945</v>
      </c>
      <c r="J247" s="1533"/>
      <c r="K247" s="141"/>
      <c r="L247" s="282"/>
      <c r="M247" s="249"/>
      <c r="N247" s="249"/>
      <c r="O247" s="249"/>
      <c r="P247" s="249"/>
      <c r="Q247" s="249"/>
      <c r="R247" s="249"/>
      <c r="S247" s="249"/>
      <c r="T247" s="249"/>
      <c r="U247" s="249"/>
      <c r="V247" s="249"/>
      <c r="W247" s="249"/>
      <c r="X247" s="249"/>
      <c r="Y247" s="249"/>
      <c r="Z247" s="249"/>
      <c r="AA247" s="249"/>
      <c r="AB247" s="249"/>
      <c r="AC247" s="249"/>
      <c r="AD247" s="249"/>
      <c r="AE247" s="249"/>
      <c r="AF247" s="249"/>
      <c r="AG247" s="249"/>
      <c r="AH247" s="249"/>
      <c r="AI247" s="249"/>
      <c r="AJ247" s="249"/>
      <c r="AK247" s="249"/>
      <c r="AL247" s="249"/>
      <c r="AM247" s="249"/>
      <c r="AN247" s="249"/>
      <c r="AO247" s="249"/>
      <c r="AP247" s="249"/>
      <c r="AQ247" s="249"/>
      <c r="AR247" s="249"/>
      <c r="AS247" s="249"/>
      <c r="AT247" s="249"/>
      <c r="AU247" s="249"/>
      <c r="AV247" s="249"/>
      <c r="AW247" s="249"/>
      <c r="AX247" s="249"/>
      <c r="AY247" s="249"/>
      <c r="AZ247" s="249"/>
      <c r="BA247" s="249"/>
      <c r="BB247" s="249"/>
      <c r="BC247" s="249"/>
      <c r="BD247" s="249"/>
      <c r="BE247" s="249"/>
      <c r="BF247" s="249"/>
      <c r="BG247" s="249"/>
      <c r="BH247" s="249"/>
      <c r="BI247" s="249"/>
      <c r="BJ247" s="249"/>
      <c r="BK247" s="249"/>
      <c r="BL247" s="249"/>
      <c r="BM247" s="249"/>
      <c r="BN247" s="249"/>
      <c r="BO247" s="249"/>
      <c r="BP247" s="249"/>
      <c r="BQ247" s="249"/>
      <c r="BR247" s="249"/>
      <c r="BS247" s="249"/>
      <c r="BT247" s="249"/>
      <c r="BU247" s="249"/>
      <c r="BV247" s="249"/>
      <c r="BW247" s="249"/>
      <c r="BX247" s="249"/>
      <c r="BY247" s="249"/>
      <c r="BZ247" s="249"/>
      <c r="CA247" s="249"/>
      <c r="CB247" s="249"/>
      <c r="CC247" s="249"/>
      <c r="CD247" s="249"/>
      <c r="CE247" s="249"/>
      <c r="CF247" s="249"/>
      <c r="CG247" s="249"/>
      <c r="CH247" s="249"/>
      <c r="CI247" s="249"/>
      <c r="CJ247" s="249"/>
      <c r="CK247" s="249"/>
      <c r="CL247" s="249"/>
      <c r="CM247" s="249"/>
      <c r="CN247" s="249"/>
      <c r="CO247" s="249"/>
      <c r="CP247" s="249"/>
      <c r="CQ247" s="249"/>
      <c r="CR247" s="249"/>
      <c r="CS247" s="249"/>
      <c r="CT247" s="249"/>
      <c r="CU247" s="249"/>
      <c r="CV247" s="249"/>
      <c r="CW247" s="249"/>
      <c r="CX247" s="249"/>
      <c r="CY247" s="249"/>
      <c r="CZ247" s="249"/>
      <c r="DA247" s="249"/>
      <c r="DB247" s="249"/>
      <c r="DC247" s="249"/>
      <c r="DD247" s="249"/>
      <c r="DE247" s="249"/>
      <c r="DF247" s="249"/>
      <c r="DG247" s="249"/>
      <c r="DH247" s="249"/>
      <c r="DI247" s="249"/>
      <c r="DJ247" s="249"/>
      <c r="DK247" s="249"/>
      <c r="DL247" s="249"/>
      <c r="DM247" s="249"/>
      <c r="DN247" s="249"/>
      <c r="DO247" s="249"/>
      <c r="DP247" s="249"/>
      <c r="DQ247" s="249"/>
      <c r="DR247" s="249"/>
      <c r="DS247" s="249"/>
      <c r="DT247" s="249"/>
      <c r="DU247" s="249"/>
      <c r="DV247" s="249"/>
      <c r="DW247" s="249"/>
      <c r="DX247" s="249"/>
      <c r="DY247" s="249"/>
      <c r="DZ247" s="249"/>
      <c r="EA247" s="249"/>
      <c r="EB247" s="249"/>
      <c r="EC247" s="249"/>
      <c r="ED247" s="249"/>
      <c r="EE247" s="249"/>
      <c r="EF247" s="249"/>
      <c r="EG247" s="249"/>
      <c r="EH247" s="249"/>
      <c r="EI247" s="249"/>
      <c r="EJ247" s="249"/>
      <c r="EK247" s="249"/>
      <c r="EL247" s="249"/>
      <c r="EM247" s="249"/>
      <c r="EN247" s="249"/>
      <c r="EO247" s="249"/>
      <c r="EP247" s="249"/>
      <c r="EQ247" s="249"/>
      <c r="ER247" s="249"/>
      <c r="ES247" s="249"/>
      <c r="ET247" s="249"/>
      <c r="EU247" s="249"/>
      <c r="EV247" s="249"/>
      <c r="EW247" s="249"/>
      <c r="EX247" s="249"/>
      <c r="EY247" s="249"/>
      <c r="EZ247" s="249"/>
      <c r="FA247" s="249"/>
      <c r="FB247" s="249"/>
      <c r="FC247" s="249"/>
      <c r="FD247" s="249"/>
      <c r="FE247" s="249"/>
      <c r="FF247" s="249"/>
      <c r="FG247" s="249"/>
      <c r="FH247" s="249"/>
      <c r="FI247" s="249"/>
      <c r="FJ247" s="249"/>
      <c r="FK247" s="249"/>
      <c r="FL247" s="249"/>
      <c r="FM247" s="249"/>
      <c r="FN247" s="249"/>
      <c r="FO247" s="249"/>
      <c r="FP247" s="249"/>
      <c r="FQ247" s="249"/>
      <c r="FR247" s="249"/>
      <c r="FS247" s="249"/>
      <c r="FT247" s="249"/>
      <c r="FU247" s="249"/>
      <c r="FV247" s="249"/>
      <c r="FW247" s="249"/>
      <c r="FX247" s="249"/>
      <c r="FY247" s="249"/>
      <c r="FZ247" s="249"/>
      <c r="GA247" s="249"/>
      <c r="GB247" s="249"/>
      <c r="GC247" s="249"/>
      <c r="GD247" s="249"/>
      <c r="GE247" s="249"/>
      <c r="GF247" s="249"/>
      <c r="GG247" s="249"/>
      <c r="GH247" s="249"/>
      <c r="GI247" s="249"/>
      <c r="GJ247" s="249"/>
      <c r="GK247" s="249"/>
      <c r="GL247" s="249"/>
      <c r="GM247" s="249"/>
    </row>
    <row r="248" spans="1:195" s="171" customFormat="1" ht="14.4">
      <c r="A248" s="1546"/>
      <c r="B248" s="313"/>
      <c r="C248" s="314"/>
      <c r="D248" s="1218"/>
      <c r="E248" s="328" t="s">
        <v>265</v>
      </c>
      <c r="F248" s="329">
        <f>F256+F264+F272+F280+F287+F291+F300+F308+F320+F332+F339+F309+F321</f>
        <v>8936919.2228526101</v>
      </c>
      <c r="G248" s="329">
        <f>G256+G264+G272+G280+G287+G291+G300+G308+G320+G332+G339+G309+G321</f>
        <v>9408600.0226119999</v>
      </c>
      <c r="H248" s="330">
        <f t="shared" ref="H248:H286" si="28">G248-F248</f>
        <v>471680.79975938983</v>
      </c>
      <c r="I248" s="331">
        <f t="shared" si="18"/>
        <v>5.2778903780763074E-2</v>
      </c>
      <c r="J248" s="1535"/>
      <c r="K248" s="317"/>
      <c r="L248" s="284"/>
      <c r="M248" s="251"/>
      <c r="N248" s="251"/>
      <c r="O248" s="251"/>
      <c r="P248" s="251"/>
      <c r="Q248" s="251"/>
      <c r="R248" s="251"/>
      <c r="S248" s="251"/>
      <c r="T248" s="251"/>
      <c r="U248" s="251"/>
      <c r="V248" s="251"/>
      <c r="W248" s="251"/>
      <c r="X248" s="251"/>
      <c r="Y248" s="251"/>
      <c r="Z248" s="251"/>
      <c r="AA248" s="251"/>
      <c r="AB248" s="251"/>
      <c r="AC248" s="251"/>
      <c r="AD248" s="251"/>
      <c r="AE248" s="251"/>
      <c r="AF248" s="251"/>
      <c r="AG248" s="251"/>
      <c r="AH248" s="251"/>
      <c r="AI248" s="251"/>
      <c r="AJ248" s="251"/>
      <c r="AK248" s="251"/>
      <c r="AL248" s="251"/>
      <c r="AM248" s="251"/>
      <c r="AN248" s="251"/>
      <c r="AO248" s="251"/>
      <c r="AP248" s="251"/>
      <c r="AQ248" s="251"/>
      <c r="AR248" s="251"/>
      <c r="AS248" s="251"/>
      <c r="AT248" s="251"/>
      <c r="AU248" s="251"/>
      <c r="AV248" s="251"/>
      <c r="AW248" s="251"/>
      <c r="AX248" s="251"/>
      <c r="AY248" s="251"/>
      <c r="AZ248" s="251"/>
      <c r="BA248" s="251"/>
      <c r="BB248" s="251"/>
      <c r="BC248" s="251"/>
      <c r="BD248" s="251"/>
      <c r="BE248" s="251"/>
      <c r="BF248" s="251"/>
      <c r="BG248" s="251"/>
      <c r="BH248" s="251"/>
      <c r="BI248" s="251"/>
      <c r="BJ248" s="251"/>
      <c r="BK248" s="251"/>
      <c r="BL248" s="251"/>
      <c r="BM248" s="251"/>
      <c r="BN248" s="251"/>
      <c r="BO248" s="251"/>
      <c r="BP248" s="251"/>
      <c r="BQ248" s="251"/>
      <c r="BR248" s="251"/>
      <c r="BS248" s="251"/>
      <c r="BT248" s="251"/>
      <c r="BU248" s="251"/>
      <c r="BV248" s="251"/>
      <c r="BW248" s="251"/>
      <c r="BX248" s="251"/>
      <c r="BY248" s="251"/>
      <c r="BZ248" s="251"/>
      <c r="CA248" s="251"/>
      <c r="CB248" s="251"/>
      <c r="CC248" s="251"/>
      <c r="CD248" s="251"/>
      <c r="CE248" s="251"/>
      <c r="CF248" s="251"/>
      <c r="CG248" s="251"/>
      <c r="CH248" s="251"/>
      <c r="CI248" s="251"/>
      <c r="CJ248" s="251"/>
      <c r="CK248" s="251"/>
      <c r="CL248" s="251"/>
      <c r="CM248" s="251"/>
      <c r="CN248" s="251"/>
      <c r="CO248" s="251"/>
      <c r="CP248" s="251"/>
      <c r="CQ248" s="251"/>
      <c r="CR248" s="251"/>
      <c r="CS248" s="251"/>
      <c r="CT248" s="251"/>
      <c r="CU248" s="251"/>
      <c r="CV248" s="251"/>
      <c r="CW248" s="251"/>
      <c r="CX248" s="251"/>
      <c r="CY248" s="251"/>
      <c r="CZ248" s="251"/>
      <c r="DA248" s="251"/>
      <c r="DB248" s="251"/>
      <c r="DC248" s="251"/>
      <c r="DD248" s="251"/>
      <c r="DE248" s="251"/>
      <c r="DF248" s="251"/>
      <c r="DG248" s="251"/>
      <c r="DH248" s="251"/>
      <c r="DI248" s="251"/>
      <c r="DJ248" s="251"/>
      <c r="DK248" s="251"/>
      <c r="DL248" s="251"/>
      <c r="DM248" s="251"/>
      <c r="DN248" s="251"/>
      <c r="DO248" s="251"/>
      <c r="DP248" s="251"/>
      <c r="DQ248" s="251"/>
      <c r="DR248" s="251"/>
      <c r="DS248" s="251"/>
      <c r="DT248" s="251"/>
      <c r="DU248" s="251"/>
      <c r="DV248" s="251"/>
      <c r="DW248" s="251"/>
      <c r="DX248" s="251"/>
      <c r="DY248" s="251"/>
      <c r="DZ248" s="251"/>
      <c r="EA248" s="251"/>
      <c r="EB248" s="251"/>
      <c r="EC248" s="251"/>
      <c r="ED248" s="251"/>
      <c r="EE248" s="251"/>
      <c r="EF248" s="251"/>
      <c r="EG248" s="251"/>
      <c r="EH248" s="251"/>
      <c r="EI248" s="251"/>
      <c r="EJ248" s="251"/>
      <c r="EK248" s="251"/>
      <c r="EL248" s="251"/>
      <c r="EM248" s="251"/>
      <c r="EN248" s="251"/>
      <c r="EO248" s="251"/>
      <c r="EP248" s="251"/>
      <c r="EQ248" s="251"/>
      <c r="ER248" s="251"/>
      <c r="ES248" s="251"/>
      <c r="ET248" s="251"/>
      <c r="EU248" s="251"/>
      <c r="EV248" s="251"/>
      <c r="EW248" s="251"/>
      <c r="EX248" s="251"/>
      <c r="EY248" s="251"/>
      <c r="EZ248" s="251"/>
      <c r="FA248" s="251"/>
      <c r="FB248" s="251"/>
      <c r="FC248" s="251"/>
      <c r="FD248" s="251"/>
      <c r="FE248" s="251"/>
      <c r="FF248" s="251"/>
      <c r="FG248" s="251"/>
      <c r="FH248" s="251"/>
      <c r="FI248" s="251"/>
      <c r="FJ248" s="251"/>
      <c r="FK248" s="251"/>
      <c r="FL248" s="251"/>
      <c r="FM248" s="251"/>
      <c r="FN248" s="251"/>
      <c r="FO248" s="251"/>
      <c r="FP248" s="251"/>
      <c r="FQ248" s="251"/>
      <c r="FR248" s="251"/>
      <c r="FS248" s="251"/>
      <c r="FT248" s="251"/>
      <c r="FU248" s="251"/>
      <c r="FV248" s="251"/>
      <c r="FW248" s="251"/>
      <c r="FX248" s="251"/>
      <c r="FY248" s="251"/>
      <c r="FZ248" s="251"/>
      <c r="GA248" s="251"/>
      <c r="GB248" s="251"/>
      <c r="GC248" s="251"/>
      <c r="GD248" s="251"/>
      <c r="GE248" s="251"/>
      <c r="GF248" s="251"/>
      <c r="GG248" s="251"/>
      <c r="GH248" s="251"/>
      <c r="GI248" s="251"/>
      <c r="GJ248" s="251"/>
      <c r="GK248" s="251"/>
      <c r="GL248" s="251"/>
      <c r="GM248" s="251"/>
    </row>
    <row r="249" spans="1:195" s="166" customFormat="1" ht="13.8">
      <c r="A249" s="1546"/>
      <c r="B249" s="313"/>
      <c r="C249" s="314"/>
      <c r="D249" s="61"/>
      <c r="E249" s="215" t="s">
        <v>773</v>
      </c>
      <c r="F249" s="163">
        <f>F257+F265+F273+F281+F288+F292+F301+F310+F322+F333+F340+F347+F352</f>
        <v>1091495.08</v>
      </c>
      <c r="G249" s="163">
        <f>G257+G265+G273+G281+G288+G292+G301+G310+G322+G333+G340+G347+G352</f>
        <v>653694.9933333334</v>
      </c>
      <c r="H249" s="160">
        <f t="shared" si="28"/>
        <v>-437800.08666666667</v>
      </c>
      <c r="I249" s="243">
        <f t="shared" si="18"/>
        <v>-0.40110129187817012</v>
      </c>
      <c r="J249" s="1536"/>
      <c r="K249" s="317"/>
      <c r="L249" s="283"/>
      <c r="M249" s="161"/>
      <c r="N249" s="161"/>
      <c r="O249" s="161"/>
      <c r="P249" s="161"/>
      <c r="Q249" s="161"/>
      <c r="R249" s="161"/>
      <c r="S249" s="161"/>
      <c r="T249" s="161"/>
      <c r="U249" s="161"/>
      <c r="V249" s="161"/>
      <c r="W249" s="161"/>
      <c r="X249" s="161"/>
      <c r="Y249" s="161"/>
      <c r="Z249" s="161"/>
      <c r="AA249" s="161"/>
      <c r="AB249" s="161"/>
      <c r="AC249" s="161"/>
      <c r="AD249" s="161"/>
      <c r="AE249" s="161"/>
      <c r="AF249" s="161"/>
      <c r="AG249" s="161"/>
      <c r="AH249" s="161"/>
      <c r="AI249" s="161"/>
      <c r="AJ249" s="161"/>
      <c r="AK249" s="161"/>
      <c r="AL249" s="161"/>
      <c r="AM249" s="161"/>
      <c r="AN249" s="161"/>
      <c r="AO249" s="161"/>
      <c r="AP249" s="161"/>
      <c r="AQ249" s="161"/>
      <c r="AR249" s="161"/>
      <c r="AS249" s="161"/>
      <c r="AT249" s="161"/>
      <c r="AU249" s="161"/>
      <c r="AV249" s="161"/>
      <c r="AW249" s="161"/>
      <c r="AX249" s="161"/>
      <c r="AY249" s="161"/>
      <c r="AZ249" s="161"/>
      <c r="BA249" s="161"/>
      <c r="BB249" s="161"/>
      <c r="BC249" s="161"/>
      <c r="BD249" s="161"/>
      <c r="BE249" s="161"/>
      <c r="BF249" s="161"/>
      <c r="BG249" s="161"/>
      <c r="BH249" s="161"/>
      <c r="BI249" s="161"/>
      <c r="BJ249" s="161"/>
      <c r="BK249" s="161"/>
      <c r="BL249" s="161"/>
      <c r="BM249" s="161"/>
      <c r="BN249" s="161"/>
      <c r="BO249" s="161"/>
      <c r="BP249" s="161"/>
      <c r="BQ249" s="161"/>
      <c r="BR249" s="161"/>
      <c r="BS249" s="161"/>
      <c r="BT249" s="161"/>
      <c r="BU249" s="161"/>
      <c r="BV249" s="161"/>
      <c r="BW249" s="161"/>
      <c r="BX249" s="161"/>
      <c r="BY249" s="161"/>
      <c r="BZ249" s="161"/>
      <c r="CA249" s="161"/>
      <c r="CB249" s="161"/>
      <c r="CC249" s="161"/>
      <c r="CD249" s="161"/>
      <c r="CE249" s="161"/>
      <c r="CF249" s="161"/>
      <c r="CG249" s="161"/>
      <c r="CH249" s="161"/>
      <c r="CI249" s="161"/>
      <c r="CJ249" s="161"/>
      <c r="CK249" s="161"/>
      <c r="CL249" s="161"/>
      <c r="CM249" s="161"/>
      <c r="CN249" s="161"/>
      <c r="CO249" s="161"/>
      <c r="CP249" s="161"/>
      <c r="CQ249" s="161"/>
      <c r="CR249" s="161"/>
      <c r="CS249" s="161"/>
      <c r="CT249" s="161"/>
      <c r="CU249" s="161"/>
      <c r="CV249" s="161"/>
      <c r="CW249" s="161"/>
      <c r="CX249" s="161"/>
      <c r="CY249" s="161"/>
      <c r="CZ249" s="161"/>
      <c r="DA249" s="161"/>
      <c r="DB249" s="161"/>
      <c r="DC249" s="161"/>
      <c r="DD249" s="161"/>
      <c r="DE249" s="161"/>
      <c r="DF249" s="161"/>
      <c r="DG249" s="161"/>
      <c r="DH249" s="161"/>
      <c r="DI249" s="161"/>
      <c r="DJ249" s="161"/>
      <c r="DK249" s="161"/>
      <c r="DL249" s="161"/>
      <c r="DM249" s="161"/>
      <c r="DN249" s="161"/>
      <c r="DO249" s="161"/>
      <c r="DP249" s="161"/>
      <c r="DQ249" s="161"/>
      <c r="DR249" s="161"/>
      <c r="DS249" s="161"/>
      <c r="DT249" s="161"/>
      <c r="DU249" s="161"/>
      <c r="DV249" s="161"/>
      <c r="DW249" s="161"/>
      <c r="DX249" s="161"/>
      <c r="DY249" s="161"/>
      <c r="DZ249" s="161"/>
      <c r="EA249" s="161"/>
      <c r="EB249" s="161"/>
      <c r="EC249" s="161"/>
      <c r="ED249" s="161"/>
      <c r="EE249" s="161"/>
      <c r="EF249" s="161"/>
      <c r="EG249" s="161"/>
      <c r="EH249" s="161"/>
      <c r="EI249" s="161"/>
      <c r="EJ249" s="161"/>
      <c r="EK249" s="161"/>
      <c r="EL249" s="161"/>
      <c r="EM249" s="161"/>
      <c r="EN249" s="161"/>
      <c r="EO249" s="161"/>
      <c r="EP249" s="161"/>
      <c r="EQ249" s="161"/>
      <c r="ER249" s="161"/>
      <c r="ES249" s="161"/>
      <c r="ET249" s="161"/>
      <c r="EU249" s="161"/>
      <c r="EV249" s="161"/>
      <c r="EW249" s="161"/>
      <c r="EX249" s="161"/>
      <c r="EY249" s="161"/>
      <c r="EZ249" s="161"/>
      <c r="FA249" s="161"/>
      <c r="FB249" s="161"/>
      <c r="FC249" s="161"/>
      <c r="FD249" s="161"/>
      <c r="FE249" s="161"/>
      <c r="FF249" s="161"/>
      <c r="FG249" s="161"/>
      <c r="FH249" s="161"/>
      <c r="FI249" s="161"/>
      <c r="FJ249" s="161"/>
      <c r="FK249" s="161"/>
      <c r="FL249" s="161"/>
      <c r="FM249" s="161"/>
      <c r="FN249" s="161"/>
      <c r="FO249" s="161"/>
      <c r="FP249" s="161"/>
      <c r="FQ249" s="161"/>
      <c r="FR249" s="161"/>
      <c r="FS249" s="161"/>
      <c r="FT249" s="161"/>
      <c r="FU249" s="161"/>
      <c r="FV249" s="161"/>
      <c r="FW249" s="161"/>
      <c r="FX249" s="161"/>
      <c r="FY249" s="161"/>
      <c r="FZ249" s="161"/>
      <c r="GA249" s="161"/>
      <c r="GB249" s="161"/>
      <c r="GC249" s="161"/>
      <c r="GD249" s="161"/>
      <c r="GE249" s="161"/>
      <c r="GF249" s="161"/>
      <c r="GG249" s="161"/>
      <c r="GH249" s="161"/>
      <c r="GI249" s="161"/>
      <c r="GJ249" s="161"/>
      <c r="GK249" s="161"/>
      <c r="GL249" s="161"/>
      <c r="GM249" s="161"/>
    </row>
    <row r="250" spans="1:195" ht="41.4">
      <c r="A250" s="179" t="s">
        <v>1932</v>
      </c>
      <c r="B250" s="179" t="s">
        <v>772</v>
      </c>
      <c r="D250" s="1211" t="s">
        <v>32</v>
      </c>
      <c r="E250" s="42" t="s">
        <v>101</v>
      </c>
      <c r="F250" s="91">
        <f>SUMIFS(INPUT!$H:$H,INPUT!$E:$E,BAZE_2026!$A250,INPUT!$B:$B,BAZE_2026!$B250)</f>
        <v>851975</v>
      </c>
      <c r="G250" s="91">
        <f>SUMIFS(INPUT!$L:$L,INPUT!$E:$E,BAZE_2026!$A250,INPUT!$B:$B,BAZE_2026!$B250)</f>
        <v>800000</v>
      </c>
      <c r="H250" s="91">
        <f t="shared" si="28"/>
        <v>-51975</v>
      </c>
      <c r="I250" s="222">
        <f t="shared" si="18"/>
        <v>-6.100531118870859E-2</v>
      </c>
      <c r="J250" s="2574" t="s">
        <v>2702</v>
      </c>
      <c r="K250" s="72"/>
    </row>
    <row r="251" spans="1:195" ht="27" customHeight="1">
      <c r="D251" s="1211" t="s">
        <v>33</v>
      </c>
      <c r="E251" s="42" t="s">
        <v>378</v>
      </c>
      <c r="F251" s="91">
        <f>F252+F253+F255+F254</f>
        <v>1953153.733549342</v>
      </c>
      <c r="G251" s="91">
        <f>G252+G253+G255+G254</f>
        <v>2028795.1654177664</v>
      </c>
      <c r="H251" s="33">
        <f t="shared" si="28"/>
        <v>75641.431868424406</v>
      </c>
      <c r="I251" s="222">
        <f t="shared" si="18"/>
        <v>3.8727843368973343E-2</v>
      </c>
      <c r="J251" s="1402"/>
      <c r="K251" s="72"/>
    </row>
    <row r="252" spans="1:195" s="8" customFormat="1" ht="13.8" hidden="1" outlineLevel="1">
      <c r="A252" s="179" t="s">
        <v>1925</v>
      </c>
      <c r="B252" s="179" t="s">
        <v>436</v>
      </c>
      <c r="C252" s="248"/>
      <c r="D252" s="58"/>
      <c r="E252" s="65" t="s">
        <v>436</v>
      </c>
      <c r="F252" s="92">
        <f>SUMIFS(INPUT!$H:$H,INPUT!$E:$E,BAZE_2026!$A252,INPUT!$B:$B,BAZE_2026!$B252)</f>
        <v>1473980.973549342</v>
      </c>
      <c r="G252" s="92">
        <f>SUMIFS(INPUT!$L:$L,INPUT!$E:$E,BAZE_2026!$A252,INPUT!$B:$B,BAZE_2026!$B252)</f>
        <v>1533388.2054177665</v>
      </c>
      <c r="H252" s="27">
        <f t="shared" si="28"/>
        <v>59407.231868424453</v>
      </c>
      <c r="I252" s="220">
        <f>IFERROR(H252/F252,"-")</f>
        <v>4.0303933995411087E-2</v>
      </c>
      <c r="J252" s="2727" t="s">
        <v>4896</v>
      </c>
      <c r="K252" s="72"/>
      <c r="L252" s="1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row>
    <row r="253" spans="1:195" s="8" customFormat="1" ht="82.8" hidden="1" outlineLevel="1">
      <c r="A253" s="179" t="s">
        <v>1925</v>
      </c>
      <c r="B253" s="179" t="s">
        <v>772</v>
      </c>
      <c r="C253" s="248"/>
      <c r="D253" s="64"/>
      <c r="E253" s="59" t="s">
        <v>376</v>
      </c>
      <c r="F253" s="92">
        <f>SUMIFS(INPUT!$H:$H,INPUT!$E:$E,BAZE_2026!$A253,INPUT!$B:$B,BAZE_2026!$B253)</f>
        <v>136624.76</v>
      </c>
      <c r="G253" s="92">
        <f>SUMIFS(INPUT!$L:$L,INPUT!$E:$E,BAZE_2026!$A253,INPUT!$B:$B,BAZE_2026!$B253)</f>
        <v>146751.96</v>
      </c>
      <c r="H253" s="27">
        <f t="shared" si="28"/>
        <v>10127.199999999983</v>
      </c>
      <c r="I253" s="220">
        <f t="shared" si="18"/>
        <v>7.4124192423100921E-2</v>
      </c>
      <c r="J253" s="2713" t="s">
        <v>5027</v>
      </c>
      <c r="K253" s="54"/>
      <c r="L253" s="135"/>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row>
    <row r="254" spans="1:195" s="357" customFormat="1" ht="17.399999999999999" hidden="1" customHeight="1" outlineLevel="1">
      <c r="A254" s="179" t="s">
        <v>1925</v>
      </c>
      <c r="B254" s="372" t="s">
        <v>1211</v>
      </c>
      <c r="C254" s="248"/>
      <c r="D254" s="371"/>
      <c r="E254" s="59" t="s">
        <v>1210</v>
      </c>
      <c r="F254" s="92">
        <f>SUMIFS(INPUT!$H:$H,INPUT!$E:$E,BAZE_2026!$A254,INPUT!$B:$B,BAZE_2026!$B254)</f>
        <v>340779</v>
      </c>
      <c r="G254" s="92">
        <f>SUMIFS(INPUT!$L:$L,INPUT!$E:$E,BAZE_2026!$A254,INPUT!$B:$B,BAZE_2026!$B254)</f>
        <v>337000</v>
      </c>
      <c r="H254" s="27">
        <f>G254-F254</f>
        <v>-3779</v>
      </c>
      <c r="I254" s="220">
        <f>IFERROR(H254/F254,"-")</f>
        <v>-1.1089298342914323E-2</v>
      </c>
      <c r="J254" s="1539"/>
      <c r="K254" s="309"/>
      <c r="L254" s="69"/>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row>
    <row r="255" spans="1:195" s="8" customFormat="1" ht="13.8" hidden="1" outlineLevel="1">
      <c r="A255" s="179" t="s">
        <v>1925</v>
      </c>
      <c r="B255" s="179" t="s">
        <v>774</v>
      </c>
      <c r="C255" s="248"/>
      <c r="D255" s="58"/>
      <c r="E255" s="59" t="s">
        <v>375</v>
      </c>
      <c r="F255" s="92">
        <f>SUMIFS(INPUT!$H:$H,INPUT!$E:$E,BAZE_2026!$A255,INPUT!$B:$B,BAZE_2026!$B255)</f>
        <v>1769</v>
      </c>
      <c r="G255" s="92">
        <f>SUMIFS(INPUT!$L:$L,INPUT!$E:$E,BAZE_2026!$A255,INPUT!$B:$B,BAZE_2026!$B255)</f>
        <v>11655</v>
      </c>
      <c r="H255" s="27">
        <f t="shared" si="28"/>
        <v>9886</v>
      </c>
      <c r="I255" s="220">
        <f t="shared" si="18"/>
        <v>5.5884680610514419</v>
      </c>
      <c r="J255" s="2713" t="s">
        <v>4894</v>
      </c>
      <c r="K255" s="72"/>
      <c r="L255" s="12"/>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row>
    <row r="256" spans="1:195" s="166" customFormat="1" ht="13.8" hidden="1" outlineLevel="1">
      <c r="A256" s="315" t="s">
        <v>1926</v>
      </c>
      <c r="B256" s="315" t="s">
        <v>326</v>
      </c>
      <c r="C256" s="316"/>
      <c r="D256" s="2919"/>
      <c r="E256" s="164" t="s">
        <v>265</v>
      </c>
      <c r="F256" s="154">
        <f>SUMIFS(INPUT!$H:$H,INPUT!$E:$E,BAZE_2026!$A256,INPUT!$B:$B,BAZE_2026!$B256)</f>
        <v>366284</v>
      </c>
      <c r="G256" s="154">
        <f>SUMIFS(INPUT!$L:$L,INPUT!$E:$E,BAZE_2026!$A256,INPUT!$B:$B,BAZE_2026!$B256)</f>
        <v>386470.12089200004</v>
      </c>
      <c r="H256" s="160">
        <f>G256-F256</f>
        <v>20186.120892000035</v>
      </c>
      <c r="I256" s="243">
        <f t="shared" si="18"/>
        <v>5.5110572375533837E-2</v>
      </c>
      <c r="J256" s="2932"/>
      <c r="K256" s="317"/>
      <c r="L256" s="283"/>
      <c r="M256" s="161"/>
      <c r="N256" s="161"/>
      <c r="O256" s="161"/>
      <c r="P256" s="161"/>
      <c r="Q256" s="161"/>
      <c r="R256" s="161"/>
      <c r="S256" s="161"/>
      <c r="T256" s="161"/>
      <c r="U256" s="161"/>
      <c r="V256" s="161"/>
      <c r="W256" s="161"/>
      <c r="X256" s="161"/>
      <c r="Y256" s="161"/>
      <c r="Z256" s="161"/>
      <c r="AA256" s="161"/>
      <c r="AB256" s="161"/>
      <c r="AC256" s="161"/>
      <c r="AD256" s="161"/>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c r="BD256" s="161"/>
      <c r="BE256" s="161"/>
      <c r="BF256" s="161"/>
      <c r="BG256" s="161"/>
      <c r="BH256" s="161"/>
      <c r="BI256" s="161"/>
      <c r="BJ256" s="161"/>
      <c r="BK256" s="161"/>
      <c r="BL256" s="161"/>
      <c r="BM256" s="161"/>
      <c r="BN256" s="161"/>
      <c r="BO256" s="161"/>
      <c r="BP256" s="161"/>
      <c r="BQ256" s="161"/>
      <c r="BR256" s="161"/>
      <c r="BS256" s="161"/>
      <c r="BT256" s="161"/>
      <c r="BU256" s="161"/>
      <c r="BV256" s="161"/>
      <c r="BW256" s="161"/>
      <c r="BX256" s="161"/>
      <c r="BY256" s="161"/>
      <c r="BZ256" s="161"/>
      <c r="CA256" s="161"/>
      <c r="CB256" s="161"/>
      <c r="CC256" s="161"/>
      <c r="CD256" s="161"/>
      <c r="CE256" s="161"/>
      <c r="CF256" s="161"/>
      <c r="CG256" s="161"/>
      <c r="CH256" s="161"/>
      <c r="CI256" s="161"/>
      <c r="CJ256" s="161"/>
      <c r="CK256" s="161"/>
      <c r="CL256" s="161"/>
      <c r="CM256" s="161"/>
      <c r="CN256" s="161"/>
      <c r="CO256" s="161"/>
      <c r="CP256" s="161"/>
      <c r="CQ256" s="161"/>
      <c r="CR256" s="161"/>
      <c r="CS256" s="161"/>
      <c r="CT256" s="161"/>
      <c r="CU256" s="161"/>
      <c r="CV256" s="161"/>
      <c r="CW256" s="161"/>
      <c r="CX256" s="161"/>
      <c r="CY256" s="161"/>
      <c r="CZ256" s="161"/>
      <c r="DA256" s="161"/>
      <c r="DB256" s="161"/>
      <c r="DC256" s="161"/>
      <c r="DD256" s="161"/>
      <c r="DE256" s="161"/>
      <c r="DF256" s="161"/>
      <c r="DG256" s="161"/>
      <c r="DH256" s="161"/>
      <c r="DI256" s="161"/>
      <c r="DJ256" s="161"/>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c r="EE256" s="161"/>
      <c r="EF256" s="161"/>
      <c r="EG256" s="161"/>
      <c r="EH256" s="161"/>
      <c r="EI256" s="161"/>
      <c r="EJ256" s="161"/>
      <c r="EK256" s="161"/>
      <c r="EL256" s="161"/>
      <c r="EM256" s="161"/>
      <c r="EN256" s="161"/>
      <c r="EO256" s="161"/>
      <c r="EP256" s="161"/>
      <c r="EQ256" s="161"/>
      <c r="ER256" s="161"/>
      <c r="ES256" s="161"/>
      <c r="ET256" s="161"/>
      <c r="EU256" s="161"/>
      <c r="EV256" s="161"/>
      <c r="EW256" s="161"/>
      <c r="EX256" s="161"/>
      <c r="EY256" s="161"/>
      <c r="EZ256" s="161"/>
      <c r="FA256" s="161"/>
      <c r="FB256" s="161"/>
      <c r="FC256" s="161"/>
      <c r="FD256" s="161"/>
      <c r="FE256" s="161"/>
      <c r="FF256" s="161"/>
      <c r="FG256" s="161"/>
      <c r="FH256" s="161"/>
      <c r="FI256" s="161"/>
      <c r="FJ256" s="161"/>
      <c r="FK256" s="161"/>
      <c r="FL256" s="161"/>
      <c r="FM256" s="161"/>
      <c r="FN256" s="161"/>
      <c r="FO256" s="161"/>
      <c r="FP256" s="161"/>
      <c r="FQ256" s="161"/>
      <c r="FR256" s="161"/>
      <c r="FS256" s="161"/>
      <c r="FT256" s="161"/>
      <c r="FU256" s="161"/>
      <c r="FV256" s="161"/>
      <c r="FW256" s="161"/>
      <c r="FX256" s="161"/>
      <c r="FY256" s="161"/>
      <c r="FZ256" s="161"/>
      <c r="GA256" s="161"/>
      <c r="GB256" s="161"/>
      <c r="GC256" s="161"/>
      <c r="GD256" s="161"/>
      <c r="GE256" s="161"/>
      <c r="GF256" s="161"/>
      <c r="GG256" s="161"/>
      <c r="GH256" s="161"/>
      <c r="GI256" s="161"/>
      <c r="GJ256" s="161"/>
      <c r="GK256" s="161"/>
      <c r="GL256" s="161"/>
      <c r="GM256" s="161"/>
    </row>
    <row r="257" spans="1:195" s="166" customFormat="1" ht="13.8" hidden="1" outlineLevel="1">
      <c r="A257" s="315" t="s">
        <v>1925</v>
      </c>
      <c r="B257" s="315" t="s">
        <v>773</v>
      </c>
      <c r="C257" s="316"/>
      <c r="D257" s="2919"/>
      <c r="E257" s="164" t="s">
        <v>773</v>
      </c>
      <c r="F257" s="154">
        <f>SUMIFS(INPUT!$H:$H,INPUT!$E:$E,BAZE_2026!$A257,INPUT!$B:$B,BAZE_2026!$B257)</f>
        <v>57106</v>
      </c>
      <c r="G257" s="154">
        <f>SUMIFS(INPUT!$L:$L,INPUT!$E:$E,BAZE_2026!$A257,INPUT!$B:$B,BAZE_2026!$B257)</f>
        <v>0</v>
      </c>
      <c r="H257" s="160">
        <f t="shared" si="28"/>
        <v>-57106</v>
      </c>
      <c r="I257" s="243">
        <f t="shared" si="18"/>
        <v>-1</v>
      </c>
      <c r="J257" s="2932"/>
      <c r="K257" s="317"/>
      <c r="L257" s="283"/>
      <c r="M257" s="161"/>
      <c r="N257" s="161"/>
      <c r="O257" s="161"/>
      <c r="P257" s="161"/>
      <c r="Q257" s="161"/>
      <c r="R257" s="161"/>
      <c r="S257" s="161"/>
      <c r="T257" s="161"/>
      <c r="U257" s="161"/>
      <c r="V257" s="161"/>
      <c r="W257" s="161"/>
      <c r="X257" s="161"/>
      <c r="Y257" s="161"/>
      <c r="Z257" s="161"/>
      <c r="AA257" s="161"/>
      <c r="AB257" s="161"/>
      <c r="AC257" s="161"/>
      <c r="AD257" s="161"/>
      <c r="AE257" s="161"/>
      <c r="AF257" s="161"/>
      <c r="AG257" s="161"/>
      <c r="AH257" s="161"/>
      <c r="AI257" s="161"/>
      <c r="AJ257" s="161"/>
      <c r="AK257" s="161"/>
      <c r="AL257" s="161"/>
      <c r="AM257" s="161"/>
      <c r="AN257" s="161"/>
      <c r="AO257" s="161"/>
      <c r="AP257" s="161"/>
      <c r="AQ257" s="161"/>
      <c r="AR257" s="161"/>
      <c r="AS257" s="161"/>
      <c r="AT257" s="161"/>
      <c r="AU257" s="161"/>
      <c r="AV257" s="161"/>
      <c r="AW257" s="161"/>
      <c r="AX257" s="161"/>
      <c r="AY257" s="161"/>
      <c r="AZ257" s="161"/>
      <c r="BA257" s="161"/>
      <c r="BB257" s="161"/>
      <c r="BC257" s="161"/>
      <c r="BD257" s="161"/>
      <c r="BE257" s="161"/>
      <c r="BF257" s="161"/>
      <c r="BG257" s="161"/>
      <c r="BH257" s="161"/>
      <c r="BI257" s="161"/>
      <c r="BJ257" s="161"/>
      <c r="BK257" s="161"/>
      <c r="BL257" s="161"/>
      <c r="BM257" s="161"/>
      <c r="BN257" s="161"/>
      <c r="BO257" s="161"/>
      <c r="BP257" s="161"/>
      <c r="BQ257" s="161"/>
      <c r="BR257" s="161"/>
      <c r="BS257" s="161"/>
      <c r="BT257" s="161"/>
      <c r="BU257" s="161"/>
      <c r="BV257" s="161"/>
      <c r="BW257" s="161"/>
      <c r="BX257" s="161"/>
      <c r="BY257" s="161"/>
      <c r="BZ257" s="161"/>
      <c r="CA257" s="161"/>
      <c r="CB257" s="161"/>
      <c r="CC257" s="161"/>
      <c r="CD257" s="161"/>
      <c r="CE257" s="161"/>
      <c r="CF257" s="161"/>
      <c r="CG257" s="161"/>
      <c r="CH257" s="161"/>
      <c r="CI257" s="161"/>
      <c r="CJ257" s="161"/>
      <c r="CK257" s="161"/>
      <c r="CL257" s="161"/>
      <c r="CM257" s="161"/>
      <c r="CN257" s="161"/>
      <c r="CO257" s="161"/>
      <c r="CP257" s="161"/>
      <c r="CQ257" s="161"/>
      <c r="CR257" s="161"/>
      <c r="CS257" s="161"/>
      <c r="CT257" s="161"/>
      <c r="CU257" s="161"/>
      <c r="CV257" s="161"/>
      <c r="CW257" s="161"/>
      <c r="CX257" s="161"/>
      <c r="CY257" s="161"/>
      <c r="CZ257" s="161"/>
      <c r="DA257" s="161"/>
      <c r="DB257" s="161"/>
      <c r="DC257" s="161"/>
      <c r="DD257" s="161"/>
      <c r="DE257" s="161"/>
      <c r="DF257" s="161"/>
      <c r="DG257" s="161"/>
      <c r="DH257" s="161"/>
      <c r="DI257" s="161"/>
      <c r="DJ257" s="161"/>
      <c r="DK257" s="161"/>
      <c r="DL257" s="161"/>
      <c r="DM257" s="161"/>
      <c r="DN257" s="161"/>
      <c r="DO257" s="161"/>
      <c r="DP257" s="161"/>
      <c r="DQ257" s="161"/>
      <c r="DR257" s="161"/>
      <c r="DS257" s="161"/>
      <c r="DT257" s="161"/>
      <c r="DU257" s="161"/>
      <c r="DV257" s="161"/>
      <c r="DW257" s="161"/>
      <c r="DX257" s="161"/>
      <c r="DY257" s="161"/>
      <c r="DZ257" s="161"/>
      <c r="EA257" s="161"/>
      <c r="EB257" s="161"/>
      <c r="EC257" s="161"/>
      <c r="ED257" s="161"/>
      <c r="EE257" s="161"/>
      <c r="EF257" s="161"/>
      <c r="EG257" s="161"/>
      <c r="EH257" s="161"/>
      <c r="EI257" s="161"/>
      <c r="EJ257" s="161"/>
      <c r="EK257" s="161"/>
      <c r="EL257" s="161"/>
      <c r="EM257" s="161"/>
      <c r="EN257" s="161"/>
      <c r="EO257" s="161"/>
      <c r="EP257" s="161"/>
      <c r="EQ257" s="161"/>
      <c r="ER257" s="161"/>
      <c r="ES257" s="161"/>
      <c r="ET257" s="161"/>
      <c r="EU257" s="161"/>
      <c r="EV257" s="161"/>
      <c r="EW257" s="161"/>
      <c r="EX257" s="161"/>
      <c r="EY257" s="161"/>
      <c r="EZ257" s="161"/>
      <c r="FA257" s="161"/>
      <c r="FB257" s="161"/>
      <c r="FC257" s="161"/>
      <c r="FD257" s="161"/>
      <c r="FE257" s="161"/>
      <c r="FF257" s="161"/>
      <c r="FG257" s="161"/>
      <c r="FH257" s="161"/>
      <c r="FI257" s="161"/>
      <c r="FJ257" s="161"/>
      <c r="FK257" s="161"/>
      <c r="FL257" s="161"/>
      <c r="FM257" s="161"/>
      <c r="FN257" s="161"/>
      <c r="FO257" s="161"/>
      <c r="FP257" s="161"/>
      <c r="FQ257" s="161"/>
      <c r="FR257" s="161"/>
      <c r="FS257" s="161"/>
      <c r="FT257" s="161"/>
      <c r="FU257" s="161"/>
      <c r="FV257" s="161"/>
      <c r="FW257" s="161"/>
      <c r="FX257" s="161"/>
      <c r="FY257" s="161"/>
      <c r="FZ257" s="161"/>
      <c r="GA257" s="161"/>
      <c r="GB257" s="161"/>
      <c r="GC257" s="161"/>
      <c r="GD257" s="161"/>
      <c r="GE257" s="161"/>
      <c r="GF257" s="161"/>
      <c r="GG257" s="161"/>
      <c r="GH257" s="161"/>
      <c r="GI257" s="161"/>
      <c r="GJ257" s="161"/>
      <c r="GK257" s="161"/>
      <c r="GL257" s="161"/>
      <c r="GM257" s="161"/>
    </row>
    <row r="258" spans="1:195" s="166" customFormat="1" ht="13.8" hidden="1" outlineLevel="1">
      <c r="A258" s="315" t="s">
        <v>1925</v>
      </c>
      <c r="B258" s="315" t="s">
        <v>1849</v>
      </c>
      <c r="C258" s="316"/>
      <c r="D258" s="2939"/>
      <c r="E258" s="164" t="s">
        <v>1849</v>
      </c>
      <c r="F258" s="154">
        <f>SUMIFS(INPUT!$H:$H,INPUT!$E:$E,BAZE_2026!$A258,INPUT!$B:$B,BAZE_2026!$B258)</f>
        <v>173288</v>
      </c>
      <c r="G258" s="154">
        <f>SUMIFS(INPUT!$L:$L,INPUT!$E:$E,BAZE_2026!$A258,INPUT!$B:$B,BAZE_2026!$B258)</f>
        <v>250000</v>
      </c>
      <c r="H258" s="160">
        <f t="shared" ref="H258" si="29">G258-F258</f>
        <v>76712</v>
      </c>
      <c r="I258" s="243">
        <f t="shared" ref="I258" si="30">IFERROR(H258/F258,"-")</f>
        <v>0.44268500992567289</v>
      </c>
      <c r="J258" s="2940"/>
      <c r="K258" s="317"/>
      <c r="L258" s="283"/>
      <c r="M258" s="161"/>
      <c r="N258" s="161"/>
      <c r="O258" s="161"/>
      <c r="P258" s="161"/>
      <c r="Q258" s="161"/>
      <c r="R258" s="161"/>
      <c r="S258" s="161"/>
      <c r="T258" s="161"/>
      <c r="U258" s="161"/>
      <c r="V258" s="161"/>
      <c r="W258" s="161"/>
      <c r="X258" s="161"/>
      <c r="Y258" s="161"/>
      <c r="Z258" s="161"/>
      <c r="AA258" s="161"/>
      <c r="AB258" s="161"/>
      <c r="AC258" s="161"/>
      <c r="AD258" s="161"/>
      <c r="AE258" s="161"/>
      <c r="AF258" s="161"/>
      <c r="AG258" s="161"/>
      <c r="AH258" s="161"/>
      <c r="AI258" s="161"/>
      <c r="AJ258" s="161"/>
      <c r="AK258" s="161"/>
      <c r="AL258" s="161"/>
      <c r="AM258" s="161"/>
      <c r="AN258" s="161"/>
      <c r="AO258" s="161"/>
      <c r="AP258" s="161"/>
      <c r="AQ258" s="161"/>
      <c r="AR258" s="161"/>
      <c r="AS258" s="161"/>
      <c r="AT258" s="161"/>
      <c r="AU258" s="161"/>
      <c r="AV258" s="161"/>
      <c r="AW258" s="161"/>
      <c r="AX258" s="161"/>
      <c r="AY258" s="161"/>
      <c r="AZ258" s="161"/>
      <c r="BA258" s="161"/>
      <c r="BB258" s="161"/>
      <c r="BC258" s="161"/>
      <c r="BD258" s="161"/>
      <c r="BE258" s="161"/>
      <c r="BF258" s="161"/>
      <c r="BG258" s="161"/>
      <c r="BH258" s="161"/>
      <c r="BI258" s="161"/>
      <c r="BJ258" s="161"/>
      <c r="BK258" s="161"/>
      <c r="BL258" s="161"/>
      <c r="BM258" s="161"/>
      <c r="BN258" s="161"/>
      <c r="BO258" s="161"/>
      <c r="BP258" s="161"/>
      <c r="BQ258" s="161"/>
      <c r="BR258" s="161"/>
      <c r="BS258" s="161"/>
      <c r="BT258" s="161"/>
      <c r="BU258" s="161"/>
      <c r="BV258" s="161"/>
      <c r="BW258" s="161"/>
      <c r="BX258" s="161"/>
      <c r="BY258" s="161"/>
      <c r="BZ258" s="161"/>
      <c r="CA258" s="161"/>
      <c r="CB258" s="161"/>
      <c r="CC258" s="161"/>
      <c r="CD258" s="161"/>
      <c r="CE258" s="161"/>
      <c r="CF258" s="161"/>
      <c r="CG258" s="161"/>
      <c r="CH258" s="161"/>
      <c r="CI258" s="161"/>
      <c r="CJ258" s="161"/>
      <c r="CK258" s="161"/>
      <c r="CL258" s="161"/>
      <c r="CM258" s="161"/>
      <c r="CN258" s="161"/>
      <c r="CO258" s="161"/>
      <c r="CP258" s="161"/>
      <c r="CQ258" s="161"/>
      <c r="CR258" s="161"/>
      <c r="CS258" s="161"/>
      <c r="CT258" s="161"/>
      <c r="CU258" s="161"/>
      <c r="CV258" s="161"/>
      <c r="CW258" s="161"/>
      <c r="CX258" s="161"/>
      <c r="CY258" s="161"/>
      <c r="CZ258" s="161"/>
      <c r="DA258" s="161"/>
      <c r="DB258" s="161"/>
      <c r="DC258" s="161"/>
      <c r="DD258" s="161"/>
      <c r="DE258" s="161"/>
      <c r="DF258" s="161"/>
      <c r="DG258" s="161"/>
      <c r="DH258" s="161"/>
      <c r="DI258" s="161"/>
      <c r="DJ258" s="161"/>
      <c r="DK258" s="161"/>
      <c r="DL258" s="161"/>
      <c r="DM258" s="161"/>
      <c r="DN258" s="161"/>
      <c r="DO258" s="161"/>
      <c r="DP258" s="161"/>
      <c r="DQ258" s="161"/>
      <c r="DR258" s="161"/>
      <c r="DS258" s="161"/>
      <c r="DT258" s="161"/>
      <c r="DU258" s="161"/>
      <c r="DV258" s="161"/>
      <c r="DW258" s="161"/>
      <c r="DX258" s="161"/>
      <c r="DY258" s="161"/>
      <c r="DZ258" s="161"/>
      <c r="EA258" s="161"/>
      <c r="EB258" s="161"/>
      <c r="EC258" s="161"/>
      <c r="ED258" s="161"/>
      <c r="EE258" s="161"/>
      <c r="EF258" s="161"/>
      <c r="EG258" s="161"/>
      <c r="EH258" s="161"/>
      <c r="EI258" s="161"/>
      <c r="EJ258" s="161"/>
      <c r="EK258" s="161"/>
      <c r="EL258" s="161"/>
      <c r="EM258" s="161"/>
      <c r="EN258" s="161"/>
      <c r="EO258" s="161"/>
      <c r="EP258" s="161"/>
      <c r="EQ258" s="161"/>
      <c r="ER258" s="161"/>
      <c r="ES258" s="161"/>
      <c r="ET258" s="161"/>
      <c r="EU258" s="161"/>
      <c r="EV258" s="161"/>
      <c r="EW258" s="161"/>
      <c r="EX258" s="161"/>
      <c r="EY258" s="161"/>
      <c r="EZ258" s="161"/>
      <c r="FA258" s="161"/>
      <c r="FB258" s="161"/>
      <c r="FC258" s="161"/>
      <c r="FD258" s="161"/>
      <c r="FE258" s="161"/>
      <c r="FF258" s="161"/>
      <c r="FG258" s="161"/>
      <c r="FH258" s="161"/>
      <c r="FI258" s="161"/>
      <c r="FJ258" s="161"/>
      <c r="FK258" s="161"/>
      <c r="FL258" s="161"/>
      <c r="FM258" s="161"/>
      <c r="FN258" s="161"/>
      <c r="FO258" s="161"/>
      <c r="FP258" s="161"/>
      <c r="FQ258" s="161"/>
      <c r="FR258" s="161"/>
      <c r="FS258" s="161"/>
      <c r="FT258" s="161"/>
      <c r="FU258" s="161"/>
      <c r="FV258" s="161"/>
      <c r="FW258" s="161"/>
      <c r="FX258" s="161"/>
      <c r="FY258" s="161"/>
      <c r="FZ258" s="161"/>
      <c r="GA258" s="161"/>
      <c r="GB258" s="161"/>
      <c r="GC258" s="161"/>
      <c r="GD258" s="161"/>
      <c r="GE258" s="161"/>
      <c r="GF258" s="161"/>
      <c r="GG258" s="161"/>
      <c r="GH258" s="161"/>
      <c r="GI258" s="161"/>
      <c r="GJ258" s="161"/>
      <c r="GK258" s="161"/>
      <c r="GL258" s="161"/>
      <c r="GM258" s="161"/>
    </row>
    <row r="259" spans="1:195" ht="13.8" collapsed="1">
      <c r="D259" s="1211" t="s">
        <v>98</v>
      </c>
      <c r="E259" s="42" t="s">
        <v>380</v>
      </c>
      <c r="F259" s="91">
        <f>F260+F261+F263+F262</f>
        <v>1335715.6616256402</v>
      </c>
      <c r="G259" s="91">
        <f>G260+G261+G263+G262</f>
        <v>1290852.60840098</v>
      </c>
      <c r="H259" s="33">
        <f t="shared" si="28"/>
        <v>-44863.053224660223</v>
      </c>
      <c r="I259" s="222">
        <f t="shared" si="18"/>
        <v>-3.3587277976556321E-2</v>
      </c>
      <c r="J259" s="1402"/>
      <c r="K259" s="72"/>
    </row>
    <row r="260" spans="1:195" s="8" customFormat="1" ht="27.6" hidden="1" outlineLevel="1">
      <c r="A260" s="179" t="s">
        <v>1927</v>
      </c>
      <c r="B260" s="179" t="s">
        <v>436</v>
      </c>
      <c r="C260" s="248"/>
      <c r="D260" s="58"/>
      <c r="E260" s="65" t="s">
        <v>436</v>
      </c>
      <c r="F260" s="92">
        <f>SUMIFS(INPUT!$H:$H,INPUT!$E:$E,BAZE_2026!$A260,INPUT!$B:$B,BAZE_2026!$B260)</f>
        <v>1001049.7616256402</v>
      </c>
      <c r="G260" s="92">
        <f>SUMIFS(INPUT!$L:$L,INPUT!$E:$E,BAZE_2026!$A260,INPUT!$B:$B,BAZE_2026!$B260)</f>
        <v>960172.70840097999</v>
      </c>
      <c r="H260" s="27">
        <f t="shared" si="28"/>
        <v>-40877.053224660223</v>
      </c>
      <c r="I260" s="232">
        <f t="shared" si="18"/>
        <v>-4.0834187062068247E-2</v>
      </c>
      <c r="J260" s="2989" t="s">
        <v>5062</v>
      </c>
      <c r="K260" s="72"/>
      <c r="L260" s="12"/>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row>
    <row r="261" spans="1:195" s="8" customFormat="1" ht="13.8" hidden="1" outlineLevel="1">
      <c r="A261" s="179" t="s">
        <v>1927</v>
      </c>
      <c r="B261" s="179" t="s">
        <v>772</v>
      </c>
      <c r="C261" s="248"/>
      <c r="D261" s="64"/>
      <c r="E261" s="59" t="s">
        <v>376</v>
      </c>
      <c r="F261" s="92">
        <f>SUMIFS(INPUT!$H:$H,INPUT!$E:$E,BAZE_2026!$A261,INPUT!$B:$B,BAZE_2026!$B261)</f>
        <v>81159.899999999994</v>
      </c>
      <c r="G261" s="92">
        <f>SUMIFS(INPUT!$L:$L,INPUT!$E:$E,BAZE_2026!$A261,INPUT!$B:$B,BAZE_2026!$B261)</f>
        <v>82884.899999999994</v>
      </c>
      <c r="H261" s="48">
        <f t="shared" si="28"/>
        <v>1725</v>
      </c>
      <c r="I261" s="232">
        <f t="shared" si="18"/>
        <v>2.1254338657391153E-2</v>
      </c>
      <c r="J261" s="2713" t="s">
        <v>4943</v>
      </c>
      <c r="K261" s="54"/>
      <c r="L261" s="135"/>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row>
    <row r="262" spans="1:195" s="357" customFormat="1" ht="17.399999999999999" hidden="1" customHeight="1" outlineLevel="1">
      <c r="A262" s="179" t="s">
        <v>1927</v>
      </c>
      <c r="B262" s="372" t="s">
        <v>1211</v>
      </c>
      <c r="C262" s="248"/>
      <c r="D262" s="371"/>
      <c r="E262" s="59" t="s">
        <v>1210</v>
      </c>
      <c r="F262" s="92">
        <f>SUMIFS(INPUT!$H:$H,INPUT!$E:$E,BAZE_2026!$A262,INPUT!$B:$B,BAZE_2026!$B262)</f>
        <v>238206</v>
      </c>
      <c r="G262" s="92">
        <f>SUMIFS(INPUT!$L:$L,INPUT!$E:$E,BAZE_2026!$A262,INPUT!$B:$B,BAZE_2026!$B262)</f>
        <v>229039</v>
      </c>
      <c r="H262" s="48">
        <f>G262-F262</f>
        <v>-9167</v>
      </c>
      <c r="I262" s="232">
        <f>IFERROR(H262/F262,"-")</f>
        <v>-3.8483497476973709E-2</v>
      </c>
      <c r="J262" s="1539"/>
      <c r="K262" s="309"/>
      <c r="L262" s="69"/>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row>
    <row r="263" spans="1:195" s="8" customFormat="1" ht="13.8" hidden="1" outlineLevel="1">
      <c r="A263" s="179" t="s">
        <v>1927</v>
      </c>
      <c r="B263" s="179" t="s">
        <v>774</v>
      </c>
      <c r="C263" s="248"/>
      <c r="D263" s="58"/>
      <c r="E263" s="59" t="s">
        <v>375</v>
      </c>
      <c r="F263" s="92">
        <f>SUMIFS(INPUT!$H:$H,INPUT!$E:$E,BAZE_2026!$A263,INPUT!$B:$B,BAZE_2026!$B263)</f>
        <v>15300</v>
      </c>
      <c r="G263" s="92">
        <f>SUMIFS(INPUT!$L:$L,INPUT!$E:$E,BAZE_2026!$A263,INPUT!$B:$B,BAZE_2026!$B263)</f>
        <v>18756</v>
      </c>
      <c r="H263" s="48">
        <f t="shared" si="28"/>
        <v>3456</v>
      </c>
      <c r="I263" s="232">
        <f t="shared" si="18"/>
        <v>0.22588235294117648</v>
      </c>
      <c r="J263" s="68" t="s">
        <v>4895</v>
      </c>
      <c r="K263" s="72"/>
      <c r="L263" s="12"/>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row>
    <row r="264" spans="1:195" s="166" customFormat="1" ht="13.8" hidden="1" outlineLevel="1">
      <c r="A264" s="313" t="s">
        <v>1928</v>
      </c>
      <c r="B264" s="315" t="s">
        <v>326</v>
      </c>
      <c r="C264" s="316"/>
      <c r="D264" s="61"/>
      <c r="E264" s="164" t="s">
        <v>265</v>
      </c>
      <c r="F264" s="92">
        <f>SUMIFS(INPUT!$H:$H,INPUT!$E:$E,BAZE_2026!$A264,INPUT!$B:$B,BAZE_2026!$B264)</f>
        <v>147343</v>
      </c>
      <c r="G264" s="153">
        <f>SUMIFS(INPUT!$L:$L,INPUT!$E:$E,BAZE_2026!$A264,INPUT!$B:$B,BAZE_2026!$B264)</f>
        <v>167071.56286400004</v>
      </c>
      <c r="H264" s="158">
        <f t="shared" si="28"/>
        <v>19728.562864000036</v>
      </c>
      <c r="I264" s="230">
        <f t="shared" si="18"/>
        <v>0.13389548783450883</v>
      </c>
      <c r="J264" s="1536"/>
      <c r="K264" s="317"/>
      <c r="L264" s="283"/>
      <c r="M264" s="161"/>
      <c r="N264" s="161"/>
      <c r="O264" s="161"/>
      <c r="P264" s="161"/>
      <c r="Q264" s="161"/>
      <c r="R264" s="161"/>
      <c r="S264" s="161"/>
      <c r="T264" s="161"/>
      <c r="U264" s="161"/>
      <c r="V264" s="161"/>
      <c r="W264" s="161"/>
      <c r="X264" s="161"/>
      <c r="Y264" s="161"/>
      <c r="Z264" s="161"/>
      <c r="AA264" s="161"/>
      <c r="AB264" s="161"/>
      <c r="AC264" s="161"/>
      <c r="AD264" s="161"/>
      <c r="AE264" s="161"/>
      <c r="AF264" s="161"/>
      <c r="AG264" s="161"/>
      <c r="AH264" s="161"/>
      <c r="AI264" s="161"/>
      <c r="AJ264" s="161"/>
      <c r="AK264" s="161"/>
      <c r="AL264" s="161"/>
      <c r="AM264" s="161"/>
      <c r="AN264" s="161"/>
      <c r="AO264" s="161"/>
      <c r="AP264" s="161"/>
      <c r="AQ264" s="161"/>
      <c r="AR264" s="161"/>
      <c r="AS264" s="161"/>
      <c r="AT264" s="161"/>
      <c r="AU264" s="161"/>
      <c r="AV264" s="161"/>
      <c r="AW264" s="161"/>
      <c r="AX264" s="161"/>
      <c r="AY264" s="161"/>
      <c r="AZ264" s="161"/>
      <c r="BA264" s="161"/>
      <c r="BB264" s="161"/>
      <c r="BC264" s="161"/>
      <c r="BD264" s="161"/>
      <c r="BE264" s="161"/>
      <c r="BF264" s="161"/>
      <c r="BG264" s="161"/>
      <c r="BH264" s="161"/>
      <c r="BI264" s="161"/>
      <c r="BJ264" s="161"/>
      <c r="BK264" s="161"/>
      <c r="BL264" s="161"/>
      <c r="BM264" s="161"/>
      <c r="BN264" s="161"/>
      <c r="BO264" s="161"/>
      <c r="BP264" s="161"/>
      <c r="BQ264" s="161"/>
      <c r="BR264" s="161"/>
      <c r="BS264" s="161"/>
      <c r="BT264" s="161"/>
      <c r="BU264" s="161"/>
      <c r="BV264" s="161"/>
      <c r="BW264" s="161"/>
      <c r="BX264" s="161"/>
      <c r="BY264" s="161"/>
      <c r="BZ264" s="161"/>
      <c r="CA264" s="161"/>
      <c r="CB264" s="161"/>
      <c r="CC264" s="161"/>
      <c r="CD264" s="161"/>
      <c r="CE264" s="161"/>
      <c r="CF264" s="161"/>
      <c r="CG264" s="161"/>
      <c r="CH264" s="161"/>
      <c r="CI264" s="161"/>
      <c r="CJ264" s="161"/>
      <c r="CK264" s="161"/>
      <c r="CL264" s="161"/>
      <c r="CM264" s="161"/>
      <c r="CN264" s="161"/>
      <c r="CO264" s="161"/>
      <c r="CP264" s="161"/>
      <c r="CQ264" s="161"/>
      <c r="CR264" s="161"/>
      <c r="CS264" s="161"/>
      <c r="CT264" s="161"/>
      <c r="CU264" s="161"/>
      <c r="CV264" s="161"/>
      <c r="CW264" s="161"/>
      <c r="CX264" s="161"/>
      <c r="CY264" s="161"/>
      <c r="CZ264" s="161"/>
      <c r="DA264" s="161"/>
      <c r="DB264" s="161"/>
      <c r="DC264" s="161"/>
      <c r="DD264" s="161"/>
      <c r="DE264" s="161"/>
      <c r="DF264" s="161"/>
      <c r="DG264" s="161"/>
      <c r="DH264" s="161"/>
      <c r="DI264" s="161"/>
      <c r="DJ264" s="161"/>
      <c r="DK264" s="161"/>
      <c r="DL264" s="161"/>
      <c r="DM264" s="161"/>
      <c r="DN264" s="161"/>
      <c r="DO264" s="161"/>
      <c r="DP264" s="161"/>
      <c r="DQ264" s="161"/>
      <c r="DR264" s="161"/>
      <c r="DS264" s="161"/>
      <c r="DT264" s="161"/>
      <c r="DU264" s="161"/>
      <c r="DV264" s="161"/>
      <c r="DW264" s="161"/>
      <c r="DX264" s="161"/>
      <c r="DY264" s="161"/>
      <c r="DZ264" s="161"/>
      <c r="EA264" s="161"/>
      <c r="EB264" s="161"/>
      <c r="EC264" s="161"/>
      <c r="ED264" s="161"/>
      <c r="EE264" s="161"/>
      <c r="EF264" s="161"/>
      <c r="EG264" s="161"/>
      <c r="EH264" s="161"/>
      <c r="EI264" s="161"/>
      <c r="EJ264" s="161"/>
      <c r="EK264" s="161"/>
      <c r="EL264" s="161"/>
      <c r="EM264" s="161"/>
      <c r="EN264" s="161"/>
      <c r="EO264" s="161"/>
      <c r="EP264" s="161"/>
      <c r="EQ264" s="161"/>
      <c r="ER264" s="161"/>
      <c r="ES264" s="161"/>
      <c r="ET264" s="161"/>
      <c r="EU264" s="161"/>
      <c r="EV264" s="161"/>
      <c r="EW264" s="161"/>
      <c r="EX264" s="161"/>
      <c r="EY264" s="161"/>
      <c r="EZ264" s="161"/>
      <c r="FA264" s="161"/>
      <c r="FB264" s="161"/>
      <c r="FC264" s="161"/>
      <c r="FD264" s="161"/>
      <c r="FE264" s="161"/>
      <c r="FF264" s="161"/>
      <c r="FG264" s="161"/>
      <c r="FH264" s="161"/>
      <c r="FI264" s="161"/>
      <c r="FJ264" s="161"/>
      <c r="FK264" s="161"/>
      <c r="FL264" s="161"/>
      <c r="FM264" s="161"/>
      <c r="FN264" s="161"/>
      <c r="FO264" s="161"/>
      <c r="FP264" s="161"/>
      <c r="FQ264" s="161"/>
      <c r="FR264" s="161"/>
      <c r="FS264" s="161"/>
      <c r="FT264" s="161"/>
      <c r="FU264" s="161"/>
      <c r="FV264" s="161"/>
      <c r="FW264" s="161"/>
      <c r="FX264" s="161"/>
      <c r="FY264" s="161"/>
      <c r="FZ264" s="161"/>
      <c r="GA264" s="161"/>
      <c r="GB264" s="161"/>
      <c r="GC264" s="161"/>
      <c r="GD264" s="161"/>
      <c r="GE264" s="161"/>
      <c r="GF264" s="161"/>
      <c r="GG264" s="161"/>
      <c r="GH264" s="161"/>
      <c r="GI264" s="161"/>
      <c r="GJ264" s="161"/>
      <c r="GK264" s="161"/>
      <c r="GL264" s="161"/>
      <c r="GM264" s="161"/>
    </row>
    <row r="265" spans="1:195" s="166" customFormat="1" ht="13.8" hidden="1" outlineLevel="1">
      <c r="A265" s="179" t="s">
        <v>1927</v>
      </c>
      <c r="B265" s="315" t="s">
        <v>773</v>
      </c>
      <c r="C265" s="316"/>
      <c r="D265" s="61"/>
      <c r="E265" s="164" t="s">
        <v>773</v>
      </c>
      <c r="F265" s="92">
        <f>SUMIFS(INPUT!$H:$H,INPUT!$E:$E,BAZE_2026!$A265,INPUT!$B:$B,BAZE_2026!$B265)</f>
        <v>10000</v>
      </c>
      <c r="G265" s="153">
        <f>SUMIFS(INPUT!$L:$L,INPUT!$E:$E,BAZE_2026!$A265,INPUT!$B:$B,BAZE_2026!$B265)</f>
        <v>35000</v>
      </c>
      <c r="H265" s="158">
        <f t="shared" si="28"/>
        <v>25000</v>
      </c>
      <c r="I265" s="230">
        <f t="shared" ref="I265:I294" si="31">IFERROR(H265/F265,"-")</f>
        <v>2.5</v>
      </c>
      <c r="J265" s="1536"/>
      <c r="K265" s="317"/>
      <c r="L265" s="283"/>
      <c r="M265" s="161"/>
      <c r="N265" s="161"/>
      <c r="O265" s="161"/>
      <c r="P265" s="161"/>
      <c r="Q265" s="161"/>
      <c r="R265" s="161"/>
      <c r="S265" s="161"/>
      <c r="T265" s="161"/>
      <c r="U265" s="161"/>
      <c r="V265" s="161"/>
      <c r="W265" s="161"/>
      <c r="X265" s="161"/>
      <c r="Y265" s="161"/>
      <c r="Z265" s="161"/>
      <c r="AA265" s="161"/>
      <c r="AB265" s="161"/>
      <c r="AC265" s="161"/>
      <c r="AD265" s="161"/>
      <c r="AE265" s="161"/>
      <c r="AF265" s="161"/>
      <c r="AG265" s="161"/>
      <c r="AH265" s="161"/>
      <c r="AI265" s="161"/>
      <c r="AJ265" s="161"/>
      <c r="AK265" s="161"/>
      <c r="AL265" s="161"/>
      <c r="AM265" s="161"/>
      <c r="AN265" s="161"/>
      <c r="AO265" s="161"/>
      <c r="AP265" s="161"/>
      <c r="AQ265" s="161"/>
      <c r="AR265" s="161"/>
      <c r="AS265" s="161"/>
      <c r="AT265" s="161"/>
      <c r="AU265" s="161"/>
      <c r="AV265" s="161"/>
      <c r="AW265" s="161"/>
      <c r="AX265" s="161"/>
      <c r="AY265" s="161"/>
      <c r="AZ265" s="161"/>
      <c r="BA265" s="161"/>
      <c r="BB265" s="161"/>
      <c r="BC265" s="161"/>
      <c r="BD265" s="161"/>
      <c r="BE265" s="161"/>
      <c r="BF265" s="161"/>
      <c r="BG265" s="161"/>
      <c r="BH265" s="161"/>
      <c r="BI265" s="161"/>
      <c r="BJ265" s="161"/>
      <c r="BK265" s="161"/>
      <c r="BL265" s="161"/>
      <c r="BM265" s="161"/>
      <c r="BN265" s="161"/>
      <c r="BO265" s="161"/>
      <c r="BP265" s="161"/>
      <c r="BQ265" s="161"/>
      <c r="BR265" s="161"/>
      <c r="BS265" s="161"/>
      <c r="BT265" s="161"/>
      <c r="BU265" s="161"/>
      <c r="BV265" s="161"/>
      <c r="BW265" s="161"/>
      <c r="BX265" s="161"/>
      <c r="BY265" s="161"/>
      <c r="BZ265" s="161"/>
      <c r="CA265" s="161"/>
      <c r="CB265" s="161"/>
      <c r="CC265" s="161"/>
      <c r="CD265" s="161"/>
      <c r="CE265" s="161"/>
      <c r="CF265" s="161"/>
      <c r="CG265" s="161"/>
      <c r="CH265" s="161"/>
      <c r="CI265" s="161"/>
      <c r="CJ265" s="161"/>
      <c r="CK265" s="161"/>
      <c r="CL265" s="161"/>
      <c r="CM265" s="161"/>
      <c r="CN265" s="161"/>
      <c r="CO265" s="161"/>
      <c r="CP265" s="161"/>
      <c r="CQ265" s="161"/>
      <c r="CR265" s="161"/>
      <c r="CS265" s="161"/>
      <c r="CT265" s="161"/>
      <c r="CU265" s="161"/>
      <c r="CV265" s="161"/>
      <c r="CW265" s="161"/>
      <c r="CX265" s="161"/>
      <c r="CY265" s="161"/>
      <c r="CZ265" s="161"/>
      <c r="DA265" s="161"/>
      <c r="DB265" s="161"/>
      <c r="DC265" s="161"/>
      <c r="DD265" s="161"/>
      <c r="DE265" s="161"/>
      <c r="DF265" s="161"/>
      <c r="DG265" s="161"/>
      <c r="DH265" s="161"/>
      <c r="DI265" s="161"/>
      <c r="DJ265" s="161"/>
      <c r="DK265" s="161"/>
      <c r="DL265" s="161"/>
      <c r="DM265" s="161"/>
      <c r="DN265" s="161"/>
      <c r="DO265" s="161"/>
      <c r="DP265" s="161"/>
      <c r="DQ265" s="161"/>
      <c r="DR265" s="161"/>
      <c r="DS265" s="161"/>
      <c r="DT265" s="161"/>
      <c r="DU265" s="161"/>
      <c r="DV265" s="161"/>
      <c r="DW265" s="161"/>
      <c r="DX265" s="161"/>
      <c r="DY265" s="161"/>
      <c r="DZ265" s="161"/>
      <c r="EA265" s="161"/>
      <c r="EB265" s="161"/>
      <c r="EC265" s="161"/>
      <c r="ED265" s="161"/>
      <c r="EE265" s="161"/>
      <c r="EF265" s="161"/>
      <c r="EG265" s="161"/>
      <c r="EH265" s="161"/>
      <c r="EI265" s="161"/>
      <c r="EJ265" s="161"/>
      <c r="EK265" s="161"/>
      <c r="EL265" s="161"/>
      <c r="EM265" s="161"/>
      <c r="EN265" s="161"/>
      <c r="EO265" s="161"/>
      <c r="EP265" s="161"/>
      <c r="EQ265" s="161"/>
      <c r="ER265" s="161"/>
      <c r="ES265" s="161"/>
      <c r="ET265" s="161"/>
      <c r="EU265" s="161"/>
      <c r="EV265" s="161"/>
      <c r="EW265" s="161"/>
      <c r="EX265" s="161"/>
      <c r="EY265" s="161"/>
      <c r="EZ265" s="161"/>
      <c r="FA265" s="161"/>
      <c r="FB265" s="161"/>
      <c r="FC265" s="161"/>
      <c r="FD265" s="161"/>
      <c r="FE265" s="161"/>
      <c r="FF265" s="161"/>
      <c r="FG265" s="161"/>
      <c r="FH265" s="161"/>
      <c r="FI265" s="161"/>
      <c r="FJ265" s="161"/>
      <c r="FK265" s="161"/>
      <c r="FL265" s="161"/>
      <c r="FM265" s="161"/>
      <c r="FN265" s="161"/>
      <c r="FO265" s="161"/>
      <c r="FP265" s="161"/>
      <c r="FQ265" s="161"/>
      <c r="FR265" s="161"/>
      <c r="FS265" s="161"/>
      <c r="FT265" s="161"/>
      <c r="FU265" s="161"/>
      <c r="FV265" s="161"/>
      <c r="FW265" s="161"/>
      <c r="FX265" s="161"/>
      <c r="FY265" s="161"/>
      <c r="FZ265" s="161"/>
      <c r="GA265" s="161"/>
      <c r="GB265" s="161"/>
      <c r="GC265" s="161"/>
      <c r="GD265" s="161"/>
      <c r="GE265" s="161"/>
      <c r="GF265" s="161"/>
      <c r="GG265" s="161"/>
      <c r="GH265" s="161"/>
      <c r="GI265" s="161"/>
      <c r="GJ265" s="161"/>
      <c r="GK265" s="161"/>
      <c r="GL265" s="161"/>
      <c r="GM265" s="161"/>
    </row>
    <row r="266" spans="1:195" s="166" customFormat="1" ht="13.8" hidden="1" outlineLevel="1">
      <c r="A266" s="179" t="s">
        <v>1927</v>
      </c>
      <c r="B266" s="315" t="s">
        <v>1849</v>
      </c>
      <c r="C266" s="316"/>
      <c r="D266" s="1544"/>
      <c r="E266" s="164" t="s">
        <v>1849</v>
      </c>
      <c r="F266" s="92">
        <f>SUMIFS(INPUT!$H:$H,INPUT!$E:$E,BAZE_2026!$A266,INPUT!$B:$B,BAZE_2026!$B266)</f>
        <v>7647</v>
      </c>
      <c r="G266" s="153">
        <f>SUMIFS(INPUT!$L:$L,INPUT!$E:$E,BAZE_2026!$A266,INPUT!$B:$B,BAZE_2026!$B266)</f>
        <v>122031</v>
      </c>
      <c r="H266" s="158">
        <f t="shared" ref="H266" si="32">G266-F266</f>
        <v>114384</v>
      </c>
      <c r="I266" s="230">
        <f t="shared" ref="I266" si="33">IFERROR(H266/F266,"-")</f>
        <v>14.958022754021185</v>
      </c>
      <c r="J266" s="1547"/>
      <c r="K266" s="317"/>
      <c r="L266" s="283"/>
      <c r="M266" s="161"/>
      <c r="N266" s="161"/>
      <c r="O266" s="161"/>
      <c r="P266" s="161"/>
      <c r="Q266" s="161"/>
      <c r="R266" s="161"/>
      <c r="S266" s="161"/>
      <c r="T266" s="161"/>
      <c r="U266" s="161"/>
      <c r="V266" s="161"/>
      <c r="W266" s="161"/>
      <c r="X266" s="161"/>
      <c r="Y266" s="161"/>
      <c r="Z266" s="161"/>
      <c r="AA266" s="161"/>
      <c r="AB266" s="161"/>
      <c r="AC266" s="161"/>
      <c r="AD266" s="161"/>
      <c r="AE266" s="161"/>
      <c r="AF266" s="161"/>
      <c r="AG266" s="161"/>
      <c r="AH266" s="161"/>
      <c r="AI266" s="161"/>
      <c r="AJ266" s="161"/>
      <c r="AK266" s="161"/>
      <c r="AL266" s="161"/>
      <c r="AM266" s="161"/>
      <c r="AN266" s="161"/>
      <c r="AO266" s="161"/>
      <c r="AP266" s="161"/>
      <c r="AQ266" s="161"/>
      <c r="AR266" s="161"/>
      <c r="AS266" s="161"/>
      <c r="AT266" s="161"/>
      <c r="AU266" s="161"/>
      <c r="AV266" s="161"/>
      <c r="AW266" s="161"/>
      <c r="AX266" s="161"/>
      <c r="AY266" s="161"/>
      <c r="AZ266" s="161"/>
      <c r="BA266" s="161"/>
      <c r="BB266" s="161"/>
      <c r="BC266" s="161"/>
      <c r="BD266" s="161"/>
      <c r="BE266" s="161"/>
      <c r="BF266" s="161"/>
      <c r="BG266" s="161"/>
      <c r="BH266" s="161"/>
      <c r="BI266" s="161"/>
      <c r="BJ266" s="161"/>
      <c r="BK266" s="161"/>
      <c r="BL266" s="161"/>
      <c r="BM266" s="161"/>
      <c r="BN266" s="161"/>
      <c r="BO266" s="161"/>
      <c r="BP266" s="161"/>
      <c r="BQ266" s="161"/>
      <c r="BR266" s="161"/>
      <c r="BS266" s="161"/>
      <c r="BT266" s="161"/>
      <c r="BU266" s="161"/>
      <c r="BV266" s="161"/>
      <c r="BW266" s="161"/>
      <c r="BX266" s="161"/>
      <c r="BY266" s="161"/>
      <c r="BZ266" s="161"/>
      <c r="CA266" s="161"/>
      <c r="CB266" s="161"/>
      <c r="CC266" s="161"/>
      <c r="CD266" s="161"/>
      <c r="CE266" s="161"/>
      <c r="CF266" s="161"/>
      <c r="CG266" s="161"/>
      <c r="CH266" s="161"/>
      <c r="CI266" s="161"/>
      <c r="CJ266" s="161"/>
      <c r="CK266" s="161"/>
      <c r="CL266" s="161"/>
      <c r="CM266" s="161"/>
      <c r="CN266" s="161"/>
      <c r="CO266" s="161"/>
      <c r="CP266" s="161"/>
      <c r="CQ266" s="161"/>
      <c r="CR266" s="161"/>
      <c r="CS266" s="161"/>
      <c r="CT266" s="161"/>
      <c r="CU266" s="161"/>
      <c r="CV266" s="161"/>
      <c r="CW266" s="161"/>
      <c r="CX266" s="161"/>
      <c r="CY266" s="161"/>
      <c r="CZ266" s="161"/>
      <c r="DA266" s="161"/>
      <c r="DB266" s="161"/>
      <c r="DC266" s="161"/>
      <c r="DD266" s="161"/>
      <c r="DE266" s="161"/>
      <c r="DF266" s="161"/>
      <c r="DG266" s="161"/>
      <c r="DH266" s="161"/>
      <c r="DI266" s="161"/>
      <c r="DJ266" s="161"/>
      <c r="DK266" s="161"/>
      <c r="DL266" s="161"/>
      <c r="DM266" s="161"/>
      <c r="DN266" s="161"/>
      <c r="DO266" s="161"/>
      <c r="DP266" s="161"/>
      <c r="DQ266" s="161"/>
      <c r="DR266" s="161"/>
      <c r="DS266" s="161"/>
      <c r="DT266" s="161"/>
      <c r="DU266" s="161"/>
      <c r="DV266" s="161"/>
      <c r="DW266" s="161"/>
      <c r="DX266" s="161"/>
      <c r="DY266" s="161"/>
      <c r="DZ266" s="161"/>
      <c r="EA266" s="161"/>
      <c r="EB266" s="161"/>
      <c r="EC266" s="161"/>
      <c r="ED266" s="161"/>
      <c r="EE266" s="161"/>
      <c r="EF266" s="161"/>
      <c r="EG266" s="161"/>
      <c r="EH266" s="161"/>
      <c r="EI266" s="161"/>
      <c r="EJ266" s="161"/>
      <c r="EK266" s="161"/>
      <c r="EL266" s="161"/>
      <c r="EM266" s="161"/>
      <c r="EN266" s="161"/>
      <c r="EO266" s="161"/>
      <c r="EP266" s="161"/>
      <c r="EQ266" s="161"/>
      <c r="ER266" s="161"/>
      <c r="ES266" s="161"/>
      <c r="ET266" s="161"/>
      <c r="EU266" s="161"/>
      <c r="EV266" s="161"/>
      <c r="EW266" s="161"/>
      <c r="EX266" s="161"/>
      <c r="EY266" s="161"/>
      <c r="EZ266" s="161"/>
      <c r="FA266" s="161"/>
      <c r="FB266" s="161"/>
      <c r="FC266" s="161"/>
      <c r="FD266" s="161"/>
      <c r="FE266" s="161"/>
      <c r="FF266" s="161"/>
      <c r="FG266" s="161"/>
      <c r="FH266" s="161"/>
      <c r="FI266" s="161"/>
      <c r="FJ266" s="161"/>
      <c r="FK266" s="161"/>
      <c r="FL266" s="161"/>
      <c r="FM266" s="161"/>
      <c r="FN266" s="161"/>
      <c r="FO266" s="161"/>
      <c r="FP266" s="161"/>
      <c r="FQ266" s="161"/>
      <c r="FR266" s="161"/>
      <c r="FS266" s="161"/>
      <c r="FT266" s="161"/>
      <c r="FU266" s="161"/>
      <c r="FV266" s="161"/>
      <c r="FW266" s="161"/>
      <c r="FX266" s="161"/>
      <c r="FY266" s="161"/>
      <c r="FZ266" s="161"/>
      <c r="GA266" s="161"/>
      <c r="GB266" s="161"/>
      <c r="GC266" s="161"/>
      <c r="GD266" s="161"/>
      <c r="GE266" s="161"/>
      <c r="GF266" s="161"/>
      <c r="GG266" s="161"/>
      <c r="GH266" s="161"/>
      <c r="GI266" s="161"/>
      <c r="GJ266" s="161"/>
      <c r="GK266" s="161"/>
      <c r="GL266" s="161"/>
      <c r="GM266" s="161"/>
    </row>
    <row r="267" spans="1:195" ht="27.6" collapsed="1">
      <c r="D267" s="1211" t="s">
        <v>508</v>
      </c>
      <c r="E267" s="42" t="s">
        <v>948</v>
      </c>
      <c r="F267" s="91">
        <f>F268+F269+F270+F271</f>
        <v>1543768.2277309799</v>
      </c>
      <c r="G267" s="91">
        <f>G268+G269+G270+G271</f>
        <v>1551392.5447528549</v>
      </c>
      <c r="H267" s="33">
        <f t="shared" si="28"/>
        <v>7624.3170218749437</v>
      </c>
      <c r="I267" s="222">
        <f t="shared" si="31"/>
        <v>4.9387705258587379E-3</v>
      </c>
      <c r="J267" s="1402"/>
      <c r="K267" s="72"/>
    </row>
    <row r="268" spans="1:195" s="8" customFormat="1" ht="13.8" hidden="1" outlineLevel="1">
      <c r="A268" s="179" t="s">
        <v>1920</v>
      </c>
      <c r="B268" s="179" t="s">
        <v>436</v>
      </c>
      <c r="C268" s="248"/>
      <c r="D268" s="58"/>
      <c r="E268" s="65" t="s">
        <v>436</v>
      </c>
      <c r="F268" s="92">
        <f>SUMIFS(INPUT!$H:$H,INPUT!$E:$E,BAZE_2026!$A268,INPUT!$B:$B,BAZE_2026!$B268)</f>
        <v>1201963.7477309799</v>
      </c>
      <c r="G268" s="3212">
        <f>SUMIFS(INPUT!$L:$L,INPUT!$E:$E,BAZE_2026!$A268,INPUT!$B:$B,BAZE_2026!$B268)</f>
        <v>1222504.0647528549</v>
      </c>
      <c r="H268" s="48">
        <f t="shared" si="28"/>
        <v>20540.317021874944</v>
      </c>
      <c r="I268" s="232">
        <f t="shared" si="31"/>
        <v>1.7088965503868275E-2</v>
      </c>
      <c r="J268" s="2563" t="s">
        <v>4902</v>
      </c>
      <c r="K268" s="72"/>
      <c r="L268" s="12"/>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row>
    <row r="269" spans="1:195" s="8" customFormat="1" ht="31.5" hidden="1" customHeight="1" outlineLevel="1">
      <c r="A269" s="179" t="s">
        <v>1920</v>
      </c>
      <c r="B269" s="179" t="s">
        <v>772</v>
      </c>
      <c r="C269" s="248"/>
      <c r="D269" s="64"/>
      <c r="E269" s="59" t="s">
        <v>376</v>
      </c>
      <c r="F269" s="92">
        <f>SUMIFS(INPUT!$H:$H,INPUT!$E:$E,BAZE_2026!$A269,INPUT!$B:$B,BAZE_2026!$B269)</f>
        <v>98666.48</v>
      </c>
      <c r="G269" s="92">
        <f>SUMIFS(INPUT!$L:$L,INPUT!$E:$E,BAZE_2026!$A269,INPUT!$B:$B,BAZE_2026!$B269)</f>
        <v>97228.479999999996</v>
      </c>
      <c r="H269" s="48">
        <f t="shared" si="28"/>
        <v>-1438</v>
      </c>
      <c r="I269" s="232">
        <f t="shared" si="31"/>
        <v>-1.4574351897422509E-2</v>
      </c>
      <c r="J269" s="2713" t="s">
        <v>4944</v>
      </c>
      <c r="K269" s="54"/>
      <c r="L269" s="135"/>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row>
    <row r="270" spans="1:195" s="8" customFormat="1" ht="14.25" hidden="1" customHeight="1" outlineLevel="1">
      <c r="A270" s="179" t="s">
        <v>1920</v>
      </c>
      <c r="B270" s="179" t="s">
        <v>1211</v>
      </c>
      <c r="C270" s="248"/>
      <c r="D270" s="1214"/>
      <c r="E270" s="59" t="s">
        <v>1210</v>
      </c>
      <c r="F270" s="92">
        <f>SUMIFS(INPUT!$H:$H,INPUT!$E:$E,BAZE_2026!$A270,INPUT!$B:$B,BAZE_2026!$B270)</f>
        <v>234374</v>
      </c>
      <c r="G270" s="92">
        <f>SUMIFS(INPUT!$L:$L,INPUT!$E:$E,BAZE_2026!$A270,INPUT!$B:$B,BAZE_2026!$B270)</f>
        <v>228960</v>
      </c>
      <c r="H270" s="48">
        <f>G270-F270</f>
        <v>-5414</v>
      </c>
      <c r="I270" s="232">
        <f>IFERROR(H270/F270,"-")</f>
        <v>-2.3099831892616076E-2</v>
      </c>
      <c r="J270" s="2575"/>
      <c r="K270" s="72"/>
      <c r="L270" s="12"/>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row>
    <row r="271" spans="1:195" s="8" customFormat="1" ht="13.8" hidden="1" outlineLevel="1">
      <c r="A271" s="179" t="s">
        <v>1920</v>
      </c>
      <c r="B271" s="179" t="s">
        <v>774</v>
      </c>
      <c r="C271" s="248"/>
      <c r="D271" s="58"/>
      <c r="E271" s="59" t="s">
        <v>375</v>
      </c>
      <c r="F271" s="92">
        <f>SUMIFS(INPUT!$H:$H,INPUT!$E:$E,BAZE_2026!$A271,INPUT!$B:$B,BAZE_2026!$B271)</f>
        <v>8764</v>
      </c>
      <c r="G271" s="92">
        <f>SUMIFS(INPUT!$L:$L,INPUT!$E:$E,BAZE_2026!$A271,INPUT!$B:$B,BAZE_2026!$B271)</f>
        <v>2700</v>
      </c>
      <c r="H271" s="48">
        <f t="shared" si="28"/>
        <v>-6064</v>
      </c>
      <c r="I271" s="232">
        <f t="shared" si="31"/>
        <v>-0.69192149703331807</v>
      </c>
      <c r="J271" s="68"/>
      <c r="K271" s="72"/>
      <c r="L271" s="12"/>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row>
    <row r="272" spans="1:195" s="166" customFormat="1" ht="13.8" hidden="1" outlineLevel="1">
      <c r="A272" s="315" t="s">
        <v>1921</v>
      </c>
      <c r="B272" s="315" t="s">
        <v>326</v>
      </c>
      <c r="C272" s="316"/>
      <c r="D272" s="2919"/>
      <c r="E272" s="164" t="s">
        <v>265</v>
      </c>
      <c r="F272" s="154">
        <f>SUMIFS(INPUT!$H:$H,INPUT!$E:$E,BAZE_2026!$A272,INPUT!$B:$B,BAZE_2026!$B272)</f>
        <v>202607</v>
      </c>
      <c r="G272" s="154">
        <f>SUMIFS(INPUT!$L:$L,INPUT!$E:$E,BAZE_2026!$A272,INPUT!$B:$B,BAZE_2026!$B272)</f>
        <v>201670.74703200001</v>
      </c>
      <c r="H272" s="158">
        <f t="shared" si="28"/>
        <v>-936.25296799998614</v>
      </c>
      <c r="I272" s="230">
        <f t="shared" si="31"/>
        <v>-4.621029717630616E-3</v>
      </c>
      <c r="J272" s="2932"/>
      <c r="K272" s="317"/>
      <c r="L272" s="283"/>
      <c r="M272" s="161"/>
      <c r="N272" s="161"/>
      <c r="O272" s="161"/>
      <c r="P272" s="161"/>
      <c r="Q272" s="161"/>
      <c r="R272" s="161"/>
      <c r="S272" s="161"/>
      <c r="T272" s="161"/>
      <c r="U272" s="161"/>
      <c r="V272" s="161"/>
      <c r="W272" s="161"/>
      <c r="X272" s="161"/>
      <c r="Y272" s="161"/>
      <c r="Z272" s="161"/>
      <c r="AA272" s="161"/>
      <c r="AB272" s="161"/>
      <c r="AC272" s="161"/>
      <c r="AD272" s="161"/>
      <c r="AE272" s="161"/>
      <c r="AF272" s="161"/>
      <c r="AG272" s="161"/>
      <c r="AH272" s="161"/>
      <c r="AI272" s="161"/>
      <c r="AJ272" s="161"/>
      <c r="AK272" s="161"/>
      <c r="AL272" s="161"/>
      <c r="AM272" s="161"/>
      <c r="AN272" s="161"/>
      <c r="AO272" s="161"/>
      <c r="AP272" s="161"/>
      <c r="AQ272" s="161"/>
      <c r="AR272" s="161"/>
      <c r="AS272" s="161"/>
      <c r="AT272" s="161"/>
      <c r="AU272" s="161"/>
      <c r="AV272" s="161"/>
      <c r="AW272" s="161"/>
      <c r="AX272" s="161"/>
      <c r="AY272" s="161"/>
      <c r="AZ272" s="161"/>
      <c r="BA272" s="161"/>
      <c r="BB272" s="161"/>
      <c r="BC272" s="161"/>
      <c r="BD272" s="161"/>
      <c r="BE272" s="161"/>
      <c r="BF272" s="161"/>
      <c r="BG272" s="161"/>
      <c r="BH272" s="161"/>
      <c r="BI272" s="161"/>
      <c r="BJ272" s="161"/>
      <c r="BK272" s="161"/>
      <c r="BL272" s="161"/>
      <c r="BM272" s="161"/>
      <c r="BN272" s="161"/>
      <c r="BO272" s="161"/>
      <c r="BP272" s="161"/>
      <c r="BQ272" s="161"/>
      <c r="BR272" s="161"/>
      <c r="BS272" s="161"/>
      <c r="BT272" s="161"/>
      <c r="BU272" s="161"/>
      <c r="BV272" s="161"/>
      <c r="BW272" s="161"/>
      <c r="BX272" s="161"/>
      <c r="BY272" s="161"/>
      <c r="BZ272" s="161"/>
      <c r="CA272" s="161"/>
      <c r="CB272" s="161"/>
      <c r="CC272" s="161"/>
      <c r="CD272" s="161"/>
      <c r="CE272" s="161"/>
      <c r="CF272" s="161"/>
      <c r="CG272" s="161"/>
      <c r="CH272" s="161"/>
      <c r="CI272" s="161"/>
      <c r="CJ272" s="161"/>
      <c r="CK272" s="161"/>
      <c r="CL272" s="161"/>
      <c r="CM272" s="161"/>
      <c r="CN272" s="161"/>
      <c r="CO272" s="161"/>
      <c r="CP272" s="161"/>
      <c r="CQ272" s="161"/>
      <c r="CR272" s="161"/>
      <c r="CS272" s="161"/>
      <c r="CT272" s="161"/>
      <c r="CU272" s="161"/>
      <c r="CV272" s="161"/>
      <c r="CW272" s="161"/>
      <c r="CX272" s="161"/>
      <c r="CY272" s="161"/>
      <c r="CZ272" s="161"/>
      <c r="DA272" s="161"/>
      <c r="DB272" s="161"/>
      <c r="DC272" s="161"/>
      <c r="DD272" s="161"/>
      <c r="DE272" s="161"/>
      <c r="DF272" s="161"/>
      <c r="DG272" s="161"/>
      <c r="DH272" s="161"/>
      <c r="DI272" s="161"/>
      <c r="DJ272" s="161"/>
      <c r="DK272" s="161"/>
      <c r="DL272" s="161"/>
      <c r="DM272" s="161"/>
      <c r="DN272" s="161"/>
      <c r="DO272" s="161"/>
      <c r="DP272" s="161"/>
      <c r="DQ272" s="161"/>
      <c r="DR272" s="161"/>
      <c r="DS272" s="161"/>
      <c r="DT272" s="161"/>
      <c r="DU272" s="161"/>
      <c r="DV272" s="161"/>
      <c r="DW272" s="161"/>
      <c r="DX272" s="161"/>
      <c r="DY272" s="161"/>
      <c r="DZ272" s="161"/>
      <c r="EA272" s="161"/>
      <c r="EB272" s="161"/>
      <c r="EC272" s="161"/>
      <c r="ED272" s="161"/>
      <c r="EE272" s="161"/>
      <c r="EF272" s="161"/>
      <c r="EG272" s="161"/>
      <c r="EH272" s="161"/>
      <c r="EI272" s="161"/>
      <c r="EJ272" s="161"/>
      <c r="EK272" s="161"/>
      <c r="EL272" s="161"/>
      <c r="EM272" s="161"/>
      <c r="EN272" s="161"/>
      <c r="EO272" s="161"/>
      <c r="EP272" s="161"/>
      <c r="EQ272" s="161"/>
      <c r="ER272" s="161"/>
      <c r="ES272" s="161"/>
      <c r="ET272" s="161"/>
      <c r="EU272" s="161"/>
      <c r="EV272" s="161"/>
      <c r="EW272" s="161"/>
      <c r="EX272" s="161"/>
      <c r="EY272" s="161"/>
      <c r="EZ272" s="161"/>
      <c r="FA272" s="161"/>
      <c r="FB272" s="161"/>
      <c r="FC272" s="161"/>
      <c r="FD272" s="161"/>
      <c r="FE272" s="161"/>
      <c r="FF272" s="161"/>
      <c r="FG272" s="161"/>
      <c r="FH272" s="161"/>
      <c r="FI272" s="161"/>
      <c r="FJ272" s="161"/>
      <c r="FK272" s="161"/>
      <c r="FL272" s="161"/>
      <c r="FM272" s="161"/>
      <c r="FN272" s="161"/>
      <c r="FO272" s="161"/>
      <c r="FP272" s="161"/>
      <c r="FQ272" s="161"/>
      <c r="FR272" s="161"/>
      <c r="FS272" s="161"/>
      <c r="FT272" s="161"/>
      <c r="FU272" s="161"/>
      <c r="FV272" s="161"/>
      <c r="FW272" s="161"/>
      <c r="FX272" s="161"/>
      <c r="FY272" s="161"/>
      <c r="FZ272" s="161"/>
      <c r="GA272" s="161"/>
      <c r="GB272" s="161"/>
      <c r="GC272" s="161"/>
      <c r="GD272" s="161"/>
      <c r="GE272" s="161"/>
      <c r="GF272" s="161"/>
      <c r="GG272" s="161"/>
      <c r="GH272" s="161"/>
      <c r="GI272" s="161"/>
      <c r="GJ272" s="161"/>
      <c r="GK272" s="161"/>
      <c r="GL272" s="161"/>
      <c r="GM272" s="161"/>
    </row>
    <row r="273" spans="1:195" s="166" customFormat="1" ht="13.8" hidden="1" outlineLevel="1">
      <c r="A273" s="315" t="s">
        <v>1920</v>
      </c>
      <c r="B273" s="315" t="s">
        <v>773</v>
      </c>
      <c r="C273" s="316"/>
      <c r="D273" s="2919"/>
      <c r="E273" s="164" t="s">
        <v>773</v>
      </c>
      <c r="F273" s="154">
        <f>SUMIFS(INPUT!$H:$H,INPUT!$E:$E,BAZE_2026!$A273,INPUT!$B:$B,BAZE_2026!$B273)</f>
        <v>96000</v>
      </c>
      <c r="G273" s="154">
        <f>SUMIFS(INPUT!$L:$L,INPUT!$E:$E,BAZE_2026!$A273,INPUT!$B:$B,BAZE_2026!$B273)</f>
        <v>89000</v>
      </c>
      <c r="H273" s="158">
        <f t="shared" si="28"/>
        <v>-7000</v>
      </c>
      <c r="I273" s="230">
        <f t="shared" si="31"/>
        <v>-7.2916666666666671E-2</v>
      </c>
      <c r="J273" s="2932"/>
      <c r="K273" s="317"/>
      <c r="L273" s="283"/>
      <c r="M273" s="161"/>
      <c r="N273" s="161"/>
      <c r="O273" s="161"/>
      <c r="P273" s="161"/>
      <c r="Q273" s="161"/>
      <c r="R273" s="161"/>
      <c r="S273" s="161"/>
      <c r="T273" s="161"/>
      <c r="U273" s="161"/>
      <c r="V273" s="161"/>
      <c r="W273" s="161"/>
      <c r="X273" s="161"/>
      <c r="Y273" s="161"/>
      <c r="Z273" s="161"/>
      <c r="AA273" s="161"/>
      <c r="AB273" s="161"/>
      <c r="AC273" s="161"/>
      <c r="AD273" s="161"/>
      <c r="AE273" s="161"/>
      <c r="AF273" s="161"/>
      <c r="AG273" s="161"/>
      <c r="AH273" s="161"/>
      <c r="AI273" s="161"/>
      <c r="AJ273" s="161"/>
      <c r="AK273" s="161"/>
      <c r="AL273" s="161"/>
      <c r="AM273" s="161"/>
      <c r="AN273" s="161"/>
      <c r="AO273" s="161"/>
      <c r="AP273" s="161"/>
      <c r="AQ273" s="161"/>
      <c r="AR273" s="161"/>
      <c r="AS273" s="161"/>
      <c r="AT273" s="161"/>
      <c r="AU273" s="161"/>
      <c r="AV273" s="161"/>
      <c r="AW273" s="161"/>
      <c r="AX273" s="161"/>
      <c r="AY273" s="161"/>
      <c r="AZ273" s="161"/>
      <c r="BA273" s="161"/>
      <c r="BB273" s="161"/>
      <c r="BC273" s="161"/>
      <c r="BD273" s="161"/>
      <c r="BE273" s="161"/>
      <c r="BF273" s="161"/>
      <c r="BG273" s="161"/>
      <c r="BH273" s="161"/>
      <c r="BI273" s="161"/>
      <c r="BJ273" s="161"/>
      <c r="BK273" s="161"/>
      <c r="BL273" s="161"/>
      <c r="BM273" s="161"/>
      <c r="BN273" s="161"/>
      <c r="BO273" s="161"/>
      <c r="BP273" s="161"/>
      <c r="BQ273" s="161"/>
      <c r="BR273" s="161"/>
      <c r="BS273" s="161"/>
      <c r="BT273" s="161"/>
      <c r="BU273" s="161"/>
      <c r="BV273" s="161"/>
      <c r="BW273" s="161"/>
      <c r="BX273" s="161"/>
      <c r="BY273" s="161"/>
      <c r="BZ273" s="161"/>
      <c r="CA273" s="161"/>
      <c r="CB273" s="161"/>
      <c r="CC273" s="161"/>
      <c r="CD273" s="161"/>
      <c r="CE273" s="161"/>
      <c r="CF273" s="161"/>
      <c r="CG273" s="161"/>
      <c r="CH273" s="161"/>
      <c r="CI273" s="161"/>
      <c r="CJ273" s="161"/>
      <c r="CK273" s="161"/>
      <c r="CL273" s="161"/>
      <c r="CM273" s="161"/>
      <c r="CN273" s="161"/>
      <c r="CO273" s="161"/>
      <c r="CP273" s="161"/>
      <c r="CQ273" s="161"/>
      <c r="CR273" s="161"/>
      <c r="CS273" s="161"/>
      <c r="CT273" s="161"/>
      <c r="CU273" s="161"/>
      <c r="CV273" s="161"/>
      <c r="CW273" s="161"/>
      <c r="CX273" s="161"/>
      <c r="CY273" s="161"/>
      <c r="CZ273" s="161"/>
      <c r="DA273" s="161"/>
      <c r="DB273" s="161"/>
      <c r="DC273" s="161"/>
      <c r="DD273" s="161"/>
      <c r="DE273" s="161"/>
      <c r="DF273" s="161"/>
      <c r="DG273" s="161"/>
      <c r="DH273" s="161"/>
      <c r="DI273" s="161"/>
      <c r="DJ273" s="161"/>
      <c r="DK273" s="161"/>
      <c r="DL273" s="161"/>
      <c r="DM273" s="161"/>
      <c r="DN273" s="161"/>
      <c r="DO273" s="161"/>
      <c r="DP273" s="161"/>
      <c r="DQ273" s="161"/>
      <c r="DR273" s="161"/>
      <c r="DS273" s="161"/>
      <c r="DT273" s="161"/>
      <c r="DU273" s="161"/>
      <c r="DV273" s="161"/>
      <c r="DW273" s="161"/>
      <c r="DX273" s="161"/>
      <c r="DY273" s="161"/>
      <c r="DZ273" s="161"/>
      <c r="EA273" s="161"/>
      <c r="EB273" s="161"/>
      <c r="EC273" s="161"/>
      <c r="ED273" s="161"/>
      <c r="EE273" s="161"/>
      <c r="EF273" s="161"/>
      <c r="EG273" s="161"/>
      <c r="EH273" s="161"/>
      <c r="EI273" s="161"/>
      <c r="EJ273" s="161"/>
      <c r="EK273" s="161"/>
      <c r="EL273" s="161"/>
      <c r="EM273" s="161"/>
      <c r="EN273" s="161"/>
      <c r="EO273" s="161"/>
      <c r="EP273" s="161"/>
      <c r="EQ273" s="161"/>
      <c r="ER273" s="161"/>
      <c r="ES273" s="161"/>
      <c r="ET273" s="161"/>
      <c r="EU273" s="161"/>
      <c r="EV273" s="161"/>
      <c r="EW273" s="161"/>
      <c r="EX273" s="161"/>
      <c r="EY273" s="161"/>
      <c r="EZ273" s="161"/>
      <c r="FA273" s="161"/>
      <c r="FB273" s="161"/>
      <c r="FC273" s="161"/>
      <c r="FD273" s="161"/>
      <c r="FE273" s="161"/>
      <c r="FF273" s="161"/>
      <c r="FG273" s="161"/>
      <c r="FH273" s="161"/>
      <c r="FI273" s="161"/>
      <c r="FJ273" s="161"/>
      <c r="FK273" s="161"/>
      <c r="FL273" s="161"/>
      <c r="FM273" s="161"/>
      <c r="FN273" s="161"/>
      <c r="FO273" s="161"/>
      <c r="FP273" s="161"/>
      <c r="FQ273" s="161"/>
      <c r="FR273" s="161"/>
      <c r="FS273" s="161"/>
      <c r="FT273" s="161"/>
      <c r="FU273" s="161"/>
      <c r="FV273" s="161"/>
      <c r="FW273" s="161"/>
      <c r="FX273" s="161"/>
      <c r="FY273" s="161"/>
      <c r="FZ273" s="161"/>
      <c r="GA273" s="161"/>
      <c r="GB273" s="161"/>
      <c r="GC273" s="161"/>
      <c r="GD273" s="161"/>
      <c r="GE273" s="161"/>
      <c r="GF273" s="161"/>
      <c r="GG273" s="161"/>
      <c r="GH273" s="161"/>
      <c r="GI273" s="161"/>
      <c r="GJ273" s="161"/>
      <c r="GK273" s="161"/>
      <c r="GL273" s="161"/>
      <c r="GM273" s="161"/>
    </row>
    <row r="274" spans="1:195" s="166" customFormat="1" ht="13.8" hidden="1" outlineLevel="1">
      <c r="A274" s="315" t="s">
        <v>1920</v>
      </c>
      <c r="B274" s="315" t="s">
        <v>1849</v>
      </c>
      <c r="C274" s="316"/>
      <c r="D274" s="2939"/>
      <c r="E274" s="164" t="s">
        <v>1849</v>
      </c>
      <c r="F274" s="154">
        <f>SUMIFS(INPUT!$H:$H,INPUT!$E:$E,BAZE_2026!$A274,INPUT!$B:$B,BAZE_2026!$B274)</f>
        <v>9300</v>
      </c>
      <c r="G274" s="154">
        <f>SUMIFS(INPUT!$L:$L,INPUT!$E:$E,BAZE_2026!$A274,INPUT!$B:$B,BAZE_2026!$B274)</f>
        <v>25300</v>
      </c>
      <c r="H274" s="158">
        <f t="shared" ref="H274" si="34">G274-F274</f>
        <v>16000</v>
      </c>
      <c r="I274" s="230">
        <f t="shared" ref="I274" si="35">IFERROR(H274/F274,"-")</f>
        <v>1.7204301075268817</v>
      </c>
      <c r="J274" s="2940"/>
      <c r="K274" s="317"/>
      <c r="L274" s="283"/>
      <c r="M274" s="161"/>
      <c r="N274" s="161"/>
      <c r="O274" s="161"/>
      <c r="P274" s="161"/>
      <c r="Q274" s="161"/>
      <c r="R274" s="161"/>
      <c r="S274" s="161"/>
      <c r="T274" s="161"/>
      <c r="U274" s="161"/>
      <c r="V274" s="161"/>
      <c r="W274" s="161"/>
      <c r="X274" s="161"/>
      <c r="Y274" s="161"/>
      <c r="Z274" s="161"/>
      <c r="AA274" s="161"/>
      <c r="AB274" s="161"/>
      <c r="AC274" s="161"/>
      <c r="AD274" s="161"/>
      <c r="AE274" s="161"/>
      <c r="AF274" s="161"/>
      <c r="AG274" s="161"/>
      <c r="AH274" s="161"/>
      <c r="AI274" s="161"/>
      <c r="AJ274" s="161"/>
      <c r="AK274" s="161"/>
      <c r="AL274" s="161"/>
      <c r="AM274" s="161"/>
      <c r="AN274" s="161"/>
      <c r="AO274" s="161"/>
      <c r="AP274" s="161"/>
      <c r="AQ274" s="161"/>
      <c r="AR274" s="161"/>
      <c r="AS274" s="161"/>
      <c r="AT274" s="161"/>
      <c r="AU274" s="161"/>
      <c r="AV274" s="161"/>
      <c r="AW274" s="161"/>
      <c r="AX274" s="161"/>
      <c r="AY274" s="161"/>
      <c r="AZ274" s="161"/>
      <c r="BA274" s="161"/>
      <c r="BB274" s="161"/>
      <c r="BC274" s="161"/>
      <c r="BD274" s="161"/>
      <c r="BE274" s="161"/>
      <c r="BF274" s="161"/>
      <c r="BG274" s="161"/>
      <c r="BH274" s="161"/>
      <c r="BI274" s="161"/>
      <c r="BJ274" s="161"/>
      <c r="BK274" s="161"/>
      <c r="BL274" s="161"/>
      <c r="BM274" s="161"/>
      <c r="BN274" s="161"/>
      <c r="BO274" s="161"/>
      <c r="BP274" s="161"/>
      <c r="BQ274" s="161"/>
      <c r="BR274" s="161"/>
      <c r="BS274" s="161"/>
      <c r="BT274" s="161"/>
      <c r="BU274" s="161"/>
      <c r="BV274" s="161"/>
      <c r="BW274" s="161"/>
      <c r="BX274" s="161"/>
      <c r="BY274" s="161"/>
      <c r="BZ274" s="161"/>
      <c r="CA274" s="161"/>
      <c r="CB274" s="161"/>
      <c r="CC274" s="161"/>
      <c r="CD274" s="161"/>
      <c r="CE274" s="161"/>
      <c r="CF274" s="161"/>
      <c r="CG274" s="161"/>
      <c r="CH274" s="161"/>
      <c r="CI274" s="161"/>
      <c r="CJ274" s="161"/>
      <c r="CK274" s="161"/>
      <c r="CL274" s="161"/>
      <c r="CM274" s="161"/>
      <c r="CN274" s="161"/>
      <c r="CO274" s="161"/>
      <c r="CP274" s="161"/>
      <c r="CQ274" s="161"/>
      <c r="CR274" s="161"/>
      <c r="CS274" s="161"/>
      <c r="CT274" s="161"/>
      <c r="CU274" s="161"/>
      <c r="CV274" s="161"/>
      <c r="CW274" s="161"/>
      <c r="CX274" s="161"/>
      <c r="CY274" s="161"/>
      <c r="CZ274" s="161"/>
      <c r="DA274" s="161"/>
      <c r="DB274" s="161"/>
      <c r="DC274" s="161"/>
      <c r="DD274" s="161"/>
      <c r="DE274" s="161"/>
      <c r="DF274" s="161"/>
      <c r="DG274" s="161"/>
      <c r="DH274" s="161"/>
      <c r="DI274" s="161"/>
      <c r="DJ274" s="161"/>
      <c r="DK274" s="161"/>
      <c r="DL274" s="161"/>
      <c r="DM274" s="161"/>
      <c r="DN274" s="161"/>
      <c r="DO274" s="161"/>
      <c r="DP274" s="161"/>
      <c r="DQ274" s="161"/>
      <c r="DR274" s="161"/>
      <c r="DS274" s="161"/>
      <c r="DT274" s="161"/>
      <c r="DU274" s="161"/>
      <c r="DV274" s="161"/>
      <c r="DW274" s="161"/>
      <c r="DX274" s="161"/>
      <c r="DY274" s="161"/>
      <c r="DZ274" s="161"/>
      <c r="EA274" s="161"/>
      <c r="EB274" s="161"/>
      <c r="EC274" s="161"/>
      <c r="ED274" s="161"/>
      <c r="EE274" s="161"/>
      <c r="EF274" s="161"/>
      <c r="EG274" s="161"/>
      <c r="EH274" s="161"/>
      <c r="EI274" s="161"/>
      <c r="EJ274" s="161"/>
      <c r="EK274" s="161"/>
      <c r="EL274" s="161"/>
      <c r="EM274" s="161"/>
      <c r="EN274" s="161"/>
      <c r="EO274" s="161"/>
      <c r="EP274" s="161"/>
      <c r="EQ274" s="161"/>
      <c r="ER274" s="161"/>
      <c r="ES274" s="161"/>
      <c r="ET274" s="161"/>
      <c r="EU274" s="161"/>
      <c r="EV274" s="161"/>
      <c r="EW274" s="161"/>
      <c r="EX274" s="161"/>
      <c r="EY274" s="161"/>
      <c r="EZ274" s="161"/>
      <c r="FA274" s="161"/>
      <c r="FB274" s="161"/>
      <c r="FC274" s="161"/>
      <c r="FD274" s="161"/>
      <c r="FE274" s="161"/>
      <c r="FF274" s="161"/>
      <c r="FG274" s="161"/>
      <c r="FH274" s="161"/>
      <c r="FI274" s="161"/>
      <c r="FJ274" s="161"/>
      <c r="FK274" s="161"/>
      <c r="FL274" s="161"/>
      <c r="FM274" s="161"/>
      <c r="FN274" s="161"/>
      <c r="FO274" s="161"/>
      <c r="FP274" s="161"/>
      <c r="FQ274" s="161"/>
      <c r="FR274" s="161"/>
      <c r="FS274" s="161"/>
      <c r="FT274" s="161"/>
      <c r="FU274" s="161"/>
      <c r="FV274" s="161"/>
      <c r="FW274" s="161"/>
      <c r="FX274" s="161"/>
      <c r="FY274" s="161"/>
      <c r="FZ274" s="161"/>
      <c r="GA274" s="161"/>
      <c r="GB274" s="161"/>
      <c r="GC274" s="161"/>
      <c r="GD274" s="161"/>
      <c r="GE274" s="161"/>
      <c r="GF274" s="161"/>
      <c r="GG274" s="161"/>
      <c r="GH274" s="161"/>
      <c r="GI274" s="161"/>
      <c r="GJ274" s="161"/>
      <c r="GK274" s="161"/>
      <c r="GL274" s="161"/>
      <c r="GM274" s="161"/>
    </row>
    <row r="275" spans="1:195" ht="28.95" customHeight="1" collapsed="1">
      <c r="D275" s="1211" t="s">
        <v>946</v>
      </c>
      <c r="E275" s="42" t="s">
        <v>949</v>
      </c>
      <c r="F275" s="91">
        <f>F276+F277+F278+F279</f>
        <v>1306515.1843767567</v>
      </c>
      <c r="G275" s="91">
        <f>G276+G277+G278+G279</f>
        <v>1378286.1722946241</v>
      </c>
      <c r="H275" s="33">
        <f t="shared" si="28"/>
        <v>71770.987917867489</v>
      </c>
      <c r="I275" s="222">
        <f t="shared" si="31"/>
        <v>5.4933144885035687E-2</v>
      </c>
      <c r="J275" s="1402"/>
      <c r="K275" s="72"/>
    </row>
    <row r="276" spans="1:195" s="8" customFormat="1" ht="13.8" hidden="1" outlineLevel="1">
      <c r="A276" s="179" t="s">
        <v>1922</v>
      </c>
      <c r="B276" s="179" t="s">
        <v>436</v>
      </c>
      <c r="C276" s="248"/>
      <c r="D276" s="58"/>
      <c r="E276" s="65" t="s">
        <v>436</v>
      </c>
      <c r="F276" s="92">
        <f>SUMIFS(INPUT!$H:$H,INPUT!$E:$E,BAZE_2026!$A276,INPUT!$B:$B,BAZE_2026!$B276)</f>
        <v>1049789.2277567568</v>
      </c>
      <c r="G276" s="92">
        <f>SUMIFS(INPUT!$L:$L,INPUT!$E:$E,BAZE_2026!$A276,INPUT!$B:$B,BAZE_2026!$B276)</f>
        <v>1101160.0022946242</v>
      </c>
      <c r="H276" s="27">
        <f t="shared" si="28"/>
        <v>51370.774537867401</v>
      </c>
      <c r="I276" s="232">
        <f t="shared" si="31"/>
        <v>4.8934370042679039E-2</v>
      </c>
      <c r="J276" s="2563" t="s">
        <v>4897</v>
      </c>
      <c r="K276" s="72"/>
      <c r="L276" s="12"/>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row>
    <row r="277" spans="1:195" s="8" customFormat="1" ht="27.6" hidden="1" outlineLevel="1">
      <c r="A277" s="179" t="s">
        <v>1922</v>
      </c>
      <c r="B277" s="179" t="s">
        <v>772</v>
      </c>
      <c r="C277" s="248"/>
      <c r="D277" s="64"/>
      <c r="E277" s="59" t="s">
        <v>376</v>
      </c>
      <c r="F277" s="92">
        <f>SUMIFS(INPUT!$H:$H,INPUT!$E:$E,BAZE_2026!$A277,INPUT!$B:$B,BAZE_2026!$B277)</f>
        <v>86301.626000000004</v>
      </c>
      <c r="G277" s="92">
        <f>SUMIFS(INPUT!$L:$L,INPUT!$E:$E,BAZE_2026!$A277,INPUT!$B:$B,BAZE_2026!$B277)</f>
        <v>99474.17</v>
      </c>
      <c r="H277" s="48">
        <f t="shared" si="28"/>
        <v>13172.543999999994</v>
      </c>
      <c r="I277" s="232">
        <f t="shared" si="31"/>
        <v>0.15263378699261118</v>
      </c>
      <c r="J277" s="2713" t="s">
        <v>5028</v>
      </c>
      <c r="K277" s="54"/>
      <c r="L277" s="135"/>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row>
    <row r="278" spans="1:195" s="8" customFormat="1" ht="19.95" hidden="1" customHeight="1" outlineLevel="1">
      <c r="A278" s="179" t="s">
        <v>1922</v>
      </c>
      <c r="B278" s="179" t="s">
        <v>1211</v>
      </c>
      <c r="C278" s="248"/>
      <c r="D278" s="1214"/>
      <c r="E278" s="59" t="s">
        <v>1210</v>
      </c>
      <c r="F278" s="92">
        <f>SUMIFS(INPUT!$H:$H,INPUT!$E:$E,BAZE_2026!$A278,INPUT!$B:$B,BAZE_2026!$B278)</f>
        <v>165990.33061999999</v>
      </c>
      <c r="G278" s="92">
        <f>SUMIFS(INPUT!$L:$L,INPUT!$E:$E,BAZE_2026!$A278,INPUT!$B:$B,BAZE_2026!$B278)</f>
        <v>176322</v>
      </c>
      <c r="H278" s="48">
        <f>G278-F278</f>
        <v>10331.669380000007</v>
      </c>
      <c r="I278" s="232">
        <f>IFERROR(H278/F278,"-")</f>
        <v>6.2242597754999324E-2</v>
      </c>
      <c r="J278" s="2982" t="s">
        <v>5167</v>
      </c>
      <c r="K278" s="72"/>
      <c r="L278" s="12"/>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row>
    <row r="279" spans="1:195" s="8" customFormat="1" ht="13.8" hidden="1" outlineLevel="1">
      <c r="A279" s="179" t="s">
        <v>1922</v>
      </c>
      <c r="B279" s="179" t="s">
        <v>774</v>
      </c>
      <c r="C279" s="248"/>
      <c r="D279" s="58"/>
      <c r="E279" s="59" t="s">
        <v>375</v>
      </c>
      <c r="F279" s="92">
        <f>SUMIFS(INPUT!$H:$H,INPUT!$E:$E,BAZE_2026!$A279,INPUT!$B:$B,BAZE_2026!$B279)</f>
        <v>4434</v>
      </c>
      <c r="G279" s="92">
        <f>SUMIFS(INPUT!$L:$L,INPUT!$E:$E,BAZE_2026!$A279,INPUT!$B:$B,BAZE_2026!$B279)</f>
        <v>1330</v>
      </c>
      <c r="H279" s="48">
        <f t="shared" si="28"/>
        <v>-3104</v>
      </c>
      <c r="I279" s="232">
        <f t="shared" si="31"/>
        <v>-0.70004510599909786</v>
      </c>
      <c r="J279" s="1538"/>
      <c r="K279" s="72"/>
      <c r="L279" s="12"/>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row>
    <row r="280" spans="1:195" s="166" customFormat="1" ht="13.8" hidden="1" outlineLevel="1">
      <c r="A280" s="315" t="s">
        <v>1923</v>
      </c>
      <c r="B280" s="315" t="s">
        <v>326</v>
      </c>
      <c r="C280" s="316"/>
      <c r="D280" s="2919"/>
      <c r="E280" s="164" t="s">
        <v>265</v>
      </c>
      <c r="F280" s="154">
        <f>SUMIFS(INPUT!$H:$H,INPUT!$E:$E,BAZE_2026!$A280,INPUT!$B:$B,BAZE_2026!$B280)</f>
        <v>267164</v>
      </c>
      <c r="G280" s="154">
        <f>SUMIFS(INPUT!$L:$L,INPUT!$E:$E,BAZE_2026!$A280,INPUT!$B:$B,BAZE_2026!$B280)</f>
        <v>213377.74106000003</v>
      </c>
      <c r="H280" s="158">
        <f t="shared" si="28"/>
        <v>-53786.258939999971</v>
      </c>
      <c r="I280" s="230">
        <f t="shared" si="31"/>
        <v>-0.20132300362324254</v>
      </c>
      <c r="J280" s="2932"/>
      <c r="K280" s="317"/>
      <c r="L280" s="283"/>
      <c r="M280" s="161"/>
      <c r="N280" s="161"/>
      <c r="O280" s="161"/>
      <c r="P280" s="161"/>
      <c r="Q280" s="161"/>
      <c r="R280" s="161"/>
      <c r="S280" s="161"/>
      <c r="T280" s="161"/>
      <c r="U280" s="161"/>
      <c r="V280" s="161"/>
      <c r="W280" s="161"/>
      <c r="X280" s="161"/>
      <c r="Y280" s="161"/>
      <c r="Z280" s="161"/>
      <c r="AA280" s="161"/>
      <c r="AB280" s="161"/>
      <c r="AC280" s="161"/>
      <c r="AD280" s="161"/>
      <c r="AE280" s="161"/>
      <c r="AF280" s="161"/>
      <c r="AG280" s="161"/>
      <c r="AH280" s="161"/>
      <c r="AI280" s="161"/>
      <c r="AJ280" s="161"/>
      <c r="AK280" s="161"/>
      <c r="AL280" s="161"/>
      <c r="AM280" s="161"/>
      <c r="AN280" s="161"/>
      <c r="AO280" s="161"/>
      <c r="AP280" s="161"/>
      <c r="AQ280" s="161"/>
      <c r="AR280" s="161"/>
      <c r="AS280" s="161"/>
      <c r="AT280" s="161"/>
      <c r="AU280" s="161"/>
      <c r="AV280" s="161"/>
      <c r="AW280" s="161"/>
      <c r="AX280" s="161"/>
      <c r="AY280" s="161"/>
      <c r="AZ280" s="161"/>
      <c r="BA280" s="161"/>
      <c r="BB280" s="161"/>
      <c r="BC280" s="161"/>
      <c r="BD280" s="161"/>
      <c r="BE280" s="161"/>
      <c r="BF280" s="161"/>
      <c r="BG280" s="161"/>
      <c r="BH280" s="161"/>
      <c r="BI280" s="161"/>
      <c r="BJ280" s="161"/>
      <c r="BK280" s="161"/>
      <c r="BL280" s="161"/>
      <c r="BM280" s="161"/>
      <c r="BN280" s="161"/>
      <c r="BO280" s="161"/>
      <c r="BP280" s="161"/>
      <c r="BQ280" s="161"/>
      <c r="BR280" s="161"/>
      <c r="BS280" s="161"/>
      <c r="BT280" s="161"/>
      <c r="BU280" s="161"/>
      <c r="BV280" s="161"/>
      <c r="BW280" s="161"/>
      <c r="BX280" s="161"/>
      <c r="BY280" s="161"/>
      <c r="BZ280" s="161"/>
      <c r="CA280" s="161"/>
      <c r="CB280" s="161"/>
      <c r="CC280" s="161"/>
      <c r="CD280" s="161"/>
      <c r="CE280" s="161"/>
      <c r="CF280" s="161"/>
      <c r="CG280" s="161"/>
      <c r="CH280" s="161"/>
      <c r="CI280" s="161"/>
      <c r="CJ280" s="161"/>
      <c r="CK280" s="161"/>
      <c r="CL280" s="161"/>
      <c r="CM280" s="161"/>
      <c r="CN280" s="161"/>
      <c r="CO280" s="161"/>
      <c r="CP280" s="161"/>
      <c r="CQ280" s="161"/>
      <c r="CR280" s="161"/>
      <c r="CS280" s="161"/>
      <c r="CT280" s="161"/>
      <c r="CU280" s="161"/>
      <c r="CV280" s="161"/>
      <c r="CW280" s="161"/>
      <c r="CX280" s="161"/>
      <c r="CY280" s="161"/>
      <c r="CZ280" s="161"/>
      <c r="DA280" s="161"/>
      <c r="DB280" s="161"/>
      <c r="DC280" s="161"/>
      <c r="DD280" s="161"/>
      <c r="DE280" s="161"/>
      <c r="DF280" s="161"/>
      <c r="DG280" s="161"/>
      <c r="DH280" s="161"/>
      <c r="DI280" s="161"/>
      <c r="DJ280" s="161"/>
      <c r="DK280" s="161"/>
      <c r="DL280" s="161"/>
      <c r="DM280" s="161"/>
      <c r="DN280" s="161"/>
      <c r="DO280" s="161"/>
      <c r="DP280" s="161"/>
      <c r="DQ280" s="161"/>
      <c r="DR280" s="161"/>
      <c r="DS280" s="161"/>
      <c r="DT280" s="161"/>
      <c r="DU280" s="161"/>
      <c r="DV280" s="161"/>
      <c r="DW280" s="161"/>
      <c r="DX280" s="161"/>
      <c r="DY280" s="161"/>
      <c r="DZ280" s="161"/>
      <c r="EA280" s="161"/>
      <c r="EB280" s="161"/>
      <c r="EC280" s="161"/>
      <c r="ED280" s="161"/>
      <c r="EE280" s="161"/>
      <c r="EF280" s="161"/>
      <c r="EG280" s="161"/>
      <c r="EH280" s="161"/>
      <c r="EI280" s="161"/>
      <c r="EJ280" s="161"/>
      <c r="EK280" s="161"/>
      <c r="EL280" s="161"/>
      <c r="EM280" s="161"/>
      <c r="EN280" s="161"/>
      <c r="EO280" s="161"/>
      <c r="EP280" s="161"/>
      <c r="EQ280" s="161"/>
      <c r="ER280" s="161"/>
      <c r="ES280" s="161"/>
      <c r="ET280" s="161"/>
      <c r="EU280" s="161"/>
      <c r="EV280" s="161"/>
      <c r="EW280" s="161"/>
      <c r="EX280" s="161"/>
      <c r="EY280" s="161"/>
      <c r="EZ280" s="161"/>
      <c r="FA280" s="161"/>
      <c r="FB280" s="161"/>
      <c r="FC280" s="161"/>
      <c r="FD280" s="161"/>
      <c r="FE280" s="161"/>
      <c r="FF280" s="161"/>
      <c r="FG280" s="161"/>
      <c r="FH280" s="161"/>
      <c r="FI280" s="161"/>
      <c r="FJ280" s="161"/>
      <c r="FK280" s="161"/>
      <c r="FL280" s="161"/>
      <c r="FM280" s="161"/>
      <c r="FN280" s="161"/>
      <c r="FO280" s="161"/>
      <c r="FP280" s="161"/>
      <c r="FQ280" s="161"/>
      <c r="FR280" s="161"/>
      <c r="FS280" s="161"/>
      <c r="FT280" s="161"/>
      <c r="FU280" s="161"/>
      <c r="FV280" s="161"/>
      <c r="FW280" s="161"/>
      <c r="FX280" s="161"/>
      <c r="FY280" s="161"/>
      <c r="FZ280" s="161"/>
      <c r="GA280" s="161"/>
      <c r="GB280" s="161"/>
      <c r="GC280" s="161"/>
      <c r="GD280" s="161"/>
      <c r="GE280" s="161"/>
      <c r="GF280" s="161"/>
      <c r="GG280" s="161"/>
      <c r="GH280" s="161"/>
      <c r="GI280" s="161"/>
      <c r="GJ280" s="161"/>
      <c r="GK280" s="161"/>
      <c r="GL280" s="161"/>
      <c r="GM280" s="161"/>
    </row>
    <row r="281" spans="1:195" s="166" customFormat="1" ht="13.8" hidden="1" outlineLevel="1">
      <c r="A281" s="315" t="s">
        <v>1922</v>
      </c>
      <c r="B281" s="315" t="s">
        <v>773</v>
      </c>
      <c r="C281" s="316"/>
      <c r="D281" s="2919"/>
      <c r="E281" s="164" t="s">
        <v>773</v>
      </c>
      <c r="F281" s="154">
        <f>SUMIFS(INPUT!$H:$H,INPUT!$E:$E,BAZE_2026!$A281,INPUT!$B:$B,BAZE_2026!$B281)</f>
        <v>0</v>
      </c>
      <c r="G281" s="154">
        <f>SUMIFS(INPUT!$L:$L,INPUT!$E:$E,BAZE_2026!$A281,INPUT!$B:$B,BAZE_2026!$B281)</f>
        <v>10083.44</v>
      </c>
      <c r="H281" s="158">
        <f t="shared" si="28"/>
        <v>10083.44</v>
      </c>
      <c r="I281" s="230" t="str">
        <f t="shared" si="31"/>
        <v>-</v>
      </c>
      <c r="J281" s="2932"/>
      <c r="K281" s="317"/>
      <c r="L281" s="283"/>
      <c r="M281" s="161"/>
      <c r="N281" s="161"/>
      <c r="O281" s="161"/>
      <c r="P281" s="161"/>
      <c r="Q281" s="161"/>
      <c r="R281" s="161"/>
      <c r="S281" s="161"/>
      <c r="T281" s="161"/>
      <c r="U281" s="161"/>
      <c r="V281" s="161"/>
      <c r="W281" s="161"/>
      <c r="X281" s="161"/>
      <c r="Y281" s="161"/>
      <c r="Z281" s="161"/>
      <c r="AA281" s="161"/>
      <c r="AB281" s="161"/>
      <c r="AC281" s="161"/>
      <c r="AD281" s="161"/>
      <c r="AE281" s="161"/>
      <c r="AF281" s="161"/>
      <c r="AG281" s="161"/>
      <c r="AH281" s="161"/>
      <c r="AI281" s="161"/>
      <c r="AJ281" s="161"/>
      <c r="AK281" s="161"/>
      <c r="AL281" s="161"/>
      <c r="AM281" s="161"/>
      <c r="AN281" s="161"/>
      <c r="AO281" s="161"/>
      <c r="AP281" s="161"/>
      <c r="AQ281" s="161"/>
      <c r="AR281" s="161"/>
      <c r="AS281" s="161"/>
      <c r="AT281" s="161"/>
      <c r="AU281" s="161"/>
      <c r="AV281" s="161"/>
      <c r="AW281" s="161"/>
      <c r="AX281" s="161"/>
      <c r="AY281" s="161"/>
      <c r="AZ281" s="161"/>
      <c r="BA281" s="161"/>
      <c r="BB281" s="161"/>
      <c r="BC281" s="161"/>
      <c r="BD281" s="161"/>
      <c r="BE281" s="161"/>
      <c r="BF281" s="161"/>
      <c r="BG281" s="161"/>
      <c r="BH281" s="161"/>
      <c r="BI281" s="161"/>
      <c r="BJ281" s="161"/>
      <c r="BK281" s="161"/>
      <c r="BL281" s="161"/>
      <c r="BM281" s="161"/>
      <c r="BN281" s="161"/>
      <c r="BO281" s="161"/>
      <c r="BP281" s="161"/>
      <c r="BQ281" s="161"/>
      <c r="BR281" s="161"/>
      <c r="BS281" s="161"/>
      <c r="BT281" s="161"/>
      <c r="BU281" s="161"/>
      <c r="BV281" s="161"/>
      <c r="BW281" s="161"/>
      <c r="BX281" s="161"/>
      <c r="BY281" s="161"/>
      <c r="BZ281" s="161"/>
      <c r="CA281" s="161"/>
      <c r="CB281" s="161"/>
      <c r="CC281" s="161"/>
      <c r="CD281" s="161"/>
      <c r="CE281" s="161"/>
      <c r="CF281" s="161"/>
      <c r="CG281" s="161"/>
      <c r="CH281" s="161"/>
      <c r="CI281" s="161"/>
      <c r="CJ281" s="161"/>
      <c r="CK281" s="161"/>
      <c r="CL281" s="161"/>
      <c r="CM281" s="161"/>
      <c r="CN281" s="161"/>
      <c r="CO281" s="161"/>
      <c r="CP281" s="161"/>
      <c r="CQ281" s="161"/>
      <c r="CR281" s="161"/>
      <c r="CS281" s="161"/>
      <c r="CT281" s="161"/>
      <c r="CU281" s="161"/>
      <c r="CV281" s="161"/>
      <c r="CW281" s="161"/>
      <c r="CX281" s="161"/>
      <c r="CY281" s="161"/>
      <c r="CZ281" s="161"/>
      <c r="DA281" s="161"/>
      <c r="DB281" s="161"/>
      <c r="DC281" s="161"/>
      <c r="DD281" s="161"/>
      <c r="DE281" s="161"/>
      <c r="DF281" s="161"/>
      <c r="DG281" s="161"/>
      <c r="DH281" s="161"/>
      <c r="DI281" s="161"/>
      <c r="DJ281" s="161"/>
      <c r="DK281" s="161"/>
      <c r="DL281" s="161"/>
      <c r="DM281" s="161"/>
      <c r="DN281" s="161"/>
      <c r="DO281" s="161"/>
      <c r="DP281" s="161"/>
      <c r="DQ281" s="161"/>
      <c r="DR281" s="161"/>
      <c r="DS281" s="161"/>
      <c r="DT281" s="161"/>
      <c r="DU281" s="161"/>
      <c r="DV281" s="161"/>
      <c r="DW281" s="161"/>
      <c r="DX281" s="161"/>
      <c r="DY281" s="161"/>
      <c r="DZ281" s="161"/>
      <c r="EA281" s="161"/>
      <c r="EB281" s="161"/>
      <c r="EC281" s="161"/>
      <c r="ED281" s="161"/>
      <c r="EE281" s="161"/>
      <c r="EF281" s="161"/>
      <c r="EG281" s="161"/>
      <c r="EH281" s="161"/>
      <c r="EI281" s="161"/>
      <c r="EJ281" s="161"/>
      <c r="EK281" s="161"/>
      <c r="EL281" s="161"/>
      <c r="EM281" s="161"/>
      <c r="EN281" s="161"/>
      <c r="EO281" s="161"/>
      <c r="EP281" s="161"/>
      <c r="EQ281" s="161"/>
      <c r="ER281" s="161"/>
      <c r="ES281" s="161"/>
      <c r="ET281" s="161"/>
      <c r="EU281" s="161"/>
      <c r="EV281" s="161"/>
      <c r="EW281" s="161"/>
      <c r="EX281" s="161"/>
      <c r="EY281" s="161"/>
      <c r="EZ281" s="161"/>
      <c r="FA281" s="161"/>
      <c r="FB281" s="161"/>
      <c r="FC281" s="161"/>
      <c r="FD281" s="161"/>
      <c r="FE281" s="161"/>
      <c r="FF281" s="161"/>
      <c r="FG281" s="161"/>
      <c r="FH281" s="161"/>
      <c r="FI281" s="161"/>
      <c r="FJ281" s="161"/>
      <c r="FK281" s="161"/>
      <c r="FL281" s="161"/>
      <c r="FM281" s="161"/>
      <c r="FN281" s="161"/>
      <c r="FO281" s="161"/>
      <c r="FP281" s="161"/>
      <c r="FQ281" s="161"/>
      <c r="FR281" s="161"/>
      <c r="FS281" s="161"/>
      <c r="FT281" s="161"/>
      <c r="FU281" s="161"/>
      <c r="FV281" s="161"/>
      <c r="FW281" s="161"/>
      <c r="FX281" s="161"/>
      <c r="FY281" s="161"/>
      <c r="FZ281" s="161"/>
      <c r="GA281" s="161"/>
      <c r="GB281" s="161"/>
      <c r="GC281" s="161"/>
      <c r="GD281" s="161"/>
      <c r="GE281" s="161"/>
      <c r="GF281" s="161"/>
      <c r="GG281" s="161"/>
      <c r="GH281" s="161"/>
      <c r="GI281" s="161"/>
      <c r="GJ281" s="161"/>
      <c r="GK281" s="161"/>
      <c r="GL281" s="161"/>
      <c r="GM281" s="161"/>
    </row>
    <row r="282" spans="1:195" ht="44.4" customHeight="1" collapsed="1">
      <c r="D282" s="1211" t="s">
        <v>992</v>
      </c>
      <c r="E282" s="42" t="s">
        <v>2856</v>
      </c>
      <c r="F282" s="91">
        <f>F283+F284+F286+F285</f>
        <v>247644.76737800005</v>
      </c>
      <c r="G282" s="91">
        <f>G283+G284+G286+G285</f>
        <v>188192.33701575996</v>
      </c>
      <c r="H282" s="33">
        <f t="shared" si="28"/>
        <v>-59452.430362240091</v>
      </c>
      <c r="I282" s="222">
        <f t="shared" si="31"/>
        <v>-0.24007141758619549</v>
      </c>
      <c r="J282" s="1537"/>
      <c r="K282" s="72"/>
    </row>
    <row r="283" spans="1:195" s="8" customFormat="1" ht="13.8" hidden="1" outlineLevel="1">
      <c r="A283" s="179" t="s">
        <v>1936</v>
      </c>
      <c r="B283" s="179" t="s">
        <v>436</v>
      </c>
      <c r="C283" s="248"/>
      <c r="D283" s="58"/>
      <c r="E283" s="65" t="s">
        <v>436</v>
      </c>
      <c r="F283" s="92">
        <f>SUMIFS(INPUT!$H:$H,INPUT!$E:$E,BAZE_2026!$A283,INPUT!$B:$B,BAZE_2026!$B283)</f>
        <v>223438.76737800005</v>
      </c>
      <c r="G283" s="92">
        <f>SUMIFS(INPUT!$L:$L,INPUT!$E:$E,BAZE_2026!$A283,INPUT!$B:$B,BAZE_2026!$B283)</f>
        <v>163221.33701575996</v>
      </c>
      <c r="H283" s="48">
        <f t="shared" si="28"/>
        <v>-60217.430362240091</v>
      </c>
      <c r="I283" s="232">
        <f t="shared" si="31"/>
        <v>-0.26950305476921971</v>
      </c>
      <c r="J283" s="68" t="s">
        <v>2757</v>
      </c>
      <c r="K283" s="72"/>
      <c r="L283" s="12"/>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row>
    <row r="284" spans="1:195" s="8" customFormat="1" ht="13.8" hidden="1" outlineLevel="1">
      <c r="A284" s="179" t="s">
        <v>1936</v>
      </c>
      <c r="B284" s="179" t="s">
        <v>772</v>
      </c>
      <c r="C284" s="248"/>
      <c r="D284" s="64"/>
      <c r="E284" s="59" t="s">
        <v>376</v>
      </c>
      <c r="F284" s="92">
        <f>SUMIFS(INPUT!$H:$H,INPUT!$E:$E,BAZE_2026!$A284,INPUT!$B:$B,BAZE_2026!$B284)</f>
        <v>8250</v>
      </c>
      <c r="G284" s="92">
        <f>SUMIFS(INPUT!$L:$L,INPUT!$E:$E,BAZE_2026!$A284,INPUT!$B:$B,BAZE_2026!$B284)</f>
        <v>6800</v>
      </c>
      <c r="H284" s="48">
        <f t="shared" si="28"/>
        <v>-1450</v>
      </c>
      <c r="I284" s="232">
        <f t="shared" si="31"/>
        <v>-0.17575757575757575</v>
      </c>
      <c r="J284" s="1528"/>
      <c r="K284" s="54"/>
      <c r="L284" s="135"/>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row>
    <row r="285" spans="1:195" s="357" customFormat="1" ht="13.8" hidden="1" outlineLevel="1">
      <c r="A285" s="179" t="s">
        <v>1936</v>
      </c>
      <c r="B285" s="372" t="s">
        <v>1211</v>
      </c>
      <c r="C285" s="248"/>
      <c r="D285" s="371"/>
      <c r="E285" s="59" t="s">
        <v>1210</v>
      </c>
      <c r="F285" s="92">
        <f>SUMIFS(INPUT!$H:$H,INPUT!$E:$E,BAZE_2026!$A285,INPUT!$B:$B,BAZE_2026!$B285)</f>
        <v>15656</v>
      </c>
      <c r="G285" s="92">
        <f>SUMIFS(INPUT!$L:$L,INPUT!$E:$E,BAZE_2026!$A285,INPUT!$B:$B,BAZE_2026!$B285)</f>
        <v>17871</v>
      </c>
      <c r="H285" s="48">
        <f>G285-F285</f>
        <v>2215</v>
      </c>
      <c r="I285" s="232">
        <f>IFERROR(H285/F285,"-")</f>
        <v>0.14147930505876341</v>
      </c>
      <c r="J285" s="1540"/>
      <c r="K285" s="309"/>
      <c r="L285" s="69"/>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row>
    <row r="286" spans="1:195" s="8" customFormat="1" ht="13.8" hidden="1" outlineLevel="1">
      <c r="A286" s="179" t="s">
        <v>1936</v>
      </c>
      <c r="B286" s="179" t="s">
        <v>774</v>
      </c>
      <c r="C286" s="248"/>
      <c r="D286" s="58"/>
      <c r="E286" s="59" t="s">
        <v>375</v>
      </c>
      <c r="F286" s="92">
        <f>SUMIFS(INPUT!$H:$H,INPUT!$E:$E,BAZE_2026!$A286,INPUT!$B:$B,BAZE_2026!$B286)</f>
        <v>300</v>
      </c>
      <c r="G286" s="92">
        <f>SUMIFS(INPUT!$L:$L,INPUT!$E:$E,BAZE_2026!$A286,INPUT!$B:$B,BAZE_2026!$B286)</f>
        <v>300</v>
      </c>
      <c r="H286" s="48">
        <f t="shared" si="28"/>
        <v>0</v>
      </c>
      <c r="I286" s="232">
        <f t="shared" si="31"/>
        <v>0</v>
      </c>
      <c r="J286" s="1528"/>
      <c r="K286" s="72"/>
      <c r="L286" s="12"/>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row>
    <row r="287" spans="1:195" s="166" customFormat="1" ht="13.8" hidden="1" outlineLevel="1">
      <c r="A287" s="315" t="s">
        <v>1937</v>
      </c>
      <c r="B287" s="315" t="s">
        <v>326</v>
      </c>
      <c r="C287" s="316"/>
      <c r="D287" s="2919"/>
      <c r="E287" s="164" t="s">
        <v>265</v>
      </c>
      <c r="F287" s="154">
        <f>SUMIFS(INPUT!$H:$H,INPUT!$E:$E,BAZE_2026!$A287,INPUT!$B:$B,BAZE_2026!$B287)</f>
        <v>103045</v>
      </c>
      <c r="G287" s="154">
        <f>SUMIFS(INPUT!$L:$L,INPUT!$E:$E,BAZE_2026!$A287,INPUT!$B:$B,BAZE_2026!$B287)</f>
        <v>49111.085143999997</v>
      </c>
      <c r="H287" s="158">
        <f>G287-F287</f>
        <v>-53933.914856000003</v>
      </c>
      <c r="I287" s="230">
        <f t="shared" si="31"/>
        <v>-0.52340157073123394</v>
      </c>
      <c r="J287" s="2932"/>
      <c r="K287" s="317"/>
      <c r="L287" s="283"/>
      <c r="M287" s="161"/>
      <c r="N287" s="161"/>
      <c r="O287" s="161"/>
      <c r="P287" s="161"/>
      <c r="Q287" s="161"/>
      <c r="R287" s="161"/>
      <c r="S287" s="161"/>
      <c r="T287" s="161"/>
      <c r="U287" s="161"/>
      <c r="V287" s="161"/>
      <c r="W287" s="161"/>
      <c r="X287" s="161"/>
      <c r="Y287" s="161"/>
      <c r="Z287" s="161"/>
      <c r="AA287" s="161"/>
      <c r="AB287" s="161"/>
      <c r="AC287" s="161"/>
      <c r="AD287" s="161"/>
      <c r="AE287" s="161"/>
      <c r="AF287" s="161"/>
      <c r="AG287" s="161"/>
      <c r="AH287" s="161"/>
      <c r="AI287" s="161"/>
      <c r="AJ287" s="161"/>
      <c r="AK287" s="161"/>
      <c r="AL287" s="161"/>
      <c r="AM287" s="161"/>
      <c r="AN287" s="161"/>
      <c r="AO287" s="161"/>
      <c r="AP287" s="161"/>
      <c r="AQ287" s="161"/>
      <c r="AR287" s="161"/>
      <c r="AS287" s="161"/>
      <c r="AT287" s="161"/>
      <c r="AU287" s="161"/>
      <c r="AV287" s="161"/>
      <c r="AW287" s="161"/>
      <c r="AX287" s="161"/>
      <c r="AY287" s="161"/>
      <c r="AZ287" s="161"/>
      <c r="BA287" s="161"/>
      <c r="BB287" s="161"/>
      <c r="BC287" s="161"/>
      <c r="BD287" s="161"/>
      <c r="BE287" s="161"/>
      <c r="BF287" s="161"/>
      <c r="BG287" s="161"/>
      <c r="BH287" s="161"/>
      <c r="BI287" s="161"/>
      <c r="BJ287" s="161"/>
      <c r="BK287" s="161"/>
      <c r="BL287" s="161"/>
      <c r="BM287" s="161"/>
      <c r="BN287" s="161"/>
      <c r="BO287" s="161"/>
      <c r="BP287" s="161"/>
      <c r="BQ287" s="161"/>
      <c r="BR287" s="161"/>
      <c r="BS287" s="161"/>
      <c r="BT287" s="161"/>
      <c r="BU287" s="161"/>
      <c r="BV287" s="161"/>
      <c r="BW287" s="161"/>
      <c r="BX287" s="161"/>
      <c r="BY287" s="161"/>
      <c r="BZ287" s="161"/>
      <c r="CA287" s="161"/>
      <c r="CB287" s="161"/>
      <c r="CC287" s="161"/>
      <c r="CD287" s="161"/>
      <c r="CE287" s="161"/>
      <c r="CF287" s="161"/>
      <c r="CG287" s="161"/>
      <c r="CH287" s="161"/>
      <c r="CI287" s="161"/>
      <c r="CJ287" s="161"/>
      <c r="CK287" s="161"/>
      <c r="CL287" s="161"/>
      <c r="CM287" s="161"/>
      <c r="CN287" s="161"/>
      <c r="CO287" s="161"/>
      <c r="CP287" s="161"/>
      <c r="CQ287" s="161"/>
      <c r="CR287" s="161"/>
      <c r="CS287" s="161"/>
      <c r="CT287" s="161"/>
      <c r="CU287" s="161"/>
      <c r="CV287" s="161"/>
      <c r="CW287" s="161"/>
      <c r="CX287" s="161"/>
      <c r="CY287" s="161"/>
      <c r="CZ287" s="161"/>
      <c r="DA287" s="161"/>
      <c r="DB287" s="161"/>
      <c r="DC287" s="161"/>
      <c r="DD287" s="161"/>
      <c r="DE287" s="161"/>
      <c r="DF287" s="161"/>
      <c r="DG287" s="161"/>
      <c r="DH287" s="161"/>
      <c r="DI287" s="161"/>
      <c r="DJ287" s="161"/>
      <c r="DK287" s="161"/>
      <c r="DL287" s="161"/>
      <c r="DM287" s="161"/>
      <c r="DN287" s="161"/>
      <c r="DO287" s="161"/>
      <c r="DP287" s="161"/>
      <c r="DQ287" s="161"/>
      <c r="DR287" s="161"/>
      <c r="DS287" s="161"/>
      <c r="DT287" s="161"/>
      <c r="DU287" s="161"/>
      <c r="DV287" s="161"/>
      <c r="DW287" s="161"/>
      <c r="DX287" s="161"/>
      <c r="DY287" s="161"/>
      <c r="DZ287" s="161"/>
      <c r="EA287" s="161"/>
      <c r="EB287" s="161"/>
      <c r="EC287" s="161"/>
      <c r="ED287" s="161"/>
      <c r="EE287" s="161"/>
      <c r="EF287" s="161"/>
      <c r="EG287" s="161"/>
      <c r="EH287" s="161"/>
      <c r="EI287" s="161"/>
      <c r="EJ287" s="161"/>
      <c r="EK287" s="161"/>
      <c r="EL287" s="161"/>
      <c r="EM287" s="161"/>
      <c r="EN287" s="161"/>
      <c r="EO287" s="161"/>
      <c r="EP287" s="161"/>
      <c r="EQ287" s="161"/>
      <c r="ER287" s="161"/>
      <c r="ES287" s="161"/>
      <c r="ET287" s="161"/>
      <c r="EU287" s="161"/>
      <c r="EV287" s="161"/>
      <c r="EW287" s="161"/>
      <c r="EX287" s="161"/>
      <c r="EY287" s="161"/>
      <c r="EZ287" s="161"/>
      <c r="FA287" s="161"/>
      <c r="FB287" s="161"/>
      <c r="FC287" s="161"/>
      <c r="FD287" s="161"/>
      <c r="FE287" s="161"/>
      <c r="FF287" s="161"/>
      <c r="FG287" s="161"/>
      <c r="FH287" s="161"/>
      <c r="FI287" s="161"/>
      <c r="FJ287" s="161"/>
      <c r="FK287" s="161"/>
      <c r="FL287" s="161"/>
      <c r="FM287" s="161"/>
      <c r="FN287" s="161"/>
      <c r="FO287" s="161"/>
      <c r="FP287" s="161"/>
      <c r="FQ287" s="161"/>
      <c r="FR287" s="161"/>
      <c r="FS287" s="161"/>
      <c r="FT287" s="161"/>
      <c r="FU287" s="161"/>
      <c r="FV287" s="161"/>
      <c r="FW287" s="161"/>
      <c r="FX287" s="161"/>
      <c r="FY287" s="161"/>
      <c r="FZ287" s="161"/>
      <c r="GA287" s="161"/>
      <c r="GB287" s="161"/>
      <c r="GC287" s="161"/>
      <c r="GD287" s="161"/>
      <c r="GE287" s="161"/>
      <c r="GF287" s="161"/>
      <c r="GG287" s="161"/>
      <c r="GH287" s="161"/>
      <c r="GI287" s="161"/>
      <c r="GJ287" s="161"/>
      <c r="GK287" s="161"/>
      <c r="GL287" s="161"/>
      <c r="GM287" s="161"/>
    </row>
    <row r="288" spans="1:195" s="166" customFormat="1" ht="13.8" hidden="1" outlineLevel="1">
      <c r="A288" s="315" t="s">
        <v>1936</v>
      </c>
      <c r="B288" s="315" t="s">
        <v>773</v>
      </c>
      <c r="C288" s="316"/>
      <c r="D288" s="2919"/>
      <c r="E288" s="164" t="s">
        <v>773</v>
      </c>
      <c r="F288" s="154">
        <f>SUMIFS(INPUT!$H:$H,INPUT!$E:$E,BAZE_2026!$A288,INPUT!$B:$B,BAZE_2026!$B288)</f>
        <v>0</v>
      </c>
      <c r="G288" s="154">
        <f>SUMIFS(INPUT!$L:$L,INPUT!$E:$E,BAZE_2026!$A288,INPUT!$B:$B,BAZE_2026!$B288)</f>
        <v>0</v>
      </c>
      <c r="H288" s="158">
        <f>G288-F288</f>
        <v>0</v>
      </c>
      <c r="I288" s="230" t="str">
        <f t="shared" si="31"/>
        <v>-</v>
      </c>
      <c r="J288" s="2932"/>
      <c r="K288" s="317"/>
      <c r="L288" s="283"/>
      <c r="M288" s="161"/>
      <c r="N288" s="161"/>
      <c r="O288" s="161"/>
      <c r="P288" s="161"/>
      <c r="Q288" s="161"/>
      <c r="R288" s="161"/>
      <c r="S288" s="161"/>
      <c r="T288" s="161"/>
      <c r="U288" s="161"/>
      <c r="V288" s="161"/>
      <c r="W288" s="161"/>
      <c r="X288" s="161"/>
      <c r="Y288" s="161"/>
      <c r="Z288" s="161"/>
      <c r="AA288" s="161"/>
      <c r="AB288" s="161"/>
      <c r="AC288" s="161"/>
      <c r="AD288" s="161"/>
      <c r="AE288" s="161"/>
      <c r="AF288" s="161"/>
      <c r="AG288" s="161"/>
      <c r="AH288" s="161"/>
      <c r="AI288" s="161"/>
      <c r="AJ288" s="161"/>
      <c r="AK288" s="161"/>
      <c r="AL288" s="161"/>
      <c r="AM288" s="161"/>
      <c r="AN288" s="161"/>
      <c r="AO288" s="161"/>
      <c r="AP288" s="161"/>
      <c r="AQ288" s="161"/>
      <c r="AR288" s="161"/>
      <c r="AS288" s="161"/>
      <c r="AT288" s="161"/>
      <c r="AU288" s="161"/>
      <c r="AV288" s="161"/>
      <c r="AW288" s="161"/>
      <c r="AX288" s="161"/>
      <c r="AY288" s="161"/>
      <c r="AZ288" s="161"/>
      <c r="BA288" s="161"/>
      <c r="BB288" s="161"/>
      <c r="BC288" s="161"/>
      <c r="BD288" s="161"/>
      <c r="BE288" s="161"/>
      <c r="BF288" s="161"/>
      <c r="BG288" s="161"/>
      <c r="BH288" s="161"/>
      <c r="BI288" s="161"/>
      <c r="BJ288" s="161"/>
      <c r="BK288" s="161"/>
      <c r="BL288" s="161"/>
      <c r="BM288" s="161"/>
      <c r="BN288" s="161"/>
      <c r="BO288" s="161"/>
      <c r="BP288" s="161"/>
      <c r="BQ288" s="161"/>
      <c r="BR288" s="161"/>
      <c r="BS288" s="161"/>
      <c r="BT288" s="161"/>
      <c r="BU288" s="161"/>
      <c r="BV288" s="161"/>
      <c r="BW288" s="161"/>
      <c r="BX288" s="161"/>
      <c r="BY288" s="161"/>
      <c r="BZ288" s="161"/>
      <c r="CA288" s="161"/>
      <c r="CB288" s="161"/>
      <c r="CC288" s="161"/>
      <c r="CD288" s="161"/>
      <c r="CE288" s="161"/>
      <c r="CF288" s="161"/>
      <c r="CG288" s="161"/>
      <c r="CH288" s="161"/>
      <c r="CI288" s="161"/>
      <c r="CJ288" s="161"/>
      <c r="CK288" s="161"/>
      <c r="CL288" s="161"/>
      <c r="CM288" s="161"/>
      <c r="CN288" s="161"/>
      <c r="CO288" s="161"/>
      <c r="CP288" s="161"/>
      <c r="CQ288" s="161"/>
      <c r="CR288" s="161"/>
      <c r="CS288" s="161"/>
      <c r="CT288" s="161"/>
      <c r="CU288" s="161"/>
      <c r="CV288" s="161"/>
      <c r="CW288" s="161"/>
      <c r="CX288" s="161"/>
      <c r="CY288" s="161"/>
      <c r="CZ288" s="161"/>
      <c r="DA288" s="161"/>
      <c r="DB288" s="161"/>
      <c r="DC288" s="161"/>
      <c r="DD288" s="161"/>
      <c r="DE288" s="161"/>
      <c r="DF288" s="161"/>
      <c r="DG288" s="161"/>
      <c r="DH288" s="161"/>
      <c r="DI288" s="161"/>
      <c r="DJ288" s="161"/>
      <c r="DK288" s="161"/>
      <c r="DL288" s="161"/>
      <c r="DM288" s="161"/>
      <c r="DN288" s="161"/>
      <c r="DO288" s="161"/>
      <c r="DP288" s="161"/>
      <c r="DQ288" s="161"/>
      <c r="DR288" s="161"/>
      <c r="DS288" s="161"/>
      <c r="DT288" s="161"/>
      <c r="DU288" s="161"/>
      <c r="DV288" s="161"/>
      <c r="DW288" s="161"/>
      <c r="DX288" s="161"/>
      <c r="DY288" s="161"/>
      <c r="DZ288" s="161"/>
      <c r="EA288" s="161"/>
      <c r="EB288" s="161"/>
      <c r="EC288" s="161"/>
      <c r="ED288" s="161"/>
      <c r="EE288" s="161"/>
      <c r="EF288" s="161"/>
      <c r="EG288" s="161"/>
      <c r="EH288" s="161"/>
      <c r="EI288" s="161"/>
      <c r="EJ288" s="161"/>
      <c r="EK288" s="161"/>
      <c r="EL288" s="161"/>
      <c r="EM288" s="161"/>
      <c r="EN288" s="161"/>
      <c r="EO288" s="161"/>
      <c r="EP288" s="161"/>
      <c r="EQ288" s="161"/>
      <c r="ER288" s="161"/>
      <c r="ES288" s="161"/>
      <c r="ET288" s="161"/>
      <c r="EU288" s="161"/>
      <c r="EV288" s="161"/>
      <c r="EW288" s="161"/>
      <c r="EX288" s="161"/>
      <c r="EY288" s="161"/>
      <c r="EZ288" s="161"/>
      <c r="FA288" s="161"/>
      <c r="FB288" s="161"/>
      <c r="FC288" s="161"/>
      <c r="FD288" s="161"/>
      <c r="FE288" s="161"/>
      <c r="FF288" s="161"/>
      <c r="FG288" s="161"/>
      <c r="FH288" s="161"/>
      <c r="FI288" s="161"/>
      <c r="FJ288" s="161"/>
      <c r="FK288" s="161"/>
      <c r="FL288" s="161"/>
      <c r="FM288" s="161"/>
      <c r="FN288" s="161"/>
      <c r="FO288" s="161"/>
      <c r="FP288" s="161"/>
      <c r="FQ288" s="161"/>
      <c r="FR288" s="161"/>
      <c r="FS288" s="161"/>
      <c r="FT288" s="161"/>
      <c r="FU288" s="161"/>
      <c r="FV288" s="161"/>
      <c r="FW288" s="161"/>
      <c r="FX288" s="161"/>
      <c r="FY288" s="161"/>
      <c r="FZ288" s="161"/>
      <c r="GA288" s="161"/>
      <c r="GB288" s="161"/>
      <c r="GC288" s="161"/>
      <c r="GD288" s="161"/>
      <c r="GE288" s="161"/>
      <c r="GF288" s="161"/>
      <c r="GG288" s="161"/>
      <c r="GH288" s="161"/>
      <c r="GI288" s="161"/>
      <c r="GJ288" s="161"/>
      <c r="GK288" s="161"/>
      <c r="GL288" s="161"/>
      <c r="GM288" s="161"/>
    </row>
    <row r="289" spans="1:195" ht="13.8" collapsed="1">
      <c r="D289" s="1211" t="s">
        <v>993</v>
      </c>
      <c r="E289" s="42" t="s">
        <v>102</v>
      </c>
      <c r="F289" s="91">
        <f>F290+F293+F294</f>
        <v>3736800.0750000002</v>
      </c>
      <c r="G289" s="91">
        <f>G290+G293+G294</f>
        <v>3297848.16</v>
      </c>
      <c r="H289" s="33">
        <f>G289-F289</f>
        <v>-438951.91500000004</v>
      </c>
      <c r="I289" s="222">
        <f t="shared" si="31"/>
        <v>-0.11746732664042778</v>
      </c>
      <c r="J289" s="1402"/>
      <c r="K289" s="72"/>
    </row>
    <row r="290" spans="1:195" ht="13.8" hidden="1" outlineLevel="1">
      <c r="A290" s="179" t="s">
        <v>1956</v>
      </c>
      <c r="B290" s="179" t="s">
        <v>772</v>
      </c>
      <c r="D290" s="1212" t="s">
        <v>32</v>
      </c>
      <c r="E290" s="46" t="s">
        <v>103</v>
      </c>
      <c r="F290" s="92">
        <f>SUMIFS(INPUT!$H:$H,INPUT!$E:$E,BAZE_2026!$A290,INPUT!$B:$B,BAZE_2026!$B290)</f>
        <v>636783.07500000007</v>
      </c>
      <c r="G290" s="92">
        <f>SUMIFS(INPUT!$L:$L,INPUT!$E:$E,BAZE_2026!$A290,INPUT!$B:$B,BAZE_2026!$B290)</f>
        <v>631048.16</v>
      </c>
      <c r="H290" s="27">
        <f>G290-F290</f>
        <v>-5734.9150000000373</v>
      </c>
      <c r="I290" s="220">
        <f t="shared" si="31"/>
        <v>-9.0060732220309664E-3</v>
      </c>
      <c r="J290" s="1541"/>
      <c r="K290" s="72"/>
    </row>
    <row r="291" spans="1:195" s="166" customFormat="1" ht="13.8" hidden="1" outlineLevel="1">
      <c r="A291" s="315" t="s">
        <v>1956</v>
      </c>
      <c r="B291" s="315" t="s">
        <v>326</v>
      </c>
      <c r="C291" s="316"/>
      <c r="D291" s="2919"/>
      <c r="E291" s="164" t="s">
        <v>265</v>
      </c>
      <c r="F291" s="154">
        <f>SUMIFS(INPUT!$H:$H,INPUT!$E:$E,BAZE_2026!$A291,INPUT!$B:$B,BAZE_2026!$B291)</f>
        <v>91873.915000000008</v>
      </c>
      <c r="G291" s="154">
        <f>SUMIFS(INPUT!$L:$L,INPUT!$E:$E,BAZE_2026!$A291,INPUT!$B:$B,BAZE_2026!$B291)</f>
        <v>69621</v>
      </c>
      <c r="H291" s="160">
        <f>G291-F291</f>
        <v>-22252.915000000008</v>
      </c>
      <c r="I291" s="243">
        <f t="shared" si="31"/>
        <v>-0.24221145904144833</v>
      </c>
      <c r="J291" s="2932"/>
      <c r="K291" s="317"/>
      <c r="L291" s="283"/>
      <c r="M291" s="161"/>
      <c r="N291" s="161"/>
      <c r="O291" s="161"/>
      <c r="P291" s="161"/>
      <c r="Q291" s="161"/>
      <c r="R291" s="161"/>
      <c r="S291" s="161"/>
      <c r="T291" s="161"/>
      <c r="U291" s="161"/>
      <c r="V291" s="161"/>
      <c r="W291" s="161"/>
      <c r="X291" s="161"/>
      <c r="Y291" s="161"/>
      <c r="Z291" s="161"/>
      <c r="AA291" s="161"/>
      <c r="AB291" s="161"/>
      <c r="AC291" s="161"/>
      <c r="AD291" s="161"/>
      <c r="AE291" s="161"/>
      <c r="AF291" s="161"/>
      <c r="AG291" s="161"/>
      <c r="AH291" s="161"/>
      <c r="AI291" s="161"/>
      <c r="AJ291" s="161"/>
      <c r="AK291" s="161"/>
      <c r="AL291" s="161"/>
      <c r="AM291" s="161"/>
      <c r="AN291" s="161"/>
      <c r="AO291" s="161"/>
      <c r="AP291" s="161"/>
      <c r="AQ291" s="161"/>
      <c r="AR291" s="161"/>
      <c r="AS291" s="161"/>
      <c r="AT291" s="161"/>
      <c r="AU291" s="161"/>
      <c r="AV291" s="161"/>
      <c r="AW291" s="161"/>
      <c r="AX291" s="161"/>
      <c r="AY291" s="161"/>
      <c r="AZ291" s="161"/>
      <c r="BA291" s="161"/>
      <c r="BB291" s="161"/>
      <c r="BC291" s="161"/>
      <c r="BD291" s="161"/>
      <c r="BE291" s="161"/>
      <c r="BF291" s="161"/>
      <c r="BG291" s="161"/>
      <c r="BH291" s="161"/>
      <c r="BI291" s="161"/>
      <c r="BJ291" s="161"/>
      <c r="BK291" s="161"/>
      <c r="BL291" s="161"/>
      <c r="BM291" s="161"/>
      <c r="BN291" s="161"/>
      <c r="BO291" s="161"/>
      <c r="BP291" s="161"/>
      <c r="BQ291" s="161"/>
      <c r="BR291" s="161"/>
      <c r="BS291" s="161"/>
      <c r="BT291" s="161"/>
      <c r="BU291" s="161"/>
      <c r="BV291" s="161"/>
      <c r="BW291" s="161"/>
      <c r="BX291" s="161"/>
      <c r="BY291" s="161"/>
      <c r="BZ291" s="161"/>
      <c r="CA291" s="161"/>
      <c r="CB291" s="161"/>
      <c r="CC291" s="161"/>
      <c r="CD291" s="161"/>
      <c r="CE291" s="161"/>
      <c r="CF291" s="161"/>
      <c r="CG291" s="161"/>
      <c r="CH291" s="161"/>
      <c r="CI291" s="161"/>
      <c r="CJ291" s="161"/>
      <c r="CK291" s="161"/>
      <c r="CL291" s="161"/>
      <c r="CM291" s="161"/>
      <c r="CN291" s="161"/>
      <c r="CO291" s="161"/>
      <c r="CP291" s="161"/>
      <c r="CQ291" s="161"/>
      <c r="CR291" s="161"/>
      <c r="CS291" s="161"/>
      <c r="CT291" s="161"/>
      <c r="CU291" s="161"/>
      <c r="CV291" s="161"/>
      <c r="CW291" s="161"/>
      <c r="CX291" s="161"/>
      <c r="CY291" s="161"/>
      <c r="CZ291" s="161"/>
      <c r="DA291" s="161"/>
      <c r="DB291" s="161"/>
      <c r="DC291" s="161"/>
      <c r="DD291" s="161"/>
      <c r="DE291" s="161"/>
      <c r="DF291" s="161"/>
      <c r="DG291" s="161"/>
      <c r="DH291" s="161"/>
      <c r="DI291" s="161"/>
      <c r="DJ291" s="161"/>
      <c r="DK291" s="161"/>
      <c r="DL291" s="161"/>
      <c r="DM291" s="161"/>
      <c r="DN291" s="161"/>
      <c r="DO291" s="161"/>
      <c r="DP291" s="161"/>
      <c r="DQ291" s="161"/>
      <c r="DR291" s="161"/>
      <c r="DS291" s="161"/>
      <c r="DT291" s="161"/>
      <c r="DU291" s="161"/>
      <c r="DV291" s="161"/>
      <c r="DW291" s="161"/>
      <c r="DX291" s="161"/>
      <c r="DY291" s="161"/>
      <c r="DZ291" s="161"/>
      <c r="EA291" s="161"/>
      <c r="EB291" s="161"/>
      <c r="EC291" s="161"/>
      <c r="ED291" s="161"/>
      <c r="EE291" s="161"/>
      <c r="EF291" s="161"/>
      <c r="EG291" s="161"/>
      <c r="EH291" s="161"/>
      <c r="EI291" s="161"/>
      <c r="EJ291" s="161"/>
      <c r="EK291" s="161"/>
      <c r="EL291" s="161"/>
      <c r="EM291" s="161"/>
      <c r="EN291" s="161"/>
      <c r="EO291" s="161"/>
      <c r="EP291" s="161"/>
      <c r="EQ291" s="161"/>
      <c r="ER291" s="161"/>
      <c r="ES291" s="161"/>
      <c r="ET291" s="161"/>
      <c r="EU291" s="161"/>
      <c r="EV291" s="161"/>
      <c r="EW291" s="161"/>
      <c r="EX291" s="161"/>
      <c r="EY291" s="161"/>
      <c r="EZ291" s="161"/>
      <c r="FA291" s="161"/>
      <c r="FB291" s="161"/>
      <c r="FC291" s="161"/>
      <c r="FD291" s="161"/>
      <c r="FE291" s="161"/>
      <c r="FF291" s="161"/>
      <c r="FG291" s="161"/>
      <c r="FH291" s="161"/>
      <c r="FI291" s="161"/>
      <c r="FJ291" s="161"/>
      <c r="FK291" s="161"/>
      <c r="FL291" s="161"/>
      <c r="FM291" s="161"/>
      <c r="FN291" s="161"/>
      <c r="FO291" s="161"/>
      <c r="FP291" s="161"/>
      <c r="FQ291" s="161"/>
      <c r="FR291" s="161"/>
      <c r="FS291" s="161"/>
      <c r="FT291" s="161"/>
      <c r="FU291" s="161"/>
      <c r="FV291" s="161"/>
      <c r="FW291" s="161"/>
      <c r="FX291" s="161"/>
      <c r="FY291" s="161"/>
      <c r="FZ291" s="161"/>
      <c r="GA291" s="161"/>
      <c r="GB291" s="161"/>
      <c r="GC291" s="161"/>
      <c r="GD291" s="161"/>
      <c r="GE291" s="161"/>
      <c r="GF291" s="161"/>
      <c r="GG291" s="161"/>
      <c r="GH291" s="161"/>
      <c r="GI291" s="161"/>
      <c r="GJ291" s="161"/>
      <c r="GK291" s="161"/>
      <c r="GL291" s="161"/>
      <c r="GM291" s="161"/>
    </row>
    <row r="292" spans="1:195" s="166" customFormat="1" ht="13.8" hidden="1" outlineLevel="1">
      <c r="A292" s="315" t="s">
        <v>1956</v>
      </c>
      <c r="B292" s="315" t="s">
        <v>773</v>
      </c>
      <c r="C292" s="316"/>
      <c r="D292" s="2927"/>
      <c r="E292" s="164" t="s">
        <v>773</v>
      </c>
      <c r="F292" s="154">
        <f>SUMIFS(INPUT!$H:$H,INPUT!$E:$E,BAZE_2026!$A292,INPUT!$B:$B,BAZE_2026!$B292)</f>
        <v>0</v>
      </c>
      <c r="G292" s="154">
        <f>SUMIFS(INPUT!$L:$L,INPUT!$E:$E,BAZE_2026!$A292,INPUT!$B:$B,BAZE_2026!$B292)</f>
        <v>0</v>
      </c>
      <c r="H292" s="2941"/>
      <c r="I292" s="332" t="str">
        <f t="shared" si="31"/>
        <v>-</v>
      </c>
      <c r="J292" s="2942"/>
      <c r="K292" s="317"/>
      <c r="L292" s="283"/>
      <c r="M292" s="161"/>
      <c r="N292" s="161"/>
      <c r="O292" s="161"/>
      <c r="P292" s="161"/>
      <c r="Q292" s="161"/>
      <c r="R292" s="161"/>
      <c r="S292" s="161"/>
      <c r="T292" s="161"/>
      <c r="U292" s="161"/>
      <c r="V292" s="161"/>
      <c r="W292" s="161"/>
      <c r="X292" s="161"/>
      <c r="Y292" s="161"/>
      <c r="Z292" s="161"/>
      <c r="AA292" s="161"/>
      <c r="AB292" s="161"/>
      <c r="AC292" s="161"/>
      <c r="AD292" s="161"/>
      <c r="AE292" s="161"/>
      <c r="AF292" s="161"/>
      <c r="AG292" s="161"/>
      <c r="AH292" s="161"/>
      <c r="AI292" s="161"/>
      <c r="AJ292" s="161"/>
      <c r="AK292" s="161"/>
      <c r="AL292" s="161"/>
      <c r="AM292" s="161"/>
      <c r="AN292" s="161"/>
      <c r="AO292" s="161"/>
      <c r="AP292" s="161"/>
      <c r="AQ292" s="161"/>
      <c r="AR292" s="161"/>
      <c r="AS292" s="161"/>
      <c r="AT292" s="161"/>
      <c r="AU292" s="161"/>
      <c r="AV292" s="161"/>
      <c r="AW292" s="161"/>
      <c r="AX292" s="161"/>
      <c r="AY292" s="161"/>
      <c r="AZ292" s="161"/>
      <c r="BA292" s="161"/>
      <c r="BB292" s="161"/>
      <c r="BC292" s="161"/>
      <c r="BD292" s="161"/>
      <c r="BE292" s="161"/>
      <c r="BF292" s="161"/>
      <c r="BG292" s="161"/>
      <c r="BH292" s="161"/>
      <c r="BI292" s="161"/>
      <c r="BJ292" s="161"/>
      <c r="BK292" s="161"/>
      <c r="BL292" s="161"/>
      <c r="BM292" s="161"/>
      <c r="BN292" s="161"/>
      <c r="BO292" s="161"/>
      <c r="BP292" s="161"/>
      <c r="BQ292" s="161"/>
      <c r="BR292" s="161"/>
      <c r="BS292" s="161"/>
      <c r="BT292" s="161"/>
      <c r="BU292" s="161"/>
      <c r="BV292" s="161"/>
      <c r="BW292" s="161"/>
      <c r="BX292" s="161"/>
      <c r="BY292" s="161"/>
      <c r="BZ292" s="161"/>
      <c r="CA292" s="161"/>
      <c r="CB292" s="161"/>
      <c r="CC292" s="161"/>
      <c r="CD292" s="161"/>
      <c r="CE292" s="161"/>
      <c r="CF292" s="161"/>
      <c r="CG292" s="161"/>
      <c r="CH292" s="161"/>
      <c r="CI292" s="161"/>
      <c r="CJ292" s="161"/>
      <c r="CK292" s="161"/>
      <c r="CL292" s="161"/>
      <c r="CM292" s="161"/>
      <c r="CN292" s="161"/>
      <c r="CO292" s="161"/>
      <c r="CP292" s="161"/>
      <c r="CQ292" s="161"/>
      <c r="CR292" s="161"/>
      <c r="CS292" s="161"/>
      <c r="CT292" s="161"/>
      <c r="CU292" s="161"/>
      <c r="CV292" s="161"/>
      <c r="CW292" s="161"/>
      <c r="CX292" s="161"/>
      <c r="CY292" s="161"/>
      <c r="CZ292" s="161"/>
      <c r="DA292" s="161"/>
      <c r="DB292" s="161"/>
      <c r="DC292" s="161"/>
      <c r="DD292" s="161"/>
      <c r="DE292" s="161"/>
      <c r="DF292" s="161"/>
      <c r="DG292" s="161"/>
      <c r="DH292" s="161"/>
      <c r="DI292" s="161"/>
      <c r="DJ292" s="161"/>
      <c r="DK292" s="161"/>
      <c r="DL292" s="161"/>
      <c r="DM292" s="161"/>
      <c r="DN292" s="161"/>
      <c r="DO292" s="161"/>
      <c r="DP292" s="161"/>
      <c r="DQ292" s="161"/>
      <c r="DR292" s="161"/>
      <c r="DS292" s="161"/>
      <c r="DT292" s="161"/>
      <c r="DU292" s="161"/>
      <c r="DV292" s="161"/>
      <c r="DW292" s="161"/>
      <c r="DX292" s="161"/>
      <c r="DY292" s="161"/>
      <c r="DZ292" s="161"/>
      <c r="EA292" s="161"/>
      <c r="EB292" s="161"/>
      <c r="EC292" s="161"/>
      <c r="ED292" s="161"/>
      <c r="EE292" s="161"/>
      <c r="EF292" s="161"/>
      <c r="EG292" s="161"/>
      <c r="EH292" s="161"/>
      <c r="EI292" s="161"/>
      <c r="EJ292" s="161"/>
      <c r="EK292" s="161"/>
      <c r="EL292" s="161"/>
      <c r="EM292" s="161"/>
      <c r="EN292" s="161"/>
      <c r="EO292" s="161"/>
      <c r="EP292" s="161"/>
      <c r="EQ292" s="161"/>
      <c r="ER292" s="161"/>
      <c r="ES292" s="161"/>
      <c r="ET292" s="161"/>
      <c r="EU292" s="161"/>
      <c r="EV292" s="161"/>
      <c r="EW292" s="161"/>
      <c r="EX292" s="161"/>
      <c r="EY292" s="161"/>
      <c r="EZ292" s="161"/>
      <c r="FA292" s="161"/>
      <c r="FB292" s="161"/>
      <c r="FC292" s="161"/>
      <c r="FD292" s="161"/>
      <c r="FE292" s="161"/>
      <c r="FF292" s="161"/>
      <c r="FG292" s="161"/>
      <c r="FH292" s="161"/>
      <c r="FI292" s="161"/>
      <c r="FJ292" s="161"/>
      <c r="FK292" s="161"/>
      <c r="FL292" s="161"/>
      <c r="FM292" s="161"/>
      <c r="FN292" s="161"/>
      <c r="FO292" s="161"/>
      <c r="FP292" s="161"/>
      <c r="FQ292" s="161"/>
      <c r="FR292" s="161"/>
      <c r="FS292" s="161"/>
      <c r="FT292" s="161"/>
      <c r="FU292" s="161"/>
      <c r="FV292" s="161"/>
      <c r="FW292" s="161"/>
      <c r="FX292" s="161"/>
      <c r="FY292" s="161"/>
      <c r="FZ292" s="161"/>
      <c r="GA292" s="161"/>
      <c r="GB292" s="161"/>
      <c r="GC292" s="161"/>
      <c r="GD292" s="161"/>
      <c r="GE292" s="161"/>
      <c r="GF292" s="161"/>
      <c r="GG292" s="161"/>
      <c r="GH292" s="161"/>
      <c r="GI292" s="161"/>
      <c r="GJ292" s="161"/>
      <c r="GK292" s="161"/>
      <c r="GL292" s="161"/>
      <c r="GM292" s="161"/>
    </row>
    <row r="293" spans="1:195" ht="13.8" hidden="1" outlineLevel="1">
      <c r="A293" s="179" t="s">
        <v>1933</v>
      </c>
      <c r="B293" s="179" t="s">
        <v>772</v>
      </c>
      <c r="D293" s="44" t="s">
        <v>33</v>
      </c>
      <c r="E293" s="46" t="s">
        <v>1656</v>
      </c>
      <c r="F293" s="92">
        <f>SUMIFS(INPUT!$H:$H,INPUT!$E:$E,BAZE_2026!$A293,INPUT!$B:$B,BAZE_2026!$B293)</f>
        <v>2846110</v>
      </c>
      <c r="G293" s="92">
        <f>SUMIFS(INPUT!$L:$L,INPUT!$E:$E,BAZE_2026!$A293,INPUT!$B:$B,BAZE_2026!$B293)</f>
        <v>2381500</v>
      </c>
      <c r="H293" s="27">
        <f>G293-F293</f>
        <v>-464610</v>
      </c>
      <c r="I293" s="220">
        <f t="shared" si="31"/>
        <v>-0.16324386618928993</v>
      </c>
      <c r="J293" s="2943" t="s">
        <v>5149</v>
      </c>
      <c r="K293" s="72"/>
    </row>
    <row r="294" spans="1:195" ht="27.6" hidden="1" outlineLevel="1">
      <c r="A294" s="179" t="s">
        <v>1934</v>
      </c>
      <c r="B294" s="179" t="s">
        <v>772</v>
      </c>
      <c r="D294" s="44" t="s">
        <v>98</v>
      </c>
      <c r="E294" s="35" t="s">
        <v>617</v>
      </c>
      <c r="F294" s="92">
        <f>SUMIFS(INPUT!$H:$H,INPUT!$E:$E,BAZE_2026!$A294,INPUT!$B:$B,BAZE_2026!$B294)</f>
        <v>253907</v>
      </c>
      <c r="G294" s="92">
        <f>SUMIFS(INPUT!$L:$L,INPUT!$E:$E,BAZE_2026!$A294,INPUT!$B:$B,BAZE_2026!$B294)</f>
        <v>285300</v>
      </c>
      <c r="H294" s="27">
        <f>G294-F294</f>
        <v>31393</v>
      </c>
      <c r="I294" s="220">
        <f t="shared" si="31"/>
        <v>0.12363975786409985</v>
      </c>
      <c r="J294" s="2943" t="s">
        <v>5150</v>
      </c>
      <c r="K294" s="72"/>
    </row>
    <row r="295" spans="1:195" ht="13.8" collapsed="1">
      <c r="D295" s="1211" t="s">
        <v>994</v>
      </c>
      <c r="E295" s="42" t="s">
        <v>567</v>
      </c>
      <c r="F295" s="91">
        <f>F296+F297+F299+F298</f>
        <v>844250</v>
      </c>
      <c r="G295" s="91">
        <f>G296+G297+G299+G298</f>
        <v>805390.33000000007</v>
      </c>
      <c r="H295" s="33">
        <f t="shared" ref="H295:H347" si="36">G295-F295</f>
        <v>-38859.669999999925</v>
      </c>
      <c r="I295" s="222">
        <f t="shared" ref="I295:I353" si="37">IFERROR(H295/F295,"-")</f>
        <v>-4.6028628960615846E-2</v>
      </c>
      <c r="J295" s="67"/>
      <c r="K295" s="72" t="s">
        <v>1660</v>
      </c>
    </row>
    <row r="296" spans="1:195" s="8" customFormat="1" ht="13.8" hidden="1" outlineLevel="1">
      <c r="A296" s="179" t="s">
        <v>1957</v>
      </c>
      <c r="B296" s="179" t="s">
        <v>436</v>
      </c>
      <c r="C296" s="248"/>
      <c r="D296" s="58"/>
      <c r="E296" s="65" t="s">
        <v>436</v>
      </c>
      <c r="F296" s="92"/>
      <c r="G296" s="92"/>
      <c r="H296" s="27">
        <f t="shared" si="36"/>
        <v>0</v>
      </c>
      <c r="I296" s="220" t="str">
        <f t="shared" si="37"/>
        <v>-</v>
      </c>
      <c r="J296" s="2576" t="s">
        <v>5151</v>
      </c>
      <c r="K296" s="72"/>
      <c r="L296" s="72"/>
      <c r="M296" s="27"/>
      <c r="N296" s="220" t="str">
        <f>IFERROR(M296/K296,"-")</f>
        <v>-</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row>
    <row r="297" spans="1:195" s="8" customFormat="1" ht="74.25" hidden="1" customHeight="1" outlineLevel="1">
      <c r="A297" s="179" t="s">
        <v>1957</v>
      </c>
      <c r="B297" s="179" t="s">
        <v>772</v>
      </c>
      <c r="C297" s="248"/>
      <c r="D297" s="64"/>
      <c r="E297" s="59" t="s">
        <v>376</v>
      </c>
      <c r="F297" s="92">
        <f>SUMIFS(INPUT!$H:$H,INPUT!$E:$E,BAZE_2026!$A297,INPUT!$B:$B,BAZE_2026!$B297)</f>
        <v>422971</v>
      </c>
      <c r="G297" s="92">
        <f>SUMIFS(INPUT!$L:$L,INPUT!$E:$E,BAZE_2026!$A297,INPUT!$B:$B,BAZE_2026!$B297)</f>
        <v>414076.75</v>
      </c>
      <c r="H297" s="48">
        <f t="shared" si="36"/>
        <v>-8894.25</v>
      </c>
      <c r="I297" s="232">
        <f t="shared" si="37"/>
        <v>-2.1028037383177569E-2</v>
      </c>
      <c r="J297" s="2575" t="s">
        <v>5152</v>
      </c>
      <c r="K297" s="54"/>
      <c r="L297" s="135"/>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row>
    <row r="298" spans="1:195" s="357" customFormat="1" ht="13.8" hidden="1" outlineLevel="1">
      <c r="A298" s="179" t="s">
        <v>1957</v>
      </c>
      <c r="B298" s="372" t="s">
        <v>1211</v>
      </c>
      <c r="C298" s="248"/>
      <c r="D298" s="371"/>
      <c r="E298" s="59" t="s">
        <v>1210</v>
      </c>
      <c r="F298" s="92">
        <f>SUMIFS(INPUT!$H:$H,INPUT!$E:$E,BAZE_2026!$A298,INPUT!$B:$B,BAZE_2026!$B298)</f>
        <v>401813</v>
      </c>
      <c r="G298" s="92">
        <f>SUMIFS(INPUT!$L:$L,INPUT!$E:$E,BAZE_2026!$A298,INPUT!$B:$B,BAZE_2026!$B298)</f>
        <v>385101</v>
      </c>
      <c r="H298" s="48">
        <f>G298-F298</f>
        <v>-16712</v>
      </c>
      <c r="I298" s="232">
        <f>IFERROR(H298/F298,"-")</f>
        <v>-4.1591486587044223E-2</v>
      </c>
      <c r="J298" s="2575"/>
      <c r="K298" s="309"/>
      <c r="L298" s="69"/>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row>
    <row r="299" spans="1:195" s="8" customFormat="1" ht="13.8" hidden="1" outlineLevel="1">
      <c r="A299" s="179" t="s">
        <v>1957</v>
      </c>
      <c r="B299" s="179" t="s">
        <v>774</v>
      </c>
      <c r="C299" s="248"/>
      <c r="D299" s="58"/>
      <c r="E299" s="59" t="s">
        <v>375</v>
      </c>
      <c r="F299" s="92">
        <f>SUMIFS(INPUT!$H:$H,INPUT!$E:$E,BAZE_2026!$A299,INPUT!$B:$B,BAZE_2026!$B299)</f>
        <v>19466</v>
      </c>
      <c r="G299" s="92">
        <f>SUMIFS(INPUT!$L:$L,INPUT!$E:$E,BAZE_2026!$A299,INPUT!$B:$B,BAZE_2026!$B299)</f>
        <v>6212.58</v>
      </c>
      <c r="H299" s="48">
        <f t="shared" si="36"/>
        <v>-13253.42</v>
      </c>
      <c r="I299" s="232">
        <f t="shared" si="37"/>
        <v>-0.68084968663310386</v>
      </c>
      <c r="J299" s="68"/>
      <c r="K299" s="72"/>
      <c r="L299" s="12"/>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row>
    <row r="300" spans="1:195" s="166" customFormat="1" ht="13.8" hidden="1" outlineLevel="1">
      <c r="A300" s="315" t="s">
        <v>1957</v>
      </c>
      <c r="B300" s="315" t="s">
        <v>326</v>
      </c>
      <c r="C300" s="316"/>
      <c r="D300" s="2919"/>
      <c r="E300" s="164" t="s">
        <v>265</v>
      </c>
      <c r="F300" s="154">
        <f>SUMIFS(INPUT!$H:$H,INPUT!$E:$E,BAZE_2026!$A300,INPUT!$B:$B,BAZE_2026!$B300)</f>
        <v>0</v>
      </c>
      <c r="G300" s="154">
        <f>SUMIFS(INPUT!$L:$L,INPUT!$E:$E,BAZE_2026!$A300,INPUT!$B:$B,BAZE_2026!$B300)</f>
        <v>0</v>
      </c>
      <c r="H300" s="158">
        <f t="shared" si="36"/>
        <v>0</v>
      </c>
      <c r="I300" s="230" t="str">
        <f t="shared" si="37"/>
        <v>-</v>
      </c>
      <c r="J300" s="2932"/>
      <c r="K300" s="317"/>
      <c r="L300" s="283"/>
      <c r="M300" s="161"/>
      <c r="N300" s="161"/>
      <c r="O300" s="161"/>
      <c r="P300" s="161"/>
      <c r="Q300" s="161"/>
      <c r="R300" s="161"/>
      <c r="S300" s="161"/>
      <c r="T300" s="161"/>
      <c r="U300" s="161"/>
      <c r="V300" s="161"/>
      <c r="W300" s="161"/>
      <c r="X300" s="161"/>
      <c r="Y300" s="161"/>
      <c r="Z300" s="161"/>
      <c r="AA300" s="161"/>
      <c r="AB300" s="161"/>
      <c r="AC300" s="161"/>
      <c r="AD300" s="161"/>
      <c r="AE300" s="161"/>
      <c r="AF300" s="161"/>
      <c r="AG300" s="161"/>
      <c r="AH300" s="161"/>
      <c r="AI300" s="161"/>
      <c r="AJ300" s="161"/>
      <c r="AK300" s="161"/>
      <c r="AL300" s="161"/>
      <c r="AM300" s="161"/>
      <c r="AN300" s="161"/>
      <c r="AO300" s="161"/>
      <c r="AP300" s="161"/>
      <c r="AQ300" s="161"/>
      <c r="AR300" s="161"/>
      <c r="AS300" s="161"/>
      <c r="AT300" s="161"/>
      <c r="AU300" s="161"/>
      <c r="AV300" s="161"/>
      <c r="AW300" s="161"/>
      <c r="AX300" s="161"/>
      <c r="AY300" s="161"/>
      <c r="AZ300" s="161"/>
      <c r="BA300" s="161"/>
      <c r="BB300" s="161"/>
      <c r="BC300" s="161"/>
      <c r="BD300" s="161"/>
      <c r="BE300" s="161"/>
      <c r="BF300" s="161"/>
      <c r="BG300" s="161"/>
      <c r="BH300" s="161"/>
      <c r="BI300" s="161"/>
      <c r="BJ300" s="161"/>
      <c r="BK300" s="161"/>
      <c r="BL300" s="161"/>
      <c r="BM300" s="161"/>
      <c r="BN300" s="161"/>
      <c r="BO300" s="161"/>
      <c r="BP300" s="161"/>
      <c r="BQ300" s="161"/>
      <c r="BR300" s="161"/>
      <c r="BS300" s="161"/>
      <c r="BT300" s="161"/>
      <c r="BU300" s="161"/>
      <c r="BV300" s="161"/>
      <c r="BW300" s="161"/>
      <c r="BX300" s="161"/>
      <c r="BY300" s="161"/>
      <c r="BZ300" s="161"/>
      <c r="CA300" s="161"/>
      <c r="CB300" s="161"/>
      <c r="CC300" s="161"/>
      <c r="CD300" s="161"/>
      <c r="CE300" s="161"/>
      <c r="CF300" s="161"/>
      <c r="CG300" s="161"/>
      <c r="CH300" s="161"/>
      <c r="CI300" s="161"/>
      <c r="CJ300" s="161"/>
      <c r="CK300" s="161"/>
      <c r="CL300" s="161"/>
      <c r="CM300" s="161"/>
      <c r="CN300" s="161"/>
      <c r="CO300" s="161"/>
      <c r="CP300" s="161"/>
      <c r="CQ300" s="161"/>
      <c r="CR300" s="161"/>
      <c r="CS300" s="161"/>
      <c r="CT300" s="161"/>
      <c r="CU300" s="161"/>
      <c r="CV300" s="161"/>
      <c r="CW300" s="161"/>
      <c r="CX300" s="161"/>
      <c r="CY300" s="161"/>
      <c r="CZ300" s="161"/>
      <c r="DA300" s="161"/>
      <c r="DB300" s="161"/>
      <c r="DC300" s="161"/>
      <c r="DD300" s="161"/>
      <c r="DE300" s="161"/>
      <c r="DF300" s="161"/>
      <c r="DG300" s="161"/>
      <c r="DH300" s="161"/>
      <c r="DI300" s="161"/>
      <c r="DJ300" s="161"/>
      <c r="DK300" s="161"/>
      <c r="DL300" s="161"/>
      <c r="DM300" s="161"/>
      <c r="DN300" s="161"/>
      <c r="DO300" s="161"/>
      <c r="DP300" s="161"/>
      <c r="DQ300" s="161"/>
      <c r="DR300" s="161"/>
      <c r="DS300" s="161"/>
      <c r="DT300" s="161"/>
      <c r="DU300" s="161"/>
      <c r="DV300" s="161"/>
      <c r="DW300" s="161"/>
      <c r="DX300" s="161"/>
      <c r="DY300" s="161"/>
      <c r="DZ300" s="161"/>
      <c r="EA300" s="161"/>
      <c r="EB300" s="161"/>
      <c r="EC300" s="161"/>
      <c r="ED300" s="161"/>
      <c r="EE300" s="161"/>
      <c r="EF300" s="161"/>
      <c r="EG300" s="161"/>
      <c r="EH300" s="161"/>
      <c r="EI300" s="161"/>
      <c r="EJ300" s="161"/>
      <c r="EK300" s="161"/>
      <c r="EL300" s="161"/>
      <c r="EM300" s="161"/>
      <c r="EN300" s="161"/>
      <c r="EO300" s="161"/>
      <c r="EP300" s="161"/>
      <c r="EQ300" s="161"/>
      <c r="ER300" s="161"/>
      <c r="ES300" s="161"/>
      <c r="ET300" s="161"/>
      <c r="EU300" s="161"/>
      <c r="EV300" s="161"/>
      <c r="EW300" s="161"/>
      <c r="EX300" s="161"/>
      <c r="EY300" s="161"/>
      <c r="EZ300" s="161"/>
      <c r="FA300" s="161"/>
      <c r="FB300" s="161"/>
      <c r="FC300" s="161"/>
      <c r="FD300" s="161"/>
      <c r="FE300" s="161"/>
      <c r="FF300" s="161"/>
      <c r="FG300" s="161"/>
      <c r="FH300" s="161"/>
      <c r="FI300" s="161"/>
      <c r="FJ300" s="161"/>
      <c r="FK300" s="161"/>
      <c r="FL300" s="161"/>
      <c r="FM300" s="161"/>
      <c r="FN300" s="161"/>
      <c r="FO300" s="161"/>
      <c r="FP300" s="161"/>
      <c r="FQ300" s="161"/>
      <c r="FR300" s="161"/>
      <c r="FS300" s="161"/>
      <c r="FT300" s="161"/>
      <c r="FU300" s="161"/>
      <c r="FV300" s="161"/>
      <c r="FW300" s="161"/>
      <c r="FX300" s="161"/>
      <c r="FY300" s="161"/>
      <c r="FZ300" s="161"/>
      <c r="GA300" s="161"/>
      <c r="GB300" s="161"/>
      <c r="GC300" s="161"/>
      <c r="GD300" s="161"/>
      <c r="GE300" s="161"/>
      <c r="GF300" s="161"/>
      <c r="GG300" s="161"/>
      <c r="GH300" s="161"/>
      <c r="GI300" s="161"/>
      <c r="GJ300" s="161"/>
      <c r="GK300" s="161"/>
      <c r="GL300" s="161"/>
      <c r="GM300" s="161"/>
    </row>
    <row r="301" spans="1:195" s="166" customFormat="1" ht="13.8" hidden="1" outlineLevel="1">
      <c r="A301" s="315" t="s">
        <v>1957</v>
      </c>
      <c r="B301" s="315" t="s">
        <v>773</v>
      </c>
      <c r="C301" s="316"/>
      <c r="D301" s="2919"/>
      <c r="E301" s="164" t="s">
        <v>773</v>
      </c>
      <c r="F301" s="154">
        <f>SUMIFS(INPUT!$H:$H,INPUT!$E:$E,BAZE_2026!$A301,INPUT!$B:$B,BAZE_2026!$B301)</f>
        <v>79530</v>
      </c>
      <c r="G301" s="154">
        <f>SUMIFS(INPUT!$L:$L,INPUT!$E:$E,BAZE_2026!$A301,INPUT!$B:$B,BAZE_2026!$B301)</f>
        <v>8900</v>
      </c>
      <c r="H301" s="158">
        <f>G301-F301</f>
        <v>-70630</v>
      </c>
      <c r="I301" s="230">
        <f t="shared" si="37"/>
        <v>-0.88809254369420343</v>
      </c>
      <c r="J301" s="2932"/>
      <c r="K301" s="317"/>
      <c r="L301" s="283"/>
      <c r="M301" s="161"/>
      <c r="N301" s="161"/>
      <c r="O301" s="161"/>
      <c r="P301" s="161"/>
      <c r="Q301" s="161"/>
      <c r="R301" s="161"/>
      <c r="S301" s="161"/>
      <c r="T301" s="161"/>
      <c r="U301" s="161"/>
      <c r="V301" s="161"/>
      <c r="W301" s="161"/>
      <c r="X301" s="161"/>
      <c r="Y301" s="161"/>
      <c r="Z301" s="161"/>
      <c r="AA301" s="161"/>
      <c r="AB301" s="161"/>
      <c r="AC301" s="161"/>
      <c r="AD301" s="161"/>
      <c r="AE301" s="161"/>
      <c r="AF301" s="161"/>
      <c r="AG301" s="161"/>
      <c r="AH301" s="161"/>
      <c r="AI301" s="161"/>
      <c r="AJ301" s="161"/>
      <c r="AK301" s="161"/>
      <c r="AL301" s="161"/>
      <c r="AM301" s="161"/>
      <c r="AN301" s="161"/>
      <c r="AO301" s="161"/>
      <c r="AP301" s="161"/>
      <c r="AQ301" s="161"/>
      <c r="AR301" s="161"/>
      <c r="AS301" s="161"/>
      <c r="AT301" s="161"/>
      <c r="AU301" s="161"/>
      <c r="AV301" s="161"/>
      <c r="AW301" s="161"/>
      <c r="AX301" s="161"/>
      <c r="AY301" s="161"/>
      <c r="AZ301" s="161"/>
      <c r="BA301" s="161"/>
      <c r="BB301" s="161"/>
      <c r="BC301" s="161"/>
      <c r="BD301" s="161"/>
      <c r="BE301" s="161"/>
      <c r="BF301" s="161"/>
      <c r="BG301" s="161"/>
      <c r="BH301" s="161"/>
      <c r="BI301" s="161"/>
      <c r="BJ301" s="161"/>
      <c r="BK301" s="161"/>
      <c r="BL301" s="161"/>
      <c r="BM301" s="161"/>
      <c r="BN301" s="161"/>
      <c r="BO301" s="161"/>
      <c r="BP301" s="161"/>
      <c r="BQ301" s="161"/>
      <c r="BR301" s="161"/>
      <c r="BS301" s="161"/>
      <c r="BT301" s="161"/>
      <c r="BU301" s="161"/>
      <c r="BV301" s="161"/>
      <c r="BW301" s="161"/>
      <c r="BX301" s="161"/>
      <c r="BY301" s="161"/>
      <c r="BZ301" s="161"/>
      <c r="CA301" s="161"/>
      <c r="CB301" s="161"/>
      <c r="CC301" s="161"/>
      <c r="CD301" s="161"/>
      <c r="CE301" s="161"/>
      <c r="CF301" s="161"/>
      <c r="CG301" s="161"/>
      <c r="CH301" s="161"/>
      <c r="CI301" s="161"/>
      <c r="CJ301" s="161"/>
      <c r="CK301" s="161"/>
      <c r="CL301" s="161"/>
      <c r="CM301" s="161"/>
      <c r="CN301" s="161"/>
      <c r="CO301" s="161"/>
      <c r="CP301" s="161"/>
      <c r="CQ301" s="161"/>
      <c r="CR301" s="161"/>
      <c r="CS301" s="161"/>
      <c r="CT301" s="161"/>
      <c r="CU301" s="161"/>
      <c r="CV301" s="161"/>
      <c r="CW301" s="161"/>
      <c r="CX301" s="161"/>
      <c r="CY301" s="161"/>
      <c r="CZ301" s="161"/>
      <c r="DA301" s="161"/>
      <c r="DB301" s="161"/>
      <c r="DC301" s="161"/>
      <c r="DD301" s="161"/>
      <c r="DE301" s="161"/>
      <c r="DF301" s="161"/>
      <c r="DG301" s="161"/>
      <c r="DH301" s="161"/>
      <c r="DI301" s="161"/>
      <c r="DJ301" s="161"/>
      <c r="DK301" s="161"/>
      <c r="DL301" s="161"/>
      <c r="DM301" s="161"/>
      <c r="DN301" s="161"/>
      <c r="DO301" s="161"/>
      <c r="DP301" s="161"/>
      <c r="DQ301" s="161"/>
      <c r="DR301" s="161"/>
      <c r="DS301" s="161"/>
      <c r="DT301" s="161"/>
      <c r="DU301" s="161"/>
      <c r="DV301" s="161"/>
      <c r="DW301" s="161"/>
      <c r="DX301" s="161"/>
      <c r="DY301" s="161"/>
      <c r="DZ301" s="161"/>
      <c r="EA301" s="161"/>
      <c r="EB301" s="161"/>
      <c r="EC301" s="161"/>
      <c r="ED301" s="161"/>
      <c r="EE301" s="161"/>
      <c r="EF301" s="161"/>
      <c r="EG301" s="161"/>
      <c r="EH301" s="161"/>
      <c r="EI301" s="161"/>
      <c r="EJ301" s="161"/>
      <c r="EK301" s="161"/>
      <c r="EL301" s="161"/>
      <c r="EM301" s="161"/>
      <c r="EN301" s="161"/>
      <c r="EO301" s="161"/>
      <c r="EP301" s="161"/>
      <c r="EQ301" s="161"/>
      <c r="ER301" s="161"/>
      <c r="ES301" s="161"/>
      <c r="ET301" s="161"/>
      <c r="EU301" s="161"/>
      <c r="EV301" s="161"/>
      <c r="EW301" s="161"/>
      <c r="EX301" s="161"/>
      <c r="EY301" s="161"/>
      <c r="EZ301" s="161"/>
      <c r="FA301" s="161"/>
      <c r="FB301" s="161"/>
      <c r="FC301" s="161"/>
      <c r="FD301" s="161"/>
      <c r="FE301" s="161"/>
      <c r="FF301" s="161"/>
      <c r="FG301" s="161"/>
      <c r="FH301" s="161"/>
      <c r="FI301" s="161"/>
      <c r="FJ301" s="161"/>
      <c r="FK301" s="161"/>
      <c r="FL301" s="161"/>
      <c r="FM301" s="161"/>
      <c r="FN301" s="161"/>
      <c r="FO301" s="161"/>
      <c r="FP301" s="161"/>
      <c r="FQ301" s="161"/>
      <c r="FR301" s="161"/>
      <c r="FS301" s="161"/>
      <c r="FT301" s="161"/>
      <c r="FU301" s="161"/>
      <c r="FV301" s="161"/>
      <c r="FW301" s="161"/>
      <c r="FX301" s="161"/>
      <c r="FY301" s="161"/>
      <c r="FZ301" s="161"/>
      <c r="GA301" s="161"/>
      <c r="GB301" s="161"/>
      <c r="GC301" s="161"/>
      <c r="GD301" s="161"/>
      <c r="GE301" s="161"/>
      <c r="GF301" s="161"/>
      <c r="GG301" s="161"/>
      <c r="GH301" s="161"/>
      <c r="GI301" s="161"/>
      <c r="GJ301" s="161"/>
      <c r="GK301" s="161"/>
      <c r="GL301" s="161"/>
      <c r="GM301" s="161"/>
    </row>
    <row r="302" spans="1:195" s="166" customFormat="1" ht="13.8" hidden="1" outlineLevel="1">
      <c r="A302" s="315" t="s">
        <v>1957</v>
      </c>
      <c r="B302" s="315" t="s">
        <v>1849</v>
      </c>
      <c r="C302" s="316"/>
      <c r="D302" s="2939"/>
      <c r="E302" s="164" t="s">
        <v>1849</v>
      </c>
      <c r="F302" s="154">
        <f>SUMIFS(INPUT!$H:$H,INPUT!$E:$E,BAZE_2026!$A302,INPUT!$B:$B,BAZE_2026!$B302)</f>
        <v>26620</v>
      </c>
      <c r="G302" s="154">
        <f>SUMIFS(INPUT!$L:$L,INPUT!$E:$E,BAZE_2026!$A302,INPUT!$B:$B,BAZE_2026!$B302)</f>
        <v>28100</v>
      </c>
      <c r="H302" s="158">
        <f>G302-F302</f>
        <v>1480</v>
      </c>
      <c r="I302" s="230">
        <f t="shared" ref="I302" si="38">IFERROR(H302/F302,"-")</f>
        <v>5.5597295266716758E-2</v>
      </c>
      <c r="J302" s="2940"/>
      <c r="K302" s="317"/>
      <c r="L302" s="283"/>
      <c r="M302" s="161"/>
      <c r="N302" s="161"/>
      <c r="O302" s="161"/>
      <c r="P302" s="161"/>
      <c r="Q302" s="161"/>
      <c r="R302" s="161"/>
      <c r="S302" s="161"/>
      <c r="T302" s="161"/>
      <c r="U302" s="161"/>
      <c r="V302" s="161"/>
      <c r="W302" s="161"/>
      <c r="X302" s="161"/>
      <c r="Y302" s="161"/>
      <c r="Z302" s="161"/>
      <c r="AA302" s="161"/>
      <c r="AB302" s="161"/>
      <c r="AC302" s="161"/>
      <c r="AD302" s="161"/>
      <c r="AE302" s="161"/>
      <c r="AF302" s="161"/>
      <c r="AG302" s="161"/>
      <c r="AH302" s="161"/>
      <c r="AI302" s="161"/>
      <c r="AJ302" s="161"/>
      <c r="AK302" s="161"/>
      <c r="AL302" s="161"/>
      <c r="AM302" s="161"/>
      <c r="AN302" s="161"/>
      <c r="AO302" s="161"/>
      <c r="AP302" s="161"/>
      <c r="AQ302" s="161"/>
      <c r="AR302" s="161"/>
      <c r="AS302" s="161"/>
      <c r="AT302" s="161"/>
      <c r="AU302" s="161"/>
      <c r="AV302" s="161"/>
      <c r="AW302" s="161"/>
      <c r="AX302" s="161"/>
      <c r="AY302" s="161"/>
      <c r="AZ302" s="161"/>
      <c r="BA302" s="161"/>
      <c r="BB302" s="161"/>
      <c r="BC302" s="161"/>
      <c r="BD302" s="161"/>
      <c r="BE302" s="161"/>
      <c r="BF302" s="161"/>
      <c r="BG302" s="161"/>
      <c r="BH302" s="161"/>
      <c r="BI302" s="161"/>
      <c r="BJ302" s="161"/>
      <c r="BK302" s="161"/>
      <c r="BL302" s="161"/>
      <c r="BM302" s="161"/>
      <c r="BN302" s="161"/>
      <c r="BO302" s="161"/>
      <c r="BP302" s="161"/>
      <c r="BQ302" s="161"/>
      <c r="BR302" s="161"/>
      <c r="BS302" s="161"/>
      <c r="BT302" s="161"/>
      <c r="BU302" s="161"/>
      <c r="BV302" s="161"/>
      <c r="BW302" s="161"/>
      <c r="BX302" s="161"/>
      <c r="BY302" s="161"/>
      <c r="BZ302" s="161"/>
      <c r="CA302" s="161"/>
      <c r="CB302" s="161"/>
      <c r="CC302" s="161"/>
      <c r="CD302" s="161"/>
      <c r="CE302" s="161"/>
      <c r="CF302" s="161"/>
      <c r="CG302" s="161"/>
      <c r="CH302" s="161"/>
      <c r="CI302" s="161"/>
      <c r="CJ302" s="161"/>
      <c r="CK302" s="161"/>
      <c r="CL302" s="161"/>
      <c r="CM302" s="161"/>
      <c r="CN302" s="161"/>
      <c r="CO302" s="161"/>
      <c r="CP302" s="161"/>
      <c r="CQ302" s="161"/>
      <c r="CR302" s="161"/>
      <c r="CS302" s="161"/>
      <c r="CT302" s="161"/>
      <c r="CU302" s="161"/>
      <c r="CV302" s="161"/>
      <c r="CW302" s="161"/>
      <c r="CX302" s="161"/>
      <c r="CY302" s="161"/>
      <c r="CZ302" s="161"/>
      <c r="DA302" s="161"/>
      <c r="DB302" s="161"/>
      <c r="DC302" s="161"/>
      <c r="DD302" s="161"/>
      <c r="DE302" s="161"/>
      <c r="DF302" s="161"/>
      <c r="DG302" s="161"/>
      <c r="DH302" s="161"/>
      <c r="DI302" s="161"/>
      <c r="DJ302" s="161"/>
      <c r="DK302" s="161"/>
      <c r="DL302" s="161"/>
      <c r="DM302" s="161"/>
      <c r="DN302" s="161"/>
      <c r="DO302" s="161"/>
      <c r="DP302" s="161"/>
      <c r="DQ302" s="161"/>
      <c r="DR302" s="161"/>
      <c r="DS302" s="161"/>
      <c r="DT302" s="161"/>
      <c r="DU302" s="161"/>
      <c r="DV302" s="161"/>
      <c r="DW302" s="161"/>
      <c r="DX302" s="161"/>
      <c r="DY302" s="161"/>
      <c r="DZ302" s="161"/>
      <c r="EA302" s="161"/>
      <c r="EB302" s="161"/>
      <c r="EC302" s="161"/>
      <c r="ED302" s="161"/>
      <c r="EE302" s="161"/>
      <c r="EF302" s="161"/>
      <c r="EG302" s="161"/>
      <c r="EH302" s="161"/>
      <c r="EI302" s="161"/>
      <c r="EJ302" s="161"/>
      <c r="EK302" s="161"/>
      <c r="EL302" s="161"/>
      <c r="EM302" s="161"/>
      <c r="EN302" s="161"/>
      <c r="EO302" s="161"/>
      <c r="EP302" s="161"/>
      <c r="EQ302" s="161"/>
      <c r="ER302" s="161"/>
      <c r="ES302" s="161"/>
      <c r="ET302" s="161"/>
      <c r="EU302" s="161"/>
      <c r="EV302" s="161"/>
      <c r="EW302" s="161"/>
      <c r="EX302" s="161"/>
      <c r="EY302" s="161"/>
      <c r="EZ302" s="161"/>
      <c r="FA302" s="161"/>
      <c r="FB302" s="161"/>
      <c r="FC302" s="161"/>
      <c r="FD302" s="161"/>
      <c r="FE302" s="161"/>
      <c r="FF302" s="161"/>
      <c r="FG302" s="161"/>
      <c r="FH302" s="161"/>
      <c r="FI302" s="161"/>
      <c r="FJ302" s="161"/>
      <c r="FK302" s="161"/>
      <c r="FL302" s="161"/>
      <c r="FM302" s="161"/>
      <c r="FN302" s="161"/>
      <c r="FO302" s="161"/>
      <c r="FP302" s="161"/>
      <c r="FQ302" s="161"/>
      <c r="FR302" s="161"/>
      <c r="FS302" s="161"/>
      <c r="FT302" s="161"/>
      <c r="FU302" s="161"/>
      <c r="FV302" s="161"/>
      <c r="FW302" s="161"/>
      <c r="FX302" s="161"/>
      <c r="FY302" s="161"/>
      <c r="FZ302" s="161"/>
      <c r="GA302" s="161"/>
      <c r="GB302" s="161"/>
      <c r="GC302" s="161"/>
      <c r="GD302" s="161"/>
      <c r="GE302" s="161"/>
      <c r="GF302" s="161"/>
      <c r="GG302" s="161"/>
      <c r="GH302" s="161"/>
      <c r="GI302" s="161"/>
      <c r="GJ302" s="161"/>
      <c r="GK302" s="161"/>
      <c r="GL302" s="161"/>
      <c r="GM302" s="161"/>
    </row>
    <row r="303" spans="1:195" ht="13.8" collapsed="1">
      <c r="D303" s="1211" t="s">
        <v>995</v>
      </c>
      <c r="E303" s="42" t="s">
        <v>2765</v>
      </c>
      <c r="F303" s="91">
        <f>F304+F305+F307+F306</f>
        <v>1038226.2148682734</v>
      </c>
      <c r="G303" s="91">
        <f>G304+G305+G307+G306</f>
        <v>1038752.1955473166</v>
      </c>
      <c r="H303" s="91">
        <f t="shared" si="36"/>
        <v>525.98067904321942</v>
      </c>
      <c r="I303" s="222">
        <f t="shared" si="37"/>
        <v>5.0661471605198687E-4</v>
      </c>
      <c r="J303" s="1402"/>
      <c r="K303" s="72"/>
    </row>
    <row r="304" spans="1:195" s="8" customFormat="1" ht="13.8" hidden="1" outlineLevel="1">
      <c r="A304" s="179" t="s">
        <v>2618</v>
      </c>
      <c r="B304" s="179" t="s">
        <v>436</v>
      </c>
      <c r="C304" s="248"/>
      <c r="D304" s="64"/>
      <c r="E304" s="59" t="s">
        <v>436</v>
      </c>
      <c r="F304" s="92">
        <f>SUMIFS(INPUT!$H:$H,INPUT!$E:$E,BAZE_2026!$A304,INPUT!$B:$B,BAZE_2026!$B304)</f>
        <v>405786.71486827329</v>
      </c>
      <c r="G304" s="92">
        <f>SUMIFS(INPUT!$L:$L,INPUT!$E:$E,BAZE_2026!$A304,INPUT!$B:$B,BAZE_2026!$B304)</f>
        <v>423588.05554731656</v>
      </c>
      <c r="H304" s="131">
        <f t="shared" si="36"/>
        <v>17801.340679043264</v>
      </c>
      <c r="I304" s="244">
        <f t="shared" si="37"/>
        <v>4.3868712372266659E-2</v>
      </c>
      <c r="J304" s="2563" t="s">
        <v>4760</v>
      </c>
      <c r="K304" s="72"/>
      <c r="L304" s="12"/>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row>
    <row r="305" spans="1:195" s="8" customFormat="1" ht="19.5" hidden="1" customHeight="1" outlineLevel="1">
      <c r="A305" s="179" t="s">
        <v>2618</v>
      </c>
      <c r="B305" s="179" t="s">
        <v>772</v>
      </c>
      <c r="C305" s="248"/>
      <c r="D305" s="64"/>
      <c r="E305" s="59" t="s">
        <v>376</v>
      </c>
      <c r="F305" s="92">
        <f>SUMIFS(INPUT!$H:$H,INPUT!$E:$E,BAZE_2026!$A305,INPUT!$B:$B,BAZE_2026!$B305)</f>
        <v>265138.5</v>
      </c>
      <c r="G305" s="92">
        <f>SUMIFS(INPUT!$L:$L,INPUT!$E:$E,BAZE_2026!$A305,INPUT!$B:$B,BAZE_2026!$B305)</f>
        <v>266682.14</v>
      </c>
      <c r="H305" s="131">
        <f t="shared" si="36"/>
        <v>1543.640000000014</v>
      </c>
      <c r="I305" s="244">
        <f t="shared" si="37"/>
        <v>5.8220137777049126E-3</v>
      </c>
      <c r="J305" s="2713" t="s">
        <v>5153</v>
      </c>
      <c r="K305" s="54"/>
      <c r="L305" s="13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row>
    <row r="306" spans="1:195" s="8" customFormat="1" ht="13.8" hidden="1" outlineLevel="1">
      <c r="A306" s="179" t="s">
        <v>2618</v>
      </c>
      <c r="B306" s="179" t="s">
        <v>1211</v>
      </c>
      <c r="C306" s="248"/>
      <c r="D306" s="1214"/>
      <c r="E306" s="460" t="s">
        <v>1211</v>
      </c>
      <c r="F306" s="92">
        <f>SUMIFS(INPUT!$H:$H,INPUT!$E:$E,BAZE_2026!$A306,INPUT!$B:$B,BAZE_2026!$B306)</f>
        <v>342547</v>
      </c>
      <c r="G306" s="92">
        <f>SUMIFS(INPUT!$L:$L,INPUT!$E:$E,BAZE_2026!$A306,INPUT!$B:$B,BAZE_2026!$B306)</f>
        <v>329532</v>
      </c>
      <c r="H306" s="131">
        <f>G306-F306</f>
        <v>-13015</v>
      </c>
      <c r="I306" s="461">
        <f>IFERROR(H306/F306,"-")</f>
        <v>-3.7994786116941619E-2</v>
      </c>
      <c r="J306" s="1542"/>
      <c r="K306" s="54"/>
      <c r="L306" s="135"/>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row>
    <row r="307" spans="1:195" s="66" customFormat="1" ht="13.8" hidden="1" outlineLevel="1">
      <c r="A307" s="179" t="s">
        <v>2618</v>
      </c>
      <c r="B307" s="179" t="s">
        <v>774</v>
      </c>
      <c r="C307" s="248"/>
      <c r="D307" s="61"/>
      <c r="E307" s="62" t="s">
        <v>375</v>
      </c>
      <c r="F307" s="92">
        <f>SUMIFS(INPUT!$H:$H,INPUT!$E:$E,BAZE_2026!$A307,INPUT!$B:$B,BAZE_2026!$B307)</f>
        <v>24754</v>
      </c>
      <c r="G307" s="92">
        <f>SUMIFS(INPUT!$L:$L,INPUT!$E:$E,BAZE_2026!$A307,INPUT!$B:$B,BAZE_2026!$B307)</f>
        <v>18950</v>
      </c>
      <c r="H307" s="131">
        <f t="shared" si="36"/>
        <v>-5804</v>
      </c>
      <c r="I307" s="244">
        <f t="shared" si="37"/>
        <v>-0.23446715682313971</v>
      </c>
      <c r="J307" s="1528"/>
      <c r="K307" s="72"/>
      <c r="L307" s="28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c r="CA307" s="71"/>
      <c r="CB307" s="71"/>
      <c r="CC307" s="71"/>
      <c r="CD307" s="71"/>
      <c r="CE307" s="71"/>
      <c r="CF307" s="71"/>
      <c r="CG307" s="71"/>
      <c r="CH307" s="71"/>
      <c r="CI307" s="71"/>
      <c r="CJ307" s="71"/>
      <c r="CK307" s="71"/>
      <c r="CL307" s="71"/>
      <c r="CM307" s="71"/>
      <c r="CN307" s="71"/>
      <c r="CO307" s="71"/>
      <c r="CP307" s="71"/>
      <c r="CQ307" s="71"/>
      <c r="CR307" s="71"/>
      <c r="CS307" s="71"/>
      <c r="CT307" s="71"/>
      <c r="CU307" s="71"/>
      <c r="CV307" s="71"/>
      <c r="CW307" s="71"/>
      <c r="CX307" s="71"/>
      <c r="CY307" s="71"/>
      <c r="CZ307" s="71"/>
      <c r="DA307" s="71"/>
      <c r="DB307" s="71"/>
      <c r="DC307" s="71"/>
      <c r="DD307" s="71"/>
      <c r="DE307" s="71"/>
      <c r="DF307" s="71"/>
      <c r="DG307" s="71"/>
      <c r="DH307" s="71"/>
      <c r="DI307" s="71"/>
      <c r="DJ307" s="71"/>
      <c r="DK307" s="71"/>
      <c r="DL307" s="71"/>
      <c r="DM307" s="71"/>
      <c r="DN307" s="71"/>
      <c r="DO307" s="71"/>
      <c r="DP307" s="71"/>
      <c r="DQ307" s="71"/>
      <c r="DR307" s="71"/>
      <c r="DS307" s="71"/>
      <c r="DT307" s="71"/>
      <c r="DU307" s="71"/>
      <c r="DV307" s="71"/>
      <c r="DW307" s="71"/>
      <c r="DX307" s="71"/>
      <c r="DY307" s="71"/>
      <c r="DZ307" s="71"/>
      <c r="EA307" s="71"/>
      <c r="EB307" s="71"/>
      <c r="EC307" s="71"/>
      <c r="ED307" s="71"/>
      <c r="EE307" s="71"/>
      <c r="EF307" s="71"/>
      <c r="EG307" s="71"/>
      <c r="EH307" s="71"/>
      <c r="EI307" s="71"/>
      <c r="EJ307" s="71"/>
      <c r="EK307" s="71"/>
      <c r="EL307" s="71"/>
      <c r="EM307" s="71"/>
      <c r="EN307" s="71"/>
      <c r="EO307" s="71"/>
      <c r="EP307" s="71"/>
      <c r="EQ307" s="71"/>
      <c r="ER307" s="71"/>
      <c r="ES307" s="71"/>
      <c r="ET307" s="71"/>
      <c r="EU307" s="71"/>
      <c r="EV307" s="71"/>
      <c r="EW307" s="71"/>
      <c r="EX307" s="71"/>
      <c r="EY307" s="71"/>
      <c r="EZ307" s="71"/>
      <c r="FA307" s="71"/>
      <c r="FB307" s="71"/>
      <c r="FC307" s="71"/>
      <c r="FD307" s="71"/>
      <c r="FE307" s="71"/>
      <c r="FF307" s="71"/>
      <c r="FG307" s="71"/>
      <c r="FH307" s="71"/>
      <c r="FI307" s="71"/>
      <c r="FJ307" s="71"/>
      <c r="FK307" s="71"/>
      <c r="FL307" s="71"/>
      <c r="FM307" s="71"/>
      <c r="FN307" s="71"/>
      <c r="FO307" s="71"/>
      <c r="FP307" s="71"/>
      <c r="FQ307" s="71"/>
      <c r="FR307" s="71"/>
      <c r="FS307" s="71"/>
      <c r="FT307" s="71"/>
      <c r="FU307" s="71"/>
      <c r="FV307" s="71"/>
      <c r="FW307" s="71"/>
      <c r="FX307" s="71"/>
      <c r="FY307" s="71"/>
      <c r="FZ307" s="71"/>
      <c r="GA307" s="71"/>
      <c r="GB307" s="71"/>
      <c r="GC307" s="71"/>
      <c r="GD307" s="71"/>
      <c r="GE307" s="71"/>
      <c r="GF307" s="71"/>
      <c r="GG307" s="71"/>
      <c r="GH307" s="71"/>
      <c r="GI307" s="71"/>
      <c r="GJ307" s="71"/>
      <c r="GK307" s="71"/>
      <c r="GL307" s="71"/>
      <c r="GM307" s="71"/>
    </row>
    <row r="308" spans="1:195" s="166" customFormat="1" ht="13.8" hidden="1" outlineLevel="1">
      <c r="A308" s="315" t="s">
        <v>3329</v>
      </c>
      <c r="B308" s="315" t="s">
        <v>326</v>
      </c>
      <c r="C308" s="316"/>
      <c r="D308" s="2919"/>
      <c r="E308" s="164" t="s">
        <v>265</v>
      </c>
      <c r="F308" s="154">
        <f>SUMIFS(INPUT!$H:$H,INPUT!$E:$E,BAZE_2026!$A308,INPUT!$B:$B,BAZE_2026!$B308)</f>
        <v>1521411.328044391</v>
      </c>
      <c r="G308" s="154">
        <f>SUMIFS(INPUT!$L:$L,INPUT!$E:$E,BAZE_2026!$A308,INPUT!$B:$B,BAZE_2026!$B308)</f>
        <v>1796521.27</v>
      </c>
      <c r="H308" s="160">
        <f t="shared" si="36"/>
        <v>275109.94195560901</v>
      </c>
      <c r="I308" s="243">
        <f t="shared" si="37"/>
        <v>0.18082548544530228</v>
      </c>
      <c r="J308" s="2932"/>
      <c r="K308" s="317"/>
      <c r="L308" s="283"/>
      <c r="M308" s="161"/>
      <c r="N308" s="161"/>
      <c r="O308" s="161"/>
      <c r="P308" s="161"/>
      <c r="Q308" s="161"/>
      <c r="R308" s="161"/>
      <c r="S308" s="161"/>
      <c r="T308" s="161"/>
      <c r="U308" s="161"/>
      <c r="V308" s="161"/>
      <c r="W308" s="161"/>
      <c r="X308" s="161"/>
      <c r="Y308" s="161"/>
      <c r="Z308" s="161"/>
      <c r="AA308" s="161"/>
      <c r="AB308" s="161"/>
      <c r="AC308" s="161"/>
      <c r="AD308" s="161"/>
      <c r="AE308" s="161"/>
      <c r="AF308" s="161"/>
      <c r="AG308" s="161"/>
      <c r="AH308" s="161"/>
      <c r="AI308" s="161"/>
      <c r="AJ308" s="161"/>
      <c r="AK308" s="161"/>
      <c r="AL308" s="161"/>
      <c r="AM308" s="161"/>
      <c r="AN308" s="161"/>
      <c r="AO308" s="161"/>
      <c r="AP308" s="161"/>
      <c r="AQ308" s="161"/>
      <c r="AR308" s="161"/>
      <c r="AS308" s="161"/>
      <c r="AT308" s="161"/>
      <c r="AU308" s="161"/>
      <c r="AV308" s="161"/>
      <c r="AW308" s="161"/>
      <c r="AX308" s="161"/>
      <c r="AY308" s="161"/>
      <c r="AZ308" s="161"/>
      <c r="BA308" s="161"/>
      <c r="BB308" s="161"/>
      <c r="BC308" s="161"/>
      <c r="BD308" s="161"/>
      <c r="BE308" s="161"/>
      <c r="BF308" s="161"/>
      <c r="BG308" s="161"/>
      <c r="BH308" s="161"/>
      <c r="BI308" s="161"/>
      <c r="BJ308" s="161"/>
      <c r="BK308" s="161"/>
      <c r="BL308" s="161"/>
      <c r="BM308" s="161"/>
      <c r="BN308" s="161"/>
      <c r="BO308" s="161"/>
      <c r="BP308" s="161"/>
      <c r="BQ308" s="161"/>
      <c r="BR308" s="161"/>
      <c r="BS308" s="161"/>
      <c r="BT308" s="161"/>
      <c r="BU308" s="161"/>
      <c r="BV308" s="161"/>
      <c r="BW308" s="161"/>
      <c r="BX308" s="161"/>
      <c r="BY308" s="161"/>
      <c r="BZ308" s="161"/>
      <c r="CA308" s="161"/>
      <c r="CB308" s="161"/>
      <c r="CC308" s="161"/>
      <c r="CD308" s="161"/>
      <c r="CE308" s="161"/>
      <c r="CF308" s="161"/>
      <c r="CG308" s="161"/>
      <c r="CH308" s="161"/>
      <c r="CI308" s="161"/>
      <c r="CJ308" s="161"/>
      <c r="CK308" s="161"/>
      <c r="CL308" s="161"/>
      <c r="CM308" s="161"/>
      <c r="CN308" s="161"/>
      <c r="CO308" s="161"/>
      <c r="CP308" s="161"/>
      <c r="CQ308" s="161"/>
      <c r="CR308" s="161"/>
      <c r="CS308" s="161"/>
      <c r="CT308" s="161"/>
      <c r="CU308" s="161"/>
      <c r="CV308" s="161"/>
      <c r="CW308" s="161"/>
      <c r="CX308" s="161"/>
      <c r="CY308" s="161"/>
      <c r="CZ308" s="161"/>
      <c r="DA308" s="161"/>
      <c r="DB308" s="161"/>
      <c r="DC308" s="161"/>
      <c r="DD308" s="161"/>
      <c r="DE308" s="161"/>
      <c r="DF308" s="161"/>
      <c r="DG308" s="161"/>
      <c r="DH308" s="161"/>
      <c r="DI308" s="161"/>
      <c r="DJ308" s="161"/>
      <c r="DK308" s="161"/>
      <c r="DL308" s="161"/>
      <c r="DM308" s="161"/>
      <c r="DN308" s="161"/>
      <c r="DO308" s="161"/>
      <c r="DP308" s="161"/>
      <c r="DQ308" s="161"/>
      <c r="DR308" s="161"/>
      <c r="DS308" s="161"/>
      <c r="DT308" s="161"/>
      <c r="DU308" s="161"/>
      <c r="DV308" s="161"/>
      <c r="DW308" s="161"/>
      <c r="DX308" s="161"/>
      <c r="DY308" s="161"/>
      <c r="DZ308" s="161"/>
      <c r="EA308" s="161"/>
      <c r="EB308" s="161"/>
      <c r="EC308" s="161"/>
      <c r="ED308" s="161"/>
      <c r="EE308" s="161"/>
      <c r="EF308" s="161"/>
      <c r="EG308" s="161"/>
      <c r="EH308" s="161"/>
      <c r="EI308" s="161"/>
      <c r="EJ308" s="161"/>
      <c r="EK308" s="161"/>
      <c r="EL308" s="161"/>
      <c r="EM308" s="161"/>
      <c r="EN308" s="161"/>
      <c r="EO308" s="161"/>
      <c r="EP308" s="161"/>
      <c r="EQ308" s="161"/>
      <c r="ER308" s="161"/>
      <c r="ES308" s="161"/>
      <c r="ET308" s="161"/>
      <c r="EU308" s="161"/>
      <c r="EV308" s="161"/>
      <c r="EW308" s="161"/>
      <c r="EX308" s="161"/>
      <c r="EY308" s="161"/>
      <c r="EZ308" s="161"/>
      <c r="FA308" s="161"/>
      <c r="FB308" s="161"/>
      <c r="FC308" s="161"/>
      <c r="FD308" s="161"/>
      <c r="FE308" s="161"/>
      <c r="FF308" s="161"/>
      <c r="FG308" s="161"/>
      <c r="FH308" s="161"/>
      <c r="FI308" s="161"/>
      <c r="FJ308" s="161"/>
      <c r="FK308" s="161"/>
      <c r="FL308" s="161"/>
      <c r="FM308" s="161"/>
      <c r="FN308" s="161"/>
      <c r="FO308" s="161"/>
      <c r="FP308" s="161"/>
      <c r="FQ308" s="161"/>
      <c r="FR308" s="161"/>
      <c r="FS308" s="161"/>
      <c r="FT308" s="161"/>
      <c r="FU308" s="161"/>
      <c r="FV308" s="161"/>
      <c r="FW308" s="161"/>
      <c r="FX308" s="161"/>
      <c r="FY308" s="161"/>
      <c r="FZ308" s="161"/>
      <c r="GA308" s="161"/>
      <c r="GB308" s="161"/>
      <c r="GC308" s="161"/>
      <c r="GD308" s="161"/>
      <c r="GE308" s="161"/>
      <c r="GF308" s="161"/>
      <c r="GG308" s="161"/>
      <c r="GH308" s="161"/>
      <c r="GI308" s="161"/>
      <c r="GJ308" s="161"/>
      <c r="GK308" s="161"/>
      <c r="GL308" s="161"/>
      <c r="GM308" s="161"/>
    </row>
    <row r="309" spans="1:195" s="161" customFormat="1" ht="13.8" hidden="1" outlineLevel="1">
      <c r="A309" s="315" t="s">
        <v>3330</v>
      </c>
      <c r="B309" s="315" t="s">
        <v>326</v>
      </c>
      <c r="C309" s="321"/>
      <c r="D309" s="2929"/>
      <c r="E309" s="215" t="s">
        <v>2600</v>
      </c>
      <c r="F309" s="163">
        <f>SUMIFS(INPUT!$H:$H,INPUT!$E:$E,BAZE_2026!$A309,INPUT!$B:$B,BAZE_2026!$B309)</f>
        <v>126969</v>
      </c>
      <c r="G309" s="163">
        <f>SUMIFS(INPUT!$L:$L,INPUT!$E:$E,BAZE_2026!$A309,INPUT!$B:$B,BAZE_2026!$B309)</f>
        <v>137869</v>
      </c>
      <c r="H309" s="1244">
        <f>G309-F309</f>
        <v>10900</v>
      </c>
      <c r="I309" s="1245">
        <f>IFERROR(H309/F309,"-")</f>
        <v>8.5847726610432468E-2</v>
      </c>
      <c r="J309" s="2944"/>
      <c r="K309" s="317"/>
      <c r="L309" s="283"/>
    </row>
    <row r="310" spans="1:195" s="166" customFormat="1" ht="13.8" hidden="1" outlineLevel="1">
      <c r="A310" s="315" t="s">
        <v>2618</v>
      </c>
      <c r="B310" s="315" t="s">
        <v>773</v>
      </c>
      <c r="C310" s="316"/>
      <c r="D310" s="2919"/>
      <c r="E310" s="164" t="s">
        <v>773</v>
      </c>
      <c r="F310" s="154">
        <f>SUMIFS(INPUT!$H:$H,INPUT!$E:$E,BAZE_2026!$A310,INPUT!$B:$B,BAZE_2026!$B310)</f>
        <v>20555</v>
      </c>
      <c r="G310" s="154">
        <f>SUMIFS(INPUT!$L:$L,INPUT!$E:$E,BAZE_2026!$A310,INPUT!$B:$B,BAZE_2026!$B310)</f>
        <v>117101.6</v>
      </c>
      <c r="H310" s="160">
        <f t="shared" si="36"/>
        <v>96546.6</v>
      </c>
      <c r="I310" s="243">
        <f t="shared" si="37"/>
        <v>4.6969885672585745</v>
      </c>
      <c r="J310" s="2932"/>
      <c r="K310" s="317"/>
      <c r="L310" s="283"/>
      <c r="M310" s="161"/>
      <c r="N310" s="161"/>
      <c r="O310" s="161"/>
      <c r="P310" s="161"/>
      <c r="Q310" s="161"/>
      <c r="R310" s="161"/>
      <c r="S310" s="161"/>
      <c r="T310" s="161"/>
      <c r="U310" s="161"/>
      <c r="V310" s="161"/>
      <c r="W310" s="161"/>
      <c r="X310" s="161"/>
      <c r="Y310" s="161"/>
      <c r="Z310" s="161"/>
      <c r="AA310" s="161"/>
      <c r="AB310" s="161"/>
      <c r="AC310" s="161"/>
      <c r="AD310" s="161"/>
      <c r="AE310" s="161"/>
      <c r="AF310" s="161"/>
      <c r="AG310" s="161"/>
      <c r="AH310" s="161"/>
      <c r="AI310" s="161"/>
      <c r="AJ310" s="161"/>
      <c r="AK310" s="161"/>
      <c r="AL310" s="161"/>
      <c r="AM310" s="161"/>
      <c r="AN310" s="161"/>
      <c r="AO310" s="161"/>
      <c r="AP310" s="161"/>
      <c r="AQ310" s="161"/>
      <c r="AR310" s="161"/>
      <c r="AS310" s="161"/>
      <c r="AT310" s="161"/>
      <c r="AU310" s="161"/>
      <c r="AV310" s="161"/>
      <c r="AW310" s="161"/>
      <c r="AX310" s="161"/>
      <c r="AY310" s="161"/>
      <c r="AZ310" s="161"/>
      <c r="BA310" s="161"/>
      <c r="BB310" s="161"/>
      <c r="BC310" s="161"/>
      <c r="BD310" s="161"/>
      <c r="BE310" s="161"/>
      <c r="BF310" s="161"/>
      <c r="BG310" s="161"/>
      <c r="BH310" s="161"/>
      <c r="BI310" s="161"/>
      <c r="BJ310" s="161"/>
      <c r="BK310" s="161"/>
      <c r="BL310" s="161"/>
      <c r="BM310" s="161"/>
      <c r="BN310" s="161"/>
      <c r="BO310" s="161"/>
      <c r="BP310" s="161"/>
      <c r="BQ310" s="161"/>
      <c r="BR310" s="161"/>
      <c r="BS310" s="161"/>
      <c r="BT310" s="161"/>
      <c r="BU310" s="161"/>
      <c r="BV310" s="161"/>
      <c r="BW310" s="161"/>
      <c r="BX310" s="161"/>
      <c r="BY310" s="161"/>
      <c r="BZ310" s="161"/>
      <c r="CA310" s="161"/>
      <c r="CB310" s="161"/>
      <c r="CC310" s="161"/>
      <c r="CD310" s="161"/>
      <c r="CE310" s="161"/>
      <c r="CF310" s="161"/>
      <c r="CG310" s="161"/>
      <c r="CH310" s="161"/>
      <c r="CI310" s="161"/>
      <c r="CJ310" s="161"/>
      <c r="CK310" s="161"/>
      <c r="CL310" s="161"/>
      <c r="CM310" s="161"/>
      <c r="CN310" s="161"/>
      <c r="CO310" s="161"/>
      <c r="CP310" s="161"/>
      <c r="CQ310" s="161"/>
      <c r="CR310" s="161"/>
      <c r="CS310" s="161"/>
      <c r="CT310" s="161"/>
      <c r="CU310" s="161"/>
      <c r="CV310" s="161"/>
      <c r="CW310" s="161"/>
      <c r="CX310" s="161"/>
      <c r="CY310" s="161"/>
      <c r="CZ310" s="161"/>
      <c r="DA310" s="161"/>
      <c r="DB310" s="161"/>
      <c r="DC310" s="161"/>
      <c r="DD310" s="161"/>
      <c r="DE310" s="161"/>
      <c r="DF310" s="161"/>
      <c r="DG310" s="161"/>
      <c r="DH310" s="161"/>
      <c r="DI310" s="161"/>
      <c r="DJ310" s="161"/>
      <c r="DK310" s="161"/>
      <c r="DL310" s="161"/>
      <c r="DM310" s="161"/>
      <c r="DN310" s="161"/>
      <c r="DO310" s="161"/>
      <c r="DP310" s="161"/>
      <c r="DQ310" s="161"/>
      <c r="DR310" s="161"/>
      <c r="DS310" s="161"/>
      <c r="DT310" s="161"/>
      <c r="DU310" s="161"/>
      <c r="DV310" s="161"/>
      <c r="DW310" s="161"/>
      <c r="DX310" s="161"/>
      <c r="DY310" s="161"/>
      <c r="DZ310" s="161"/>
      <c r="EA310" s="161"/>
      <c r="EB310" s="161"/>
      <c r="EC310" s="161"/>
      <c r="ED310" s="161"/>
      <c r="EE310" s="161"/>
      <c r="EF310" s="161"/>
      <c r="EG310" s="161"/>
      <c r="EH310" s="161"/>
      <c r="EI310" s="161"/>
      <c r="EJ310" s="161"/>
      <c r="EK310" s="161"/>
      <c r="EL310" s="161"/>
      <c r="EM310" s="161"/>
      <c r="EN310" s="161"/>
      <c r="EO310" s="161"/>
      <c r="EP310" s="161"/>
      <c r="EQ310" s="161"/>
      <c r="ER310" s="161"/>
      <c r="ES310" s="161"/>
      <c r="ET310" s="161"/>
      <c r="EU310" s="161"/>
      <c r="EV310" s="161"/>
      <c r="EW310" s="161"/>
      <c r="EX310" s="161"/>
      <c r="EY310" s="161"/>
      <c r="EZ310" s="161"/>
      <c r="FA310" s="161"/>
      <c r="FB310" s="161"/>
      <c r="FC310" s="161"/>
      <c r="FD310" s="161"/>
      <c r="FE310" s="161"/>
      <c r="FF310" s="161"/>
      <c r="FG310" s="161"/>
      <c r="FH310" s="161"/>
      <c r="FI310" s="161"/>
      <c r="FJ310" s="161"/>
      <c r="FK310" s="161"/>
      <c r="FL310" s="161"/>
      <c r="FM310" s="161"/>
      <c r="FN310" s="161"/>
      <c r="FO310" s="161"/>
      <c r="FP310" s="161"/>
      <c r="FQ310" s="161"/>
      <c r="FR310" s="161"/>
      <c r="FS310" s="161"/>
      <c r="FT310" s="161"/>
      <c r="FU310" s="161"/>
      <c r="FV310" s="161"/>
      <c r="FW310" s="161"/>
      <c r="FX310" s="161"/>
      <c r="FY310" s="161"/>
      <c r="FZ310" s="161"/>
      <c r="GA310" s="161"/>
      <c r="GB310" s="161"/>
      <c r="GC310" s="161"/>
      <c r="GD310" s="161"/>
      <c r="GE310" s="161"/>
      <c r="GF310" s="161"/>
      <c r="GG310" s="161"/>
      <c r="GH310" s="161"/>
      <c r="GI310" s="161"/>
      <c r="GJ310" s="161"/>
      <c r="GK310" s="161"/>
      <c r="GL310" s="161"/>
      <c r="GM310" s="161"/>
    </row>
    <row r="311" spans="1:195" s="166" customFormat="1" ht="16.2" hidden="1" customHeight="1" outlineLevel="1">
      <c r="A311" s="315" t="s">
        <v>2618</v>
      </c>
      <c r="B311" s="315" t="s">
        <v>365</v>
      </c>
      <c r="C311" s="316"/>
      <c r="D311" s="2926"/>
      <c r="E311" s="276" t="s">
        <v>49</v>
      </c>
      <c r="F311" s="154">
        <f>SUMIFS(INPUT!$H:$H,INPUT!$E:$E,BAZE_2026!$A311,INPUT!$B:$B,BAZE_2026!$B311)</f>
        <v>0</v>
      </c>
      <c r="G311" s="154">
        <f>SUMIFS(INPUT!$L:$L,INPUT!$E:$E,BAZE_2026!$A311,INPUT!$B:$B,BAZE_2026!$B311)</f>
        <v>0</v>
      </c>
      <c r="H311" s="160">
        <f t="shared" si="36"/>
        <v>0</v>
      </c>
      <c r="I311" s="243" t="str">
        <f t="shared" si="37"/>
        <v>-</v>
      </c>
      <c r="J311" s="2932"/>
      <c r="K311" s="317"/>
      <c r="L311" s="283"/>
      <c r="M311" s="161"/>
      <c r="N311" s="161"/>
      <c r="O311" s="161"/>
      <c r="P311" s="161"/>
      <c r="Q311" s="161"/>
      <c r="R311" s="161"/>
      <c r="S311" s="161"/>
      <c r="T311" s="161"/>
      <c r="U311" s="161"/>
      <c r="V311" s="161"/>
      <c r="W311" s="161"/>
      <c r="X311" s="161"/>
      <c r="Y311" s="161"/>
      <c r="Z311" s="161"/>
      <c r="AA311" s="161"/>
      <c r="AB311" s="161"/>
      <c r="AC311" s="161"/>
      <c r="AD311" s="161"/>
      <c r="AE311" s="161"/>
      <c r="AF311" s="161"/>
      <c r="AG311" s="161"/>
      <c r="AH311" s="161"/>
      <c r="AI311" s="161"/>
      <c r="AJ311" s="161"/>
      <c r="AK311" s="161"/>
      <c r="AL311" s="161"/>
      <c r="AM311" s="161"/>
      <c r="AN311" s="161"/>
      <c r="AO311" s="161"/>
      <c r="AP311" s="161"/>
      <c r="AQ311" s="161"/>
      <c r="AR311" s="161"/>
      <c r="AS311" s="161"/>
      <c r="AT311" s="161"/>
      <c r="AU311" s="161"/>
      <c r="AV311" s="161"/>
      <c r="AW311" s="161"/>
      <c r="AX311" s="161"/>
      <c r="AY311" s="161"/>
      <c r="AZ311" s="161"/>
      <c r="BA311" s="161"/>
      <c r="BB311" s="161"/>
      <c r="BC311" s="161"/>
      <c r="BD311" s="161"/>
      <c r="BE311" s="161"/>
      <c r="BF311" s="161"/>
      <c r="BG311" s="161"/>
      <c r="BH311" s="161"/>
      <c r="BI311" s="161"/>
      <c r="BJ311" s="161"/>
      <c r="BK311" s="161"/>
      <c r="BL311" s="161"/>
      <c r="BM311" s="161"/>
      <c r="BN311" s="161"/>
      <c r="BO311" s="161"/>
      <c r="BP311" s="161"/>
      <c r="BQ311" s="161"/>
      <c r="BR311" s="161"/>
      <c r="BS311" s="161"/>
      <c r="BT311" s="161"/>
      <c r="BU311" s="161"/>
      <c r="BV311" s="161"/>
      <c r="BW311" s="161"/>
      <c r="BX311" s="161"/>
      <c r="BY311" s="161"/>
      <c r="BZ311" s="161"/>
      <c r="CA311" s="161"/>
      <c r="CB311" s="161"/>
      <c r="CC311" s="161"/>
      <c r="CD311" s="161"/>
      <c r="CE311" s="161"/>
      <c r="CF311" s="161"/>
      <c r="CG311" s="161"/>
      <c r="CH311" s="161"/>
      <c r="CI311" s="161"/>
      <c r="CJ311" s="161"/>
      <c r="CK311" s="161"/>
      <c r="CL311" s="161"/>
      <c r="CM311" s="161"/>
      <c r="CN311" s="161"/>
      <c r="CO311" s="161"/>
      <c r="CP311" s="161"/>
      <c r="CQ311" s="161"/>
      <c r="CR311" s="161"/>
      <c r="CS311" s="161"/>
      <c r="CT311" s="161"/>
      <c r="CU311" s="161"/>
      <c r="CV311" s="161"/>
      <c r="CW311" s="161"/>
      <c r="CX311" s="161"/>
      <c r="CY311" s="161"/>
      <c r="CZ311" s="161"/>
      <c r="DA311" s="161"/>
      <c r="DB311" s="161"/>
      <c r="DC311" s="161"/>
      <c r="DD311" s="161"/>
      <c r="DE311" s="161"/>
      <c r="DF311" s="161"/>
      <c r="DG311" s="161"/>
      <c r="DH311" s="161"/>
      <c r="DI311" s="161"/>
      <c r="DJ311" s="161"/>
      <c r="DK311" s="161"/>
      <c r="DL311" s="161"/>
      <c r="DM311" s="161"/>
      <c r="DN311" s="161"/>
      <c r="DO311" s="161"/>
      <c r="DP311" s="161"/>
      <c r="DQ311" s="161"/>
      <c r="DR311" s="161"/>
      <c r="DS311" s="161"/>
      <c r="DT311" s="161"/>
      <c r="DU311" s="161"/>
      <c r="DV311" s="161"/>
      <c r="DW311" s="161"/>
      <c r="DX311" s="161"/>
      <c r="DY311" s="161"/>
      <c r="DZ311" s="161"/>
      <c r="EA311" s="161"/>
      <c r="EB311" s="161"/>
      <c r="EC311" s="161"/>
      <c r="ED311" s="161"/>
      <c r="EE311" s="161"/>
      <c r="EF311" s="161"/>
      <c r="EG311" s="161"/>
      <c r="EH311" s="161"/>
      <c r="EI311" s="161"/>
      <c r="EJ311" s="161"/>
      <c r="EK311" s="161"/>
      <c r="EL311" s="161"/>
      <c r="EM311" s="161"/>
      <c r="EN311" s="161"/>
      <c r="EO311" s="161"/>
      <c r="EP311" s="161"/>
      <c r="EQ311" s="161"/>
      <c r="ER311" s="161"/>
      <c r="ES311" s="161"/>
      <c r="ET311" s="161"/>
      <c r="EU311" s="161"/>
      <c r="EV311" s="161"/>
      <c r="EW311" s="161"/>
      <c r="EX311" s="161"/>
      <c r="EY311" s="161"/>
      <c r="EZ311" s="161"/>
      <c r="FA311" s="161"/>
      <c r="FB311" s="161"/>
      <c r="FC311" s="161"/>
      <c r="FD311" s="161"/>
      <c r="FE311" s="161"/>
      <c r="FF311" s="161"/>
      <c r="FG311" s="161"/>
      <c r="FH311" s="161"/>
      <c r="FI311" s="161"/>
      <c r="FJ311" s="161"/>
      <c r="FK311" s="161"/>
      <c r="FL311" s="161"/>
      <c r="FM311" s="161"/>
      <c r="FN311" s="161"/>
      <c r="FO311" s="161"/>
      <c r="FP311" s="161"/>
      <c r="FQ311" s="161"/>
      <c r="FR311" s="161"/>
      <c r="FS311" s="161"/>
      <c r="FT311" s="161"/>
      <c r="FU311" s="161"/>
      <c r="FV311" s="161"/>
      <c r="FW311" s="161"/>
      <c r="FX311" s="161"/>
      <c r="FY311" s="161"/>
      <c r="FZ311" s="161"/>
      <c r="GA311" s="161"/>
      <c r="GB311" s="161"/>
      <c r="GC311" s="161"/>
      <c r="GD311" s="161"/>
      <c r="GE311" s="161"/>
      <c r="GF311" s="161"/>
      <c r="GG311" s="161"/>
      <c r="GH311" s="161"/>
      <c r="GI311" s="161"/>
      <c r="GJ311" s="161"/>
      <c r="GK311" s="161"/>
      <c r="GL311" s="161"/>
      <c r="GM311" s="161"/>
    </row>
    <row r="312" spans="1:195" s="166" customFormat="1" ht="16.2" hidden="1" customHeight="1" outlineLevel="1">
      <c r="A312" s="315" t="s">
        <v>3328</v>
      </c>
      <c r="B312" s="315" t="s">
        <v>365</v>
      </c>
      <c r="C312" s="316"/>
      <c r="D312" s="2945"/>
      <c r="E312" s="276" t="s">
        <v>978</v>
      </c>
      <c r="F312" s="154">
        <f>SUMIFS(INPUT!$H:$H,INPUT!$E:$E,BAZE_2026!$A312,INPUT!$B:$B,BAZE_2026!$B312)</f>
        <v>11200</v>
      </c>
      <c r="G312" s="154">
        <f>SUMIFS(INPUT!$L:$L,INPUT!$E:$E,BAZE_2026!$A312,INPUT!$B:$B,BAZE_2026!$B312)</f>
        <v>17776</v>
      </c>
      <c r="H312" s="160">
        <f>G312-F312</f>
        <v>6576</v>
      </c>
      <c r="I312" s="243">
        <f t="shared" si="37"/>
        <v>0.58714285714285719</v>
      </c>
      <c r="J312" s="2946"/>
      <c r="K312" s="317"/>
      <c r="L312" s="283"/>
      <c r="M312" s="161"/>
      <c r="N312" s="161"/>
      <c r="O312" s="161"/>
      <c r="P312" s="161"/>
      <c r="Q312" s="161"/>
      <c r="R312" s="161"/>
      <c r="S312" s="161"/>
      <c r="T312" s="161"/>
      <c r="U312" s="161"/>
      <c r="V312" s="161"/>
      <c r="W312" s="161"/>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c r="AS312" s="161"/>
      <c r="AT312" s="161"/>
      <c r="AU312" s="161"/>
      <c r="AV312" s="161"/>
      <c r="AW312" s="161"/>
      <c r="AX312" s="161"/>
      <c r="AY312" s="161"/>
      <c r="AZ312" s="161"/>
      <c r="BA312" s="161"/>
      <c r="BB312" s="161"/>
      <c r="BC312" s="161"/>
      <c r="BD312" s="161"/>
      <c r="BE312" s="161"/>
      <c r="BF312" s="161"/>
      <c r="BG312" s="161"/>
      <c r="BH312" s="161"/>
      <c r="BI312" s="161"/>
      <c r="BJ312" s="161"/>
      <c r="BK312" s="161"/>
      <c r="BL312" s="161"/>
      <c r="BM312" s="161"/>
      <c r="BN312" s="161"/>
      <c r="BO312" s="161"/>
      <c r="BP312" s="161"/>
      <c r="BQ312" s="161"/>
      <c r="BR312" s="161"/>
      <c r="BS312" s="161"/>
      <c r="BT312" s="161"/>
      <c r="BU312" s="161"/>
      <c r="BV312" s="161"/>
      <c r="BW312" s="161"/>
      <c r="BX312" s="161"/>
      <c r="BY312" s="161"/>
      <c r="BZ312" s="161"/>
      <c r="CA312" s="161"/>
      <c r="CB312" s="161"/>
      <c r="CC312" s="161"/>
      <c r="CD312" s="161"/>
      <c r="CE312" s="161"/>
      <c r="CF312" s="161"/>
      <c r="CG312" s="161"/>
      <c r="CH312" s="161"/>
      <c r="CI312" s="161"/>
      <c r="CJ312" s="161"/>
      <c r="CK312" s="161"/>
      <c r="CL312" s="161"/>
      <c r="CM312" s="161"/>
      <c r="CN312" s="161"/>
      <c r="CO312" s="161"/>
      <c r="CP312" s="161"/>
      <c r="CQ312" s="161"/>
      <c r="CR312" s="161"/>
      <c r="CS312" s="161"/>
      <c r="CT312" s="161"/>
      <c r="CU312" s="161"/>
      <c r="CV312" s="161"/>
      <c r="CW312" s="161"/>
      <c r="CX312" s="161"/>
      <c r="CY312" s="161"/>
      <c r="CZ312" s="161"/>
      <c r="DA312" s="161"/>
      <c r="DB312" s="161"/>
      <c r="DC312" s="161"/>
      <c r="DD312" s="161"/>
      <c r="DE312" s="161"/>
      <c r="DF312" s="161"/>
      <c r="DG312" s="161"/>
      <c r="DH312" s="161"/>
      <c r="DI312" s="161"/>
      <c r="DJ312" s="161"/>
      <c r="DK312" s="161"/>
      <c r="DL312" s="161"/>
      <c r="DM312" s="161"/>
      <c r="DN312" s="161"/>
      <c r="DO312" s="161"/>
      <c r="DP312" s="161"/>
      <c r="DQ312" s="161"/>
      <c r="DR312" s="161"/>
      <c r="DS312" s="161"/>
      <c r="DT312" s="161"/>
      <c r="DU312" s="161"/>
      <c r="DV312" s="161"/>
      <c r="DW312" s="161"/>
      <c r="DX312" s="161"/>
      <c r="DY312" s="161"/>
      <c r="DZ312" s="161"/>
      <c r="EA312" s="161"/>
      <c r="EB312" s="161"/>
      <c r="EC312" s="161"/>
      <c r="ED312" s="161"/>
      <c r="EE312" s="161"/>
      <c r="EF312" s="161"/>
      <c r="EG312" s="161"/>
      <c r="EH312" s="161"/>
      <c r="EI312" s="161"/>
      <c r="EJ312" s="161"/>
      <c r="EK312" s="161"/>
      <c r="EL312" s="161"/>
      <c r="EM312" s="161"/>
      <c r="EN312" s="161"/>
      <c r="EO312" s="161"/>
      <c r="EP312" s="161"/>
      <c r="EQ312" s="161"/>
      <c r="ER312" s="161"/>
      <c r="ES312" s="161"/>
      <c r="ET312" s="161"/>
      <c r="EU312" s="161"/>
      <c r="EV312" s="161"/>
      <c r="EW312" s="161"/>
      <c r="EX312" s="161"/>
      <c r="EY312" s="161"/>
      <c r="EZ312" s="161"/>
      <c r="FA312" s="161"/>
      <c r="FB312" s="161"/>
      <c r="FC312" s="161"/>
      <c r="FD312" s="161"/>
      <c r="FE312" s="161"/>
      <c r="FF312" s="161"/>
      <c r="FG312" s="161"/>
      <c r="FH312" s="161"/>
      <c r="FI312" s="161"/>
      <c r="FJ312" s="161"/>
      <c r="FK312" s="161"/>
      <c r="FL312" s="161"/>
      <c r="FM312" s="161"/>
      <c r="FN312" s="161"/>
      <c r="FO312" s="161"/>
      <c r="FP312" s="161"/>
      <c r="FQ312" s="161"/>
      <c r="FR312" s="161"/>
      <c r="FS312" s="161"/>
      <c r="FT312" s="161"/>
      <c r="FU312" s="161"/>
      <c r="FV312" s="161"/>
      <c r="FW312" s="161"/>
      <c r="FX312" s="161"/>
      <c r="FY312" s="161"/>
      <c r="FZ312" s="161"/>
      <c r="GA312" s="161"/>
      <c r="GB312" s="161"/>
      <c r="GC312" s="161"/>
      <c r="GD312" s="161"/>
      <c r="GE312" s="161"/>
      <c r="GF312" s="161"/>
      <c r="GG312" s="161"/>
      <c r="GH312" s="161"/>
      <c r="GI312" s="161"/>
      <c r="GJ312" s="161"/>
      <c r="GK312" s="161"/>
      <c r="GL312" s="161"/>
      <c r="GM312" s="161"/>
    </row>
    <row r="313" spans="1:195" s="166" customFormat="1" ht="16.2" hidden="1" customHeight="1" outlineLevel="1">
      <c r="A313" s="315" t="s">
        <v>3331</v>
      </c>
      <c r="B313" s="315" t="s">
        <v>365</v>
      </c>
      <c r="C313" s="316"/>
      <c r="D313" s="2938"/>
      <c r="E313" s="320" t="s">
        <v>1146</v>
      </c>
      <c r="F313" s="154">
        <f>SUMIFS(INPUT!$H:$H,INPUT!$E:$E,BAZE_2026!$A313,INPUT!$B:$B,BAZE_2026!$B313)</f>
        <v>39754</v>
      </c>
      <c r="G313" s="154">
        <f>SUMIFS(INPUT!$L:$L,INPUT!$E:$E,BAZE_2026!$A313,INPUT!$B:$B,BAZE_2026!$B313)</f>
        <v>32100</v>
      </c>
      <c r="H313" s="160">
        <f>G313-F313</f>
        <v>-7654</v>
      </c>
      <c r="I313" s="243">
        <f>IFERROR(H313/F313,"-")</f>
        <v>-0.19253408462041555</v>
      </c>
      <c r="J313" s="2947"/>
      <c r="K313" s="317"/>
      <c r="L313" s="283"/>
      <c r="M313" s="161"/>
      <c r="N313" s="161"/>
      <c r="O313" s="161"/>
      <c r="P313" s="161"/>
      <c r="Q313" s="161"/>
      <c r="R313" s="161"/>
      <c r="S313" s="161"/>
      <c r="T313" s="161"/>
      <c r="U313" s="161"/>
      <c r="V313" s="161"/>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F313" s="161"/>
      <c r="BG313" s="161"/>
      <c r="BH313" s="161"/>
      <c r="BI313" s="161"/>
      <c r="BJ313" s="161"/>
      <c r="BK313" s="161"/>
      <c r="BL313" s="161"/>
      <c r="BM313" s="161"/>
      <c r="BN313" s="161"/>
      <c r="BO313" s="161"/>
      <c r="BP313" s="161"/>
      <c r="BQ313" s="161"/>
      <c r="BR313" s="161"/>
      <c r="BS313" s="161"/>
      <c r="BT313" s="161"/>
      <c r="BU313" s="161"/>
      <c r="BV313" s="161"/>
      <c r="BW313" s="161"/>
      <c r="BX313" s="161"/>
      <c r="BY313" s="161"/>
      <c r="BZ313" s="161"/>
      <c r="CA313" s="161"/>
      <c r="CB313" s="161"/>
      <c r="CC313" s="161"/>
      <c r="CD313" s="161"/>
      <c r="CE313" s="161"/>
      <c r="CF313" s="161"/>
      <c r="CG313" s="161"/>
      <c r="CH313" s="161"/>
      <c r="CI313" s="161"/>
      <c r="CJ313" s="161"/>
      <c r="CK313" s="161"/>
      <c r="CL313" s="161"/>
      <c r="CM313" s="161"/>
      <c r="CN313" s="161"/>
      <c r="CO313" s="161"/>
      <c r="CP313" s="161"/>
      <c r="CQ313" s="161"/>
      <c r="CR313" s="161"/>
      <c r="CS313" s="161"/>
      <c r="CT313" s="161"/>
      <c r="CU313" s="161"/>
      <c r="CV313" s="161"/>
      <c r="CW313" s="161"/>
      <c r="CX313" s="161"/>
      <c r="CY313" s="161"/>
      <c r="CZ313" s="161"/>
      <c r="DA313" s="161"/>
      <c r="DB313" s="161"/>
      <c r="DC313" s="161"/>
      <c r="DD313" s="161"/>
      <c r="DE313" s="161"/>
      <c r="DF313" s="161"/>
      <c r="DG313" s="161"/>
      <c r="DH313" s="161"/>
      <c r="DI313" s="161"/>
      <c r="DJ313" s="161"/>
      <c r="DK313" s="161"/>
      <c r="DL313" s="161"/>
      <c r="DM313" s="161"/>
      <c r="DN313" s="161"/>
      <c r="DO313" s="161"/>
      <c r="DP313" s="161"/>
      <c r="DQ313" s="161"/>
      <c r="DR313" s="161"/>
      <c r="DS313" s="161"/>
      <c r="DT313" s="161"/>
      <c r="DU313" s="161"/>
      <c r="DV313" s="161"/>
      <c r="DW313" s="161"/>
      <c r="DX313" s="161"/>
      <c r="DY313" s="161"/>
      <c r="DZ313" s="161"/>
      <c r="EA313" s="161"/>
      <c r="EB313" s="161"/>
      <c r="EC313" s="161"/>
      <c r="ED313" s="161"/>
      <c r="EE313" s="161"/>
      <c r="EF313" s="161"/>
      <c r="EG313" s="161"/>
      <c r="EH313" s="161"/>
      <c r="EI313" s="161"/>
      <c r="EJ313" s="161"/>
      <c r="EK313" s="161"/>
      <c r="EL313" s="161"/>
      <c r="EM313" s="161"/>
      <c r="EN313" s="161"/>
      <c r="EO313" s="161"/>
      <c r="EP313" s="161"/>
      <c r="EQ313" s="161"/>
      <c r="ER313" s="161"/>
      <c r="ES313" s="161"/>
      <c r="ET313" s="161"/>
      <c r="EU313" s="161"/>
      <c r="EV313" s="161"/>
      <c r="EW313" s="161"/>
      <c r="EX313" s="161"/>
      <c r="EY313" s="161"/>
      <c r="EZ313" s="161"/>
      <c r="FA313" s="161"/>
      <c r="FB313" s="161"/>
      <c r="FC313" s="161"/>
      <c r="FD313" s="161"/>
      <c r="FE313" s="161"/>
      <c r="FF313" s="161"/>
      <c r="FG313" s="161"/>
      <c r="FH313" s="161"/>
      <c r="FI313" s="161"/>
      <c r="FJ313" s="161"/>
      <c r="FK313" s="161"/>
      <c r="FL313" s="161"/>
      <c r="FM313" s="161"/>
      <c r="FN313" s="161"/>
      <c r="FO313" s="161"/>
      <c r="FP313" s="161"/>
      <c r="FQ313" s="161"/>
      <c r="FR313" s="161"/>
      <c r="FS313" s="161"/>
      <c r="FT313" s="161"/>
      <c r="FU313" s="161"/>
      <c r="FV313" s="161"/>
      <c r="FW313" s="161"/>
      <c r="FX313" s="161"/>
      <c r="FY313" s="161"/>
      <c r="FZ313" s="161"/>
      <c r="GA313" s="161"/>
      <c r="GB313" s="161"/>
      <c r="GC313" s="161"/>
      <c r="GD313" s="161"/>
      <c r="GE313" s="161"/>
      <c r="GF313" s="161"/>
      <c r="GG313" s="161"/>
      <c r="GH313" s="161"/>
      <c r="GI313" s="161"/>
      <c r="GJ313" s="161"/>
      <c r="GK313" s="161"/>
      <c r="GL313" s="161"/>
      <c r="GM313" s="161"/>
    </row>
    <row r="314" spans="1:195" s="166" customFormat="1" ht="16.2" hidden="1" customHeight="1" outlineLevel="1">
      <c r="A314" s="315" t="s">
        <v>1963</v>
      </c>
      <c r="B314" s="315" t="s">
        <v>365</v>
      </c>
      <c r="C314" s="316"/>
      <c r="D314" s="2948"/>
      <c r="E314" s="382" t="s">
        <v>1554</v>
      </c>
      <c r="F314" s="154">
        <f>SUMIFS(INPUT!$H:$H,INPUT!$E:$E,BAZE_2026!$A314,INPUT!$B:$B,BAZE_2026!$B314)</f>
        <v>73908</v>
      </c>
      <c r="G314" s="154">
        <f>SUMIFS(INPUT!$L:$L,INPUT!$E:$E,BAZE_2026!$A314,INPUT!$B:$B,BAZE_2026!$B314)</f>
        <v>21340</v>
      </c>
      <c r="H314" s="160">
        <f>G314-F314</f>
        <v>-52568</v>
      </c>
      <c r="I314" s="243">
        <f>IFERROR(H314/F314,"-")</f>
        <v>-0.71126265086323537</v>
      </c>
      <c r="J314" s="2949"/>
      <c r="K314" s="317"/>
      <c r="L314" s="283"/>
      <c r="M314" s="161"/>
      <c r="N314" s="161"/>
      <c r="O314" s="161"/>
      <c r="P314" s="161"/>
      <c r="Q314" s="161"/>
      <c r="R314" s="161"/>
      <c r="S314" s="161"/>
      <c r="T314" s="161"/>
      <c r="U314" s="161"/>
      <c r="V314" s="161"/>
      <c r="W314" s="161"/>
      <c r="X314" s="161"/>
      <c r="Y314" s="161"/>
      <c r="Z314" s="161"/>
      <c r="AA314" s="161"/>
      <c r="AB314" s="161"/>
      <c r="AC314" s="161"/>
      <c r="AD314" s="161"/>
      <c r="AE314" s="161"/>
      <c r="AF314" s="161"/>
      <c r="AG314" s="161"/>
      <c r="AH314" s="161"/>
      <c r="AI314" s="161"/>
      <c r="AJ314" s="161"/>
      <c r="AK314" s="161"/>
      <c r="AL314" s="161"/>
      <c r="AM314" s="161"/>
      <c r="AN314" s="161"/>
      <c r="AO314" s="161"/>
      <c r="AP314" s="161"/>
      <c r="AQ314" s="161"/>
      <c r="AR314" s="161"/>
      <c r="AS314" s="161"/>
      <c r="AT314" s="161"/>
      <c r="AU314" s="161"/>
      <c r="AV314" s="161"/>
      <c r="AW314" s="161"/>
      <c r="AX314" s="161"/>
      <c r="AY314" s="161"/>
      <c r="AZ314" s="161"/>
      <c r="BA314" s="161"/>
      <c r="BB314" s="161"/>
      <c r="BC314" s="161"/>
      <c r="BD314" s="161"/>
      <c r="BE314" s="161"/>
      <c r="BF314" s="161"/>
      <c r="BG314" s="161"/>
      <c r="BH314" s="161"/>
      <c r="BI314" s="161"/>
      <c r="BJ314" s="161"/>
      <c r="BK314" s="161"/>
      <c r="BL314" s="161"/>
      <c r="BM314" s="161"/>
      <c r="BN314" s="161"/>
      <c r="BO314" s="161"/>
      <c r="BP314" s="161"/>
      <c r="BQ314" s="161"/>
      <c r="BR314" s="161"/>
      <c r="BS314" s="161"/>
      <c r="BT314" s="161"/>
      <c r="BU314" s="161"/>
      <c r="BV314" s="161"/>
      <c r="BW314" s="161"/>
      <c r="BX314" s="161"/>
      <c r="BY314" s="161"/>
      <c r="BZ314" s="161"/>
      <c r="CA314" s="161"/>
      <c r="CB314" s="161"/>
      <c r="CC314" s="161"/>
      <c r="CD314" s="161"/>
      <c r="CE314" s="161"/>
      <c r="CF314" s="161"/>
      <c r="CG314" s="161"/>
      <c r="CH314" s="161"/>
      <c r="CI314" s="161"/>
      <c r="CJ314" s="161"/>
      <c r="CK314" s="161"/>
      <c r="CL314" s="161"/>
      <c r="CM314" s="161"/>
      <c r="CN314" s="161"/>
      <c r="CO314" s="161"/>
      <c r="CP314" s="161"/>
      <c r="CQ314" s="161"/>
      <c r="CR314" s="161"/>
      <c r="CS314" s="161"/>
      <c r="CT314" s="161"/>
      <c r="CU314" s="161"/>
      <c r="CV314" s="161"/>
      <c r="CW314" s="161"/>
      <c r="CX314" s="161"/>
      <c r="CY314" s="161"/>
      <c r="CZ314" s="161"/>
      <c r="DA314" s="161"/>
      <c r="DB314" s="161"/>
      <c r="DC314" s="161"/>
      <c r="DD314" s="161"/>
      <c r="DE314" s="161"/>
      <c r="DF314" s="161"/>
      <c r="DG314" s="161"/>
      <c r="DH314" s="161"/>
      <c r="DI314" s="161"/>
      <c r="DJ314" s="161"/>
      <c r="DK314" s="161"/>
      <c r="DL314" s="161"/>
      <c r="DM314" s="161"/>
      <c r="DN314" s="161"/>
      <c r="DO314" s="161"/>
      <c r="DP314" s="161"/>
      <c r="DQ314" s="161"/>
      <c r="DR314" s="161"/>
      <c r="DS314" s="161"/>
      <c r="DT314" s="161"/>
      <c r="DU314" s="161"/>
      <c r="DV314" s="161"/>
      <c r="DW314" s="161"/>
      <c r="DX314" s="161"/>
      <c r="DY314" s="161"/>
      <c r="DZ314" s="161"/>
      <c r="EA314" s="161"/>
      <c r="EB314" s="161"/>
      <c r="EC314" s="161"/>
      <c r="ED314" s="161"/>
      <c r="EE314" s="161"/>
      <c r="EF314" s="161"/>
      <c r="EG314" s="161"/>
      <c r="EH314" s="161"/>
      <c r="EI314" s="161"/>
      <c r="EJ314" s="161"/>
      <c r="EK314" s="161"/>
      <c r="EL314" s="161"/>
      <c r="EM314" s="161"/>
      <c r="EN314" s="161"/>
      <c r="EO314" s="161"/>
      <c r="EP314" s="161"/>
      <c r="EQ314" s="161"/>
      <c r="ER314" s="161"/>
      <c r="ES314" s="161"/>
      <c r="ET314" s="161"/>
      <c r="EU314" s="161"/>
      <c r="EV314" s="161"/>
      <c r="EW314" s="161"/>
      <c r="EX314" s="161"/>
      <c r="EY314" s="161"/>
      <c r="EZ314" s="161"/>
      <c r="FA314" s="161"/>
      <c r="FB314" s="161"/>
      <c r="FC314" s="161"/>
      <c r="FD314" s="161"/>
      <c r="FE314" s="161"/>
      <c r="FF314" s="161"/>
      <c r="FG314" s="161"/>
      <c r="FH314" s="161"/>
      <c r="FI314" s="161"/>
      <c r="FJ314" s="161"/>
      <c r="FK314" s="161"/>
      <c r="FL314" s="161"/>
      <c r="FM314" s="161"/>
      <c r="FN314" s="161"/>
      <c r="FO314" s="161"/>
      <c r="FP314" s="161"/>
      <c r="FQ314" s="161"/>
      <c r="FR314" s="161"/>
      <c r="FS314" s="161"/>
      <c r="FT314" s="161"/>
      <c r="FU314" s="161"/>
      <c r="FV314" s="161"/>
      <c r="FW314" s="161"/>
      <c r="FX314" s="161"/>
      <c r="FY314" s="161"/>
      <c r="FZ314" s="161"/>
      <c r="GA314" s="161"/>
      <c r="GB314" s="161"/>
      <c r="GC314" s="161"/>
      <c r="GD314" s="161"/>
      <c r="GE314" s="161"/>
      <c r="GF314" s="161"/>
      <c r="GG314" s="161"/>
      <c r="GH314" s="161"/>
      <c r="GI314" s="161"/>
      <c r="GJ314" s="161"/>
      <c r="GK314" s="161"/>
      <c r="GL314" s="161"/>
      <c r="GM314" s="161"/>
    </row>
    <row r="315" spans="1:195" ht="13.8" collapsed="1">
      <c r="D315" s="1211" t="s">
        <v>1169</v>
      </c>
      <c r="E315" s="1160" t="s">
        <v>379</v>
      </c>
      <c r="F315" s="1161">
        <f>F316+F317+F319+F318</f>
        <v>1716616.98490572</v>
      </c>
      <c r="G315" s="1161">
        <f>G316+G317+G319+G318</f>
        <v>1760475.2350305999</v>
      </c>
      <c r="H315" s="1161">
        <f t="shared" si="36"/>
        <v>43858.25012487988</v>
      </c>
      <c r="I315" s="1162">
        <f t="shared" si="37"/>
        <v>2.5549234634474189E-2</v>
      </c>
      <c r="J315" s="1402"/>
      <c r="K315" s="72"/>
    </row>
    <row r="316" spans="1:195" s="8" customFormat="1" ht="13.8" hidden="1" outlineLevel="1">
      <c r="A316" s="179" t="s">
        <v>420</v>
      </c>
      <c r="B316" s="179" t="s">
        <v>436</v>
      </c>
      <c r="C316" s="248"/>
      <c r="D316" s="58"/>
      <c r="E316" s="1163" t="s">
        <v>436</v>
      </c>
      <c r="F316" s="1164">
        <f>SUMIFS(INPUT!$H:$H,INPUT!$E:$E,BAZE_2026!$A316,INPUT!$B:$B,BAZE_2026!$B316)+SUMIFS(INPUT!$H:$H,INPUT!$E:$E,BAZE_2026!$A296,INPUT!$B:$B,BAZE_2026!$B296)</f>
        <v>667087.41490571992</v>
      </c>
      <c r="G316" s="1164">
        <f>SUMIFS(INPUT!$L:$L,INPUT!$E:$E,BAZE_2026!$A316,INPUT!$B:$B,BAZE_2026!$B316)+SUMIFS(INPUT!$L:$L,INPUT!$E:$E,BAZE_2026!$A296,INPUT!$B:$B,BAZE_2026!$B296)</f>
        <v>697310.23503059999</v>
      </c>
      <c r="H316" s="131">
        <f t="shared" si="36"/>
        <v>30222.820124880061</v>
      </c>
      <c r="I316" s="244">
        <f t="shared" si="37"/>
        <v>4.5305636786974135E-2</v>
      </c>
      <c r="J316" s="2576" t="s">
        <v>2738</v>
      </c>
      <c r="K316" s="72"/>
      <c r="L316" s="12"/>
      <c r="M316">
        <v>730467.80937004997</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row>
    <row r="317" spans="1:195" s="8" customFormat="1" ht="18" hidden="1" customHeight="1" outlineLevel="1">
      <c r="A317" s="179" t="s">
        <v>420</v>
      </c>
      <c r="B317" s="179" t="s">
        <v>772</v>
      </c>
      <c r="C317" s="248"/>
      <c r="D317" s="64"/>
      <c r="E317" s="465" t="s">
        <v>376</v>
      </c>
      <c r="F317" s="1164">
        <f>SUMIFS(INPUT!$H:$H,INPUT!$E:$E,BAZE_2026!$A317,INPUT!$B:$B,BAZE_2026!$B317)</f>
        <v>370212</v>
      </c>
      <c r="G317" s="1164">
        <f>SUMIFS(INPUT!$L:$L,INPUT!$E:$E,BAZE_2026!$A317,INPUT!$B:$B,BAZE_2026!$B317)</f>
        <v>415441</v>
      </c>
      <c r="H317" s="131">
        <f t="shared" si="36"/>
        <v>45229</v>
      </c>
      <c r="I317" s="244">
        <f t="shared" si="37"/>
        <v>0.12217054012295657</v>
      </c>
      <c r="J317" s="2950" t="s">
        <v>5154</v>
      </c>
      <c r="K317" s="54"/>
      <c r="L317" s="135"/>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row>
    <row r="318" spans="1:195" s="357" customFormat="1" ht="13.8" hidden="1" outlineLevel="1">
      <c r="A318" s="179" t="s">
        <v>420</v>
      </c>
      <c r="B318" s="372" t="s">
        <v>1211</v>
      </c>
      <c r="C318" s="248"/>
      <c r="D318" s="371"/>
      <c r="E318" s="465" t="s">
        <v>1210</v>
      </c>
      <c r="F318" s="1164">
        <f>SUMIFS(INPUT!$H:$H,INPUT!$E:$E,BAZE_2026!$A318,INPUT!$B:$B,BAZE_2026!$B318)</f>
        <v>630672</v>
      </c>
      <c r="G318" s="1164">
        <f>SUMIFS(INPUT!$L:$L,INPUT!$E:$E,BAZE_2026!$A318,INPUT!$B:$B,BAZE_2026!$B318)</f>
        <v>611254</v>
      </c>
      <c r="H318" s="131">
        <f>G318-F318</f>
        <v>-19418</v>
      </c>
      <c r="I318" s="244">
        <f>IFERROR(H318/F318,"-")</f>
        <v>-3.0789380216657787E-2</v>
      </c>
      <c r="J318" s="1539"/>
      <c r="K318" s="309"/>
      <c r="L318" s="463"/>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row>
    <row r="319" spans="1:195" s="8" customFormat="1" ht="13.8" hidden="1" outlineLevel="1">
      <c r="A319" s="179" t="s">
        <v>420</v>
      </c>
      <c r="B319" s="179" t="s">
        <v>774</v>
      </c>
      <c r="C319" s="248"/>
      <c r="D319" s="58"/>
      <c r="E319" s="465" t="s">
        <v>375</v>
      </c>
      <c r="F319" s="1164">
        <f>SUMIFS(INPUT!$H:$H,INPUT!$E:$E,BAZE_2026!$A319,INPUT!$B:$B,BAZE_2026!$B319)</f>
        <v>48645.57</v>
      </c>
      <c r="G319" s="1164">
        <f>SUMIFS(INPUT!$L:$L,INPUT!$E:$E,BAZE_2026!$A319,INPUT!$B:$B,BAZE_2026!$B319)</f>
        <v>36470</v>
      </c>
      <c r="H319" s="131">
        <f t="shared" si="36"/>
        <v>-12175.57</v>
      </c>
      <c r="I319" s="244">
        <f t="shared" si="37"/>
        <v>-0.25029144483248938</v>
      </c>
      <c r="J319" s="1538"/>
      <c r="K319" s="72"/>
      <c r="L319" s="462"/>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row>
    <row r="320" spans="1:195" s="166" customFormat="1" ht="13.8" hidden="1" outlineLevel="1">
      <c r="A320" s="315" t="s">
        <v>1938</v>
      </c>
      <c r="B320" s="315" t="s">
        <v>326</v>
      </c>
      <c r="C320" s="316"/>
      <c r="D320" s="2919"/>
      <c r="E320" s="164" t="s">
        <v>265</v>
      </c>
      <c r="F320" s="154">
        <f>SUMIFS(INPUT!$H:$H,INPUT!$E:$E,BAZE_2026!$A320,INPUT!$B:$B,BAZE_2026!$B320)</f>
        <v>4555951.0109762195</v>
      </c>
      <c r="G320" s="154">
        <f>SUMIFS(INPUT!$L:$L,INPUT!$E:$E,BAZE_2026!$A320,INPUT!$B:$B,BAZE_2026!$B320)</f>
        <v>4774760</v>
      </c>
      <c r="H320" s="160">
        <f t="shared" si="36"/>
        <v>218808.98902378045</v>
      </c>
      <c r="I320" s="243">
        <f t="shared" si="37"/>
        <v>4.8027072393145749E-2</v>
      </c>
      <c r="J320" s="2932"/>
      <c r="K320" s="317"/>
      <c r="L320" s="464"/>
      <c r="M320" s="161"/>
      <c r="N320" s="161"/>
      <c r="O320" s="161"/>
      <c r="P320" s="161"/>
      <c r="Q320" s="161"/>
      <c r="R320" s="161"/>
      <c r="S320" s="161"/>
      <c r="T320" s="161"/>
      <c r="U320" s="161"/>
      <c r="V320" s="161"/>
      <c r="W320" s="161"/>
      <c r="X320" s="161"/>
      <c r="Y320" s="161"/>
      <c r="Z320" s="161"/>
      <c r="AA320" s="161"/>
      <c r="AB320" s="161"/>
      <c r="AC320" s="161"/>
      <c r="AD320" s="161"/>
      <c r="AE320" s="161"/>
      <c r="AF320" s="161"/>
      <c r="AG320" s="161"/>
      <c r="AH320" s="161"/>
      <c r="AI320" s="161"/>
      <c r="AJ320" s="161"/>
      <c r="AK320" s="161"/>
      <c r="AL320" s="161"/>
      <c r="AM320" s="161"/>
      <c r="AN320" s="161"/>
      <c r="AO320" s="161"/>
      <c r="AP320" s="161"/>
      <c r="AQ320" s="161"/>
      <c r="AR320" s="161"/>
      <c r="AS320" s="161"/>
      <c r="AT320" s="161"/>
      <c r="AU320" s="161"/>
      <c r="AV320" s="161"/>
      <c r="AW320" s="161"/>
      <c r="AX320" s="161"/>
      <c r="AY320" s="161"/>
      <c r="AZ320" s="161"/>
      <c r="BA320" s="161"/>
      <c r="BB320" s="161"/>
      <c r="BC320" s="161"/>
      <c r="BD320" s="161"/>
      <c r="BE320" s="161"/>
      <c r="BF320" s="161"/>
      <c r="BG320" s="161"/>
      <c r="BH320" s="161"/>
      <c r="BI320" s="161"/>
      <c r="BJ320" s="161"/>
      <c r="BK320" s="161"/>
      <c r="BL320" s="161"/>
      <c r="BM320" s="161"/>
      <c r="BN320" s="161"/>
      <c r="BO320" s="161"/>
      <c r="BP320" s="161"/>
      <c r="BQ320" s="161"/>
      <c r="BR320" s="161"/>
      <c r="BS320" s="161"/>
      <c r="BT320" s="161"/>
      <c r="BU320" s="161"/>
      <c r="BV320" s="161"/>
      <c r="BW320" s="161"/>
      <c r="BX320" s="161"/>
      <c r="BY320" s="161"/>
      <c r="BZ320" s="161"/>
      <c r="CA320" s="161"/>
      <c r="CB320" s="161"/>
      <c r="CC320" s="161"/>
      <c r="CD320" s="161"/>
      <c r="CE320" s="161"/>
      <c r="CF320" s="161"/>
      <c r="CG320" s="161"/>
      <c r="CH320" s="161"/>
      <c r="CI320" s="161"/>
      <c r="CJ320" s="161"/>
      <c r="CK320" s="161"/>
      <c r="CL320" s="161"/>
      <c r="CM320" s="161"/>
      <c r="CN320" s="161"/>
      <c r="CO320" s="161"/>
      <c r="CP320" s="161"/>
      <c r="CQ320" s="161"/>
      <c r="CR320" s="161"/>
      <c r="CS320" s="161"/>
      <c r="CT320" s="161"/>
      <c r="CU320" s="161"/>
      <c r="CV320" s="161"/>
      <c r="CW320" s="161"/>
      <c r="CX320" s="161"/>
      <c r="CY320" s="161"/>
      <c r="CZ320" s="161"/>
      <c r="DA320" s="161"/>
      <c r="DB320" s="161"/>
      <c r="DC320" s="161"/>
      <c r="DD320" s="161"/>
      <c r="DE320" s="161"/>
      <c r="DF320" s="161"/>
      <c r="DG320" s="161"/>
      <c r="DH320" s="161"/>
      <c r="DI320" s="161"/>
      <c r="DJ320" s="161"/>
      <c r="DK320" s="161"/>
      <c r="DL320" s="161"/>
      <c r="DM320" s="161"/>
      <c r="DN320" s="161"/>
      <c r="DO320" s="161"/>
      <c r="DP320" s="161"/>
      <c r="DQ320" s="161"/>
      <c r="DR320" s="161"/>
      <c r="DS320" s="161"/>
      <c r="DT320" s="161"/>
      <c r="DU320" s="161"/>
      <c r="DV320" s="161"/>
      <c r="DW320" s="161"/>
      <c r="DX320" s="161"/>
      <c r="DY320" s="161"/>
      <c r="DZ320" s="161"/>
      <c r="EA320" s="161"/>
      <c r="EB320" s="161"/>
      <c r="EC320" s="161"/>
      <c r="ED320" s="161"/>
      <c r="EE320" s="161"/>
      <c r="EF320" s="161"/>
      <c r="EG320" s="161"/>
      <c r="EH320" s="161"/>
      <c r="EI320" s="161"/>
      <c r="EJ320" s="161"/>
      <c r="EK320" s="161"/>
      <c r="EL320" s="161"/>
      <c r="EM320" s="161"/>
      <c r="EN320" s="161"/>
      <c r="EO320" s="161"/>
      <c r="EP320" s="161"/>
      <c r="EQ320" s="161"/>
      <c r="ER320" s="161"/>
      <c r="ES320" s="161"/>
      <c r="ET320" s="161"/>
      <c r="EU320" s="161"/>
      <c r="EV320" s="161"/>
      <c r="EW320" s="161"/>
      <c r="EX320" s="161"/>
      <c r="EY320" s="161"/>
      <c r="EZ320" s="161"/>
      <c r="FA320" s="161"/>
      <c r="FB320" s="161"/>
      <c r="FC320" s="161"/>
      <c r="FD320" s="161"/>
      <c r="FE320" s="161"/>
      <c r="FF320" s="161"/>
      <c r="FG320" s="161"/>
      <c r="FH320" s="161"/>
      <c r="FI320" s="161"/>
      <c r="FJ320" s="161"/>
      <c r="FK320" s="161"/>
      <c r="FL320" s="161"/>
      <c r="FM320" s="161"/>
      <c r="FN320" s="161"/>
      <c r="FO320" s="161"/>
      <c r="FP320" s="161"/>
      <c r="FQ320" s="161"/>
      <c r="FR320" s="161"/>
      <c r="FS320" s="161"/>
      <c r="FT320" s="161"/>
      <c r="FU320" s="161"/>
      <c r="FV320" s="161"/>
      <c r="FW320" s="161"/>
      <c r="FX320" s="161"/>
      <c r="FY320" s="161"/>
      <c r="FZ320" s="161"/>
      <c r="GA320" s="161"/>
      <c r="GB320" s="161"/>
      <c r="GC320" s="161"/>
      <c r="GD320" s="161"/>
      <c r="GE320" s="161"/>
      <c r="GF320" s="161"/>
      <c r="GG320" s="161"/>
      <c r="GH320" s="161"/>
      <c r="GI320" s="161"/>
      <c r="GJ320" s="161"/>
      <c r="GK320" s="161"/>
      <c r="GL320" s="161"/>
      <c r="GM320" s="161"/>
    </row>
    <row r="321" spans="1:195" s="161" customFormat="1" ht="13.8" hidden="1" outlineLevel="1">
      <c r="A321" s="315" t="s">
        <v>1939</v>
      </c>
      <c r="B321" s="315" t="s">
        <v>326</v>
      </c>
      <c r="C321" s="321"/>
      <c r="D321" s="2929"/>
      <c r="E321" s="215" t="s">
        <v>2600</v>
      </c>
      <c r="F321" s="163">
        <f>SUMIFS(INPUT!$H:$H,INPUT!$E:$E,BAZE_2026!$A321,INPUT!$B:$B,BAZE_2026!$B321)</f>
        <v>391157</v>
      </c>
      <c r="G321" s="163">
        <f>SUMIFS(INPUT!$L:$L,INPUT!$E:$E,BAZE_2026!$A321,INPUT!$B:$B,BAZE_2026!$B321)</f>
        <v>423575</v>
      </c>
      <c r="H321" s="160">
        <f>G321-F321</f>
        <v>32418</v>
      </c>
      <c r="I321" s="323">
        <f>IFERROR(H321/F321,"-")</f>
        <v>8.2877207873053527E-2</v>
      </c>
      <c r="J321" s="2944"/>
      <c r="K321" s="317"/>
      <c r="L321" s="464"/>
    </row>
    <row r="322" spans="1:195" s="166" customFormat="1" ht="13.8" hidden="1" outlineLevel="1">
      <c r="A322" s="315" t="s">
        <v>420</v>
      </c>
      <c r="B322" s="315" t="s">
        <v>773</v>
      </c>
      <c r="C322" s="316"/>
      <c r="D322" s="2919"/>
      <c r="E322" s="164" t="s">
        <v>773</v>
      </c>
      <c r="F322" s="154">
        <f>SUMIFS(INPUT!$H:$H,INPUT!$E:$E,BAZE_2026!$A322,INPUT!$B:$B,BAZE_2026!$B322)</f>
        <v>649407.07999999996</v>
      </c>
      <c r="G322" s="154">
        <f>SUMIFS(INPUT!$L:$L,INPUT!$E:$E,BAZE_2026!$A322,INPUT!$B:$B,BAZE_2026!$B322)</f>
        <v>114091.93333333333</v>
      </c>
      <c r="H322" s="160">
        <f>G322-F322</f>
        <v>-535315.14666666661</v>
      </c>
      <c r="I322" s="243">
        <f t="shared" si="37"/>
        <v>-0.82431369036916979</v>
      </c>
      <c r="J322" s="2932"/>
      <c r="K322" s="317"/>
      <c r="L322" s="464"/>
      <c r="M322" s="161"/>
      <c r="N322" s="161"/>
      <c r="O322" s="161"/>
      <c r="P322" s="161"/>
      <c r="Q322" s="161"/>
      <c r="R322" s="161"/>
      <c r="S322" s="161"/>
      <c r="T322" s="161"/>
      <c r="U322" s="161"/>
      <c r="V322" s="161"/>
      <c r="W322" s="161"/>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c r="AS322" s="161"/>
      <c r="AT322" s="161"/>
      <c r="AU322" s="161"/>
      <c r="AV322" s="161"/>
      <c r="AW322" s="161"/>
      <c r="AX322" s="161"/>
      <c r="AY322" s="161"/>
      <c r="AZ322" s="161"/>
      <c r="BA322" s="161"/>
      <c r="BB322" s="161"/>
      <c r="BC322" s="161"/>
      <c r="BD322" s="161"/>
      <c r="BE322" s="161"/>
      <c r="BF322" s="161"/>
      <c r="BG322" s="161"/>
      <c r="BH322" s="161"/>
      <c r="BI322" s="161"/>
      <c r="BJ322" s="161"/>
      <c r="BK322" s="161"/>
      <c r="BL322" s="161"/>
      <c r="BM322" s="161"/>
      <c r="BN322" s="161"/>
      <c r="BO322" s="161"/>
      <c r="BP322" s="161"/>
      <c r="BQ322" s="161"/>
      <c r="BR322" s="161"/>
      <c r="BS322" s="161"/>
      <c r="BT322" s="161"/>
      <c r="BU322" s="161"/>
      <c r="BV322" s="161"/>
      <c r="BW322" s="161"/>
      <c r="BX322" s="161"/>
      <c r="BY322" s="161"/>
      <c r="BZ322" s="161"/>
      <c r="CA322" s="161"/>
      <c r="CB322" s="161"/>
      <c r="CC322" s="161"/>
      <c r="CD322" s="161"/>
      <c r="CE322" s="161"/>
      <c r="CF322" s="161"/>
      <c r="CG322" s="161"/>
      <c r="CH322" s="161"/>
      <c r="CI322" s="161"/>
      <c r="CJ322" s="161"/>
      <c r="CK322" s="161"/>
      <c r="CL322" s="161"/>
      <c r="CM322" s="161"/>
      <c r="CN322" s="161"/>
      <c r="CO322" s="161"/>
      <c r="CP322" s="161"/>
      <c r="CQ322" s="161"/>
      <c r="CR322" s="161"/>
      <c r="CS322" s="161"/>
      <c r="CT322" s="161"/>
      <c r="CU322" s="161"/>
      <c r="CV322" s="161"/>
      <c r="CW322" s="161"/>
      <c r="CX322" s="161"/>
      <c r="CY322" s="161"/>
      <c r="CZ322" s="161"/>
      <c r="DA322" s="161"/>
      <c r="DB322" s="161"/>
      <c r="DC322" s="161"/>
      <c r="DD322" s="161"/>
      <c r="DE322" s="161"/>
      <c r="DF322" s="161"/>
      <c r="DG322" s="161"/>
      <c r="DH322" s="161"/>
      <c r="DI322" s="161"/>
      <c r="DJ322" s="161"/>
      <c r="DK322" s="161"/>
      <c r="DL322" s="161"/>
      <c r="DM322" s="161"/>
      <c r="DN322" s="161"/>
      <c r="DO322" s="161"/>
      <c r="DP322" s="161"/>
      <c r="DQ322" s="161"/>
      <c r="DR322" s="161"/>
      <c r="DS322" s="161"/>
      <c r="DT322" s="161"/>
      <c r="DU322" s="161"/>
      <c r="DV322" s="161"/>
      <c r="DW322" s="161"/>
      <c r="DX322" s="161"/>
      <c r="DY322" s="161"/>
      <c r="DZ322" s="161"/>
      <c r="EA322" s="161"/>
      <c r="EB322" s="161"/>
      <c r="EC322" s="161"/>
      <c r="ED322" s="161"/>
      <c r="EE322" s="161"/>
      <c r="EF322" s="161"/>
      <c r="EG322" s="161"/>
      <c r="EH322" s="161"/>
      <c r="EI322" s="161"/>
      <c r="EJ322" s="161"/>
      <c r="EK322" s="161"/>
      <c r="EL322" s="161"/>
      <c r="EM322" s="161"/>
      <c r="EN322" s="161"/>
      <c r="EO322" s="161"/>
      <c r="EP322" s="161"/>
      <c r="EQ322" s="161"/>
      <c r="ER322" s="161"/>
      <c r="ES322" s="161"/>
      <c r="ET322" s="161"/>
      <c r="EU322" s="161"/>
      <c r="EV322" s="161"/>
      <c r="EW322" s="161"/>
      <c r="EX322" s="161"/>
      <c r="EY322" s="161"/>
      <c r="EZ322" s="161"/>
      <c r="FA322" s="161"/>
      <c r="FB322" s="161"/>
      <c r="FC322" s="161"/>
      <c r="FD322" s="161"/>
      <c r="FE322" s="161"/>
      <c r="FF322" s="161"/>
      <c r="FG322" s="161"/>
      <c r="FH322" s="161"/>
      <c r="FI322" s="161"/>
      <c r="FJ322" s="161"/>
      <c r="FK322" s="161"/>
      <c r="FL322" s="161"/>
      <c r="FM322" s="161"/>
      <c r="FN322" s="161"/>
      <c r="FO322" s="161"/>
      <c r="FP322" s="161"/>
      <c r="FQ322" s="161"/>
      <c r="FR322" s="161"/>
      <c r="FS322" s="161"/>
      <c r="FT322" s="161"/>
      <c r="FU322" s="161"/>
      <c r="FV322" s="161"/>
      <c r="FW322" s="161"/>
      <c r="FX322" s="161"/>
      <c r="FY322" s="161"/>
      <c r="FZ322" s="161"/>
      <c r="GA322" s="161"/>
      <c r="GB322" s="161"/>
      <c r="GC322" s="161"/>
      <c r="GD322" s="161"/>
      <c r="GE322" s="161"/>
      <c r="GF322" s="161"/>
      <c r="GG322" s="161"/>
      <c r="GH322" s="161"/>
      <c r="GI322" s="161"/>
      <c r="GJ322" s="161"/>
      <c r="GK322" s="161"/>
      <c r="GL322" s="161"/>
      <c r="GM322" s="161"/>
    </row>
    <row r="323" spans="1:195" s="166" customFormat="1" ht="13.8" hidden="1" outlineLevel="1">
      <c r="A323" s="315" t="s">
        <v>420</v>
      </c>
      <c r="B323" s="315" t="s">
        <v>1849</v>
      </c>
      <c r="C323" s="316"/>
      <c r="D323" s="2939"/>
      <c r="E323" s="164" t="s">
        <v>1849</v>
      </c>
      <c r="F323" s="154">
        <f>SUMIFS(INPUT!$H:$H,INPUT!$E:$E,BAZE_2026!$A323,INPUT!$B:$B,BAZE_2026!$B323)</f>
        <v>443604</v>
      </c>
      <c r="G323" s="154">
        <f>SUMIFS(INPUT!$L:$L,INPUT!$E:$E,BAZE_2026!$A323,INPUT!$B:$B,BAZE_2026!$B323)</f>
        <v>1139284</v>
      </c>
      <c r="H323" s="160">
        <f>G323-F323</f>
        <v>695680</v>
      </c>
      <c r="I323" s="243">
        <f t="shared" ref="I323" si="39">IFERROR(H323/F323,"-")</f>
        <v>1.568245552339474</v>
      </c>
      <c r="J323" s="2940"/>
      <c r="K323" s="317"/>
      <c r="L323" s="464"/>
      <c r="M323" s="161"/>
      <c r="N323" s="161"/>
      <c r="O323" s="161"/>
      <c r="P323" s="161"/>
      <c r="Q323" s="161"/>
      <c r="R323" s="161"/>
      <c r="S323" s="161"/>
      <c r="T323" s="161"/>
      <c r="U323" s="161"/>
      <c r="V323" s="161"/>
      <c r="W323" s="161"/>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c r="AS323" s="161"/>
      <c r="AT323" s="161"/>
      <c r="AU323" s="161"/>
      <c r="AV323" s="161"/>
      <c r="AW323" s="161"/>
      <c r="AX323" s="161"/>
      <c r="AY323" s="161"/>
      <c r="AZ323" s="161"/>
      <c r="BA323" s="161"/>
      <c r="BB323" s="161"/>
      <c r="BC323" s="161"/>
      <c r="BD323" s="161"/>
      <c r="BE323" s="161"/>
      <c r="BF323" s="161"/>
      <c r="BG323" s="161"/>
      <c r="BH323" s="161"/>
      <c r="BI323" s="161"/>
      <c r="BJ323" s="161"/>
      <c r="BK323" s="161"/>
      <c r="BL323" s="161"/>
      <c r="BM323" s="161"/>
      <c r="BN323" s="161"/>
      <c r="BO323" s="161"/>
      <c r="BP323" s="161"/>
      <c r="BQ323" s="161"/>
      <c r="BR323" s="161"/>
      <c r="BS323" s="161"/>
      <c r="BT323" s="161"/>
      <c r="BU323" s="161"/>
      <c r="BV323" s="161"/>
      <c r="BW323" s="161"/>
      <c r="BX323" s="161"/>
      <c r="BY323" s="161"/>
      <c r="BZ323" s="161"/>
      <c r="CA323" s="161"/>
      <c r="CB323" s="161"/>
      <c r="CC323" s="161"/>
      <c r="CD323" s="161"/>
      <c r="CE323" s="161"/>
      <c r="CF323" s="161"/>
      <c r="CG323" s="161"/>
      <c r="CH323" s="161"/>
      <c r="CI323" s="161"/>
      <c r="CJ323" s="161"/>
      <c r="CK323" s="161"/>
      <c r="CL323" s="161"/>
      <c r="CM323" s="161"/>
      <c r="CN323" s="161"/>
      <c r="CO323" s="161"/>
      <c r="CP323" s="161"/>
      <c r="CQ323" s="161"/>
      <c r="CR323" s="161"/>
      <c r="CS323" s="161"/>
      <c r="CT323" s="161"/>
      <c r="CU323" s="161"/>
      <c r="CV323" s="161"/>
      <c r="CW323" s="161"/>
      <c r="CX323" s="161"/>
      <c r="CY323" s="161"/>
      <c r="CZ323" s="161"/>
      <c r="DA323" s="161"/>
      <c r="DB323" s="161"/>
      <c r="DC323" s="161"/>
      <c r="DD323" s="161"/>
      <c r="DE323" s="161"/>
      <c r="DF323" s="161"/>
      <c r="DG323" s="161"/>
      <c r="DH323" s="161"/>
      <c r="DI323" s="161"/>
      <c r="DJ323" s="161"/>
      <c r="DK323" s="161"/>
      <c r="DL323" s="161"/>
      <c r="DM323" s="161"/>
      <c r="DN323" s="161"/>
      <c r="DO323" s="161"/>
      <c r="DP323" s="161"/>
      <c r="DQ323" s="161"/>
      <c r="DR323" s="161"/>
      <c r="DS323" s="161"/>
      <c r="DT323" s="161"/>
      <c r="DU323" s="161"/>
      <c r="DV323" s="161"/>
      <c r="DW323" s="161"/>
      <c r="DX323" s="161"/>
      <c r="DY323" s="161"/>
      <c r="DZ323" s="161"/>
      <c r="EA323" s="161"/>
      <c r="EB323" s="161"/>
      <c r="EC323" s="161"/>
      <c r="ED323" s="161"/>
      <c r="EE323" s="161"/>
      <c r="EF323" s="161"/>
      <c r="EG323" s="161"/>
      <c r="EH323" s="161"/>
      <c r="EI323" s="161"/>
      <c r="EJ323" s="161"/>
      <c r="EK323" s="161"/>
      <c r="EL323" s="161"/>
      <c r="EM323" s="161"/>
      <c r="EN323" s="161"/>
      <c r="EO323" s="161"/>
      <c r="EP323" s="161"/>
      <c r="EQ323" s="161"/>
      <c r="ER323" s="161"/>
      <c r="ES323" s="161"/>
      <c r="ET323" s="161"/>
      <c r="EU323" s="161"/>
      <c r="EV323" s="161"/>
      <c r="EW323" s="161"/>
      <c r="EX323" s="161"/>
      <c r="EY323" s="161"/>
      <c r="EZ323" s="161"/>
      <c r="FA323" s="161"/>
      <c r="FB323" s="161"/>
      <c r="FC323" s="161"/>
      <c r="FD323" s="161"/>
      <c r="FE323" s="161"/>
      <c r="FF323" s="161"/>
      <c r="FG323" s="161"/>
      <c r="FH323" s="161"/>
      <c r="FI323" s="161"/>
      <c r="FJ323" s="161"/>
      <c r="FK323" s="161"/>
      <c r="FL323" s="161"/>
      <c r="FM323" s="161"/>
      <c r="FN323" s="161"/>
      <c r="FO323" s="161"/>
      <c r="FP323" s="161"/>
      <c r="FQ323" s="161"/>
      <c r="FR323" s="161"/>
      <c r="FS323" s="161"/>
      <c r="FT323" s="161"/>
      <c r="FU323" s="161"/>
      <c r="FV323" s="161"/>
      <c r="FW323" s="161"/>
      <c r="FX323" s="161"/>
      <c r="FY323" s="161"/>
      <c r="FZ323" s="161"/>
      <c r="GA323" s="161"/>
      <c r="GB323" s="161"/>
      <c r="GC323" s="161"/>
      <c r="GD323" s="161"/>
      <c r="GE323" s="161"/>
      <c r="GF323" s="161"/>
      <c r="GG323" s="161"/>
      <c r="GH323" s="161"/>
      <c r="GI323" s="161"/>
      <c r="GJ323" s="161"/>
      <c r="GK323" s="161"/>
      <c r="GL323" s="161"/>
      <c r="GM323" s="161"/>
    </row>
    <row r="324" spans="1:195" s="166" customFormat="1" ht="13.8" hidden="1" outlineLevel="1">
      <c r="A324" s="315" t="s">
        <v>420</v>
      </c>
      <c r="B324" s="315" t="s">
        <v>365</v>
      </c>
      <c r="C324" s="316"/>
      <c r="D324" s="2926"/>
      <c r="E324" s="276" t="s">
        <v>49</v>
      </c>
      <c r="F324" s="154">
        <f>SUMIFS(INPUT!$H:$H,INPUT!$E:$E,BAZE_2026!$A324,INPUT!$B:$B,BAZE_2026!$B324)</f>
        <v>0</v>
      </c>
      <c r="G324" s="154">
        <f>SUMIFS(INPUT!$L:$L,INPUT!$E:$E,BAZE_2026!$A324,INPUT!$B:$B,BAZE_2026!$B324)</f>
        <v>0</v>
      </c>
      <c r="H324" s="160">
        <f t="shared" si="36"/>
        <v>0</v>
      </c>
      <c r="I324" s="243" t="str">
        <f t="shared" si="37"/>
        <v>-</v>
      </c>
      <c r="J324" s="2932"/>
      <c r="K324" s="317"/>
      <c r="L324" s="464"/>
      <c r="M324" s="161"/>
      <c r="N324" s="161"/>
      <c r="O324" s="161"/>
      <c r="P324" s="161"/>
      <c r="Q324" s="161"/>
      <c r="R324" s="161"/>
      <c r="S324" s="161"/>
      <c r="T324" s="161"/>
      <c r="U324" s="161"/>
      <c r="V324" s="161"/>
      <c r="W324" s="161"/>
      <c r="X324" s="161"/>
      <c r="Y324" s="161"/>
      <c r="Z324" s="161"/>
      <c r="AA324" s="161"/>
      <c r="AB324" s="161"/>
      <c r="AC324" s="161"/>
      <c r="AD324" s="161"/>
      <c r="AE324" s="161"/>
      <c r="AF324" s="161"/>
      <c r="AG324" s="161"/>
      <c r="AH324" s="161"/>
      <c r="AI324" s="161"/>
      <c r="AJ324" s="161"/>
      <c r="AK324" s="161"/>
      <c r="AL324" s="161"/>
      <c r="AM324" s="161"/>
      <c r="AN324" s="161"/>
      <c r="AO324" s="161"/>
      <c r="AP324" s="161"/>
      <c r="AQ324" s="161"/>
      <c r="AR324" s="161"/>
      <c r="AS324" s="161"/>
      <c r="AT324" s="161"/>
      <c r="AU324" s="161"/>
      <c r="AV324" s="161"/>
      <c r="AW324" s="161"/>
      <c r="AX324" s="161"/>
      <c r="AY324" s="161"/>
      <c r="AZ324" s="161"/>
      <c r="BA324" s="161"/>
      <c r="BB324" s="161"/>
      <c r="BC324" s="161"/>
      <c r="BD324" s="161"/>
      <c r="BE324" s="161"/>
      <c r="BF324" s="161"/>
      <c r="BG324" s="161"/>
      <c r="BH324" s="161"/>
      <c r="BI324" s="161"/>
      <c r="BJ324" s="161"/>
      <c r="BK324" s="161"/>
      <c r="BL324" s="161"/>
      <c r="BM324" s="161"/>
      <c r="BN324" s="161"/>
      <c r="BO324" s="161"/>
      <c r="BP324" s="161"/>
      <c r="BQ324" s="161"/>
      <c r="BR324" s="161"/>
      <c r="BS324" s="161"/>
      <c r="BT324" s="161"/>
      <c r="BU324" s="161"/>
      <c r="BV324" s="161"/>
      <c r="BW324" s="161"/>
      <c r="BX324" s="161"/>
      <c r="BY324" s="161"/>
      <c r="BZ324" s="161"/>
      <c r="CA324" s="161"/>
      <c r="CB324" s="161"/>
      <c r="CC324" s="161"/>
      <c r="CD324" s="161"/>
      <c r="CE324" s="161"/>
      <c r="CF324" s="161"/>
      <c r="CG324" s="161"/>
      <c r="CH324" s="161"/>
      <c r="CI324" s="161"/>
      <c r="CJ324" s="161"/>
      <c r="CK324" s="161"/>
      <c r="CL324" s="161"/>
      <c r="CM324" s="161"/>
      <c r="CN324" s="161"/>
      <c r="CO324" s="161"/>
      <c r="CP324" s="161"/>
      <c r="CQ324" s="161"/>
      <c r="CR324" s="161"/>
      <c r="CS324" s="161"/>
      <c r="CT324" s="161"/>
      <c r="CU324" s="161"/>
      <c r="CV324" s="161"/>
      <c r="CW324" s="161"/>
      <c r="CX324" s="161"/>
      <c r="CY324" s="161"/>
      <c r="CZ324" s="161"/>
      <c r="DA324" s="161"/>
      <c r="DB324" s="161"/>
      <c r="DC324" s="161"/>
      <c r="DD324" s="161"/>
      <c r="DE324" s="161"/>
      <c r="DF324" s="161"/>
      <c r="DG324" s="161"/>
      <c r="DH324" s="161"/>
      <c r="DI324" s="161"/>
      <c r="DJ324" s="161"/>
      <c r="DK324" s="161"/>
      <c r="DL324" s="161"/>
      <c r="DM324" s="161"/>
      <c r="DN324" s="161"/>
      <c r="DO324" s="161"/>
      <c r="DP324" s="161"/>
      <c r="DQ324" s="161"/>
      <c r="DR324" s="161"/>
      <c r="DS324" s="161"/>
      <c r="DT324" s="161"/>
      <c r="DU324" s="161"/>
      <c r="DV324" s="161"/>
      <c r="DW324" s="161"/>
      <c r="DX324" s="161"/>
      <c r="DY324" s="161"/>
      <c r="DZ324" s="161"/>
      <c r="EA324" s="161"/>
      <c r="EB324" s="161"/>
      <c r="EC324" s="161"/>
      <c r="ED324" s="161"/>
      <c r="EE324" s="161"/>
      <c r="EF324" s="161"/>
      <c r="EG324" s="161"/>
      <c r="EH324" s="161"/>
      <c r="EI324" s="161"/>
      <c r="EJ324" s="161"/>
      <c r="EK324" s="161"/>
      <c r="EL324" s="161"/>
      <c r="EM324" s="161"/>
      <c r="EN324" s="161"/>
      <c r="EO324" s="161"/>
      <c r="EP324" s="161"/>
      <c r="EQ324" s="161"/>
      <c r="ER324" s="161"/>
      <c r="ES324" s="161"/>
      <c r="ET324" s="161"/>
      <c r="EU324" s="161"/>
      <c r="EV324" s="161"/>
      <c r="EW324" s="161"/>
      <c r="EX324" s="161"/>
      <c r="EY324" s="161"/>
      <c r="EZ324" s="161"/>
      <c r="FA324" s="161"/>
      <c r="FB324" s="161"/>
      <c r="FC324" s="161"/>
      <c r="FD324" s="161"/>
      <c r="FE324" s="161"/>
      <c r="FF324" s="161"/>
      <c r="FG324" s="161"/>
      <c r="FH324" s="161"/>
      <c r="FI324" s="161"/>
      <c r="FJ324" s="161"/>
      <c r="FK324" s="161"/>
      <c r="FL324" s="161"/>
      <c r="FM324" s="161"/>
      <c r="FN324" s="161"/>
      <c r="FO324" s="161"/>
      <c r="FP324" s="161"/>
      <c r="FQ324" s="161"/>
      <c r="FR324" s="161"/>
      <c r="FS324" s="161"/>
      <c r="FT324" s="161"/>
      <c r="FU324" s="161"/>
      <c r="FV324" s="161"/>
      <c r="FW324" s="161"/>
      <c r="FX324" s="161"/>
      <c r="FY324" s="161"/>
      <c r="FZ324" s="161"/>
      <c r="GA324" s="161"/>
      <c r="GB324" s="161"/>
      <c r="GC324" s="161"/>
      <c r="GD324" s="161"/>
      <c r="GE324" s="161"/>
      <c r="GF324" s="161"/>
      <c r="GG324" s="161"/>
      <c r="GH324" s="161"/>
      <c r="GI324" s="161"/>
      <c r="GJ324" s="161"/>
      <c r="GK324" s="161"/>
      <c r="GL324" s="161"/>
      <c r="GM324" s="161"/>
    </row>
    <row r="325" spans="1:195" s="166" customFormat="1" ht="13.8" hidden="1" outlineLevel="1">
      <c r="A325" s="315" t="s">
        <v>1935</v>
      </c>
      <c r="B325" s="315" t="s">
        <v>365</v>
      </c>
      <c r="C325" s="316"/>
      <c r="D325" s="2945"/>
      <c r="E325" s="276" t="s">
        <v>978</v>
      </c>
      <c r="F325" s="154">
        <f>SUMIFS(INPUT!$H:$H,INPUT!$E:$E,BAZE_2026!$A325,INPUT!$B:$B,BAZE_2026!$B325)</f>
        <v>41000</v>
      </c>
      <c r="G325" s="154">
        <f>SUMIFS(INPUT!$L:$L,INPUT!$E:$E,BAZE_2026!$A325,INPUT!$B:$B,BAZE_2026!$B325)</f>
        <v>42102</v>
      </c>
      <c r="H325" s="160">
        <f>G325-F325</f>
        <v>1102</v>
      </c>
      <c r="I325" s="243">
        <f>IFERROR(H325/F325,"-")</f>
        <v>2.6878048780487804E-2</v>
      </c>
      <c r="J325" s="2946"/>
      <c r="K325" s="317"/>
      <c r="L325" s="464"/>
      <c r="M325" s="161"/>
      <c r="N325" s="161"/>
      <c r="O325" s="161"/>
      <c r="P325" s="161"/>
      <c r="Q325" s="161"/>
      <c r="R325" s="161"/>
      <c r="S325" s="161"/>
      <c r="T325" s="161"/>
      <c r="U325" s="161"/>
      <c r="V325" s="161"/>
      <c r="W325" s="161"/>
      <c r="X325" s="161"/>
      <c r="Y325" s="161"/>
      <c r="Z325" s="161"/>
      <c r="AA325" s="161"/>
      <c r="AB325" s="161"/>
      <c r="AC325" s="161"/>
      <c r="AD325" s="161"/>
      <c r="AE325" s="161"/>
      <c r="AF325" s="161"/>
      <c r="AG325" s="161"/>
      <c r="AH325" s="161"/>
      <c r="AI325" s="161"/>
      <c r="AJ325" s="161"/>
      <c r="AK325" s="161"/>
      <c r="AL325" s="161"/>
      <c r="AM325" s="161"/>
      <c r="AN325" s="161"/>
      <c r="AO325" s="161"/>
      <c r="AP325" s="161"/>
      <c r="AQ325" s="161"/>
      <c r="AR325" s="161"/>
      <c r="AS325" s="161"/>
      <c r="AT325" s="161"/>
      <c r="AU325" s="161"/>
      <c r="AV325" s="161"/>
      <c r="AW325" s="161"/>
      <c r="AX325" s="161"/>
      <c r="AY325" s="161"/>
      <c r="AZ325" s="161"/>
      <c r="BA325" s="161"/>
      <c r="BB325" s="161"/>
      <c r="BC325" s="161"/>
      <c r="BD325" s="161"/>
      <c r="BE325" s="161"/>
      <c r="BF325" s="161"/>
      <c r="BG325" s="161"/>
      <c r="BH325" s="161"/>
      <c r="BI325" s="161"/>
      <c r="BJ325" s="161"/>
      <c r="BK325" s="161"/>
      <c r="BL325" s="161"/>
      <c r="BM325" s="161"/>
      <c r="BN325" s="161"/>
      <c r="BO325" s="161"/>
      <c r="BP325" s="161"/>
      <c r="BQ325" s="161"/>
      <c r="BR325" s="161"/>
      <c r="BS325" s="161"/>
      <c r="BT325" s="161"/>
      <c r="BU325" s="161"/>
      <c r="BV325" s="161"/>
      <c r="BW325" s="161"/>
      <c r="BX325" s="161"/>
      <c r="BY325" s="161"/>
      <c r="BZ325" s="161"/>
      <c r="CA325" s="161"/>
      <c r="CB325" s="161"/>
      <c r="CC325" s="161"/>
      <c r="CD325" s="161"/>
      <c r="CE325" s="161"/>
      <c r="CF325" s="161"/>
      <c r="CG325" s="161"/>
      <c r="CH325" s="161"/>
      <c r="CI325" s="161"/>
      <c r="CJ325" s="161"/>
      <c r="CK325" s="161"/>
      <c r="CL325" s="161"/>
      <c r="CM325" s="161"/>
      <c r="CN325" s="161"/>
      <c r="CO325" s="161"/>
      <c r="CP325" s="161"/>
      <c r="CQ325" s="161"/>
      <c r="CR325" s="161"/>
      <c r="CS325" s="161"/>
      <c r="CT325" s="161"/>
      <c r="CU325" s="161"/>
      <c r="CV325" s="161"/>
      <c r="CW325" s="161"/>
      <c r="CX325" s="161"/>
      <c r="CY325" s="161"/>
      <c r="CZ325" s="161"/>
      <c r="DA325" s="161"/>
      <c r="DB325" s="161"/>
      <c r="DC325" s="161"/>
      <c r="DD325" s="161"/>
      <c r="DE325" s="161"/>
      <c r="DF325" s="161"/>
      <c r="DG325" s="161"/>
      <c r="DH325" s="161"/>
      <c r="DI325" s="161"/>
      <c r="DJ325" s="161"/>
      <c r="DK325" s="161"/>
      <c r="DL325" s="161"/>
      <c r="DM325" s="161"/>
      <c r="DN325" s="161"/>
      <c r="DO325" s="161"/>
      <c r="DP325" s="161"/>
      <c r="DQ325" s="161"/>
      <c r="DR325" s="161"/>
      <c r="DS325" s="161"/>
      <c r="DT325" s="161"/>
      <c r="DU325" s="161"/>
      <c r="DV325" s="161"/>
      <c r="DW325" s="161"/>
      <c r="DX325" s="161"/>
      <c r="DY325" s="161"/>
      <c r="DZ325" s="161"/>
      <c r="EA325" s="161"/>
      <c r="EB325" s="161"/>
      <c r="EC325" s="161"/>
      <c r="ED325" s="161"/>
      <c r="EE325" s="161"/>
      <c r="EF325" s="161"/>
      <c r="EG325" s="161"/>
      <c r="EH325" s="161"/>
      <c r="EI325" s="161"/>
      <c r="EJ325" s="161"/>
      <c r="EK325" s="161"/>
      <c r="EL325" s="161"/>
      <c r="EM325" s="161"/>
      <c r="EN325" s="161"/>
      <c r="EO325" s="161"/>
      <c r="EP325" s="161"/>
      <c r="EQ325" s="161"/>
      <c r="ER325" s="161"/>
      <c r="ES325" s="161"/>
      <c r="ET325" s="161"/>
      <c r="EU325" s="161"/>
      <c r="EV325" s="161"/>
      <c r="EW325" s="161"/>
      <c r="EX325" s="161"/>
      <c r="EY325" s="161"/>
      <c r="EZ325" s="161"/>
      <c r="FA325" s="161"/>
      <c r="FB325" s="161"/>
      <c r="FC325" s="161"/>
      <c r="FD325" s="161"/>
      <c r="FE325" s="161"/>
      <c r="FF325" s="161"/>
      <c r="FG325" s="161"/>
      <c r="FH325" s="161"/>
      <c r="FI325" s="161"/>
      <c r="FJ325" s="161"/>
      <c r="FK325" s="161"/>
      <c r="FL325" s="161"/>
      <c r="FM325" s="161"/>
      <c r="FN325" s="161"/>
      <c r="FO325" s="161"/>
      <c r="FP325" s="161"/>
      <c r="FQ325" s="161"/>
      <c r="FR325" s="161"/>
      <c r="FS325" s="161"/>
      <c r="FT325" s="161"/>
      <c r="FU325" s="161"/>
      <c r="FV325" s="161"/>
      <c r="FW325" s="161"/>
      <c r="FX325" s="161"/>
      <c r="FY325" s="161"/>
      <c r="FZ325" s="161"/>
      <c r="GA325" s="161"/>
      <c r="GB325" s="161"/>
      <c r="GC325" s="161"/>
      <c r="GD325" s="161"/>
      <c r="GE325" s="161"/>
      <c r="GF325" s="161"/>
      <c r="GG325" s="161"/>
      <c r="GH325" s="161"/>
      <c r="GI325" s="161"/>
      <c r="GJ325" s="161"/>
      <c r="GK325" s="161"/>
      <c r="GL325" s="161"/>
      <c r="GM325" s="161"/>
    </row>
    <row r="326" spans="1:195" s="166" customFormat="1" ht="13.8" hidden="1" outlineLevel="1">
      <c r="A326" s="315" t="s">
        <v>1940</v>
      </c>
      <c r="B326" s="315" t="s">
        <v>365</v>
      </c>
      <c r="C326" s="316"/>
      <c r="D326" s="2938"/>
      <c r="E326" s="320" t="s">
        <v>1147</v>
      </c>
      <c r="F326" s="154">
        <f>SUMIFS(INPUT!$H:$H,INPUT!$E:$E,BAZE_2026!$A326,INPUT!$B:$B,BAZE_2026!$B326)</f>
        <v>51949</v>
      </c>
      <c r="G326" s="154">
        <f>SUMIFS(INPUT!$L:$L,INPUT!$E:$E,BAZE_2026!$A326,INPUT!$B:$B,BAZE_2026!$B326)</f>
        <v>70991</v>
      </c>
      <c r="H326" s="160">
        <f>G326-F326</f>
        <v>19042</v>
      </c>
      <c r="I326" s="243">
        <f>IFERROR(H326/F326,"-")</f>
        <v>0.36655181042945967</v>
      </c>
      <c r="J326" s="2947"/>
      <c r="K326" s="317"/>
      <c r="L326" s="283"/>
      <c r="M326" s="161"/>
      <c r="N326" s="161"/>
      <c r="O326" s="161"/>
      <c r="P326" s="161"/>
      <c r="Q326" s="161"/>
      <c r="R326" s="161"/>
      <c r="S326" s="161"/>
      <c r="T326" s="161"/>
      <c r="U326" s="161"/>
      <c r="V326" s="161"/>
      <c r="W326" s="161"/>
      <c r="X326" s="161"/>
      <c r="Y326" s="161"/>
      <c r="Z326" s="161"/>
      <c r="AA326" s="161"/>
      <c r="AB326" s="161"/>
      <c r="AC326" s="161"/>
      <c r="AD326" s="161"/>
      <c r="AE326" s="161"/>
      <c r="AF326" s="161"/>
      <c r="AG326" s="161"/>
      <c r="AH326" s="161"/>
      <c r="AI326" s="161"/>
      <c r="AJ326" s="161"/>
      <c r="AK326" s="161"/>
      <c r="AL326" s="161"/>
      <c r="AM326" s="161"/>
      <c r="AN326" s="161"/>
      <c r="AO326" s="161"/>
      <c r="AP326" s="161"/>
      <c r="AQ326" s="161"/>
      <c r="AR326" s="161"/>
      <c r="AS326" s="161"/>
      <c r="AT326" s="161"/>
      <c r="AU326" s="161"/>
      <c r="AV326" s="161"/>
      <c r="AW326" s="161"/>
      <c r="AX326" s="161"/>
      <c r="AY326" s="161"/>
      <c r="AZ326" s="161"/>
      <c r="BA326" s="161"/>
      <c r="BB326" s="161"/>
      <c r="BC326" s="161"/>
      <c r="BD326" s="161"/>
      <c r="BE326" s="161"/>
      <c r="BF326" s="161"/>
      <c r="BG326" s="161"/>
      <c r="BH326" s="161"/>
      <c r="BI326" s="161"/>
      <c r="BJ326" s="161"/>
      <c r="BK326" s="161"/>
      <c r="BL326" s="161"/>
      <c r="BM326" s="161"/>
      <c r="BN326" s="161"/>
      <c r="BO326" s="161"/>
      <c r="BP326" s="161"/>
      <c r="BQ326" s="161"/>
      <c r="BR326" s="161"/>
      <c r="BS326" s="161"/>
      <c r="BT326" s="161"/>
      <c r="BU326" s="161"/>
      <c r="BV326" s="161"/>
      <c r="BW326" s="161"/>
      <c r="BX326" s="161"/>
      <c r="BY326" s="161"/>
      <c r="BZ326" s="161"/>
      <c r="CA326" s="161"/>
      <c r="CB326" s="161"/>
      <c r="CC326" s="161"/>
      <c r="CD326" s="161"/>
      <c r="CE326" s="161"/>
      <c r="CF326" s="161"/>
      <c r="CG326" s="161"/>
      <c r="CH326" s="161"/>
      <c r="CI326" s="161"/>
      <c r="CJ326" s="161"/>
      <c r="CK326" s="161"/>
      <c r="CL326" s="161"/>
      <c r="CM326" s="161"/>
      <c r="CN326" s="161"/>
      <c r="CO326" s="161"/>
      <c r="CP326" s="161"/>
      <c r="CQ326" s="161"/>
      <c r="CR326" s="161"/>
      <c r="CS326" s="161"/>
      <c r="CT326" s="161"/>
      <c r="CU326" s="161"/>
      <c r="CV326" s="161"/>
      <c r="CW326" s="161"/>
      <c r="CX326" s="161"/>
      <c r="CY326" s="161"/>
      <c r="CZ326" s="161"/>
      <c r="DA326" s="161"/>
      <c r="DB326" s="161"/>
      <c r="DC326" s="161"/>
      <c r="DD326" s="161"/>
      <c r="DE326" s="161"/>
      <c r="DF326" s="161"/>
      <c r="DG326" s="161"/>
      <c r="DH326" s="161"/>
      <c r="DI326" s="161"/>
      <c r="DJ326" s="161"/>
      <c r="DK326" s="161"/>
      <c r="DL326" s="161"/>
      <c r="DM326" s="161"/>
      <c r="DN326" s="161"/>
      <c r="DO326" s="161"/>
      <c r="DP326" s="161"/>
      <c r="DQ326" s="161"/>
      <c r="DR326" s="161"/>
      <c r="DS326" s="161"/>
      <c r="DT326" s="161"/>
      <c r="DU326" s="161"/>
      <c r="DV326" s="161"/>
      <c r="DW326" s="161"/>
      <c r="DX326" s="161"/>
      <c r="DY326" s="161"/>
      <c r="DZ326" s="161"/>
      <c r="EA326" s="161"/>
      <c r="EB326" s="161"/>
      <c r="EC326" s="161"/>
      <c r="ED326" s="161"/>
      <c r="EE326" s="161"/>
      <c r="EF326" s="161"/>
      <c r="EG326" s="161"/>
      <c r="EH326" s="161"/>
      <c r="EI326" s="161"/>
      <c r="EJ326" s="161"/>
      <c r="EK326" s="161"/>
      <c r="EL326" s="161"/>
      <c r="EM326" s="161"/>
      <c r="EN326" s="161"/>
      <c r="EO326" s="161"/>
      <c r="EP326" s="161"/>
      <c r="EQ326" s="161"/>
      <c r="ER326" s="161"/>
      <c r="ES326" s="161"/>
      <c r="ET326" s="161"/>
      <c r="EU326" s="161"/>
      <c r="EV326" s="161"/>
      <c r="EW326" s="161"/>
      <c r="EX326" s="161"/>
      <c r="EY326" s="161"/>
      <c r="EZ326" s="161"/>
      <c r="FA326" s="161"/>
      <c r="FB326" s="161"/>
      <c r="FC326" s="161"/>
      <c r="FD326" s="161"/>
      <c r="FE326" s="161"/>
      <c r="FF326" s="161"/>
      <c r="FG326" s="161"/>
      <c r="FH326" s="161"/>
      <c r="FI326" s="161"/>
      <c r="FJ326" s="161"/>
      <c r="FK326" s="161"/>
      <c r="FL326" s="161"/>
      <c r="FM326" s="161"/>
      <c r="FN326" s="161"/>
      <c r="FO326" s="161"/>
      <c r="FP326" s="161"/>
      <c r="FQ326" s="161"/>
      <c r="FR326" s="161"/>
      <c r="FS326" s="161"/>
      <c r="FT326" s="161"/>
      <c r="FU326" s="161"/>
      <c r="FV326" s="161"/>
      <c r="FW326" s="161"/>
      <c r="FX326" s="161"/>
      <c r="FY326" s="161"/>
      <c r="FZ326" s="161"/>
      <c r="GA326" s="161"/>
      <c r="GB326" s="161"/>
      <c r="GC326" s="161"/>
      <c r="GD326" s="161"/>
      <c r="GE326" s="161"/>
      <c r="GF326" s="161"/>
      <c r="GG326" s="161"/>
      <c r="GH326" s="161"/>
      <c r="GI326" s="161"/>
      <c r="GJ326" s="161"/>
      <c r="GK326" s="161"/>
      <c r="GL326" s="161"/>
      <c r="GM326" s="161"/>
    </row>
    <row r="327" spans="1:195" ht="18" customHeight="1" collapsed="1">
      <c r="D327" s="1211" t="s">
        <v>1170</v>
      </c>
      <c r="E327" s="42" t="s">
        <v>2930</v>
      </c>
      <c r="F327" s="91">
        <f>F328+F329+F331+F330</f>
        <v>1002769.6153053599</v>
      </c>
      <c r="G327" s="91">
        <f>G328+G329+G331+G330</f>
        <v>1102719.2991771204</v>
      </c>
      <c r="H327" s="33">
        <f t="shared" si="36"/>
        <v>99949.683871760499</v>
      </c>
      <c r="I327" s="222">
        <f t="shared" si="37"/>
        <v>9.9673626270899887E-2</v>
      </c>
      <c r="J327" s="1402"/>
      <c r="K327" s="72"/>
    </row>
    <row r="328" spans="1:195" s="8" customFormat="1" ht="13.8" hidden="1" outlineLevel="1">
      <c r="A328" s="179" t="s">
        <v>1941</v>
      </c>
      <c r="B328" s="179" t="s">
        <v>436</v>
      </c>
      <c r="C328" s="248"/>
      <c r="D328" s="58"/>
      <c r="E328" s="65" t="s">
        <v>436</v>
      </c>
      <c r="F328" s="92">
        <f>SUMIFS(INPUT!$H:$H,INPUT!$E:$E,BAZE_2026!$A328,INPUT!$B:$B,BAZE_2026!$B328)</f>
        <v>868688.25530535995</v>
      </c>
      <c r="G328" s="92">
        <f>SUMIFS(INPUT!$L:$L,INPUT!$E:$E,BAZE_2026!$A328,INPUT!$B:$B,BAZE_2026!$B328)</f>
        <v>944833.42917712033</v>
      </c>
      <c r="H328" s="48">
        <f t="shared" si="36"/>
        <v>76145.173871760373</v>
      </c>
      <c r="I328" s="232">
        <f t="shared" si="37"/>
        <v>8.7655350934834425E-2</v>
      </c>
      <c r="J328" s="1528"/>
      <c r="L328" s="12"/>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row>
    <row r="329" spans="1:195" s="8" customFormat="1" ht="15.6" hidden="1" customHeight="1" outlineLevel="1">
      <c r="A329" s="179" t="s">
        <v>1941</v>
      </c>
      <c r="B329" s="179" t="s">
        <v>772</v>
      </c>
      <c r="C329" s="248"/>
      <c r="D329" s="64"/>
      <c r="E329" s="59" t="s">
        <v>376</v>
      </c>
      <c r="F329" s="92">
        <f>SUMIFS(INPUT!$H:$H,INPUT!$E:$E,BAZE_2026!$A329,INPUT!$B:$B,BAZE_2026!$B329)</f>
        <v>103761.36</v>
      </c>
      <c r="G329" s="92">
        <f>SUMIFS(INPUT!$L:$L,INPUT!$E:$E,BAZE_2026!$A329,INPUT!$B:$B,BAZE_2026!$B329)</f>
        <v>112545.87</v>
      </c>
      <c r="H329" s="27">
        <f t="shared" si="36"/>
        <v>8784.5099999999948</v>
      </c>
      <c r="I329" s="220">
        <f t="shared" si="37"/>
        <v>8.4660706066304395E-2</v>
      </c>
      <c r="J329" s="2713" t="s">
        <v>4898</v>
      </c>
      <c r="K329" s="54"/>
      <c r="L329" s="135"/>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row>
    <row r="330" spans="1:195" s="8" customFormat="1" ht="13.8" hidden="1" outlineLevel="1">
      <c r="A330" s="179" t="s">
        <v>1941</v>
      </c>
      <c r="B330" s="179" t="s">
        <v>1211</v>
      </c>
      <c r="C330" s="248"/>
      <c r="D330" s="371"/>
      <c r="E330" s="254" t="s">
        <v>1211</v>
      </c>
      <c r="F330" s="92">
        <f>SUMIFS(INPUT!$H:$H,INPUT!$E:$E,BAZE_2026!$A330,INPUT!$B:$B,BAZE_2026!$B330)</f>
        <v>0</v>
      </c>
      <c r="G330" s="92">
        <f>SUMIFS(INPUT!$L:$L,INPUT!$E:$E,BAZE_2026!$A330,INPUT!$B:$B,BAZE_2026!$B330)</f>
        <v>0</v>
      </c>
      <c r="H330" s="27">
        <f>G330-F330</f>
        <v>0</v>
      </c>
      <c r="I330" s="220" t="str">
        <f>IFERROR(H330/F330,"-")</f>
        <v>-</v>
      </c>
      <c r="J330" s="1528"/>
      <c r="K330" s="72"/>
      <c r="L330" s="12"/>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row>
    <row r="331" spans="1:195" s="8" customFormat="1" ht="15" hidden="1" customHeight="1" outlineLevel="1">
      <c r="A331" s="179" t="s">
        <v>1941</v>
      </c>
      <c r="B331" s="179" t="s">
        <v>774</v>
      </c>
      <c r="C331" s="248"/>
      <c r="D331" s="58"/>
      <c r="E331" s="59" t="s">
        <v>375</v>
      </c>
      <c r="F331" s="92">
        <f>SUMIFS(INPUT!$H:$H,INPUT!$E:$E,BAZE_2026!$A331,INPUT!$B:$B,BAZE_2026!$B331)</f>
        <v>30320</v>
      </c>
      <c r="G331" s="92">
        <f>SUMIFS(INPUT!$L:$L,INPUT!$E:$E,BAZE_2026!$A331,INPUT!$B:$B,BAZE_2026!$B331)</f>
        <v>45340</v>
      </c>
      <c r="H331" s="48">
        <f t="shared" si="36"/>
        <v>15020</v>
      </c>
      <c r="I331" s="232">
        <f t="shared" si="37"/>
        <v>0.49538258575197891</v>
      </c>
      <c r="J331" s="2713" t="s">
        <v>4899</v>
      </c>
      <c r="K331" s="72"/>
      <c r="L331" s="12"/>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row>
    <row r="332" spans="1:195" s="166" customFormat="1" ht="13.8" hidden="1" outlineLevel="1">
      <c r="A332" s="315" t="s">
        <v>1953</v>
      </c>
      <c r="B332" s="315" t="s">
        <v>326</v>
      </c>
      <c r="C332" s="316"/>
      <c r="D332" s="2919"/>
      <c r="E332" s="164" t="s">
        <v>265</v>
      </c>
      <c r="F332" s="154">
        <f>SUMIFS(INPUT!$H:$H,INPUT!$E:$E,BAZE_2026!$A332,INPUT!$B:$B,BAZE_2026!$B332)</f>
        <v>849831.11579199985</v>
      </c>
      <c r="G332" s="154">
        <f>SUMIFS(INPUT!$L:$L,INPUT!$E:$E,BAZE_2026!$A332,INPUT!$B:$B,BAZE_2026!$B332)</f>
        <v>849067.31442000007</v>
      </c>
      <c r="H332" s="158">
        <f t="shared" si="36"/>
        <v>-763.80137199978344</v>
      </c>
      <c r="I332" s="230">
        <f t="shared" si="37"/>
        <v>-8.9876842328603013E-4</v>
      </c>
      <c r="J332" s="2932"/>
      <c r="K332" s="317"/>
      <c r="L332" s="283"/>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161"/>
      <c r="AU332" s="161"/>
      <c r="AV332" s="161"/>
      <c r="AW332" s="161"/>
      <c r="AX332" s="161"/>
      <c r="AY332" s="161"/>
      <c r="AZ332" s="161"/>
      <c r="BA332" s="161"/>
      <c r="BB332" s="161"/>
      <c r="BC332" s="161"/>
      <c r="BD332" s="161"/>
      <c r="BE332" s="161"/>
      <c r="BF332" s="161"/>
      <c r="BG332" s="161"/>
      <c r="BH332" s="161"/>
      <c r="BI332" s="161"/>
      <c r="BJ332" s="161"/>
      <c r="BK332" s="161"/>
      <c r="BL332" s="161"/>
      <c r="BM332" s="161"/>
      <c r="BN332" s="161"/>
      <c r="BO332" s="161"/>
      <c r="BP332" s="161"/>
      <c r="BQ332" s="161"/>
      <c r="BR332" s="161"/>
      <c r="BS332" s="161"/>
      <c r="BT332" s="161"/>
      <c r="BU332" s="161"/>
      <c r="BV332" s="161"/>
      <c r="BW332" s="161"/>
      <c r="BX332" s="161"/>
      <c r="BY332" s="161"/>
      <c r="BZ332" s="161"/>
      <c r="CA332" s="161"/>
      <c r="CB332" s="161"/>
      <c r="CC332" s="161"/>
      <c r="CD332" s="161"/>
      <c r="CE332" s="161"/>
      <c r="CF332" s="161"/>
      <c r="CG332" s="161"/>
      <c r="CH332" s="161"/>
      <c r="CI332" s="161"/>
      <c r="CJ332" s="161"/>
      <c r="CK332" s="161"/>
      <c r="CL332" s="161"/>
      <c r="CM332" s="161"/>
      <c r="CN332" s="161"/>
      <c r="CO332" s="161"/>
      <c r="CP332" s="161"/>
      <c r="CQ332" s="161"/>
      <c r="CR332" s="161"/>
      <c r="CS332" s="161"/>
      <c r="CT332" s="161"/>
      <c r="CU332" s="161"/>
      <c r="CV332" s="161"/>
      <c r="CW332" s="161"/>
      <c r="CX332" s="161"/>
      <c r="CY332" s="161"/>
      <c r="CZ332" s="161"/>
      <c r="DA332" s="161"/>
      <c r="DB332" s="161"/>
      <c r="DC332" s="161"/>
      <c r="DD332" s="161"/>
      <c r="DE332" s="161"/>
      <c r="DF332" s="161"/>
      <c r="DG332" s="161"/>
      <c r="DH332" s="161"/>
      <c r="DI332" s="161"/>
      <c r="DJ332" s="161"/>
      <c r="DK332" s="161"/>
      <c r="DL332" s="161"/>
      <c r="DM332" s="161"/>
      <c r="DN332" s="161"/>
      <c r="DO332" s="161"/>
      <c r="DP332" s="161"/>
      <c r="DQ332" s="161"/>
      <c r="DR332" s="161"/>
      <c r="DS332" s="161"/>
      <c r="DT332" s="161"/>
      <c r="DU332" s="161"/>
      <c r="DV332" s="161"/>
      <c r="DW332" s="161"/>
      <c r="DX332" s="161"/>
      <c r="DY332" s="161"/>
      <c r="DZ332" s="161"/>
      <c r="EA332" s="161"/>
      <c r="EB332" s="161"/>
      <c r="EC332" s="161"/>
      <c r="ED332" s="161"/>
      <c r="EE332" s="161"/>
      <c r="EF332" s="161"/>
      <c r="EG332" s="161"/>
      <c r="EH332" s="161"/>
      <c r="EI332" s="161"/>
      <c r="EJ332" s="161"/>
      <c r="EK332" s="161"/>
      <c r="EL332" s="161"/>
      <c r="EM332" s="161"/>
      <c r="EN332" s="161"/>
      <c r="EO332" s="161"/>
      <c r="EP332" s="161"/>
      <c r="EQ332" s="161"/>
      <c r="ER332" s="161"/>
      <c r="ES332" s="161"/>
      <c r="ET332" s="161"/>
      <c r="EU332" s="161"/>
      <c r="EV332" s="161"/>
      <c r="EW332" s="161"/>
      <c r="EX332" s="161"/>
      <c r="EY332" s="161"/>
      <c r="EZ332" s="161"/>
      <c r="FA332" s="161"/>
      <c r="FB332" s="161"/>
      <c r="FC332" s="161"/>
      <c r="FD332" s="161"/>
      <c r="FE332" s="161"/>
      <c r="FF332" s="161"/>
      <c r="FG332" s="161"/>
      <c r="FH332" s="161"/>
      <c r="FI332" s="161"/>
      <c r="FJ332" s="161"/>
      <c r="FK332" s="161"/>
      <c r="FL332" s="161"/>
      <c r="FM332" s="161"/>
      <c r="FN332" s="161"/>
      <c r="FO332" s="161"/>
      <c r="FP332" s="161"/>
      <c r="FQ332" s="161"/>
      <c r="FR332" s="161"/>
      <c r="FS332" s="161"/>
      <c r="FT332" s="161"/>
      <c r="FU332" s="161"/>
      <c r="FV332" s="161"/>
      <c r="FW332" s="161"/>
      <c r="FX332" s="161"/>
      <c r="FY332" s="161"/>
      <c r="FZ332" s="161"/>
      <c r="GA332" s="161"/>
      <c r="GB332" s="161"/>
      <c r="GC332" s="161"/>
      <c r="GD332" s="161"/>
      <c r="GE332" s="161"/>
      <c r="GF332" s="161"/>
      <c r="GG332" s="161"/>
      <c r="GH332" s="161"/>
      <c r="GI332" s="161"/>
      <c r="GJ332" s="161"/>
      <c r="GK332" s="161"/>
      <c r="GL332" s="161"/>
      <c r="GM332" s="161"/>
    </row>
    <row r="333" spans="1:195" s="166" customFormat="1" ht="13.8" hidden="1" outlineLevel="1">
      <c r="A333" s="315" t="s">
        <v>1941</v>
      </c>
      <c r="B333" s="315" t="s">
        <v>773</v>
      </c>
      <c r="C333" s="316"/>
      <c r="D333" s="2919"/>
      <c r="E333" s="164" t="s">
        <v>773</v>
      </c>
      <c r="F333" s="154">
        <f>SUMIFS(INPUT!$H:$H,INPUT!$E:$E,BAZE_2026!$A333,INPUT!$B:$B,BAZE_2026!$B333)</f>
        <v>11400</v>
      </c>
      <c r="G333" s="154">
        <f>SUMIFS(INPUT!$L:$L,INPUT!$E:$E,BAZE_2026!$A333,INPUT!$B:$B,BAZE_2026!$B333)</f>
        <v>57930</v>
      </c>
      <c r="H333" s="158">
        <f t="shared" si="36"/>
        <v>46530</v>
      </c>
      <c r="I333" s="230">
        <f t="shared" si="37"/>
        <v>4.0815789473684214</v>
      </c>
      <c r="J333" s="2932"/>
      <c r="K333" s="317"/>
      <c r="L333" s="283"/>
      <c r="M333" s="161"/>
      <c r="N333" s="161"/>
      <c r="O333" s="161"/>
      <c r="P333" s="161"/>
      <c r="Q333" s="161"/>
      <c r="R333" s="161"/>
      <c r="S333" s="161"/>
      <c r="T333" s="161"/>
      <c r="U333" s="161"/>
      <c r="V333" s="161"/>
      <c r="W333" s="161"/>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c r="AS333" s="161"/>
      <c r="AT333" s="161"/>
      <c r="AU333" s="161"/>
      <c r="AV333" s="161"/>
      <c r="AW333" s="161"/>
      <c r="AX333" s="161"/>
      <c r="AY333" s="161"/>
      <c r="AZ333" s="161"/>
      <c r="BA333" s="161"/>
      <c r="BB333" s="161"/>
      <c r="BC333" s="161"/>
      <c r="BD333" s="161"/>
      <c r="BE333" s="161"/>
      <c r="BF333" s="161"/>
      <c r="BG333" s="161"/>
      <c r="BH333" s="161"/>
      <c r="BI333" s="161"/>
      <c r="BJ333" s="161"/>
      <c r="BK333" s="161"/>
      <c r="BL333" s="161"/>
      <c r="BM333" s="161"/>
      <c r="BN333" s="161"/>
      <c r="BO333" s="161"/>
      <c r="BP333" s="161"/>
      <c r="BQ333" s="161"/>
      <c r="BR333" s="161"/>
      <c r="BS333" s="161"/>
      <c r="BT333" s="161"/>
      <c r="BU333" s="161"/>
      <c r="BV333" s="161"/>
      <c r="BW333" s="161"/>
      <c r="BX333" s="161"/>
      <c r="BY333" s="161"/>
      <c r="BZ333" s="161"/>
      <c r="CA333" s="161"/>
      <c r="CB333" s="161"/>
      <c r="CC333" s="161"/>
      <c r="CD333" s="161"/>
      <c r="CE333" s="161"/>
      <c r="CF333" s="161"/>
      <c r="CG333" s="161"/>
      <c r="CH333" s="161"/>
      <c r="CI333" s="161"/>
      <c r="CJ333" s="161"/>
      <c r="CK333" s="161"/>
      <c r="CL333" s="161"/>
      <c r="CM333" s="161"/>
      <c r="CN333" s="161"/>
      <c r="CO333" s="161"/>
      <c r="CP333" s="161"/>
      <c r="CQ333" s="161"/>
      <c r="CR333" s="161"/>
      <c r="CS333" s="161"/>
      <c r="CT333" s="161"/>
      <c r="CU333" s="161"/>
      <c r="CV333" s="161"/>
      <c r="CW333" s="161"/>
      <c r="CX333" s="161"/>
      <c r="CY333" s="161"/>
      <c r="CZ333" s="161"/>
      <c r="DA333" s="161"/>
      <c r="DB333" s="161"/>
      <c r="DC333" s="161"/>
      <c r="DD333" s="161"/>
      <c r="DE333" s="161"/>
      <c r="DF333" s="161"/>
      <c r="DG333" s="161"/>
      <c r="DH333" s="161"/>
      <c r="DI333" s="161"/>
      <c r="DJ333" s="161"/>
      <c r="DK333" s="161"/>
      <c r="DL333" s="161"/>
      <c r="DM333" s="161"/>
      <c r="DN333" s="161"/>
      <c r="DO333" s="161"/>
      <c r="DP333" s="161"/>
      <c r="DQ333" s="161"/>
      <c r="DR333" s="161"/>
      <c r="DS333" s="161"/>
      <c r="DT333" s="161"/>
      <c r="DU333" s="161"/>
      <c r="DV333" s="161"/>
      <c r="DW333" s="161"/>
      <c r="DX333" s="161"/>
      <c r="DY333" s="161"/>
      <c r="DZ333" s="161"/>
      <c r="EA333" s="161"/>
      <c r="EB333" s="161"/>
      <c r="EC333" s="161"/>
      <c r="ED333" s="161"/>
      <c r="EE333" s="161"/>
      <c r="EF333" s="161"/>
      <c r="EG333" s="161"/>
      <c r="EH333" s="161"/>
      <c r="EI333" s="161"/>
      <c r="EJ333" s="161"/>
      <c r="EK333" s="161"/>
      <c r="EL333" s="161"/>
      <c r="EM333" s="161"/>
      <c r="EN333" s="161"/>
      <c r="EO333" s="161"/>
      <c r="EP333" s="161"/>
      <c r="EQ333" s="161"/>
      <c r="ER333" s="161"/>
      <c r="ES333" s="161"/>
      <c r="ET333" s="161"/>
      <c r="EU333" s="161"/>
      <c r="EV333" s="161"/>
      <c r="EW333" s="161"/>
      <c r="EX333" s="161"/>
      <c r="EY333" s="161"/>
      <c r="EZ333" s="161"/>
      <c r="FA333" s="161"/>
      <c r="FB333" s="161"/>
      <c r="FC333" s="161"/>
      <c r="FD333" s="161"/>
      <c r="FE333" s="161"/>
      <c r="FF333" s="161"/>
      <c r="FG333" s="161"/>
      <c r="FH333" s="161"/>
      <c r="FI333" s="161"/>
      <c r="FJ333" s="161"/>
      <c r="FK333" s="161"/>
      <c r="FL333" s="161"/>
      <c r="FM333" s="161"/>
      <c r="FN333" s="161"/>
      <c r="FO333" s="161"/>
      <c r="FP333" s="161"/>
      <c r="FQ333" s="161"/>
      <c r="FR333" s="161"/>
      <c r="FS333" s="161"/>
      <c r="FT333" s="161"/>
      <c r="FU333" s="161"/>
      <c r="FV333" s="161"/>
      <c r="FW333" s="161"/>
      <c r="FX333" s="161"/>
      <c r="FY333" s="161"/>
      <c r="FZ333" s="161"/>
      <c r="GA333" s="161"/>
      <c r="GB333" s="161"/>
      <c r="GC333" s="161"/>
      <c r="GD333" s="161"/>
      <c r="GE333" s="161"/>
      <c r="GF333" s="161"/>
      <c r="GG333" s="161"/>
      <c r="GH333" s="161"/>
      <c r="GI333" s="161"/>
      <c r="GJ333" s="161"/>
      <c r="GK333" s="161"/>
      <c r="GL333" s="161"/>
      <c r="GM333" s="161"/>
    </row>
    <row r="334" spans="1:195" s="166" customFormat="1" ht="13.8" hidden="1" outlineLevel="1">
      <c r="A334" s="315" t="s">
        <v>1941</v>
      </c>
      <c r="B334" s="315" t="s">
        <v>365</v>
      </c>
      <c r="C334" s="316"/>
      <c r="D334" s="2938"/>
      <c r="E334" s="276" t="s">
        <v>49</v>
      </c>
      <c r="F334" s="154">
        <f>SUMIFS(INPUT!$H:$H,INPUT!$E:$E,BAZE_2026!$A334,INPUT!$B:$B,BAZE_2026!$B334)</f>
        <v>0</v>
      </c>
      <c r="G334" s="154">
        <f>SUMIFS(INPUT!$L:$L,INPUT!$E:$E,BAZE_2026!$A334,INPUT!$B:$B,BAZE_2026!$B334)</f>
        <v>0</v>
      </c>
      <c r="H334" s="333"/>
      <c r="I334" s="2951" t="str">
        <f t="shared" si="37"/>
        <v>-</v>
      </c>
      <c r="J334" s="2947"/>
      <c r="K334" s="317"/>
      <c r="L334" s="283"/>
      <c r="M334" s="161"/>
      <c r="N334" s="161"/>
      <c r="O334" s="161"/>
      <c r="P334" s="161"/>
      <c r="Q334" s="161"/>
      <c r="R334" s="161"/>
      <c r="S334" s="161"/>
      <c r="T334" s="161"/>
      <c r="U334" s="161"/>
      <c r="V334" s="161"/>
      <c r="W334" s="161"/>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c r="AS334" s="161"/>
      <c r="AT334" s="161"/>
      <c r="AU334" s="161"/>
      <c r="AV334" s="161"/>
      <c r="AW334" s="161"/>
      <c r="AX334" s="161"/>
      <c r="AY334" s="161"/>
      <c r="AZ334" s="161"/>
      <c r="BA334" s="161"/>
      <c r="BB334" s="161"/>
      <c r="BC334" s="161"/>
      <c r="BD334" s="161"/>
      <c r="BE334" s="161"/>
      <c r="BF334" s="161"/>
      <c r="BG334" s="161"/>
      <c r="BH334" s="161"/>
      <c r="BI334" s="161"/>
      <c r="BJ334" s="161"/>
      <c r="BK334" s="161"/>
      <c r="BL334" s="161"/>
      <c r="BM334" s="161"/>
      <c r="BN334" s="161"/>
      <c r="BO334" s="161"/>
      <c r="BP334" s="161"/>
      <c r="BQ334" s="161"/>
      <c r="BR334" s="161"/>
      <c r="BS334" s="161"/>
      <c r="BT334" s="161"/>
      <c r="BU334" s="161"/>
      <c r="BV334" s="161"/>
      <c r="BW334" s="161"/>
      <c r="BX334" s="161"/>
      <c r="BY334" s="161"/>
      <c r="BZ334" s="161"/>
      <c r="CA334" s="161"/>
      <c r="CB334" s="161"/>
      <c r="CC334" s="161"/>
      <c r="CD334" s="161"/>
      <c r="CE334" s="161"/>
      <c r="CF334" s="161"/>
      <c r="CG334" s="161"/>
      <c r="CH334" s="161"/>
      <c r="CI334" s="161"/>
      <c r="CJ334" s="161"/>
      <c r="CK334" s="161"/>
      <c r="CL334" s="161"/>
      <c r="CM334" s="161"/>
      <c r="CN334" s="161"/>
      <c r="CO334" s="161"/>
      <c r="CP334" s="161"/>
      <c r="CQ334" s="161"/>
      <c r="CR334" s="161"/>
      <c r="CS334" s="161"/>
      <c r="CT334" s="161"/>
      <c r="CU334" s="161"/>
      <c r="CV334" s="161"/>
      <c r="CW334" s="161"/>
      <c r="CX334" s="161"/>
      <c r="CY334" s="161"/>
      <c r="CZ334" s="161"/>
      <c r="DA334" s="161"/>
      <c r="DB334" s="161"/>
      <c r="DC334" s="161"/>
      <c r="DD334" s="161"/>
      <c r="DE334" s="161"/>
      <c r="DF334" s="161"/>
      <c r="DG334" s="161"/>
      <c r="DH334" s="161"/>
      <c r="DI334" s="161"/>
      <c r="DJ334" s="161"/>
      <c r="DK334" s="161"/>
      <c r="DL334" s="161"/>
      <c r="DM334" s="161"/>
      <c r="DN334" s="161"/>
      <c r="DO334" s="161"/>
      <c r="DP334" s="161"/>
      <c r="DQ334" s="161"/>
      <c r="DR334" s="161"/>
      <c r="DS334" s="161"/>
      <c r="DT334" s="161"/>
      <c r="DU334" s="161"/>
      <c r="DV334" s="161"/>
      <c r="DW334" s="161"/>
      <c r="DX334" s="161"/>
      <c r="DY334" s="161"/>
      <c r="DZ334" s="161"/>
      <c r="EA334" s="161"/>
      <c r="EB334" s="161"/>
      <c r="EC334" s="161"/>
      <c r="ED334" s="161"/>
      <c r="EE334" s="161"/>
      <c r="EF334" s="161"/>
      <c r="EG334" s="161"/>
      <c r="EH334" s="161"/>
      <c r="EI334" s="161"/>
      <c r="EJ334" s="161"/>
      <c r="EK334" s="161"/>
      <c r="EL334" s="161"/>
      <c r="EM334" s="161"/>
      <c r="EN334" s="161"/>
      <c r="EO334" s="161"/>
      <c r="EP334" s="161"/>
      <c r="EQ334" s="161"/>
      <c r="ER334" s="161"/>
      <c r="ES334" s="161"/>
      <c r="ET334" s="161"/>
      <c r="EU334" s="161"/>
      <c r="EV334" s="161"/>
      <c r="EW334" s="161"/>
      <c r="EX334" s="161"/>
      <c r="EY334" s="161"/>
      <c r="EZ334" s="161"/>
      <c r="FA334" s="161"/>
      <c r="FB334" s="161"/>
      <c r="FC334" s="161"/>
      <c r="FD334" s="161"/>
      <c r="FE334" s="161"/>
      <c r="FF334" s="161"/>
      <c r="FG334" s="161"/>
      <c r="FH334" s="161"/>
      <c r="FI334" s="161"/>
      <c r="FJ334" s="161"/>
      <c r="FK334" s="161"/>
      <c r="FL334" s="161"/>
      <c r="FM334" s="161"/>
      <c r="FN334" s="161"/>
      <c r="FO334" s="161"/>
      <c r="FP334" s="161"/>
      <c r="FQ334" s="161"/>
      <c r="FR334" s="161"/>
      <c r="FS334" s="161"/>
      <c r="FT334" s="161"/>
      <c r="FU334" s="161"/>
      <c r="FV334" s="161"/>
      <c r="FW334" s="161"/>
      <c r="FX334" s="161"/>
      <c r="FY334" s="161"/>
      <c r="FZ334" s="161"/>
      <c r="GA334" s="161"/>
      <c r="GB334" s="161"/>
      <c r="GC334" s="161"/>
      <c r="GD334" s="161"/>
      <c r="GE334" s="161"/>
      <c r="GF334" s="161"/>
      <c r="GG334" s="161"/>
      <c r="GH334" s="161"/>
      <c r="GI334" s="161"/>
      <c r="GJ334" s="161"/>
      <c r="GK334" s="161"/>
      <c r="GL334" s="161"/>
      <c r="GM334" s="161"/>
    </row>
    <row r="335" spans="1:195" ht="13.8" collapsed="1">
      <c r="D335" s="1211" t="s">
        <v>1171</v>
      </c>
      <c r="E335" s="42" t="s">
        <v>381</v>
      </c>
      <c r="F335" s="91">
        <f>F336+F337+F338</f>
        <v>532664.46387169987</v>
      </c>
      <c r="G335" s="91">
        <f>G336+G337+G338</f>
        <v>544212.22812243586</v>
      </c>
      <c r="H335" s="33">
        <f t="shared" si="36"/>
        <v>11547.764250735985</v>
      </c>
      <c r="I335" s="222">
        <f t="shared" si="37"/>
        <v>2.1679246568844575E-2</v>
      </c>
      <c r="J335" s="1402"/>
      <c r="K335" s="13">
        <v>562103.64548763586</v>
      </c>
    </row>
    <row r="336" spans="1:195" s="8" customFormat="1" ht="13.8" hidden="1" outlineLevel="1">
      <c r="A336" s="179" t="s">
        <v>1954</v>
      </c>
      <c r="B336" s="179" t="s">
        <v>436</v>
      </c>
      <c r="C336" s="248"/>
      <c r="D336" s="99"/>
      <c r="E336" s="59" t="s">
        <v>436</v>
      </c>
      <c r="F336" s="92">
        <f>SUMIFS(INPUT!$H:$H,INPUT!$E:$E,BAZE_2026!$A336,INPUT!$B:$B,BAZE_2026!$B336)</f>
        <v>306248.24887169991</v>
      </c>
      <c r="G336" s="92">
        <f>SUMIFS(INPUT!$L:$L,INPUT!$E:$E,BAZE_2026!$A336,INPUT!$B:$B,BAZE_2026!$B336)</f>
        <v>312445.98812243587</v>
      </c>
      <c r="H336" s="27">
        <f t="shared" si="36"/>
        <v>6197.7392507359618</v>
      </c>
      <c r="I336" s="220">
        <f t="shared" si="37"/>
        <v>2.023763163894025E-2</v>
      </c>
      <c r="J336" s="68" t="s">
        <v>5155</v>
      </c>
      <c r="K336" s="3271">
        <v>330337.40548763587</v>
      </c>
      <c r="L336" s="12"/>
      <c r="M336" s="72">
        <f>312446-(G336+17891)</f>
        <v>-17890.988122435869</v>
      </c>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row>
    <row r="337" spans="1:195" s="8" customFormat="1" ht="41.4" hidden="1" outlineLevel="1">
      <c r="A337" s="179" t="s">
        <v>1954</v>
      </c>
      <c r="B337" s="179" t="s">
        <v>772</v>
      </c>
      <c r="C337" s="248"/>
      <c r="D337" s="101"/>
      <c r="E337" s="65" t="s">
        <v>376</v>
      </c>
      <c r="F337" s="92">
        <f>SUMIFS(INPUT!$H:$H,INPUT!$E:$E,BAZE_2026!$A337,INPUT!$B:$B,BAZE_2026!$B337)</f>
        <v>215046.215</v>
      </c>
      <c r="G337" s="92">
        <f>SUMIFS(INPUT!$L:$L,INPUT!$E:$E,BAZE_2026!$A337,INPUT!$B:$B,BAZE_2026!$B337)</f>
        <v>226918.24</v>
      </c>
      <c r="H337" s="48">
        <f t="shared" si="36"/>
        <v>11872.024999999994</v>
      </c>
      <c r="I337" s="232">
        <f t="shared" si="37"/>
        <v>5.5206854024377944E-2</v>
      </c>
      <c r="J337" s="2713" t="s">
        <v>4900</v>
      </c>
      <c r="K337" s="13">
        <v>226918.24</v>
      </c>
      <c r="L337" s="135"/>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row>
    <row r="338" spans="1:195" s="8" customFormat="1" ht="13.8" hidden="1" outlineLevel="1">
      <c r="A338" s="179" t="s">
        <v>1954</v>
      </c>
      <c r="B338" s="179" t="s">
        <v>774</v>
      </c>
      <c r="C338" s="248"/>
      <c r="D338" s="99"/>
      <c r="E338" s="59" t="s">
        <v>375</v>
      </c>
      <c r="F338" s="92">
        <f>SUMIFS(INPUT!$H:$H,INPUT!$E:$E,BAZE_2026!$A338,INPUT!$B:$B,BAZE_2026!$B338)</f>
        <v>11370</v>
      </c>
      <c r="G338" s="92">
        <f>SUMIFS(INPUT!$L:$L,INPUT!$E:$E,BAZE_2026!$A338,INPUT!$B:$B,BAZE_2026!$B338)</f>
        <v>4848</v>
      </c>
      <c r="H338" s="48">
        <f t="shared" si="36"/>
        <v>-6522</v>
      </c>
      <c r="I338" s="232">
        <f t="shared" si="37"/>
        <v>-0.57361477572559372</v>
      </c>
      <c r="J338" s="2576" t="s">
        <v>5156</v>
      </c>
      <c r="K338" s="13">
        <v>4848</v>
      </c>
      <c r="L338" s="12"/>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row>
    <row r="339" spans="1:195" s="166" customFormat="1" ht="13.8" hidden="1" outlineLevel="1">
      <c r="A339" s="315" t="s">
        <v>1955</v>
      </c>
      <c r="B339" s="315" t="s">
        <v>326</v>
      </c>
      <c r="C339" s="316"/>
      <c r="D339" s="2919"/>
      <c r="E339" s="164" t="s">
        <v>265</v>
      </c>
      <c r="F339" s="154">
        <f>SUMIFS(INPUT!$H:$H,INPUT!$E:$E,BAZE_2026!$A339,INPUT!$B:$B,BAZE_2026!$B339)</f>
        <v>313282.85303999996</v>
      </c>
      <c r="G339" s="154">
        <f>SUMIFS(INPUT!$L:$L,INPUT!$E:$E,BAZE_2026!$A339,INPUT!$B:$B,BAZE_2026!$B339)</f>
        <v>339485.18119999999</v>
      </c>
      <c r="H339" s="158">
        <f t="shared" si="36"/>
        <v>26202.328160000034</v>
      </c>
      <c r="I339" s="230">
        <f t="shared" si="37"/>
        <v>8.3637926256546577E-2</v>
      </c>
      <c r="J339" s="2932"/>
      <c r="K339" s="3272">
        <v>313293.85303999996</v>
      </c>
      <c r="L339" s="283"/>
      <c r="M339" s="161"/>
      <c r="N339" s="161"/>
      <c r="O339" s="161"/>
      <c r="P339" s="161"/>
      <c r="Q339" s="161"/>
      <c r="R339" s="161"/>
      <c r="S339" s="161"/>
      <c r="T339" s="161"/>
      <c r="U339" s="161"/>
      <c r="V339" s="161"/>
      <c r="W339" s="161"/>
      <c r="X339" s="161"/>
      <c r="Y339" s="161"/>
      <c r="Z339" s="161"/>
      <c r="AA339" s="161"/>
      <c r="AB339" s="161"/>
      <c r="AC339" s="161"/>
      <c r="AD339" s="161"/>
      <c r="AE339" s="161"/>
      <c r="AF339" s="161"/>
      <c r="AG339" s="161"/>
      <c r="AH339" s="161"/>
      <c r="AI339" s="161"/>
      <c r="AJ339" s="161"/>
      <c r="AK339" s="161"/>
      <c r="AL339" s="161"/>
      <c r="AM339" s="161"/>
      <c r="AN339" s="161"/>
      <c r="AO339" s="161"/>
      <c r="AP339" s="161"/>
      <c r="AQ339" s="161"/>
      <c r="AR339" s="161"/>
      <c r="AS339" s="161"/>
      <c r="AT339" s="161"/>
      <c r="AU339" s="161"/>
      <c r="AV339" s="161"/>
      <c r="AW339" s="161"/>
      <c r="AX339" s="161"/>
      <c r="AY339" s="161"/>
      <c r="AZ339" s="161"/>
      <c r="BA339" s="161"/>
      <c r="BB339" s="161"/>
      <c r="BC339" s="161"/>
      <c r="BD339" s="161"/>
      <c r="BE339" s="161"/>
      <c r="BF339" s="161"/>
      <c r="BG339" s="161"/>
      <c r="BH339" s="161"/>
      <c r="BI339" s="161"/>
      <c r="BJ339" s="161"/>
      <c r="BK339" s="161"/>
      <c r="BL339" s="161"/>
      <c r="BM339" s="161"/>
      <c r="BN339" s="161"/>
      <c r="BO339" s="161"/>
      <c r="BP339" s="161"/>
      <c r="BQ339" s="161"/>
      <c r="BR339" s="161"/>
      <c r="BS339" s="161"/>
      <c r="BT339" s="161"/>
      <c r="BU339" s="161"/>
      <c r="BV339" s="161"/>
      <c r="BW339" s="161"/>
      <c r="BX339" s="161"/>
      <c r="BY339" s="161"/>
      <c r="BZ339" s="161"/>
      <c r="CA339" s="161"/>
      <c r="CB339" s="161"/>
      <c r="CC339" s="161"/>
      <c r="CD339" s="161"/>
      <c r="CE339" s="161"/>
      <c r="CF339" s="161"/>
      <c r="CG339" s="161"/>
      <c r="CH339" s="161"/>
      <c r="CI339" s="161"/>
      <c r="CJ339" s="161"/>
      <c r="CK339" s="161"/>
      <c r="CL339" s="161"/>
      <c r="CM339" s="161"/>
      <c r="CN339" s="161"/>
      <c r="CO339" s="161"/>
      <c r="CP339" s="161"/>
      <c r="CQ339" s="161"/>
      <c r="CR339" s="161"/>
      <c r="CS339" s="161"/>
      <c r="CT339" s="161"/>
      <c r="CU339" s="161"/>
      <c r="CV339" s="161"/>
      <c r="CW339" s="161"/>
      <c r="CX339" s="161"/>
      <c r="CY339" s="161"/>
      <c r="CZ339" s="161"/>
      <c r="DA339" s="161"/>
      <c r="DB339" s="161"/>
      <c r="DC339" s="161"/>
      <c r="DD339" s="161"/>
      <c r="DE339" s="161"/>
      <c r="DF339" s="161"/>
      <c r="DG339" s="161"/>
      <c r="DH339" s="161"/>
      <c r="DI339" s="161"/>
      <c r="DJ339" s="161"/>
      <c r="DK339" s="161"/>
      <c r="DL339" s="161"/>
      <c r="DM339" s="161"/>
      <c r="DN339" s="161"/>
      <c r="DO339" s="161"/>
      <c r="DP339" s="161"/>
      <c r="DQ339" s="161"/>
      <c r="DR339" s="161"/>
      <c r="DS339" s="161"/>
      <c r="DT339" s="161"/>
      <c r="DU339" s="161"/>
      <c r="DV339" s="161"/>
      <c r="DW339" s="161"/>
      <c r="DX339" s="161"/>
      <c r="DY339" s="161"/>
      <c r="DZ339" s="161"/>
      <c r="EA339" s="161"/>
      <c r="EB339" s="161"/>
      <c r="EC339" s="161"/>
      <c r="ED339" s="161"/>
      <c r="EE339" s="161"/>
      <c r="EF339" s="161"/>
      <c r="EG339" s="161"/>
      <c r="EH339" s="161"/>
      <c r="EI339" s="161"/>
      <c r="EJ339" s="161"/>
      <c r="EK339" s="161"/>
      <c r="EL339" s="161"/>
      <c r="EM339" s="161"/>
      <c r="EN339" s="161"/>
      <c r="EO339" s="161"/>
      <c r="EP339" s="161"/>
      <c r="EQ339" s="161"/>
      <c r="ER339" s="161"/>
      <c r="ES339" s="161"/>
      <c r="ET339" s="161"/>
      <c r="EU339" s="161"/>
      <c r="EV339" s="161"/>
      <c r="EW339" s="161"/>
      <c r="EX339" s="161"/>
      <c r="EY339" s="161"/>
      <c r="EZ339" s="161"/>
      <c r="FA339" s="161"/>
      <c r="FB339" s="161"/>
      <c r="FC339" s="161"/>
      <c r="FD339" s="161"/>
      <c r="FE339" s="161"/>
      <c r="FF339" s="161"/>
      <c r="FG339" s="161"/>
      <c r="FH339" s="161"/>
      <c r="FI339" s="161"/>
      <c r="FJ339" s="161"/>
      <c r="FK339" s="161"/>
      <c r="FL339" s="161"/>
      <c r="FM339" s="161"/>
      <c r="FN339" s="161"/>
      <c r="FO339" s="161"/>
      <c r="FP339" s="161"/>
      <c r="FQ339" s="161"/>
      <c r="FR339" s="161"/>
      <c r="FS339" s="161"/>
      <c r="FT339" s="161"/>
      <c r="FU339" s="161"/>
      <c r="FV339" s="161"/>
      <c r="FW339" s="161"/>
      <c r="FX339" s="161"/>
      <c r="FY339" s="161"/>
      <c r="FZ339" s="161"/>
      <c r="GA339" s="161"/>
      <c r="GB339" s="161"/>
      <c r="GC339" s="161"/>
      <c r="GD339" s="161"/>
      <c r="GE339" s="161"/>
      <c r="GF339" s="161"/>
      <c r="GG339" s="161"/>
      <c r="GH339" s="161"/>
      <c r="GI339" s="161"/>
      <c r="GJ339" s="161"/>
      <c r="GK339" s="161"/>
      <c r="GL339" s="161"/>
      <c r="GM339" s="161"/>
    </row>
    <row r="340" spans="1:195" s="166" customFormat="1" ht="13.8" hidden="1" outlineLevel="1">
      <c r="A340" s="315" t="s">
        <v>1954</v>
      </c>
      <c r="B340" s="315" t="s">
        <v>773</v>
      </c>
      <c r="C340" s="316"/>
      <c r="D340" s="2919"/>
      <c r="E340" s="164" t="s">
        <v>773</v>
      </c>
      <c r="F340" s="154">
        <f>SUMIFS(INPUT!$H:$H,INPUT!$E:$E,BAZE_2026!$A340,INPUT!$B:$B,BAZE_2026!$B340)</f>
        <v>0</v>
      </c>
      <c r="G340" s="154">
        <f>SUMIFS(INPUT!$L:$L,INPUT!$E:$E,BAZE_2026!$A340,INPUT!$B:$B,BAZE_2026!$B340)</f>
        <v>7950</v>
      </c>
      <c r="H340" s="158">
        <f t="shared" si="36"/>
        <v>7950</v>
      </c>
      <c r="I340" s="230" t="str">
        <f t="shared" si="37"/>
        <v>-</v>
      </c>
      <c r="J340" s="2932"/>
      <c r="K340" s="3272">
        <v>7950</v>
      </c>
      <c r="L340" s="283"/>
      <c r="M340" s="161"/>
      <c r="N340" s="161"/>
      <c r="O340" s="161"/>
      <c r="P340" s="161"/>
      <c r="Q340" s="161"/>
      <c r="R340" s="161"/>
      <c r="S340" s="161"/>
      <c r="T340" s="161"/>
      <c r="U340" s="161"/>
      <c r="V340" s="161"/>
      <c r="W340" s="161"/>
      <c r="X340" s="161"/>
      <c r="Y340" s="161"/>
      <c r="Z340" s="161"/>
      <c r="AA340" s="161"/>
      <c r="AB340" s="161"/>
      <c r="AC340" s="161"/>
      <c r="AD340" s="161"/>
      <c r="AE340" s="161"/>
      <c r="AF340" s="161"/>
      <c r="AG340" s="161"/>
      <c r="AH340" s="161"/>
      <c r="AI340" s="161"/>
      <c r="AJ340" s="161"/>
      <c r="AK340" s="161"/>
      <c r="AL340" s="161"/>
      <c r="AM340" s="161"/>
      <c r="AN340" s="161"/>
      <c r="AO340" s="161"/>
      <c r="AP340" s="161"/>
      <c r="AQ340" s="161"/>
      <c r="AR340" s="161"/>
      <c r="AS340" s="161"/>
      <c r="AT340" s="161"/>
      <c r="AU340" s="161"/>
      <c r="AV340" s="161"/>
      <c r="AW340" s="161"/>
      <c r="AX340" s="161"/>
      <c r="AY340" s="161"/>
      <c r="AZ340" s="161"/>
      <c r="BA340" s="161"/>
      <c r="BB340" s="161"/>
      <c r="BC340" s="161"/>
      <c r="BD340" s="161"/>
      <c r="BE340" s="161"/>
      <c r="BF340" s="161"/>
      <c r="BG340" s="161"/>
      <c r="BH340" s="161"/>
      <c r="BI340" s="161"/>
      <c r="BJ340" s="161"/>
      <c r="BK340" s="161"/>
      <c r="BL340" s="161"/>
      <c r="BM340" s="161"/>
      <c r="BN340" s="161"/>
      <c r="BO340" s="161"/>
      <c r="BP340" s="161"/>
      <c r="BQ340" s="161"/>
      <c r="BR340" s="161"/>
      <c r="BS340" s="161"/>
      <c r="BT340" s="161"/>
      <c r="BU340" s="161"/>
      <c r="BV340" s="161"/>
      <c r="BW340" s="161"/>
      <c r="BX340" s="161"/>
      <c r="BY340" s="161"/>
      <c r="BZ340" s="161"/>
      <c r="CA340" s="161"/>
      <c r="CB340" s="161"/>
      <c r="CC340" s="161"/>
      <c r="CD340" s="161"/>
      <c r="CE340" s="161"/>
      <c r="CF340" s="161"/>
      <c r="CG340" s="161"/>
      <c r="CH340" s="161"/>
      <c r="CI340" s="161"/>
      <c r="CJ340" s="161"/>
      <c r="CK340" s="161"/>
      <c r="CL340" s="161"/>
      <c r="CM340" s="161"/>
      <c r="CN340" s="161"/>
      <c r="CO340" s="161"/>
      <c r="CP340" s="161"/>
      <c r="CQ340" s="161"/>
      <c r="CR340" s="161"/>
      <c r="CS340" s="161"/>
      <c r="CT340" s="161"/>
      <c r="CU340" s="161"/>
      <c r="CV340" s="161"/>
      <c r="CW340" s="161"/>
      <c r="CX340" s="161"/>
      <c r="CY340" s="161"/>
      <c r="CZ340" s="161"/>
      <c r="DA340" s="161"/>
      <c r="DB340" s="161"/>
      <c r="DC340" s="161"/>
      <c r="DD340" s="161"/>
      <c r="DE340" s="161"/>
      <c r="DF340" s="161"/>
      <c r="DG340" s="161"/>
      <c r="DH340" s="161"/>
      <c r="DI340" s="161"/>
      <c r="DJ340" s="161"/>
      <c r="DK340" s="161"/>
      <c r="DL340" s="161"/>
      <c r="DM340" s="161"/>
      <c r="DN340" s="161"/>
      <c r="DO340" s="161"/>
      <c r="DP340" s="161"/>
      <c r="DQ340" s="161"/>
      <c r="DR340" s="161"/>
      <c r="DS340" s="161"/>
      <c r="DT340" s="161"/>
      <c r="DU340" s="161"/>
      <c r="DV340" s="161"/>
      <c r="DW340" s="161"/>
      <c r="DX340" s="161"/>
      <c r="DY340" s="161"/>
      <c r="DZ340" s="161"/>
      <c r="EA340" s="161"/>
      <c r="EB340" s="161"/>
      <c r="EC340" s="161"/>
      <c r="ED340" s="161"/>
      <c r="EE340" s="161"/>
      <c r="EF340" s="161"/>
      <c r="EG340" s="161"/>
      <c r="EH340" s="161"/>
      <c r="EI340" s="161"/>
      <c r="EJ340" s="161"/>
      <c r="EK340" s="161"/>
      <c r="EL340" s="161"/>
      <c r="EM340" s="161"/>
      <c r="EN340" s="161"/>
      <c r="EO340" s="161"/>
      <c r="EP340" s="161"/>
      <c r="EQ340" s="161"/>
      <c r="ER340" s="161"/>
      <c r="ES340" s="161"/>
      <c r="ET340" s="161"/>
      <c r="EU340" s="161"/>
      <c r="EV340" s="161"/>
      <c r="EW340" s="161"/>
      <c r="EX340" s="161"/>
      <c r="EY340" s="161"/>
      <c r="EZ340" s="161"/>
      <c r="FA340" s="161"/>
      <c r="FB340" s="161"/>
      <c r="FC340" s="161"/>
      <c r="FD340" s="161"/>
      <c r="FE340" s="161"/>
      <c r="FF340" s="161"/>
      <c r="FG340" s="161"/>
      <c r="FH340" s="161"/>
      <c r="FI340" s="161"/>
      <c r="FJ340" s="161"/>
      <c r="FK340" s="161"/>
      <c r="FL340" s="161"/>
      <c r="FM340" s="161"/>
      <c r="FN340" s="161"/>
      <c r="FO340" s="161"/>
      <c r="FP340" s="161"/>
      <c r="FQ340" s="161"/>
      <c r="FR340" s="161"/>
      <c r="FS340" s="161"/>
      <c r="FT340" s="161"/>
      <c r="FU340" s="161"/>
      <c r="FV340" s="161"/>
      <c r="FW340" s="161"/>
      <c r="FX340" s="161"/>
      <c r="FY340" s="161"/>
      <c r="FZ340" s="161"/>
      <c r="GA340" s="161"/>
      <c r="GB340" s="161"/>
      <c r="GC340" s="161"/>
      <c r="GD340" s="161"/>
      <c r="GE340" s="161"/>
      <c r="GF340" s="161"/>
      <c r="GG340" s="161"/>
      <c r="GH340" s="161"/>
      <c r="GI340" s="161"/>
      <c r="GJ340" s="161"/>
      <c r="GK340" s="161"/>
      <c r="GL340" s="161"/>
      <c r="GM340" s="161"/>
    </row>
    <row r="341" spans="1:195" ht="27.6" collapsed="1">
      <c r="D341" s="1211" t="s">
        <v>1172</v>
      </c>
      <c r="E341" s="42" t="s">
        <v>1364</v>
      </c>
      <c r="F341" s="91">
        <f>F342+F343+F344</f>
        <v>335204.44580680004</v>
      </c>
      <c r="G341" s="91">
        <f>G342+G343+G344</f>
        <v>358299.26008769998</v>
      </c>
      <c r="H341" s="33">
        <f t="shared" si="36"/>
        <v>23094.81428089994</v>
      </c>
      <c r="I341" s="222">
        <f t="shared" si="37"/>
        <v>6.8897696822944207E-2</v>
      </c>
      <c r="J341" s="1402"/>
      <c r="K341" s="72"/>
    </row>
    <row r="342" spans="1:195" s="8" customFormat="1" ht="13.8" hidden="1" outlineLevel="1">
      <c r="A342" s="179" t="s">
        <v>1929</v>
      </c>
      <c r="B342" s="179" t="s">
        <v>436</v>
      </c>
      <c r="C342" s="248"/>
      <c r="D342" s="58"/>
      <c r="E342" s="65" t="s">
        <v>436</v>
      </c>
      <c r="F342" s="92">
        <f>SUMIFS(INPUT!$H:$H,INPUT!$E:$E,BAZE_2026!$A342,INPUT!$B:$B,BAZE_2026!$B342)</f>
        <v>279261.84580680006</v>
      </c>
      <c r="G342" s="92">
        <f>SUMIFS(INPUT!$L:$L,INPUT!$E:$E,BAZE_2026!$A342,INPUT!$B:$B,BAZE_2026!$B342)</f>
        <v>293405.6600877</v>
      </c>
      <c r="H342" s="48">
        <f>G342-F342</f>
        <v>14143.81428089994</v>
      </c>
      <c r="I342" s="232">
        <f t="shared" si="37"/>
        <v>5.0647141717615675E-2</v>
      </c>
      <c r="J342" s="2713"/>
      <c r="K342" s="72"/>
      <c r="L342" s="1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row>
    <row r="343" spans="1:195" s="8" customFormat="1" ht="13.8" hidden="1" outlineLevel="1">
      <c r="A343" s="179" t="s">
        <v>1929</v>
      </c>
      <c r="B343" s="179" t="s">
        <v>772</v>
      </c>
      <c r="C343" s="248"/>
      <c r="D343" s="64"/>
      <c r="E343" s="59" t="s">
        <v>376</v>
      </c>
      <c r="F343" s="92">
        <f>SUMIFS(INPUT!$H:$H,INPUT!$E:$E,BAZE_2026!$A343,INPUT!$B:$B,BAZE_2026!$B343)</f>
        <v>55942.6</v>
      </c>
      <c r="G343" s="92">
        <f>SUMIFS(INPUT!$L:$L,INPUT!$E:$E,BAZE_2026!$A343,INPUT!$B:$B,BAZE_2026!$B343)</f>
        <v>64893.599999999999</v>
      </c>
      <c r="H343" s="48">
        <f t="shared" si="36"/>
        <v>8951</v>
      </c>
      <c r="I343" s="232">
        <f t="shared" si="37"/>
        <v>0.16000328908559847</v>
      </c>
      <c r="J343" s="2713" t="s">
        <v>5157</v>
      </c>
      <c r="K343" s="54"/>
      <c r="L343" s="135"/>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row>
    <row r="344" spans="1:195" s="8" customFormat="1" ht="13.8" hidden="1" outlineLevel="1">
      <c r="A344" s="179" t="s">
        <v>1929</v>
      </c>
      <c r="B344" s="179" t="s">
        <v>774</v>
      </c>
      <c r="C344" s="248"/>
      <c r="D344" s="58"/>
      <c r="E344" s="59" t="s">
        <v>375</v>
      </c>
      <c r="F344" s="92">
        <f>SUMIFS(INPUT!$H:$H,INPUT!$E:$E,BAZE_2026!$A344,INPUT!$B:$B,BAZE_2026!$B344)</f>
        <v>0</v>
      </c>
      <c r="G344" s="92">
        <f>SUMIFS(INPUT!$L:$L,INPUT!$E:$E,BAZE_2026!$A344,INPUT!$B:$B,BAZE_2026!$B344)</f>
        <v>0</v>
      </c>
      <c r="H344" s="48">
        <f t="shared" si="36"/>
        <v>0</v>
      </c>
      <c r="I344" s="232" t="str">
        <f t="shared" si="37"/>
        <v>-</v>
      </c>
      <c r="J344" s="68"/>
      <c r="K344" s="72"/>
      <c r="L344" s="12"/>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row>
    <row r="345" spans="1:195" s="161" customFormat="1" ht="16.2" hidden="1" customHeight="1" outlineLevel="1">
      <c r="A345" s="315" t="s">
        <v>3316</v>
      </c>
      <c r="B345" s="315"/>
      <c r="C345" s="321"/>
      <c r="D345" s="2952"/>
      <c r="E345" s="322" t="s">
        <v>2599</v>
      </c>
      <c r="F345" s="154">
        <f>SUMIF(INPUT!$E:$E,BAZE_2026!$A345,INPUT!$H:$H)</f>
        <v>285277</v>
      </c>
      <c r="G345" s="154">
        <f>SUMIF(INPUT!$E:$E,BAZE_2026!$A345,INPUT!$L:$L)</f>
        <v>11388</v>
      </c>
      <c r="H345" s="160">
        <f>G345-F345</f>
        <v>-273889</v>
      </c>
      <c r="I345" s="323">
        <f t="shared" si="37"/>
        <v>-0.96008090382330158</v>
      </c>
      <c r="J345" s="2953"/>
      <c r="K345" s="317"/>
      <c r="L345" s="283"/>
    </row>
    <row r="346" spans="1:195" s="166" customFormat="1" ht="13.8" hidden="1" outlineLevel="1">
      <c r="A346" s="315" t="s">
        <v>1929</v>
      </c>
      <c r="B346" s="315" t="s">
        <v>365</v>
      </c>
      <c r="C346" s="316"/>
      <c r="D346" s="2948"/>
      <c r="E346" s="276" t="s">
        <v>49</v>
      </c>
      <c r="F346" s="154">
        <f>SUMIFS(INPUT!$H:$H,INPUT!$E:$E,BAZE_2026!$A346,INPUT!$B:$B,BAZE_2026!$B346)</f>
        <v>1500</v>
      </c>
      <c r="G346" s="154">
        <f>SUMIFS(INPUT!$L:$L,INPUT!$E:$E,BAZE_2026!$A346,INPUT!$B:$B,BAZE_2026!$B346)</f>
        <v>2193</v>
      </c>
      <c r="H346" s="158">
        <f>G346-F346</f>
        <v>693</v>
      </c>
      <c r="I346" s="230">
        <f>IFERROR(H346/F346,"-")</f>
        <v>0.46200000000000002</v>
      </c>
      <c r="J346" s="2949"/>
      <c r="K346" s="317"/>
      <c r="L346" s="283"/>
      <c r="M346" s="161"/>
      <c r="N346" s="161"/>
      <c r="O346" s="161"/>
      <c r="P346" s="161"/>
      <c r="Q346" s="161"/>
      <c r="R346" s="161"/>
      <c r="S346" s="161"/>
      <c r="T346" s="161"/>
      <c r="U346" s="161"/>
      <c r="V346" s="161"/>
      <c r="W346" s="161"/>
      <c r="X346" s="161"/>
      <c r="Y346" s="161"/>
      <c r="Z346" s="161"/>
      <c r="AA346" s="161"/>
      <c r="AB346" s="161"/>
      <c r="AC346" s="161"/>
      <c r="AD346" s="161"/>
      <c r="AE346" s="161"/>
      <c r="AF346" s="161"/>
      <c r="AG346" s="161"/>
      <c r="AH346" s="161"/>
      <c r="AI346" s="161"/>
      <c r="AJ346" s="161"/>
      <c r="AK346" s="161"/>
      <c r="AL346" s="161"/>
      <c r="AM346" s="161"/>
      <c r="AN346" s="161"/>
      <c r="AO346" s="161"/>
      <c r="AP346" s="161"/>
      <c r="AQ346" s="161"/>
      <c r="AR346" s="161"/>
      <c r="AS346" s="161"/>
      <c r="AT346" s="161"/>
      <c r="AU346" s="161"/>
      <c r="AV346" s="161"/>
      <c r="AW346" s="161"/>
      <c r="AX346" s="161"/>
      <c r="AY346" s="161"/>
      <c r="AZ346" s="161"/>
      <c r="BA346" s="161"/>
      <c r="BB346" s="161"/>
      <c r="BC346" s="161"/>
      <c r="BD346" s="161"/>
      <c r="BE346" s="161"/>
      <c r="BF346" s="161"/>
      <c r="BG346" s="161"/>
      <c r="BH346" s="161"/>
      <c r="BI346" s="161"/>
      <c r="BJ346" s="161"/>
      <c r="BK346" s="161"/>
      <c r="BL346" s="161"/>
      <c r="BM346" s="161"/>
      <c r="BN346" s="161"/>
      <c r="BO346" s="161"/>
      <c r="BP346" s="161"/>
      <c r="BQ346" s="161"/>
      <c r="BR346" s="161"/>
      <c r="BS346" s="161"/>
      <c r="BT346" s="161"/>
      <c r="BU346" s="161"/>
      <c r="BV346" s="161"/>
      <c r="BW346" s="161"/>
      <c r="BX346" s="161"/>
      <c r="BY346" s="161"/>
      <c r="BZ346" s="161"/>
      <c r="CA346" s="161"/>
      <c r="CB346" s="161"/>
      <c r="CC346" s="161"/>
      <c r="CD346" s="161"/>
      <c r="CE346" s="161"/>
      <c r="CF346" s="161"/>
      <c r="CG346" s="161"/>
      <c r="CH346" s="161"/>
      <c r="CI346" s="161"/>
      <c r="CJ346" s="161"/>
      <c r="CK346" s="161"/>
      <c r="CL346" s="161"/>
      <c r="CM346" s="161"/>
      <c r="CN346" s="161"/>
      <c r="CO346" s="161"/>
      <c r="CP346" s="161"/>
      <c r="CQ346" s="161"/>
      <c r="CR346" s="161"/>
      <c r="CS346" s="161"/>
      <c r="CT346" s="161"/>
      <c r="CU346" s="161"/>
      <c r="CV346" s="161"/>
      <c r="CW346" s="161"/>
      <c r="CX346" s="161"/>
      <c r="CY346" s="161"/>
      <c r="CZ346" s="161"/>
      <c r="DA346" s="161"/>
      <c r="DB346" s="161"/>
      <c r="DC346" s="161"/>
      <c r="DD346" s="161"/>
      <c r="DE346" s="161"/>
      <c r="DF346" s="161"/>
      <c r="DG346" s="161"/>
      <c r="DH346" s="161"/>
      <c r="DI346" s="161"/>
      <c r="DJ346" s="161"/>
      <c r="DK346" s="161"/>
      <c r="DL346" s="161"/>
      <c r="DM346" s="161"/>
      <c r="DN346" s="161"/>
      <c r="DO346" s="161"/>
      <c r="DP346" s="161"/>
      <c r="DQ346" s="161"/>
      <c r="DR346" s="161"/>
      <c r="DS346" s="161"/>
      <c r="DT346" s="161"/>
      <c r="DU346" s="161"/>
      <c r="DV346" s="161"/>
      <c r="DW346" s="161"/>
      <c r="DX346" s="161"/>
      <c r="DY346" s="161"/>
      <c r="DZ346" s="161"/>
      <c r="EA346" s="161"/>
      <c r="EB346" s="161"/>
      <c r="EC346" s="161"/>
      <c r="ED346" s="161"/>
      <c r="EE346" s="161"/>
      <c r="EF346" s="161"/>
      <c r="EG346" s="161"/>
      <c r="EH346" s="161"/>
      <c r="EI346" s="161"/>
      <c r="EJ346" s="161"/>
      <c r="EK346" s="161"/>
      <c r="EL346" s="161"/>
      <c r="EM346" s="161"/>
      <c r="EN346" s="161"/>
      <c r="EO346" s="161"/>
      <c r="EP346" s="161"/>
      <c r="EQ346" s="161"/>
      <c r="ER346" s="161"/>
      <c r="ES346" s="161"/>
      <c r="ET346" s="161"/>
      <c r="EU346" s="161"/>
      <c r="EV346" s="161"/>
      <c r="EW346" s="161"/>
      <c r="EX346" s="161"/>
      <c r="EY346" s="161"/>
      <c r="EZ346" s="161"/>
      <c r="FA346" s="161"/>
      <c r="FB346" s="161"/>
      <c r="FC346" s="161"/>
      <c r="FD346" s="161"/>
      <c r="FE346" s="161"/>
      <c r="FF346" s="161"/>
      <c r="FG346" s="161"/>
      <c r="FH346" s="161"/>
      <c r="FI346" s="161"/>
      <c r="FJ346" s="161"/>
      <c r="FK346" s="161"/>
      <c r="FL346" s="161"/>
      <c r="FM346" s="161"/>
      <c r="FN346" s="161"/>
      <c r="FO346" s="161"/>
      <c r="FP346" s="161"/>
      <c r="FQ346" s="161"/>
      <c r="FR346" s="161"/>
      <c r="FS346" s="161"/>
      <c r="FT346" s="161"/>
      <c r="FU346" s="161"/>
      <c r="FV346" s="161"/>
      <c r="FW346" s="161"/>
      <c r="FX346" s="161"/>
      <c r="FY346" s="161"/>
      <c r="FZ346" s="161"/>
      <c r="GA346" s="161"/>
      <c r="GB346" s="161"/>
      <c r="GC346" s="161"/>
      <c r="GD346" s="161"/>
      <c r="GE346" s="161"/>
      <c r="GF346" s="161"/>
      <c r="GG346" s="161"/>
      <c r="GH346" s="161"/>
      <c r="GI346" s="161"/>
      <c r="GJ346" s="161"/>
      <c r="GK346" s="161"/>
      <c r="GL346" s="161"/>
      <c r="GM346" s="161"/>
    </row>
    <row r="347" spans="1:195" s="166" customFormat="1" ht="13.8" hidden="1" outlineLevel="1">
      <c r="A347" s="315" t="s">
        <v>1929</v>
      </c>
      <c r="B347" s="315" t="s">
        <v>773</v>
      </c>
      <c r="C347" s="316"/>
      <c r="D347" s="2919"/>
      <c r="E347" s="164" t="s">
        <v>773</v>
      </c>
      <c r="F347" s="154">
        <f>SUMIFS(INPUT!$H:$H,INPUT!$E:$E,BAZE_2026!$A347,INPUT!$B:$B,BAZE_2026!$B347)</f>
        <v>78890</v>
      </c>
      <c r="G347" s="154">
        <f>SUMIFS(INPUT!$L:$L,INPUT!$E:$E,BAZE_2026!$A347,INPUT!$B:$B,BAZE_2026!$B347)</f>
        <v>96391</v>
      </c>
      <c r="H347" s="158">
        <f t="shared" si="36"/>
        <v>17501</v>
      </c>
      <c r="I347" s="230">
        <f t="shared" si="37"/>
        <v>0.22184053745721891</v>
      </c>
      <c r="J347" s="2932"/>
      <c r="K347" s="317"/>
      <c r="L347" s="283"/>
      <c r="M347" s="161"/>
      <c r="N347" s="161"/>
      <c r="O347" s="161"/>
      <c r="P347" s="161"/>
      <c r="Q347" s="161"/>
      <c r="R347" s="161"/>
      <c r="S347" s="161"/>
      <c r="T347" s="161"/>
      <c r="U347" s="161"/>
      <c r="V347" s="161"/>
      <c r="W347" s="161"/>
      <c r="X347" s="161"/>
      <c r="Y347" s="161"/>
      <c r="Z347" s="161"/>
      <c r="AA347" s="161"/>
      <c r="AB347" s="161"/>
      <c r="AC347" s="161"/>
      <c r="AD347" s="161"/>
      <c r="AE347" s="161"/>
      <c r="AF347" s="161"/>
      <c r="AG347" s="161"/>
      <c r="AH347" s="161"/>
      <c r="AI347" s="161"/>
      <c r="AJ347" s="161"/>
      <c r="AK347" s="161"/>
      <c r="AL347" s="161"/>
      <c r="AM347" s="161"/>
      <c r="AN347" s="161"/>
      <c r="AO347" s="161"/>
      <c r="AP347" s="161"/>
      <c r="AQ347" s="161"/>
      <c r="AR347" s="161"/>
      <c r="AS347" s="161"/>
      <c r="AT347" s="161"/>
      <c r="AU347" s="161"/>
      <c r="AV347" s="161"/>
      <c r="AW347" s="161"/>
      <c r="AX347" s="161"/>
      <c r="AY347" s="161"/>
      <c r="AZ347" s="161"/>
      <c r="BA347" s="161"/>
      <c r="BB347" s="161"/>
      <c r="BC347" s="161"/>
      <c r="BD347" s="161"/>
      <c r="BE347" s="161"/>
      <c r="BF347" s="161"/>
      <c r="BG347" s="161"/>
      <c r="BH347" s="161"/>
      <c r="BI347" s="161"/>
      <c r="BJ347" s="161"/>
      <c r="BK347" s="161"/>
      <c r="BL347" s="161"/>
      <c r="BM347" s="161"/>
      <c r="BN347" s="161"/>
      <c r="BO347" s="161"/>
      <c r="BP347" s="161"/>
      <c r="BQ347" s="161"/>
      <c r="BR347" s="161"/>
      <c r="BS347" s="161"/>
      <c r="BT347" s="161"/>
      <c r="BU347" s="161"/>
      <c r="BV347" s="161"/>
      <c r="BW347" s="161"/>
      <c r="BX347" s="161"/>
      <c r="BY347" s="161"/>
      <c r="BZ347" s="161"/>
      <c r="CA347" s="161"/>
      <c r="CB347" s="161"/>
      <c r="CC347" s="161"/>
      <c r="CD347" s="161"/>
      <c r="CE347" s="161"/>
      <c r="CF347" s="161"/>
      <c r="CG347" s="161"/>
      <c r="CH347" s="161"/>
      <c r="CI347" s="161"/>
      <c r="CJ347" s="161"/>
      <c r="CK347" s="161"/>
      <c r="CL347" s="161"/>
      <c r="CM347" s="161"/>
      <c r="CN347" s="161"/>
      <c r="CO347" s="161"/>
      <c r="CP347" s="161"/>
      <c r="CQ347" s="161"/>
      <c r="CR347" s="161"/>
      <c r="CS347" s="161"/>
      <c r="CT347" s="161"/>
      <c r="CU347" s="161"/>
      <c r="CV347" s="161"/>
      <c r="CW347" s="161"/>
      <c r="CX347" s="161"/>
      <c r="CY347" s="161"/>
      <c r="CZ347" s="161"/>
      <c r="DA347" s="161"/>
      <c r="DB347" s="161"/>
      <c r="DC347" s="161"/>
      <c r="DD347" s="161"/>
      <c r="DE347" s="161"/>
      <c r="DF347" s="161"/>
      <c r="DG347" s="161"/>
      <c r="DH347" s="161"/>
      <c r="DI347" s="161"/>
      <c r="DJ347" s="161"/>
      <c r="DK347" s="161"/>
      <c r="DL347" s="161"/>
      <c r="DM347" s="161"/>
      <c r="DN347" s="161"/>
      <c r="DO347" s="161"/>
      <c r="DP347" s="161"/>
      <c r="DQ347" s="161"/>
      <c r="DR347" s="161"/>
      <c r="DS347" s="161"/>
      <c r="DT347" s="161"/>
      <c r="DU347" s="161"/>
      <c r="DV347" s="161"/>
      <c r="DW347" s="161"/>
      <c r="DX347" s="161"/>
      <c r="DY347" s="161"/>
      <c r="DZ347" s="161"/>
      <c r="EA347" s="161"/>
      <c r="EB347" s="161"/>
      <c r="EC347" s="161"/>
      <c r="ED347" s="161"/>
      <c r="EE347" s="161"/>
      <c r="EF347" s="161"/>
      <c r="EG347" s="161"/>
      <c r="EH347" s="161"/>
      <c r="EI347" s="161"/>
      <c r="EJ347" s="161"/>
      <c r="EK347" s="161"/>
      <c r="EL347" s="161"/>
      <c r="EM347" s="161"/>
      <c r="EN347" s="161"/>
      <c r="EO347" s="161"/>
      <c r="EP347" s="161"/>
      <c r="EQ347" s="161"/>
      <c r="ER347" s="161"/>
      <c r="ES347" s="161"/>
      <c r="ET347" s="161"/>
      <c r="EU347" s="161"/>
      <c r="EV347" s="161"/>
      <c r="EW347" s="161"/>
      <c r="EX347" s="161"/>
      <c r="EY347" s="161"/>
      <c r="EZ347" s="161"/>
      <c r="FA347" s="161"/>
      <c r="FB347" s="161"/>
      <c r="FC347" s="161"/>
      <c r="FD347" s="161"/>
      <c r="FE347" s="161"/>
      <c r="FF347" s="161"/>
      <c r="FG347" s="161"/>
      <c r="FH347" s="161"/>
      <c r="FI347" s="161"/>
      <c r="FJ347" s="161"/>
      <c r="FK347" s="161"/>
      <c r="FL347" s="161"/>
      <c r="FM347" s="161"/>
      <c r="FN347" s="161"/>
      <c r="FO347" s="161"/>
      <c r="FP347" s="161"/>
      <c r="FQ347" s="161"/>
      <c r="FR347" s="161"/>
      <c r="FS347" s="161"/>
      <c r="FT347" s="161"/>
      <c r="FU347" s="161"/>
      <c r="FV347" s="161"/>
      <c r="FW347" s="161"/>
      <c r="FX347" s="161"/>
      <c r="FY347" s="161"/>
      <c r="FZ347" s="161"/>
      <c r="GA347" s="161"/>
      <c r="GB347" s="161"/>
      <c r="GC347" s="161"/>
      <c r="GD347" s="161"/>
      <c r="GE347" s="161"/>
      <c r="GF347" s="161"/>
      <c r="GG347" s="161"/>
      <c r="GH347" s="161"/>
      <c r="GI347" s="161"/>
      <c r="GJ347" s="161"/>
      <c r="GK347" s="161"/>
      <c r="GL347" s="161"/>
      <c r="GM347" s="161"/>
    </row>
    <row r="348" spans="1:195" ht="13.8" collapsed="1">
      <c r="D348" s="1211" t="s">
        <v>1365</v>
      </c>
      <c r="E348" s="42" t="s">
        <v>1363</v>
      </c>
      <c r="F348" s="91">
        <f>F349+F350+F351</f>
        <v>10506</v>
      </c>
      <c r="G348" s="91">
        <f>G349+G350+G351</f>
        <v>14703</v>
      </c>
      <c r="H348" s="33">
        <f t="shared" ref="H348:H354" si="40">G348-F348</f>
        <v>4197</v>
      </c>
      <c r="I348" s="222">
        <f>IFERROR(H348/F348,"-")</f>
        <v>0.39948600799543116</v>
      </c>
      <c r="J348" s="1045"/>
      <c r="K348" s="72"/>
    </row>
    <row r="349" spans="1:195" s="8" customFormat="1" ht="13.8" hidden="1" outlineLevel="1">
      <c r="A349" s="179" t="s">
        <v>1930</v>
      </c>
      <c r="B349" s="179" t="s">
        <v>436</v>
      </c>
      <c r="C349" s="248"/>
      <c r="D349" s="58"/>
      <c r="E349" s="65" t="s">
        <v>436</v>
      </c>
      <c r="F349" s="92">
        <f>SUMIFS(INPUT!$H:$H,INPUT!$E:$E,BAZE_2026!$A349,INPUT!$B:$B,BAZE_2026!$B349)</f>
        <v>0</v>
      </c>
      <c r="G349" s="92">
        <f>SUMIFS(INPUT!$L:$L,INPUT!$E:$E,BAZE_2026!$A349,INPUT!$B:$B,BAZE_2026!$B349)</f>
        <v>0</v>
      </c>
      <c r="H349" s="48">
        <f t="shared" si="40"/>
        <v>0</v>
      </c>
      <c r="I349" s="232" t="str">
        <f>IFERROR(H349/F349,"-")</f>
        <v>-</v>
      </c>
      <c r="J349" s="1046"/>
      <c r="K349" s="72"/>
      <c r="L349" s="12"/>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row>
    <row r="350" spans="1:195" s="8" customFormat="1" ht="13.8" hidden="1" outlineLevel="1">
      <c r="A350" s="179" t="s">
        <v>1930</v>
      </c>
      <c r="B350" s="179" t="s">
        <v>772</v>
      </c>
      <c r="C350" s="248"/>
      <c r="D350" s="64"/>
      <c r="E350" s="59" t="s">
        <v>376</v>
      </c>
      <c r="F350" s="92">
        <f>SUMIFS(INPUT!$H:$H,INPUT!$E:$E,BAZE_2026!$A350,INPUT!$B:$B,BAZE_2026!$B350)</f>
        <v>10506</v>
      </c>
      <c r="G350" s="3212">
        <f>SUMIFS(INPUT!$L:$L,INPUT!$E:$E,BAZE_2026!$A350,INPUT!$B:$B,BAZE_2026!$B350)</f>
        <v>14703</v>
      </c>
      <c r="H350" s="48">
        <f t="shared" si="40"/>
        <v>4197</v>
      </c>
      <c r="I350" s="232">
        <f>IFERROR(H350/F350,"-")</f>
        <v>0.39948600799543116</v>
      </c>
      <c r="J350" s="2713"/>
      <c r="K350" s="54"/>
      <c r="L350" s="135"/>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row>
    <row r="351" spans="1:195" s="8" customFormat="1" ht="13.8" hidden="1" outlineLevel="1">
      <c r="A351" s="179" t="s">
        <v>1930</v>
      </c>
      <c r="B351" s="179" t="s">
        <v>774</v>
      </c>
      <c r="C351" s="248"/>
      <c r="D351" s="58"/>
      <c r="E351" s="59" t="s">
        <v>375</v>
      </c>
      <c r="F351" s="92">
        <f>SUMIFS(INPUT!$H:$H,INPUT!$E:$E,BAZE_2026!$A351,INPUT!$B:$B,BAZE_2026!$B351)</f>
        <v>0</v>
      </c>
      <c r="G351" s="92">
        <f>SUMIFS(INPUT!$L:$L,INPUT!$E:$E,BAZE_2026!$A351,INPUT!$B:$B,BAZE_2026!$B351)</f>
        <v>0</v>
      </c>
      <c r="H351" s="48">
        <f t="shared" si="40"/>
        <v>0</v>
      </c>
      <c r="I351" s="232" t="str">
        <f>IFERROR(H351/F351,"-")</f>
        <v>-</v>
      </c>
      <c r="J351" s="1047"/>
      <c r="K351" s="72"/>
      <c r="L351" s="12"/>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row>
    <row r="352" spans="1:195" s="166" customFormat="1" ht="13.8" hidden="1" outlineLevel="1">
      <c r="A352" s="315" t="s">
        <v>1930</v>
      </c>
      <c r="B352" s="315" t="s">
        <v>773</v>
      </c>
      <c r="C352" s="316"/>
      <c r="D352" s="2919"/>
      <c r="E352" s="164" t="s">
        <v>773</v>
      </c>
      <c r="F352" s="154">
        <f>SUMIFS(INPUT!$H:$H,INPUT!$E:$E,BAZE_2026!$A352,INPUT!$B:$B,BAZE_2026!$B352)</f>
        <v>88607</v>
      </c>
      <c r="G352" s="154">
        <f>SUMIFS(INPUT!$L:$L,INPUT!$E:$E,BAZE_2026!$A352,INPUT!$B:$B,BAZE_2026!$B352)</f>
        <v>117247.01999999999</v>
      </c>
      <c r="H352" s="158">
        <f t="shared" si="40"/>
        <v>28640.01999999999</v>
      </c>
      <c r="I352" s="230">
        <f>IFERROR(H352/F352,"-")</f>
        <v>0.32322525308384203</v>
      </c>
      <c r="J352" s="2932"/>
      <c r="K352" s="317"/>
      <c r="L352" s="283"/>
      <c r="M352" s="161"/>
      <c r="N352" s="161"/>
      <c r="O352" s="161"/>
      <c r="P352" s="161"/>
      <c r="Q352" s="161"/>
      <c r="R352" s="161"/>
      <c r="S352" s="161"/>
      <c r="T352" s="161"/>
      <c r="U352" s="161"/>
      <c r="V352" s="161"/>
      <c r="W352" s="161"/>
      <c r="X352" s="161"/>
      <c r="Y352" s="161"/>
      <c r="Z352" s="161"/>
      <c r="AA352" s="161"/>
      <c r="AB352" s="161"/>
      <c r="AC352" s="161"/>
      <c r="AD352" s="161"/>
      <c r="AE352" s="161"/>
      <c r="AF352" s="161"/>
      <c r="AG352" s="161"/>
      <c r="AH352" s="161"/>
      <c r="AI352" s="161"/>
      <c r="AJ352" s="161"/>
      <c r="AK352" s="161"/>
      <c r="AL352" s="161"/>
      <c r="AM352" s="161"/>
      <c r="AN352" s="161"/>
      <c r="AO352" s="161"/>
      <c r="AP352" s="161"/>
      <c r="AQ352" s="161"/>
      <c r="AR352" s="161"/>
      <c r="AS352" s="161"/>
      <c r="AT352" s="161"/>
      <c r="AU352" s="161"/>
      <c r="AV352" s="161"/>
      <c r="AW352" s="161"/>
      <c r="AX352" s="161"/>
      <c r="AY352" s="161"/>
      <c r="AZ352" s="161"/>
      <c r="BA352" s="161"/>
      <c r="BB352" s="161"/>
      <c r="BC352" s="161"/>
      <c r="BD352" s="161"/>
      <c r="BE352" s="161"/>
      <c r="BF352" s="161"/>
      <c r="BG352" s="161"/>
      <c r="BH352" s="161"/>
      <c r="BI352" s="161"/>
      <c r="BJ352" s="161"/>
      <c r="BK352" s="161"/>
      <c r="BL352" s="161"/>
      <c r="BM352" s="161"/>
      <c r="BN352" s="161"/>
      <c r="BO352" s="161"/>
      <c r="BP352" s="161"/>
      <c r="BQ352" s="161"/>
      <c r="BR352" s="161"/>
      <c r="BS352" s="161"/>
      <c r="BT352" s="161"/>
      <c r="BU352" s="161"/>
      <c r="BV352" s="161"/>
      <c r="BW352" s="161"/>
      <c r="BX352" s="161"/>
      <c r="BY352" s="161"/>
      <c r="BZ352" s="161"/>
      <c r="CA352" s="161"/>
      <c r="CB352" s="161"/>
      <c r="CC352" s="161"/>
      <c r="CD352" s="161"/>
      <c r="CE352" s="161"/>
      <c r="CF352" s="161"/>
      <c r="CG352" s="161"/>
      <c r="CH352" s="161"/>
      <c r="CI352" s="161"/>
      <c r="CJ352" s="161"/>
      <c r="CK352" s="161"/>
      <c r="CL352" s="161"/>
      <c r="CM352" s="161"/>
      <c r="CN352" s="161"/>
      <c r="CO352" s="161"/>
      <c r="CP352" s="161"/>
      <c r="CQ352" s="161"/>
      <c r="CR352" s="161"/>
      <c r="CS352" s="161"/>
      <c r="CT352" s="161"/>
      <c r="CU352" s="161"/>
      <c r="CV352" s="161"/>
      <c r="CW352" s="161"/>
      <c r="CX352" s="161"/>
      <c r="CY352" s="161"/>
      <c r="CZ352" s="161"/>
      <c r="DA352" s="161"/>
      <c r="DB352" s="161"/>
      <c r="DC352" s="161"/>
      <c r="DD352" s="161"/>
      <c r="DE352" s="161"/>
      <c r="DF352" s="161"/>
      <c r="DG352" s="161"/>
      <c r="DH352" s="161"/>
      <c r="DI352" s="161"/>
      <c r="DJ352" s="161"/>
      <c r="DK352" s="161"/>
      <c r="DL352" s="161"/>
      <c r="DM352" s="161"/>
      <c r="DN352" s="161"/>
      <c r="DO352" s="161"/>
      <c r="DP352" s="161"/>
      <c r="DQ352" s="161"/>
      <c r="DR352" s="161"/>
      <c r="DS352" s="161"/>
      <c r="DT352" s="161"/>
      <c r="DU352" s="161"/>
      <c r="DV352" s="161"/>
      <c r="DW352" s="161"/>
      <c r="DX352" s="161"/>
      <c r="DY352" s="161"/>
      <c r="DZ352" s="161"/>
      <c r="EA352" s="161"/>
      <c r="EB352" s="161"/>
      <c r="EC352" s="161"/>
      <c r="ED352" s="161"/>
      <c r="EE352" s="161"/>
      <c r="EF352" s="161"/>
      <c r="EG352" s="161"/>
      <c r="EH352" s="161"/>
      <c r="EI352" s="161"/>
      <c r="EJ352" s="161"/>
      <c r="EK352" s="161"/>
      <c r="EL352" s="161"/>
      <c r="EM352" s="161"/>
      <c r="EN352" s="161"/>
      <c r="EO352" s="161"/>
      <c r="EP352" s="161"/>
      <c r="EQ352" s="161"/>
      <c r="ER352" s="161"/>
      <c r="ES352" s="161"/>
      <c r="ET352" s="161"/>
      <c r="EU352" s="161"/>
      <c r="EV352" s="161"/>
      <c r="EW352" s="161"/>
      <c r="EX352" s="161"/>
      <c r="EY352" s="161"/>
      <c r="EZ352" s="161"/>
      <c r="FA352" s="161"/>
      <c r="FB352" s="161"/>
      <c r="FC352" s="161"/>
      <c r="FD352" s="161"/>
      <c r="FE352" s="161"/>
      <c r="FF352" s="161"/>
      <c r="FG352" s="161"/>
      <c r="FH352" s="161"/>
      <c r="FI352" s="161"/>
      <c r="FJ352" s="161"/>
      <c r="FK352" s="161"/>
      <c r="FL352" s="161"/>
      <c r="FM352" s="161"/>
      <c r="FN352" s="161"/>
      <c r="FO352" s="161"/>
      <c r="FP352" s="161"/>
      <c r="FQ352" s="161"/>
      <c r="FR352" s="161"/>
      <c r="FS352" s="161"/>
      <c r="FT352" s="161"/>
      <c r="FU352" s="161"/>
      <c r="FV352" s="161"/>
      <c r="FW352" s="161"/>
      <c r="FX352" s="161"/>
      <c r="FY352" s="161"/>
      <c r="FZ352" s="161"/>
      <c r="GA352" s="161"/>
      <c r="GB352" s="161"/>
      <c r="GC352" s="161"/>
      <c r="GD352" s="161"/>
      <c r="GE352" s="161"/>
      <c r="GF352" s="161"/>
      <c r="GG352" s="161"/>
      <c r="GH352" s="161"/>
      <c r="GI352" s="161"/>
      <c r="GJ352" s="161"/>
      <c r="GK352" s="161"/>
      <c r="GL352" s="161"/>
      <c r="GM352" s="161"/>
    </row>
    <row r="353" spans="4:12" ht="13.8" collapsed="1">
      <c r="D353" s="1211"/>
      <c r="E353" s="42"/>
      <c r="F353" s="1"/>
      <c r="G353" s="1275"/>
      <c r="H353" s="33">
        <f t="shared" si="40"/>
        <v>0</v>
      </c>
      <c r="I353" s="222" t="str">
        <f t="shared" si="37"/>
        <v>-</v>
      </c>
      <c r="J353" s="1045"/>
      <c r="K353" s="72"/>
    </row>
    <row r="354" spans="4:12" ht="30" customHeight="1">
      <c r="D354" s="1203"/>
      <c r="E354" s="132" t="s">
        <v>964</v>
      </c>
      <c r="F354" s="1241">
        <f>F57+F87+F93+F99+F149+F208+F243</f>
        <v>40662558.856587857</v>
      </c>
      <c r="G354" s="1241">
        <f>G57+G87+G93+G99+G149+G208+G243</f>
        <v>41221258.668277726</v>
      </c>
      <c r="H354" s="47">
        <f t="shared" si="40"/>
        <v>558699.81168986857</v>
      </c>
      <c r="I354" s="245">
        <f>H354/F354</f>
        <v>1.3739907851356285E-2</v>
      </c>
      <c r="J354" s="1048"/>
      <c r="K354" s="72"/>
    </row>
    <row r="355" spans="4:12" ht="27" customHeight="1">
      <c r="D355" s="1203"/>
      <c r="E355" s="132" t="s">
        <v>970</v>
      </c>
      <c r="F355" s="1241">
        <f>F42-F354</f>
        <v>3563107.4716474339</v>
      </c>
      <c r="G355" s="1241">
        <f>G42-G354</f>
        <v>5991056.8246634454</v>
      </c>
      <c r="H355" s="2958">
        <f t="shared" ref="H355:H357" si="41">G355-F355</f>
        <v>2427949.3530160114</v>
      </c>
      <c r="I355" s="2960">
        <f t="shared" ref="I355:I357" si="42">H355/F355</f>
        <v>0.68141344944990612</v>
      </c>
      <c r="J355" s="1049"/>
      <c r="K355" s="454"/>
      <c r="L355" s="292">
        <f>SUM(L45:L353)</f>
        <v>0</v>
      </c>
    </row>
    <row r="356" spans="4:12" ht="13.8">
      <c r="D356" s="1203"/>
      <c r="E356" s="132" t="s">
        <v>971</v>
      </c>
      <c r="F356" s="2716">
        <v>3702737</v>
      </c>
      <c r="G356" s="3301">
        <f>3907192+305</f>
        <v>3907497</v>
      </c>
      <c r="H356" s="2958">
        <f t="shared" si="41"/>
        <v>204760</v>
      </c>
      <c r="I356" s="2960">
        <f t="shared" si="42"/>
        <v>5.529963375740702E-2</v>
      </c>
      <c r="J356" s="1049"/>
      <c r="K356" s="454"/>
    </row>
    <row r="357" spans="4:12" ht="13.8">
      <c r="D357" s="2954"/>
      <c r="E357" s="2955" t="s">
        <v>972</v>
      </c>
      <c r="F357" s="2956">
        <f>F355-F356</f>
        <v>-139629.52835256606</v>
      </c>
      <c r="G357" s="2956">
        <f>G355-G356</f>
        <v>2083559.8246634454</v>
      </c>
      <c r="H357" s="2959">
        <f t="shared" si="41"/>
        <v>2223189.3530160114</v>
      </c>
      <c r="I357" s="2961">
        <f t="shared" si="42"/>
        <v>-15.922057312994959</v>
      </c>
      <c r="J357" s="2957"/>
      <c r="K357" s="454"/>
    </row>
    <row r="358" spans="4:12" ht="13.8">
      <c r="D358" s="1203"/>
      <c r="E358" s="132"/>
      <c r="F358" s="443" t="s">
        <v>1643</v>
      </c>
      <c r="G358" s="1277">
        <f>Investīcijas_2026!K30</f>
        <v>1392130.75141</v>
      </c>
      <c r="H358" s="444"/>
      <c r="I358" s="444"/>
      <c r="J358" s="1049"/>
      <c r="K358" s="454"/>
    </row>
    <row r="359" spans="4:12" ht="13.8">
      <c r="E359" s="16"/>
      <c r="F359" s="150" t="s">
        <v>1663</v>
      </c>
      <c r="G359" s="1277">
        <f>G357-G358</f>
        <v>691429.07325344533</v>
      </c>
      <c r="H359" s="13"/>
    </row>
    <row r="360" spans="4:12">
      <c r="F360" s="9"/>
    </row>
    <row r="361" spans="4:12">
      <c r="F361" s="9"/>
      <c r="I361" s="468"/>
    </row>
    <row r="362" spans="4:12">
      <c r="F362" s="9"/>
      <c r="G362" s="440" t="s">
        <v>2</v>
      </c>
      <c r="H362" s="72">
        <f>H80</f>
        <v>-650000</v>
      </c>
    </row>
    <row r="363" spans="4:12">
      <c r="F363" s="445"/>
      <c r="G363" s="440" t="s">
        <v>1988</v>
      </c>
      <c r="H363" s="72">
        <f>H108</f>
        <v>28959.894049999959</v>
      </c>
    </row>
    <row r="364" spans="4:12">
      <c r="F364" s="9"/>
      <c r="G364" s="441" t="s">
        <v>1042</v>
      </c>
      <c r="H364" s="72">
        <f>H81</f>
        <v>458957</v>
      </c>
    </row>
    <row r="365" spans="4:12">
      <c r="F365" s="9"/>
      <c r="G365" s="441" t="s">
        <v>2818</v>
      </c>
      <c r="H365" s="72">
        <f>H289+H250</f>
        <v>-490926.91500000004</v>
      </c>
    </row>
    <row r="366" spans="4:12">
      <c r="F366" s="9"/>
      <c r="G366" s="442" t="s">
        <v>436</v>
      </c>
      <c r="H366" s="258">
        <f>H46+H373</f>
        <v>557014.1292225346</v>
      </c>
    </row>
    <row r="367" spans="4:12">
      <c r="F367" s="9"/>
      <c r="G367" s="423"/>
      <c r="H367" s="72">
        <f>SUM(H362:H366)</f>
        <v>-95995.891727465438</v>
      </c>
    </row>
    <row r="368" spans="4:12">
      <c r="F368" s="9"/>
      <c r="G368" s="127"/>
      <c r="H368" s="72">
        <f>H354-H367</f>
        <v>654695.70341733401</v>
      </c>
    </row>
    <row r="369" spans="5:9">
      <c r="F369" s="9"/>
      <c r="G369" s="127"/>
    </row>
    <row r="370" spans="5:9">
      <c r="F370" s="9"/>
      <c r="G370" s="127"/>
    </row>
    <row r="371" spans="5:9" ht="13.8">
      <c r="E371" s="343" t="s">
        <v>709</v>
      </c>
      <c r="F371" s="1241">
        <f>F90+F139+F146+F186+F222+F232+F254+F262+F270+F278+F285+F298+F306+F318+F330</f>
        <v>7781928.7037159996</v>
      </c>
      <c r="G371" s="1241">
        <f>G90+G139+G146+G186+G222+G232+G254+G262+G270+G278+G285+G298+G306+G318+G330</f>
        <v>8261860.6200000001</v>
      </c>
      <c r="H371" s="47"/>
    </row>
    <row r="372" spans="5:9">
      <c r="F372" s="16"/>
      <c r="G372" s="2962" t="s">
        <v>5029</v>
      </c>
      <c r="H372" s="423">
        <f>H366</f>
        <v>557014.1292225346</v>
      </c>
    </row>
    <row r="373" spans="5:9">
      <c r="F373" s="16"/>
      <c r="G373" s="2963" t="s">
        <v>4901</v>
      </c>
      <c r="H373" s="2964">
        <f>4616+7982+2744+10421+2215-1380-11003+1303+13443</f>
        <v>30341</v>
      </c>
      <c r="I373" s="2714"/>
    </row>
    <row r="374" spans="5:9">
      <c r="F374" s="16"/>
      <c r="G374" s="16"/>
      <c r="H374" s="423">
        <f>SUM(H372:H373)</f>
        <v>587355.1292225346</v>
      </c>
    </row>
    <row r="375" spans="5:9">
      <c r="F375" s="9"/>
      <c r="G375" s="127"/>
    </row>
    <row r="376" spans="5:9">
      <c r="F376" s="9"/>
      <c r="G376" s="127"/>
    </row>
    <row r="377" spans="5:9">
      <c r="F377" s="9"/>
      <c r="G377" s="127"/>
    </row>
    <row r="378" spans="5:9">
      <c r="F378" s="9"/>
      <c r="G378" s="127"/>
    </row>
    <row r="379" spans="5:9">
      <c r="F379" s="9"/>
      <c r="G379" s="127"/>
    </row>
    <row r="380" spans="5:9">
      <c r="F380" s="9"/>
      <c r="G380" s="127"/>
    </row>
    <row r="381" spans="5:9">
      <c r="F381" s="9"/>
      <c r="G381" s="127"/>
    </row>
    <row r="382" spans="5:9">
      <c r="F382" s="9"/>
      <c r="G382" s="127"/>
    </row>
    <row r="383" spans="5:9">
      <c r="F383" s="9"/>
      <c r="G383" s="127"/>
    </row>
    <row r="384" spans="5:9">
      <c r="F384" s="9"/>
      <c r="G384" s="127"/>
    </row>
    <row r="385" spans="6:7">
      <c r="F385" s="9"/>
      <c r="G385" s="127"/>
    </row>
    <row r="386" spans="6:7">
      <c r="F386" s="9"/>
      <c r="G386" s="127"/>
    </row>
    <row r="387" spans="6:7">
      <c r="F387" s="9"/>
      <c r="G387" s="127"/>
    </row>
    <row r="388" spans="6:7">
      <c r="F388" s="9"/>
      <c r="G388" s="127"/>
    </row>
    <row r="389" spans="6:7">
      <c r="F389" s="9"/>
      <c r="G389" s="127"/>
    </row>
    <row r="390" spans="6:7">
      <c r="F390" s="9"/>
      <c r="G390" s="127"/>
    </row>
    <row r="391" spans="6:7">
      <c r="F391" s="9"/>
      <c r="G391" s="127"/>
    </row>
    <row r="392" spans="6:7">
      <c r="F392" s="9"/>
      <c r="G392" s="127"/>
    </row>
    <row r="393" spans="6:7">
      <c r="F393" s="9"/>
      <c r="G393" s="127"/>
    </row>
    <row r="394" spans="6:7">
      <c r="F394" s="9"/>
      <c r="G394" s="127"/>
    </row>
    <row r="395" spans="6:7">
      <c r="F395" s="9"/>
      <c r="G395" s="127"/>
    </row>
    <row r="396" spans="6:7">
      <c r="F396" s="9"/>
      <c r="G396" s="127"/>
    </row>
    <row r="397" spans="6:7">
      <c r="F397" s="9"/>
      <c r="G397" s="127"/>
    </row>
    <row r="398" spans="6:7">
      <c r="F398" s="9"/>
      <c r="G398" s="127"/>
    </row>
    <row r="399" spans="6:7">
      <c r="F399" s="9"/>
      <c r="G399" s="127"/>
    </row>
    <row r="400" spans="6:7">
      <c r="F400" s="9"/>
      <c r="G400" s="127"/>
    </row>
    <row r="401" spans="6:7">
      <c r="F401" s="9"/>
      <c r="G401" s="127"/>
    </row>
    <row r="402" spans="6:7">
      <c r="F402" s="9"/>
      <c r="G402" s="127"/>
    </row>
    <row r="403" spans="6:7">
      <c r="F403" s="9"/>
      <c r="G403" s="127"/>
    </row>
    <row r="404" spans="6:7">
      <c r="F404" s="9"/>
      <c r="G404" s="127"/>
    </row>
    <row r="405" spans="6:7">
      <c r="F405" s="9"/>
      <c r="G405" s="127"/>
    </row>
    <row r="406" spans="6:7">
      <c r="F406" s="9"/>
      <c r="G406" s="127"/>
    </row>
    <row r="407" spans="6:7">
      <c r="F407" s="9"/>
      <c r="G407" s="127"/>
    </row>
    <row r="408" spans="6:7">
      <c r="F408" s="9"/>
      <c r="G408" s="127"/>
    </row>
    <row r="409" spans="6:7">
      <c r="F409" s="9"/>
      <c r="G409" s="127"/>
    </row>
    <row r="410" spans="6:7">
      <c r="F410" s="9"/>
      <c r="G410" s="127"/>
    </row>
    <row r="411" spans="6:7">
      <c r="F411" s="9"/>
      <c r="G411" s="127"/>
    </row>
    <row r="412" spans="6:7">
      <c r="F412" s="9"/>
      <c r="G412" s="127"/>
    </row>
    <row r="413" spans="6:7">
      <c r="F413" s="9"/>
      <c r="G413" s="127"/>
    </row>
    <row r="414" spans="6:7">
      <c r="F414" s="9"/>
      <c r="G414" s="127"/>
    </row>
    <row r="415" spans="6:7">
      <c r="F415" s="9"/>
      <c r="G415" s="127"/>
    </row>
    <row r="416" spans="6:7">
      <c r="F416" s="9"/>
      <c r="G416" s="127"/>
    </row>
    <row r="417" spans="6:7">
      <c r="F417" s="9"/>
      <c r="G417" s="127"/>
    </row>
    <row r="418" spans="6:7">
      <c r="F418" s="9"/>
      <c r="G418" s="127"/>
    </row>
    <row r="419" spans="6:7">
      <c r="F419" s="9"/>
      <c r="G419" s="127"/>
    </row>
    <row r="420" spans="6:7">
      <c r="F420" s="9"/>
      <c r="G420" s="127"/>
    </row>
    <row r="421" spans="6:7">
      <c r="F421" s="9"/>
      <c r="G421" s="127"/>
    </row>
    <row r="422" spans="6:7">
      <c r="F422" s="9"/>
      <c r="G422" s="127"/>
    </row>
    <row r="423" spans="6:7">
      <c r="F423" s="9"/>
      <c r="G423" s="127"/>
    </row>
    <row r="424" spans="6:7">
      <c r="F424" s="9"/>
      <c r="G424" s="127"/>
    </row>
    <row r="425" spans="6:7">
      <c r="F425" s="9"/>
      <c r="G425" s="127"/>
    </row>
    <row r="426" spans="6:7">
      <c r="F426" s="9"/>
      <c r="G426" s="127"/>
    </row>
    <row r="427" spans="6:7">
      <c r="F427" s="9"/>
      <c r="G427" s="127"/>
    </row>
    <row r="428" spans="6:7">
      <c r="F428" s="9"/>
      <c r="G428" s="127"/>
    </row>
    <row r="429" spans="6:7">
      <c r="F429" s="9"/>
      <c r="G429" s="127"/>
    </row>
    <row r="430" spans="6:7">
      <c r="F430" s="9"/>
      <c r="G430" s="127"/>
    </row>
    <row r="431" spans="6:7">
      <c r="F431" s="9"/>
      <c r="G431" s="127"/>
    </row>
    <row r="432" spans="6:7">
      <c r="F432" s="9"/>
      <c r="G432" s="127"/>
    </row>
    <row r="433" spans="6:7">
      <c r="F433" s="9"/>
      <c r="G433" s="127"/>
    </row>
    <row r="434" spans="6:7">
      <c r="F434" s="9"/>
      <c r="G434" s="127"/>
    </row>
    <row r="435" spans="6:7">
      <c r="F435" s="9"/>
      <c r="G435" s="127"/>
    </row>
    <row r="436" spans="6:7">
      <c r="F436" s="9"/>
      <c r="G436" s="127"/>
    </row>
    <row r="437" spans="6:7">
      <c r="F437" s="9"/>
      <c r="G437" s="127"/>
    </row>
    <row r="438" spans="6:7">
      <c r="F438" s="9"/>
      <c r="G438" s="127"/>
    </row>
    <row r="439" spans="6:7">
      <c r="F439" s="9"/>
      <c r="G439" s="127"/>
    </row>
    <row r="440" spans="6:7">
      <c r="F440" s="9"/>
      <c r="G440" s="127"/>
    </row>
    <row r="441" spans="6:7">
      <c r="F441" s="9"/>
      <c r="G441" s="127"/>
    </row>
    <row r="442" spans="6:7">
      <c r="F442" s="9"/>
      <c r="G442" s="127"/>
    </row>
    <row r="443" spans="6:7">
      <c r="F443" s="9"/>
      <c r="G443" s="127"/>
    </row>
    <row r="444" spans="6:7">
      <c r="F444" s="9"/>
      <c r="G444" s="127"/>
    </row>
    <row r="445" spans="6:7">
      <c r="F445" s="9"/>
      <c r="G445" s="127"/>
    </row>
    <row r="446" spans="6:7">
      <c r="F446" s="9"/>
      <c r="G446" s="127"/>
    </row>
    <row r="447" spans="6:7">
      <c r="F447" s="9"/>
      <c r="G447" s="127"/>
    </row>
    <row r="448" spans="6:7">
      <c r="F448" s="9"/>
      <c r="G448" s="127"/>
    </row>
    <row r="449" spans="6:7">
      <c r="F449" s="9"/>
      <c r="G449" s="127"/>
    </row>
    <row r="450" spans="6:7">
      <c r="F450" s="9"/>
      <c r="G450" s="127"/>
    </row>
    <row r="451" spans="6:7">
      <c r="F451" s="9"/>
      <c r="G451" s="127"/>
    </row>
    <row r="452" spans="6:7">
      <c r="F452" s="9"/>
      <c r="G452" s="127"/>
    </row>
    <row r="453" spans="6:7">
      <c r="F453" s="9"/>
      <c r="G453" s="127"/>
    </row>
    <row r="454" spans="6:7">
      <c r="F454" s="9"/>
      <c r="G454" s="127"/>
    </row>
    <row r="455" spans="6:7">
      <c r="F455" s="9"/>
      <c r="G455" s="127"/>
    </row>
    <row r="456" spans="6:7">
      <c r="F456" s="9"/>
      <c r="G456" s="127"/>
    </row>
    <row r="457" spans="6:7">
      <c r="F457" s="9"/>
      <c r="G457" s="127"/>
    </row>
    <row r="458" spans="6:7">
      <c r="F458" s="9"/>
      <c r="G458" s="127"/>
    </row>
    <row r="459" spans="6:7">
      <c r="F459" s="9"/>
      <c r="G459" s="127"/>
    </row>
    <row r="460" spans="6:7">
      <c r="F460" s="9"/>
      <c r="G460" s="127"/>
    </row>
    <row r="461" spans="6:7">
      <c r="F461" s="9"/>
      <c r="G461" s="127"/>
    </row>
    <row r="462" spans="6:7">
      <c r="F462" s="9"/>
      <c r="G462" s="127"/>
    </row>
    <row r="463" spans="6:7">
      <c r="F463" s="9"/>
      <c r="G463" s="127"/>
    </row>
    <row r="464" spans="6:7">
      <c r="F464" s="9"/>
      <c r="G464" s="127"/>
    </row>
    <row r="465" spans="6:7">
      <c r="F465" s="9"/>
      <c r="G465" s="127"/>
    </row>
    <row r="466" spans="6:7">
      <c r="F466" s="9"/>
      <c r="G466" s="127"/>
    </row>
    <row r="467" spans="6:7">
      <c r="F467" s="9"/>
      <c r="G467" s="127"/>
    </row>
    <row r="468" spans="6:7">
      <c r="F468" s="9"/>
      <c r="G468" s="127"/>
    </row>
    <row r="469" spans="6:7">
      <c r="F469" s="9"/>
      <c r="G469" s="127"/>
    </row>
    <row r="470" spans="6:7">
      <c r="F470" s="9"/>
      <c r="G470" s="127"/>
    </row>
    <row r="471" spans="6:7">
      <c r="F471" s="9"/>
      <c r="G471" s="127"/>
    </row>
    <row r="472" spans="6:7">
      <c r="F472" s="9"/>
      <c r="G472" s="127"/>
    </row>
    <row r="473" spans="6:7">
      <c r="F473" s="9"/>
      <c r="G473" s="127"/>
    </row>
    <row r="474" spans="6:7">
      <c r="F474" s="9"/>
      <c r="G474" s="127"/>
    </row>
    <row r="475" spans="6:7">
      <c r="F475" s="9"/>
      <c r="G475" s="127"/>
    </row>
    <row r="476" spans="6:7">
      <c r="F476" s="9"/>
      <c r="G476" s="127"/>
    </row>
    <row r="477" spans="6:7">
      <c r="F477" s="9"/>
      <c r="G477" s="127"/>
    </row>
    <row r="478" spans="6:7">
      <c r="F478" s="9"/>
      <c r="G478" s="127"/>
    </row>
    <row r="479" spans="6:7">
      <c r="F479" s="9"/>
      <c r="G479" s="127"/>
    </row>
    <row r="480" spans="6:7">
      <c r="F480" s="9"/>
      <c r="G480" s="127"/>
    </row>
    <row r="481" spans="6:7">
      <c r="F481" s="9"/>
      <c r="G481" s="127"/>
    </row>
    <row r="482" spans="6:7">
      <c r="F482" s="9"/>
      <c r="G482" s="127"/>
    </row>
    <row r="483" spans="6:7">
      <c r="F483" s="9"/>
      <c r="G483" s="127"/>
    </row>
    <row r="484" spans="6:7">
      <c r="F484" s="9"/>
      <c r="G484" s="127"/>
    </row>
    <row r="485" spans="6:7">
      <c r="F485" s="9"/>
      <c r="G485" s="127"/>
    </row>
    <row r="486" spans="6:7">
      <c r="F486" s="9"/>
      <c r="G486" s="127"/>
    </row>
    <row r="487" spans="6:7">
      <c r="F487" s="9"/>
      <c r="G487" s="127"/>
    </row>
    <row r="488" spans="6:7">
      <c r="F488" s="9"/>
      <c r="G488" s="127"/>
    </row>
    <row r="489" spans="6:7">
      <c r="F489" s="9"/>
      <c r="G489" s="127"/>
    </row>
    <row r="490" spans="6:7">
      <c r="F490" s="9"/>
      <c r="G490" s="127"/>
    </row>
    <row r="491" spans="6:7">
      <c r="F491" s="9"/>
      <c r="G491" s="127"/>
    </row>
    <row r="492" spans="6:7">
      <c r="F492" s="9"/>
      <c r="G492" s="127"/>
    </row>
    <row r="493" spans="6:7">
      <c r="F493" s="9"/>
      <c r="G493" s="127"/>
    </row>
    <row r="494" spans="6:7">
      <c r="F494" s="9"/>
      <c r="G494" s="127"/>
    </row>
    <row r="495" spans="6:7">
      <c r="F495" s="9"/>
      <c r="G495" s="127"/>
    </row>
    <row r="496" spans="6:7">
      <c r="F496" s="9"/>
      <c r="G496" s="127"/>
    </row>
    <row r="497" spans="6:7">
      <c r="F497" s="9"/>
      <c r="G497" s="127"/>
    </row>
    <row r="498" spans="6:7">
      <c r="F498" s="9"/>
      <c r="G498" s="127"/>
    </row>
    <row r="499" spans="6:7">
      <c r="F499" s="9"/>
      <c r="G499" s="127"/>
    </row>
    <row r="500" spans="6:7">
      <c r="F500" s="9"/>
      <c r="G500" s="127"/>
    </row>
    <row r="501" spans="6:7">
      <c r="F501" s="9"/>
      <c r="G501" s="127"/>
    </row>
    <row r="502" spans="6:7">
      <c r="F502" s="9"/>
      <c r="G502" s="127"/>
    </row>
    <row r="503" spans="6:7">
      <c r="F503" s="9"/>
      <c r="G503" s="127"/>
    </row>
    <row r="504" spans="6:7">
      <c r="F504" s="9"/>
      <c r="G504" s="127"/>
    </row>
    <row r="505" spans="6:7">
      <c r="F505" s="9"/>
      <c r="G505" s="127"/>
    </row>
    <row r="506" spans="6:7">
      <c r="F506" s="9"/>
      <c r="G506" s="127"/>
    </row>
    <row r="507" spans="6:7">
      <c r="F507" s="9"/>
      <c r="G507" s="127"/>
    </row>
    <row r="508" spans="6:7">
      <c r="F508" s="9"/>
      <c r="G508" s="127"/>
    </row>
    <row r="509" spans="6:7">
      <c r="F509" s="9"/>
      <c r="G509" s="127"/>
    </row>
    <row r="510" spans="6:7">
      <c r="F510" s="9"/>
      <c r="G510" s="127"/>
    </row>
    <row r="511" spans="6:7">
      <c r="F511" s="9"/>
      <c r="G511" s="127"/>
    </row>
    <row r="512" spans="6:7">
      <c r="F512" s="9"/>
      <c r="G512" s="127"/>
    </row>
    <row r="513" spans="6:7">
      <c r="F513" s="9"/>
      <c r="G513" s="127"/>
    </row>
    <row r="514" spans="6:7">
      <c r="F514" s="9"/>
      <c r="G514" s="127"/>
    </row>
    <row r="515" spans="6:7">
      <c r="F515" s="9"/>
      <c r="G515" s="127"/>
    </row>
    <row r="516" spans="6:7">
      <c r="F516" s="9"/>
      <c r="G516" s="127"/>
    </row>
    <row r="517" spans="6:7">
      <c r="F517" s="9"/>
      <c r="G517" s="127"/>
    </row>
    <row r="518" spans="6:7">
      <c r="F518" s="9"/>
      <c r="G518" s="127"/>
    </row>
    <row r="519" spans="6:7">
      <c r="F519" s="9"/>
      <c r="G519" s="127"/>
    </row>
    <row r="520" spans="6:7">
      <c r="F520" s="9"/>
      <c r="G520" s="127"/>
    </row>
    <row r="521" spans="6:7">
      <c r="F521" s="9"/>
      <c r="G521" s="127"/>
    </row>
    <row r="522" spans="6:7">
      <c r="F522" s="9"/>
      <c r="G522" s="127"/>
    </row>
    <row r="523" spans="6:7">
      <c r="F523" s="9"/>
      <c r="G523" s="127"/>
    </row>
    <row r="524" spans="6:7">
      <c r="F524" s="9"/>
      <c r="G524" s="127"/>
    </row>
    <row r="525" spans="6:7">
      <c r="F525" s="9"/>
      <c r="G525" s="127"/>
    </row>
    <row r="526" spans="6:7">
      <c r="F526" s="9"/>
      <c r="G526" s="127"/>
    </row>
    <row r="527" spans="6:7">
      <c r="F527" s="9"/>
      <c r="G527" s="127"/>
    </row>
    <row r="528" spans="6:7">
      <c r="F528" s="9"/>
      <c r="G528" s="127"/>
    </row>
    <row r="529" spans="6:7">
      <c r="F529" s="9"/>
      <c r="G529" s="127"/>
    </row>
    <row r="530" spans="6:7">
      <c r="F530" s="9"/>
      <c r="G530" s="127"/>
    </row>
    <row r="531" spans="6:7">
      <c r="F531" s="9"/>
      <c r="G531" s="127"/>
    </row>
    <row r="532" spans="6:7">
      <c r="F532" s="9"/>
      <c r="G532" s="127"/>
    </row>
    <row r="533" spans="6:7">
      <c r="F533" s="9"/>
      <c r="G533" s="127"/>
    </row>
    <row r="534" spans="6:7">
      <c r="F534" s="9"/>
      <c r="G534" s="127"/>
    </row>
    <row r="535" spans="6:7">
      <c r="F535" s="9"/>
      <c r="G535" s="127"/>
    </row>
    <row r="536" spans="6:7">
      <c r="F536" s="9"/>
      <c r="G536" s="127"/>
    </row>
    <row r="537" spans="6:7">
      <c r="F537" s="9"/>
      <c r="G537" s="127"/>
    </row>
    <row r="538" spans="6:7">
      <c r="F538" s="9"/>
      <c r="G538" s="127"/>
    </row>
    <row r="539" spans="6:7">
      <c r="F539" s="9"/>
      <c r="G539" s="127"/>
    </row>
    <row r="540" spans="6:7">
      <c r="F540" s="9"/>
      <c r="G540" s="127"/>
    </row>
    <row r="541" spans="6:7">
      <c r="F541" s="9"/>
      <c r="G541" s="127"/>
    </row>
    <row r="542" spans="6:7">
      <c r="F542" s="9"/>
      <c r="G542" s="127"/>
    </row>
    <row r="543" spans="6:7">
      <c r="F543" s="9"/>
      <c r="G543" s="127"/>
    </row>
    <row r="544" spans="6:7">
      <c r="F544" s="9"/>
      <c r="G544" s="127"/>
    </row>
    <row r="545" spans="6:7">
      <c r="F545" s="9"/>
      <c r="G545" s="127"/>
    </row>
    <row r="546" spans="6:7">
      <c r="F546" s="9"/>
      <c r="G546" s="127"/>
    </row>
    <row r="547" spans="6:7">
      <c r="F547" s="9"/>
      <c r="G547" s="127"/>
    </row>
    <row r="548" spans="6:7">
      <c r="F548" s="9"/>
      <c r="G548" s="127"/>
    </row>
    <row r="549" spans="6:7">
      <c r="F549" s="9"/>
      <c r="G549" s="127"/>
    </row>
    <row r="550" spans="6:7">
      <c r="F550" s="9"/>
      <c r="G550" s="127"/>
    </row>
    <row r="551" spans="6:7">
      <c r="F551" s="9"/>
      <c r="G551" s="127"/>
    </row>
    <row r="552" spans="6:7">
      <c r="F552" s="9"/>
      <c r="G552" s="127"/>
    </row>
    <row r="553" spans="6:7">
      <c r="F553" s="9"/>
      <c r="G553" s="127"/>
    </row>
    <row r="554" spans="6:7">
      <c r="F554" s="9"/>
      <c r="G554" s="127"/>
    </row>
    <row r="555" spans="6:7">
      <c r="F555" s="9"/>
      <c r="G555" s="127"/>
    </row>
    <row r="556" spans="6:7">
      <c r="F556" s="9"/>
      <c r="G556" s="127"/>
    </row>
    <row r="557" spans="6:7">
      <c r="F557" s="9"/>
      <c r="G557" s="127"/>
    </row>
    <row r="558" spans="6:7">
      <c r="F558" s="9"/>
      <c r="G558" s="127"/>
    </row>
    <row r="559" spans="6:7">
      <c r="F559" s="9"/>
      <c r="G559" s="127"/>
    </row>
    <row r="560" spans="6:7">
      <c r="F560" s="9"/>
      <c r="G560" s="127"/>
    </row>
  </sheetData>
  <mergeCells count="1">
    <mergeCell ref="D44:E44"/>
  </mergeCells>
  <phoneticPr fontId="83" type="noConversion"/>
  <hyperlinks>
    <hyperlink ref="J3" r:id="rId1" xr:uid="{43C0923D-8D83-499A-945E-6517553128AE}"/>
  </hyperlinks>
  <pageMargins left="0.7" right="0.7" top="0.75" bottom="0.75" header="0.3" footer="0.3"/>
  <pageSetup scale="29" fitToHeight="0"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ED5D-4819-4921-B3B9-92C1CA485674}">
  <sheetPr codeName="Sheet12">
    <tabColor rgb="FFFF0000"/>
  </sheetPr>
  <dimension ref="A1:XEM5802"/>
  <sheetViews>
    <sheetView zoomScale="130" zoomScaleNormal="130" workbookViewId="0">
      <selection sqref="A1:M1048576"/>
    </sheetView>
  </sheetViews>
  <sheetFormatPr defaultRowHeight="11.4" outlineLevelCol="1"/>
  <cols>
    <col min="1" max="1" width="4" style="14" customWidth="1" outlineLevel="1"/>
    <col min="2" max="2" width="4.875" style="3167" customWidth="1" outlineLevel="1"/>
    <col min="3" max="3" width="2.25" style="78" customWidth="1" outlineLevel="1"/>
    <col min="4" max="4" width="6.625" style="178" customWidth="1" outlineLevel="1"/>
    <col min="5" max="5" width="6" style="1503" customWidth="1" outlineLevel="1"/>
    <col min="6" max="6" width="6.375" style="1331" customWidth="1"/>
    <col min="7" max="7" width="39.375" style="3" customWidth="1"/>
    <col min="8" max="8" width="12.625" style="16" customWidth="1" outlineLevel="1"/>
    <col min="9" max="9" width="12.125" style="1305" customWidth="1" outlineLevel="1"/>
    <col min="10" max="10" width="11.375" style="16" customWidth="1" outlineLevel="1"/>
    <col min="11" max="11" width="4.25" style="1346" customWidth="1"/>
    <col min="12" max="12" width="12" style="651" customWidth="1"/>
    <col min="13" max="13" width="14.375" style="3126" customWidth="1"/>
    <col min="14" max="14" width="38" style="53" customWidth="1" outlineLevel="1"/>
  </cols>
  <sheetData>
    <row r="1" spans="1:32" ht="40.799999999999997">
      <c r="A1" s="1342" t="s">
        <v>331</v>
      </c>
      <c r="B1" s="3129" t="s">
        <v>107</v>
      </c>
      <c r="C1" s="819" t="s">
        <v>771</v>
      </c>
      <c r="D1" s="820" t="s">
        <v>1973</v>
      </c>
      <c r="E1" s="2280" t="s">
        <v>108</v>
      </c>
      <c r="F1" s="821" t="s">
        <v>404</v>
      </c>
      <c r="G1" s="1316" t="s">
        <v>106</v>
      </c>
      <c r="H1" s="1300" t="s">
        <v>2045</v>
      </c>
      <c r="I1" s="1301" t="s">
        <v>2046</v>
      </c>
      <c r="J1" s="1317" t="s">
        <v>4825</v>
      </c>
      <c r="K1" s="1318" t="s">
        <v>720</v>
      </c>
      <c r="L1" s="1300" t="s">
        <v>3307</v>
      </c>
      <c r="M1" s="3168" t="s">
        <v>3308</v>
      </c>
      <c r="N1" s="2281" t="s">
        <v>3</v>
      </c>
      <c r="O1" s="3"/>
      <c r="P1" s="3"/>
      <c r="Q1" s="3"/>
      <c r="R1" s="3"/>
      <c r="S1" s="3"/>
      <c r="T1" s="3"/>
      <c r="U1" s="3"/>
      <c r="V1" s="3"/>
      <c r="W1" s="3"/>
      <c r="X1" s="3"/>
      <c r="Y1" s="3"/>
      <c r="Z1" s="3"/>
      <c r="AA1" s="3"/>
      <c r="AB1" s="3"/>
      <c r="AC1" s="3"/>
      <c r="AD1" s="3"/>
      <c r="AE1" s="3"/>
      <c r="AF1" s="3"/>
    </row>
    <row r="2" spans="1:32">
      <c r="A2" s="683"/>
      <c r="B2" s="720" t="s">
        <v>436</v>
      </c>
      <c r="C2" s="683" t="s">
        <v>427</v>
      </c>
      <c r="D2" s="719" t="s">
        <v>1320</v>
      </c>
      <c r="E2" s="1210" t="s">
        <v>431</v>
      </c>
      <c r="F2" s="824">
        <v>1111</v>
      </c>
      <c r="G2" s="800" t="s">
        <v>109</v>
      </c>
      <c r="H2" s="706">
        <v>64416</v>
      </c>
      <c r="I2" s="706"/>
      <c r="J2" s="1654">
        <v>0</v>
      </c>
      <c r="K2" s="802"/>
      <c r="L2" s="706">
        <v>0</v>
      </c>
      <c r="M2" s="3169"/>
      <c r="N2" s="305"/>
      <c r="O2" s="4"/>
      <c r="P2" s="4"/>
      <c r="Q2" s="4"/>
      <c r="R2" s="4"/>
      <c r="S2" s="4"/>
      <c r="T2" s="4"/>
      <c r="U2" s="4"/>
      <c r="V2" s="4"/>
      <c r="W2" s="4"/>
      <c r="X2" s="4"/>
      <c r="Y2" s="4"/>
      <c r="Z2" s="4"/>
      <c r="AA2" s="4"/>
      <c r="AB2" s="4"/>
      <c r="AC2" s="4"/>
      <c r="AD2" s="4"/>
      <c r="AE2" s="4"/>
      <c r="AF2" s="4"/>
    </row>
    <row r="3" spans="1:32">
      <c r="A3" s="663"/>
      <c r="B3" s="700" t="s">
        <v>436</v>
      </c>
      <c r="C3" s="663" t="s">
        <v>427</v>
      </c>
      <c r="D3" s="678" t="s">
        <v>1320</v>
      </c>
      <c r="E3" s="794" t="s">
        <v>431</v>
      </c>
      <c r="F3" s="795">
        <v>1111</v>
      </c>
      <c r="G3" s="812" t="s">
        <v>436</v>
      </c>
      <c r="H3" s="709"/>
      <c r="I3" s="709">
        <v>166416</v>
      </c>
      <c r="J3" s="1654" t="s">
        <v>1134</v>
      </c>
      <c r="K3" s="825"/>
      <c r="L3" s="709"/>
      <c r="M3" s="2244">
        <v>0</v>
      </c>
      <c r="N3" s="305"/>
      <c r="O3" s="7"/>
      <c r="P3" s="7"/>
      <c r="Q3" s="7"/>
      <c r="R3" s="183"/>
      <c r="S3" s="7"/>
      <c r="T3" s="4"/>
      <c r="U3" s="4"/>
      <c r="V3" s="4"/>
      <c r="W3" s="4"/>
      <c r="X3" s="4"/>
      <c r="Y3" s="4"/>
      <c r="Z3" s="4"/>
      <c r="AA3" s="4"/>
      <c r="AB3" s="4"/>
      <c r="AC3" s="4"/>
      <c r="AD3" s="4"/>
      <c r="AE3" s="4"/>
      <c r="AF3" s="4"/>
    </row>
    <row r="4" spans="1:32" ht="71.400000000000006">
      <c r="A4" s="2679"/>
      <c r="B4" s="700" t="s">
        <v>436</v>
      </c>
      <c r="C4" s="663" t="s">
        <v>427</v>
      </c>
      <c r="D4" s="678" t="s">
        <v>1320</v>
      </c>
      <c r="E4" s="794" t="s">
        <v>431</v>
      </c>
      <c r="F4" s="795">
        <v>1111</v>
      </c>
      <c r="G4" s="2783" t="s">
        <v>4985</v>
      </c>
      <c r="H4" s="2784"/>
      <c r="I4" s="2784">
        <v>-102000</v>
      </c>
      <c r="J4" s="2621"/>
      <c r="K4" s="2785"/>
      <c r="L4" s="2784"/>
      <c r="M4" s="3170"/>
      <c r="N4" s="305"/>
      <c r="O4" s="4"/>
      <c r="P4" s="4"/>
      <c r="Q4" s="4"/>
      <c r="R4" s="4"/>
      <c r="S4" s="4"/>
      <c r="T4" s="4"/>
      <c r="U4" s="4"/>
      <c r="V4" s="4"/>
      <c r="W4" s="4"/>
      <c r="X4" s="4"/>
      <c r="Y4" s="4"/>
      <c r="Z4" s="4"/>
      <c r="AA4" s="4"/>
      <c r="AB4" s="4"/>
      <c r="AC4" s="4"/>
      <c r="AD4" s="4"/>
      <c r="AE4" s="4"/>
    </row>
    <row r="5" spans="1:32">
      <c r="A5" s="683"/>
      <c r="B5" s="720" t="s">
        <v>436</v>
      </c>
      <c r="C5" s="683" t="s">
        <v>427</v>
      </c>
      <c r="D5" s="719" t="s">
        <v>1320</v>
      </c>
      <c r="E5" s="823" t="s">
        <v>431</v>
      </c>
      <c r="F5" s="824">
        <v>1119</v>
      </c>
      <c r="G5" s="800" t="s">
        <v>109</v>
      </c>
      <c r="H5" s="706">
        <v>1168834</v>
      </c>
      <c r="I5" s="706"/>
      <c r="J5" s="1654">
        <v>965566</v>
      </c>
      <c r="K5" s="802"/>
      <c r="L5" s="706">
        <v>1345816.9990400006</v>
      </c>
      <c r="M5" s="3169"/>
      <c r="N5" s="305"/>
      <c r="O5" s="7"/>
      <c r="P5" s="7"/>
      <c r="Q5" s="7"/>
      <c r="R5" s="183"/>
      <c r="S5" s="7"/>
      <c r="T5" s="4"/>
      <c r="U5" s="4"/>
      <c r="V5" s="4"/>
      <c r="W5" s="4"/>
      <c r="X5" s="4"/>
      <c r="Y5" s="4"/>
      <c r="Z5" s="4"/>
      <c r="AA5" s="4"/>
      <c r="AB5" s="4"/>
      <c r="AC5" s="4"/>
      <c r="AD5" s="4"/>
      <c r="AE5" s="4"/>
      <c r="AF5" s="4"/>
    </row>
    <row r="6" spans="1:32">
      <c r="A6" s="663"/>
      <c r="B6" s="700" t="s">
        <v>436</v>
      </c>
      <c r="C6" s="663" t="s">
        <v>427</v>
      </c>
      <c r="D6" s="678" t="s">
        <v>1320</v>
      </c>
      <c r="E6" s="794" t="s">
        <v>431</v>
      </c>
      <c r="F6" s="795">
        <v>1119</v>
      </c>
      <c r="G6" s="812" t="s">
        <v>1173</v>
      </c>
      <c r="H6" s="709"/>
      <c r="I6" s="709">
        <v>1088833.6800000002</v>
      </c>
      <c r="J6" s="1654" t="s">
        <v>1134</v>
      </c>
      <c r="K6" s="825"/>
      <c r="L6" s="709"/>
      <c r="M6" s="2244">
        <v>1345816.9990400006</v>
      </c>
      <c r="N6" s="305"/>
      <c r="O6" s="7"/>
      <c r="P6" s="7"/>
      <c r="Q6" s="7"/>
      <c r="R6" s="7"/>
      <c r="S6" s="4"/>
      <c r="T6" s="4"/>
      <c r="U6" s="4"/>
      <c r="V6" s="4"/>
      <c r="W6" s="4"/>
      <c r="X6" s="4"/>
      <c r="Y6" s="4"/>
      <c r="Z6" s="4"/>
      <c r="AA6" s="4"/>
      <c r="AB6" s="4"/>
      <c r="AC6" s="4"/>
      <c r="AD6" s="4"/>
      <c r="AE6" s="4"/>
    </row>
    <row r="7" spans="1:32" ht="20.399999999999999">
      <c r="A7" s="663" t="s">
        <v>364</v>
      </c>
      <c r="B7" s="700" t="s">
        <v>436</v>
      </c>
      <c r="C7" s="663" t="s">
        <v>427</v>
      </c>
      <c r="D7" s="678" t="s">
        <v>1320</v>
      </c>
      <c r="E7" s="794" t="s">
        <v>431</v>
      </c>
      <c r="F7" s="795">
        <v>1119</v>
      </c>
      <c r="G7" s="812" t="s">
        <v>4986</v>
      </c>
      <c r="H7" s="709"/>
      <c r="I7" s="709">
        <v>80000</v>
      </c>
      <c r="J7" s="1654" t="s">
        <v>1134</v>
      </c>
      <c r="K7" s="825"/>
      <c r="L7" s="709"/>
      <c r="M7" s="2244"/>
      <c r="N7" s="305"/>
      <c r="O7" s="7"/>
      <c r="P7" s="7"/>
      <c r="Q7" s="7"/>
      <c r="R7" s="183"/>
      <c r="S7" s="7"/>
      <c r="T7" s="4"/>
      <c r="U7" s="4"/>
      <c r="V7" s="4"/>
      <c r="W7" s="4"/>
      <c r="X7" s="4"/>
      <c r="Y7" s="4"/>
      <c r="Z7" s="4"/>
      <c r="AA7" s="4"/>
      <c r="AB7" s="4"/>
      <c r="AC7" s="4"/>
      <c r="AD7" s="4"/>
      <c r="AE7" s="4"/>
      <c r="AF7" s="4"/>
    </row>
    <row r="8" spans="1:32" ht="20.399999999999999">
      <c r="A8" s="663"/>
      <c r="B8" s="700" t="s">
        <v>436</v>
      </c>
      <c r="C8" s="663" t="s">
        <v>427</v>
      </c>
      <c r="D8" s="678" t="s">
        <v>1320</v>
      </c>
      <c r="E8" s="794" t="s">
        <v>431</v>
      </c>
      <c r="F8" s="795">
        <v>1119</v>
      </c>
      <c r="G8" s="812" t="s">
        <v>1313</v>
      </c>
      <c r="H8" s="709"/>
      <c r="I8" s="709"/>
      <c r="J8" s="1654" t="s">
        <v>1134</v>
      </c>
      <c r="K8" s="825"/>
      <c r="L8" s="709"/>
      <c r="M8" s="2244"/>
      <c r="N8" s="305"/>
      <c r="O8" s="7"/>
      <c r="P8" s="7"/>
      <c r="Q8" s="7"/>
      <c r="R8" s="183"/>
      <c r="S8" s="7"/>
      <c r="T8" s="4"/>
      <c r="U8" s="4"/>
      <c r="V8" s="4"/>
      <c r="W8" s="4"/>
      <c r="X8" s="4"/>
      <c r="Y8" s="4"/>
      <c r="Z8" s="4"/>
      <c r="AA8" s="4"/>
      <c r="AB8" s="4"/>
      <c r="AC8" s="4"/>
      <c r="AD8" s="4"/>
      <c r="AE8" s="4"/>
      <c r="AF8" s="4"/>
    </row>
    <row r="9" spans="1:32" ht="20.399999999999999">
      <c r="A9" s="683"/>
      <c r="B9" s="720" t="s">
        <v>436</v>
      </c>
      <c r="C9" s="683" t="s">
        <v>427</v>
      </c>
      <c r="D9" s="719" t="s">
        <v>1320</v>
      </c>
      <c r="E9" s="823" t="s">
        <v>431</v>
      </c>
      <c r="F9" s="824">
        <v>1142</v>
      </c>
      <c r="G9" s="800" t="s">
        <v>110</v>
      </c>
      <c r="H9" s="706">
        <v>5000</v>
      </c>
      <c r="I9" s="706"/>
      <c r="J9" s="1654">
        <v>3651</v>
      </c>
      <c r="K9" s="802"/>
      <c r="L9" s="706">
        <v>4000</v>
      </c>
      <c r="M9" s="3169"/>
      <c r="N9" s="305"/>
      <c r="O9" s="7"/>
      <c r="P9" s="7"/>
      <c r="Q9" s="7"/>
      <c r="R9" s="183"/>
      <c r="S9" s="7"/>
      <c r="T9" s="4"/>
      <c r="U9" s="4"/>
      <c r="V9" s="4"/>
      <c r="W9" s="4"/>
      <c r="X9" s="4"/>
      <c r="Y9" s="4"/>
      <c r="Z9" s="4"/>
      <c r="AA9" s="4"/>
      <c r="AB9" s="4"/>
      <c r="AC9" s="4"/>
      <c r="AD9" s="4"/>
      <c r="AE9" s="4"/>
      <c r="AF9" s="4"/>
    </row>
    <row r="10" spans="1:32" ht="11.4" customHeight="1">
      <c r="A10" s="663"/>
      <c r="B10" s="700" t="s">
        <v>436</v>
      </c>
      <c r="C10" s="663" t="s">
        <v>427</v>
      </c>
      <c r="D10" s="678" t="s">
        <v>1320</v>
      </c>
      <c r="E10" s="794" t="s">
        <v>431</v>
      </c>
      <c r="F10" s="795">
        <v>1142</v>
      </c>
      <c r="G10" s="812"/>
      <c r="H10" s="709"/>
      <c r="I10" s="709">
        <v>2000</v>
      </c>
      <c r="J10" s="1654" t="s">
        <v>1134</v>
      </c>
      <c r="K10" s="825"/>
      <c r="L10" s="709"/>
      <c r="M10" s="2244">
        <v>4000</v>
      </c>
      <c r="N10" s="305"/>
      <c r="O10" s="4"/>
      <c r="P10" s="4"/>
      <c r="Q10" s="4"/>
      <c r="R10" s="4"/>
      <c r="S10" s="4"/>
      <c r="T10" s="4"/>
      <c r="U10" s="4"/>
      <c r="V10" s="4"/>
      <c r="W10" s="4"/>
      <c r="X10" s="4"/>
      <c r="Y10" s="4"/>
      <c r="Z10" s="4"/>
      <c r="AA10" s="4"/>
      <c r="AB10" s="4"/>
      <c r="AC10" s="4"/>
      <c r="AD10" s="4"/>
      <c r="AE10" s="4"/>
    </row>
    <row r="11" spans="1:32" ht="20.399999999999999">
      <c r="A11" s="663"/>
      <c r="B11" s="700" t="s">
        <v>436</v>
      </c>
      <c r="C11" s="663" t="s">
        <v>427</v>
      </c>
      <c r="D11" s="678" t="s">
        <v>1320</v>
      </c>
      <c r="E11" s="794" t="s">
        <v>431</v>
      </c>
      <c r="F11" s="795">
        <v>1142</v>
      </c>
      <c r="G11" s="812" t="s">
        <v>1999</v>
      </c>
      <c r="H11" s="709"/>
      <c r="I11" s="709">
        <v>2000</v>
      </c>
      <c r="J11" s="1654" t="s">
        <v>1134</v>
      </c>
      <c r="K11" s="825"/>
      <c r="L11" s="709"/>
      <c r="M11" s="2244"/>
      <c r="N11" s="305"/>
      <c r="O11" s="7"/>
      <c r="P11" s="7"/>
      <c r="Q11" s="7"/>
      <c r="R11" s="7"/>
      <c r="S11" s="4"/>
      <c r="T11" s="4"/>
      <c r="U11" s="4"/>
      <c r="V11" s="4"/>
      <c r="W11" s="4"/>
      <c r="X11" s="4"/>
      <c r="Y11" s="4"/>
      <c r="Z11" s="4"/>
      <c r="AA11" s="4"/>
      <c r="AB11" s="4"/>
      <c r="AC11" s="4"/>
      <c r="AD11" s="4"/>
      <c r="AE11" s="4"/>
    </row>
    <row r="12" spans="1:32">
      <c r="A12" s="2679"/>
      <c r="B12" s="700" t="s">
        <v>436</v>
      </c>
      <c r="C12" s="663" t="s">
        <v>427</v>
      </c>
      <c r="D12" s="678" t="s">
        <v>1320</v>
      </c>
      <c r="E12" s="794" t="s">
        <v>431</v>
      </c>
      <c r="F12" s="795">
        <v>1142</v>
      </c>
      <c r="G12" s="2783" t="s">
        <v>4987</v>
      </c>
      <c r="H12" s="2784"/>
      <c r="I12" s="2784">
        <v>1000</v>
      </c>
      <c r="J12" s="2621"/>
      <c r="K12" s="2785"/>
      <c r="L12" s="2784"/>
      <c r="M12" s="3170"/>
      <c r="N12" s="305"/>
      <c r="O12" s="4"/>
      <c r="P12" s="4"/>
      <c r="Q12" s="4"/>
      <c r="R12" s="4"/>
      <c r="S12" s="4"/>
      <c r="T12" s="4"/>
      <c r="U12" s="4"/>
      <c r="V12" s="4"/>
      <c r="W12" s="4"/>
      <c r="X12" s="4"/>
      <c r="Y12" s="4"/>
      <c r="Z12" s="4"/>
      <c r="AA12" s="4"/>
      <c r="AB12" s="4"/>
      <c r="AC12" s="4"/>
      <c r="AD12" s="4"/>
      <c r="AE12" s="4"/>
    </row>
    <row r="13" spans="1:32" ht="20.399999999999999">
      <c r="A13" s="683"/>
      <c r="B13" s="720" t="s">
        <v>436</v>
      </c>
      <c r="C13" s="683" t="s">
        <v>427</v>
      </c>
      <c r="D13" s="719" t="s">
        <v>1320</v>
      </c>
      <c r="E13" s="823" t="s">
        <v>431</v>
      </c>
      <c r="F13" s="824">
        <v>1146</v>
      </c>
      <c r="G13" s="800" t="s">
        <v>579</v>
      </c>
      <c r="H13" s="706">
        <v>0</v>
      </c>
      <c r="I13" s="706"/>
      <c r="J13" s="1654" t="s">
        <v>1134</v>
      </c>
      <c r="K13" s="802"/>
      <c r="L13" s="706">
        <v>0</v>
      </c>
      <c r="M13" s="3169"/>
      <c r="N13" s="305"/>
      <c r="O13" s="7"/>
      <c r="P13" s="7"/>
      <c r="Q13" s="7"/>
      <c r="R13" s="7"/>
      <c r="S13" s="4"/>
      <c r="T13" s="4"/>
      <c r="U13" s="4"/>
      <c r="V13" s="4"/>
      <c r="W13" s="4"/>
      <c r="X13" s="4"/>
      <c r="Y13" s="4"/>
      <c r="Z13" s="4"/>
      <c r="AA13" s="4"/>
      <c r="AB13" s="4"/>
      <c r="AC13" s="4"/>
      <c r="AD13" s="4"/>
      <c r="AE13" s="4"/>
    </row>
    <row r="14" spans="1:32">
      <c r="A14" s="663"/>
      <c r="B14" s="700" t="s">
        <v>436</v>
      </c>
      <c r="C14" s="663" t="s">
        <v>427</v>
      </c>
      <c r="D14" s="678" t="s">
        <v>1320</v>
      </c>
      <c r="E14" s="794" t="s">
        <v>431</v>
      </c>
      <c r="F14" s="795">
        <v>1146</v>
      </c>
      <c r="G14" s="812"/>
      <c r="H14" s="709"/>
      <c r="I14" s="709">
        <v>0</v>
      </c>
      <c r="J14" s="1654" t="s">
        <v>1134</v>
      </c>
      <c r="K14" s="825"/>
      <c r="L14" s="709"/>
      <c r="M14" s="2244">
        <v>0</v>
      </c>
      <c r="N14" s="305"/>
      <c r="O14" s="4"/>
      <c r="P14" s="4"/>
      <c r="Q14" s="4"/>
      <c r="R14" s="4"/>
      <c r="S14" s="4"/>
      <c r="T14" s="4"/>
      <c r="U14" s="4"/>
      <c r="V14" s="4"/>
      <c r="W14" s="4"/>
      <c r="X14" s="4"/>
      <c r="Y14" s="4"/>
      <c r="Z14" s="4"/>
      <c r="AA14" s="4"/>
      <c r="AB14" s="4"/>
      <c r="AC14" s="4"/>
      <c r="AD14" s="4"/>
      <c r="AE14" s="4"/>
      <c r="AF14" s="4"/>
    </row>
    <row r="15" spans="1:32" ht="11.4" customHeight="1">
      <c r="A15" s="683"/>
      <c r="B15" s="720" t="s">
        <v>436</v>
      </c>
      <c r="C15" s="683" t="s">
        <v>427</v>
      </c>
      <c r="D15" s="719" t="s">
        <v>1320</v>
      </c>
      <c r="E15" s="823" t="s">
        <v>431</v>
      </c>
      <c r="F15" s="824">
        <v>1147</v>
      </c>
      <c r="G15" s="800" t="s">
        <v>111</v>
      </c>
      <c r="H15" s="706">
        <v>45925.741999999998</v>
      </c>
      <c r="I15" s="706"/>
      <c r="J15" s="1654">
        <v>34514</v>
      </c>
      <c r="K15" s="802"/>
      <c r="L15" s="706">
        <v>72456.002681999962</v>
      </c>
      <c r="M15" s="3169"/>
      <c r="N15" s="305"/>
      <c r="O15" s="7"/>
      <c r="P15" s="7"/>
      <c r="Q15" s="7"/>
      <c r="R15" s="7"/>
      <c r="S15" s="4"/>
      <c r="T15" s="4"/>
      <c r="U15" s="4"/>
      <c r="V15" s="4"/>
      <c r="W15" s="4"/>
      <c r="X15" s="4"/>
      <c r="Y15" s="4"/>
      <c r="Z15" s="4"/>
      <c r="AA15" s="4"/>
      <c r="AB15" s="4"/>
      <c r="AC15" s="4"/>
      <c r="AD15" s="4"/>
      <c r="AE15" s="4"/>
    </row>
    <row r="16" spans="1:32" ht="11.4" customHeight="1">
      <c r="A16" s="663"/>
      <c r="B16" s="700" t="s">
        <v>436</v>
      </c>
      <c r="C16" s="663" t="s">
        <v>427</v>
      </c>
      <c r="D16" s="678" t="s">
        <v>1320</v>
      </c>
      <c r="E16" s="794" t="s">
        <v>431</v>
      </c>
      <c r="F16" s="795">
        <v>1147</v>
      </c>
      <c r="G16" s="812" t="s">
        <v>436</v>
      </c>
      <c r="H16" s="709"/>
      <c r="I16" s="709">
        <v>103925.74200000004</v>
      </c>
      <c r="J16" s="1654" t="s">
        <v>1134</v>
      </c>
      <c r="K16" s="825"/>
      <c r="L16" s="709"/>
      <c r="M16" s="2244">
        <v>72456.002681999962</v>
      </c>
      <c r="N16" s="305"/>
      <c r="O16" s="7"/>
      <c r="P16" s="7"/>
      <c r="Q16" s="7"/>
      <c r="R16" s="7"/>
      <c r="S16" s="4"/>
      <c r="T16" s="4"/>
      <c r="U16" s="4"/>
      <c r="V16" s="4"/>
      <c r="W16" s="4"/>
      <c r="X16" s="4"/>
      <c r="Y16" s="4"/>
      <c r="Z16" s="4"/>
      <c r="AA16" s="4"/>
      <c r="AB16" s="4"/>
      <c r="AC16" s="4"/>
      <c r="AD16" s="4"/>
      <c r="AE16" s="4"/>
    </row>
    <row r="17" spans="1:32" ht="20.399999999999999">
      <c r="A17" s="663"/>
      <c r="B17" s="700" t="s">
        <v>436</v>
      </c>
      <c r="C17" s="663" t="s">
        <v>427</v>
      </c>
      <c r="D17" s="678" t="s">
        <v>1320</v>
      </c>
      <c r="E17" s="794" t="s">
        <v>431</v>
      </c>
      <c r="F17" s="795">
        <v>1147</v>
      </c>
      <c r="G17" s="812" t="s">
        <v>1999</v>
      </c>
      <c r="H17" s="709"/>
      <c r="I17" s="709">
        <v>-2000</v>
      </c>
      <c r="J17" s="1654" t="s">
        <v>1134</v>
      </c>
      <c r="K17" s="825"/>
      <c r="L17" s="709"/>
      <c r="M17" s="2244"/>
      <c r="N17" s="305"/>
      <c r="O17" s="4"/>
      <c r="P17" s="4"/>
      <c r="Q17" s="4"/>
      <c r="R17" s="4"/>
      <c r="S17" s="4"/>
      <c r="T17" s="4"/>
      <c r="U17" s="4"/>
      <c r="V17" s="4"/>
      <c r="W17" s="4"/>
      <c r="X17" s="4"/>
      <c r="Y17" s="4"/>
      <c r="Z17" s="4"/>
      <c r="AA17" s="4"/>
      <c r="AB17" s="4"/>
      <c r="AC17" s="4"/>
      <c r="AD17" s="4"/>
      <c r="AE17" s="4"/>
      <c r="AF17" s="4"/>
    </row>
    <row r="18" spans="1:32" ht="20.399999999999999">
      <c r="A18" s="1495"/>
      <c r="B18" s="700" t="s">
        <v>436</v>
      </c>
      <c r="C18" s="663" t="s">
        <v>427</v>
      </c>
      <c r="D18" s="678" t="s">
        <v>1320</v>
      </c>
      <c r="E18" s="794" t="s">
        <v>431</v>
      </c>
      <c r="F18" s="795">
        <v>1147</v>
      </c>
      <c r="G18" s="1553" t="s">
        <v>3284</v>
      </c>
      <c r="H18" s="1554"/>
      <c r="I18" s="1554">
        <v>-2000</v>
      </c>
      <c r="J18" s="1655"/>
      <c r="K18" s="1555"/>
      <c r="L18" s="1554"/>
      <c r="M18" s="3171"/>
      <c r="N18" s="305" t="s">
        <v>3477</v>
      </c>
      <c r="O18" s="4"/>
      <c r="P18" s="4"/>
      <c r="Q18" s="4"/>
      <c r="R18" s="4"/>
      <c r="S18" s="4"/>
      <c r="T18" s="4"/>
      <c r="U18" s="4"/>
      <c r="V18" s="4"/>
      <c r="W18" s="4"/>
      <c r="X18" s="4"/>
      <c r="Y18" s="4"/>
      <c r="Z18" s="4"/>
      <c r="AA18" s="4"/>
      <c r="AB18" s="4"/>
      <c r="AC18" s="4"/>
      <c r="AD18" s="4"/>
      <c r="AE18" s="4"/>
      <c r="AF18" s="4"/>
    </row>
    <row r="19" spans="1:32" ht="40.799999999999997">
      <c r="A19" s="2679"/>
      <c r="B19" s="700" t="s">
        <v>436</v>
      </c>
      <c r="C19" s="663" t="s">
        <v>427</v>
      </c>
      <c r="D19" s="678" t="s">
        <v>1320</v>
      </c>
      <c r="E19" s="794" t="s">
        <v>431</v>
      </c>
      <c r="F19" s="795">
        <v>1147</v>
      </c>
      <c r="G19" s="2783" t="s">
        <v>4990</v>
      </c>
      <c r="H19" s="2784"/>
      <c r="I19" s="2784">
        <v>-54000</v>
      </c>
      <c r="J19" s="2621"/>
      <c r="K19" s="2785"/>
      <c r="L19" s="2784"/>
      <c r="M19" s="3170"/>
      <c r="N19" s="305"/>
      <c r="O19" s="4"/>
      <c r="P19" s="4"/>
      <c r="Q19" s="4"/>
      <c r="R19" s="4"/>
      <c r="S19" s="4"/>
      <c r="T19" s="4"/>
      <c r="U19" s="4"/>
      <c r="V19" s="4"/>
      <c r="W19" s="4"/>
      <c r="X19" s="4"/>
      <c r="Y19" s="4"/>
      <c r="Z19" s="4"/>
      <c r="AA19" s="4"/>
      <c r="AB19" s="4"/>
      <c r="AC19" s="4"/>
      <c r="AD19" s="4"/>
      <c r="AE19" s="4"/>
      <c r="AF19" s="4"/>
    </row>
    <row r="20" spans="1:32">
      <c r="A20" s="683"/>
      <c r="B20" s="720" t="s">
        <v>436</v>
      </c>
      <c r="C20" s="683" t="s">
        <v>427</v>
      </c>
      <c r="D20" s="719" t="s">
        <v>1320</v>
      </c>
      <c r="E20" s="823" t="s">
        <v>431</v>
      </c>
      <c r="F20" s="824">
        <v>1148</v>
      </c>
      <c r="G20" s="800" t="s">
        <v>112</v>
      </c>
      <c r="H20" s="706">
        <v>74500</v>
      </c>
      <c r="I20" s="706"/>
      <c r="J20" s="1654">
        <v>7143</v>
      </c>
      <c r="K20" s="802"/>
      <c r="L20" s="706">
        <v>24500</v>
      </c>
      <c r="M20" s="3169"/>
      <c r="N20" s="125"/>
      <c r="O20" s="4"/>
      <c r="P20" s="4"/>
      <c r="Q20" s="4"/>
      <c r="R20" s="4"/>
      <c r="S20" s="4"/>
      <c r="T20" s="4"/>
      <c r="U20" s="4"/>
      <c r="V20" s="4"/>
      <c r="W20" s="4"/>
      <c r="X20" s="4"/>
      <c r="Y20" s="4"/>
      <c r="Z20" s="4"/>
      <c r="AA20" s="4"/>
      <c r="AB20" s="4"/>
      <c r="AC20" s="4"/>
      <c r="AD20" s="4"/>
      <c r="AE20" s="4"/>
      <c r="AF20" s="4"/>
    </row>
    <row r="21" spans="1:32">
      <c r="A21" s="663"/>
      <c r="B21" s="700" t="s">
        <v>436</v>
      </c>
      <c r="C21" s="663" t="s">
        <v>427</v>
      </c>
      <c r="D21" s="678" t="s">
        <v>1320</v>
      </c>
      <c r="E21" s="794" t="s">
        <v>431</v>
      </c>
      <c r="F21" s="795">
        <v>1148</v>
      </c>
      <c r="G21" s="812" t="s">
        <v>4699</v>
      </c>
      <c r="H21" s="701"/>
      <c r="I21" s="701">
        <v>1500</v>
      </c>
      <c r="J21" s="1654" t="s">
        <v>1134</v>
      </c>
      <c r="K21" s="802"/>
      <c r="L21" s="701"/>
      <c r="M21" s="3172">
        <v>0</v>
      </c>
      <c r="N21" s="125"/>
      <c r="O21" s="4"/>
      <c r="P21" s="4"/>
      <c r="Q21" s="4"/>
      <c r="R21" s="4"/>
      <c r="S21" s="4"/>
      <c r="T21" s="4"/>
      <c r="U21" s="4"/>
      <c r="V21" s="4"/>
      <c r="W21" s="4"/>
      <c r="X21" s="4"/>
      <c r="Y21" s="4"/>
      <c r="Z21" s="4"/>
      <c r="AA21" s="4"/>
      <c r="AB21" s="4"/>
      <c r="AC21" s="4"/>
      <c r="AD21" s="4"/>
      <c r="AE21" s="4"/>
      <c r="AF21" s="4"/>
    </row>
    <row r="22" spans="1:32">
      <c r="A22" s="663"/>
      <c r="B22" s="700" t="s">
        <v>436</v>
      </c>
      <c r="C22" s="663" t="s">
        <v>427</v>
      </c>
      <c r="D22" s="678" t="s">
        <v>1320</v>
      </c>
      <c r="E22" s="794" t="s">
        <v>431</v>
      </c>
      <c r="F22" s="795">
        <v>1148</v>
      </c>
      <c r="G22" s="812" t="s">
        <v>722</v>
      </c>
      <c r="H22" s="701"/>
      <c r="I22" s="701">
        <v>8000</v>
      </c>
      <c r="J22" s="1654" t="s">
        <v>1134</v>
      </c>
      <c r="K22" s="802"/>
      <c r="L22" s="701"/>
      <c r="M22" s="3172">
        <v>24500</v>
      </c>
      <c r="N22" s="305"/>
      <c r="O22" s="187"/>
      <c r="P22" s="187"/>
      <c r="Q22" s="187"/>
      <c r="R22" s="187"/>
      <c r="S22" s="187"/>
      <c r="T22" s="187"/>
      <c r="U22" s="187"/>
      <c r="V22" s="187"/>
      <c r="W22" s="187"/>
      <c r="X22" s="187"/>
      <c r="Y22" s="187"/>
      <c r="Z22" s="187"/>
      <c r="AA22" s="187"/>
      <c r="AB22" s="187"/>
      <c r="AC22" s="187"/>
      <c r="AD22" s="187"/>
      <c r="AE22" s="187"/>
      <c r="AF22" s="187"/>
    </row>
    <row r="23" spans="1:32" ht="20.399999999999999">
      <c r="A23" s="2679"/>
      <c r="B23" s="700" t="s">
        <v>436</v>
      </c>
      <c r="C23" s="663" t="s">
        <v>427</v>
      </c>
      <c r="D23" s="678" t="s">
        <v>1320</v>
      </c>
      <c r="E23" s="794" t="s">
        <v>431</v>
      </c>
      <c r="F23" s="795">
        <v>1148</v>
      </c>
      <c r="G23" s="2783" t="s">
        <v>4988</v>
      </c>
      <c r="H23" s="2615"/>
      <c r="I23" s="2615">
        <v>15000</v>
      </c>
      <c r="J23" s="2621"/>
      <c r="K23" s="2786"/>
      <c r="L23" s="2615"/>
      <c r="M23" s="3173"/>
      <c r="N23" s="305"/>
      <c r="O23" s="187"/>
      <c r="P23" s="187"/>
      <c r="Q23" s="187"/>
      <c r="R23" s="187"/>
      <c r="S23" s="187"/>
      <c r="T23" s="187"/>
      <c r="U23" s="187"/>
      <c r="V23" s="187"/>
      <c r="W23" s="187"/>
      <c r="X23" s="187"/>
      <c r="Y23" s="187"/>
      <c r="Z23" s="187"/>
      <c r="AA23" s="187"/>
      <c r="AB23" s="187"/>
      <c r="AC23" s="187"/>
      <c r="AD23" s="187"/>
      <c r="AE23" s="187"/>
      <c r="AF23" s="187"/>
    </row>
    <row r="24" spans="1:32" ht="20.399999999999999">
      <c r="A24" s="2679"/>
      <c r="B24" s="700" t="s">
        <v>436</v>
      </c>
      <c r="C24" s="663" t="s">
        <v>427</v>
      </c>
      <c r="D24" s="678" t="s">
        <v>1320</v>
      </c>
      <c r="E24" s="794" t="s">
        <v>431</v>
      </c>
      <c r="F24" s="795">
        <v>1148</v>
      </c>
      <c r="G24" s="2783" t="s">
        <v>4991</v>
      </c>
      <c r="H24" s="2615"/>
      <c r="I24" s="2615">
        <v>50000</v>
      </c>
      <c r="J24" s="2621"/>
      <c r="K24" s="2786"/>
      <c r="L24" s="2615"/>
      <c r="M24" s="3173"/>
      <c r="N24" s="305"/>
      <c r="O24" s="4"/>
      <c r="P24" s="4"/>
      <c r="Q24" s="4"/>
      <c r="R24" s="4"/>
      <c r="S24" s="4"/>
      <c r="T24" s="4"/>
      <c r="U24" s="4"/>
      <c r="V24" s="4"/>
      <c r="W24" s="4"/>
      <c r="X24" s="4"/>
      <c r="Y24" s="4"/>
      <c r="Z24" s="4"/>
      <c r="AA24" s="4"/>
      <c r="AB24" s="4"/>
      <c r="AC24" s="4"/>
      <c r="AD24" s="4"/>
      <c r="AE24" s="4"/>
      <c r="AF24" s="4"/>
    </row>
    <row r="25" spans="1:32">
      <c r="A25" s="683"/>
      <c r="B25" s="720" t="s">
        <v>436</v>
      </c>
      <c r="C25" s="683" t="s">
        <v>427</v>
      </c>
      <c r="D25" s="719" t="s">
        <v>1320</v>
      </c>
      <c r="E25" s="1678" t="s">
        <v>431</v>
      </c>
      <c r="F25" s="824">
        <v>1170</v>
      </c>
      <c r="G25" s="800" t="s">
        <v>475</v>
      </c>
      <c r="H25" s="706">
        <v>750</v>
      </c>
      <c r="I25" s="706"/>
      <c r="J25" s="1494">
        <v>690</v>
      </c>
      <c r="K25" s="802"/>
      <c r="L25" s="1661">
        <v>750</v>
      </c>
      <c r="M25" s="3174"/>
      <c r="N25" s="305"/>
      <c r="O25" s="4"/>
      <c r="P25" s="4"/>
      <c r="Q25" s="4"/>
      <c r="R25" s="4"/>
      <c r="S25" s="4"/>
      <c r="T25" s="4"/>
      <c r="U25" s="4"/>
      <c r="V25" s="4"/>
      <c r="W25" s="4"/>
      <c r="X25" s="4"/>
      <c r="Y25" s="4"/>
      <c r="Z25" s="4"/>
      <c r="AA25" s="4"/>
      <c r="AB25" s="4"/>
      <c r="AC25" s="4"/>
      <c r="AD25" s="4"/>
      <c r="AE25" s="4"/>
      <c r="AF25" s="4"/>
    </row>
    <row r="26" spans="1:32" ht="20.399999999999999">
      <c r="A26" s="663"/>
      <c r="B26" s="700" t="s">
        <v>436</v>
      </c>
      <c r="C26" s="663" t="s">
        <v>427</v>
      </c>
      <c r="D26" s="678" t="s">
        <v>1320</v>
      </c>
      <c r="E26" s="1679" t="s">
        <v>431</v>
      </c>
      <c r="F26" s="795">
        <v>1170</v>
      </c>
      <c r="G26" s="812" t="s">
        <v>1615</v>
      </c>
      <c r="H26" s="701"/>
      <c r="I26" s="701">
        <v>750</v>
      </c>
      <c r="J26" s="1494" t="s">
        <v>1134</v>
      </c>
      <c r="K26" s="792"/>
      <c r="L26" s="1662"/>
      <c r="M26" s="3175">
        <v>750</v>
      </c>
      <c r="N26" s="305"/>
      <c r="O26" s="7"/>
      <c r="P26" s="7"/>
      <c r="Q26" s="7"/>
      <c r="R26" s="186"/>
      <c r="S26" s="7"/>
      <c r="T26" s="4"/>
      <c r="U26" s="4"/>
      <c r="V26" s="4"/>
      <c r="W26" s="4"/>
      <c r="X26" s="4"/>
      <c r="Y26" s="4"/>
      <c r="Z26" s="4"/>
      <c r="AA26" s="4"/>
      <c r="AB26" s="4"/>
      <c r="AC26" s="4"/>
      <c r="AD26" s="4"/>
      <c r="AE26" s="4"/>
      <c r="AF26" s="4"/>
    </row>
    <row r="27" spans="1:32" ht="11.4" customHeight="1">
      <c r="A27" s="683"/>
      <c r="B27" s="720" t="s">
        <v>436</v>
      </c>
      <c r="C27" s="683" t="s">
        <v>427</v>
      </c>
      <c r="D27" s="719" t="s">
        <v>1320</v>
      </c>
      <c r="E27" s="823" t="s">
        <v>431</v>
      </c>
      <c r="F27" s="824">
        <v>1210</v>
      </c>
      <c r="G27" s="800" t="s">
        <v>113</v>
      </c>
      <c r="H27" s="706">
        <v>322319</v>
      </c>
      <c r="I27" s="706"/>
      <c r="J27" s="1654">
        <v>234281</v>
      </c>
      <c r="K27" s="802"/>
      <c r="L27" s="706">
        <v>336796.00343663205</v>
      </c>
      <c r="M27" s="3169"/>
      <c r="N27" s="305"/>
      <c r="O27" s="7"/>
      <c r="P27" s="7"/>
      <c r="Q27" s="7"/>
      <c r="R27" s="183"/>
      <c r="S27" s="7"/>
      <c r="T27" s="4"/>
      <c r="U27" s="4"/>
      <c r="V27" s="4"/>
      <c r="W27" s="4"/>
      <c r="X27" s="4"/>
      <c r="Y27" s="4"/>
      <c r="Z27" s="4"/>
      <c r="AA27" s="4"/>
      <c r="AB27" s="4"/>
      <c r="AC27" s="4"/>
      <c r="AD27" s="4"/>
      <c r="AE27" s="4"/>
      <c r="AF27" s="4"/>
    </row>
    <row r="28" spans="1:32" ht="30.6">
      <c r="A28" s="663" t="s">
        <v>364</v>
      </c>
      <c r="B28" s="700" t="s">
        <v>436</v>
      </c>
      <c r="C28" s="663" t="s">
        <v>427</v>
      </c>
      <c r="D28" s="678" t="s">
        <v>1320</v>
      </c>
      <c r="E28" s="794" t="s">
        <v>431</v>
      </c>
      <c r="F28" s="795">
        <v>1210</v>
      </c>
      <c r="G28" s="812" t="s">
        <v>664</v>
      </c>
      <c r="H28" s="709"/>
      <c r="I28" s="709"/>
      <c r="J28" s="1654" t="s">
        <v>1134</v>
      </c>
      <c r="K28" s="825"/>
      <c r="L28" s="709"/>
      <c r="M28" s="2244"/>
      <c r="N28" s="125"/>
      <c r="O28" s="7"/>
      <c r="P28" s="7"/>
      <c r="Q28" s="7"/>
      <c r="R28" s="183"/>
      <c r="S28" s="7"/>
      <c r="T28" s="4"/>
      <c r="U28" s="4"/>
      <c r="V28" s="4"/>
      <c r="W28" s="4"/>
      <c r="X28" s="4"/>
      <c r="Y28" s="4"/>
      <c r="Z28" s="4"/>
      <c r="AA28" s="4"/>
      <c r="AB28" s="4"/>
      <c r="AC28" s="4"/>
      <c r="AD28" s="4"/>
      <c r="AE28" s="4"/>
      <c r="AF28" s="4"/>
    </row>
    <row r="29" spans="1:32">
      <c r="A29" s="663"/>
      <c r="B29" s="700" t="s">
        <v>436</v>
      </c>
      <c r="C29" s="663" t="s">
        <v>427</v>
      </c>
      <c r="D29" s="678" t="s">
        <v>1320</v>
      </c>
      <c r="E29" s="794" t="s">
        <v>431</v>
      </c>
      <c r="F29" s="795">
        <v>1210</v>
      </c>
      <c r="G29" s="812" t="s">
        <v>1173</v>
      </c>
      <c r="H29" s="709"/>
      <c r="I29" s="709">
        <v>316319.38744965987</v>
      </c>
      <c r="J29" s="1654" t="s">
        <v>1134</v>
      </c>
      <c r="K29" s="825"/>
      <c r="L29" s="709"/>
      <c r="M29" s="2244">
        <v>336796.00343663205</v>
      </c>
      <c r="N29" s="125"/>
      <c r="O29" s="4"/>
      <c r="P29" s="4"/>
      <c r="Q29" s="4"/>
      <c r="R29" s="4"/>
      <c r="S29" s="4"/>
      <c r="T29" s="4"/>
      <c r="U29" s="4"/>
      <c r="V29" s="4"/>
      <c r="W29" s="4"/>
      <c r="X29" s="4"/>
      <c r="Y29" s="4"/>
      <c r="Z29" s="4"/>
      <c r="AA29" s="4"/>
      <c r="AB29" s="4"/>
      <c r="AC29" s="4"/>
      <c r="AD29" s="4"/>
      <c r="AE29" s="4"/>
      <c r="AF29" s="4"/>
    </row>
    <row r="30" spans="1:32" ht="20.399999999999999">
      <c r="A30" s="2679"/>
      <c r="B30" s="700" t="s">
        <v>436</v>
      </c>
      <c r="C30" s="663" t="s">
        <v>427</v>
      </c>
      <c r="D30" s="678" t="s">
        <v>1320</v>
      </c>
      <c r="E30" s="794" t="s">
        <v>431</v>
      </c>
      <c r="F30" s="795">
        <v>1210</v>
      </c>
      <c r="G30" s="2783" t="s">
        <v>4989</v>
      </c>
      <c r="H30" s="2784"/>
      <c r="I30" s="2784">
        <v>6000</v>
      </c>
      <c r="J30" s="2621"/>
      <c r="K30" s="2785"/>
      <c r="L30" s="2784"/>
      <c r="M30" s="3170"/>
      <c r="N30" s="305"/>
      <c r="O30" s="7"/>
      <c r="P30" s="7"/>
      <c r="Q30" s="7"/>
      <c r="R30" s="183"/>
      <c r="S30" s="7"/>
      <c r="T30" s="4"/>
      <c r="U30" s="4"/>
      <c r="V30" s="4"/>
      <c r="W30" s="4"/>
      <c r="X30" s="4"/>
      <c r="Y30" s="4"/>
      <c r="Z30" s="4"/>
      <c r="AA30" s="4"/>
      <c r="AB30" s="4"/>
      <c r="AC30" s="4"/>
      <c r="AD30" s="4"/>
      <c r="AE30" s="4"/>
      <c r="AF30" s="4"/>
    </row>
    <row r="31" spans="1:32">
      <c r="A31" s="683"/>
      <c r="B31" s="720" t="s">
        <v>436</v>
      </c>
      <c r="C31" s="683" t="s">
        <v>427</v>
      </c>
      <c r="D31" s="719" t="s">
        <v>1320</v>
      </c>
      <c r="E31" s="823" t="s">
        <v>431</v>
      </c>
      <c r="F31" s="824">
        <v>1221</v>
      </c>
      <c r="G31" s="800" t="s">
        <v>114</v>
      </c>
      <c r="H31" s="706">
        <v>74950.498813140002</v>
      </c>
      <c r="I31" s="706"/>
      <c r="J31" s="1654">
        <v>70689</v>
      </c>
      <c r="K31" s="802"/>
      <c r="L31" s="706">
        <v>73802.00185140167</v>
      </c>
      <c r="M31" s="3169"/>
      <c r="N31" s="305"/>
      <c r="O31" s="4"/>
      <c r="P31" s="4"/>
      <c r="Q31" s="4"/>
      <c r="R31" s="4"/>
      <c r="S31" s="4"/>
      <c r="T31" s="4"/>
      <c r="U31" s="4"/>
      <c r="V31" s="4"/>
      <c r="W31" s="4"/>
      <c r="X31" s="4"/>
      <c r="Y31" s="4"/>
      <c r="Z31" s="4"/>
      <c r="AA31" s="4"/>
      <c r="AB31" s="4"/>
      <c r="AC31" s="4"/>
      <c r="AD31" s="4"/>
      <c r="AE31" s="4"/>
      <c r="AF31" s="4"/>
    </row>
    <row r="32" spans="1:32">
      <c r="A32" s="663"/>
      <c r="B32" s="700" t="s">
        <v>436</v>
      </c>
      <c r="C32" s="663" t="s">
        <v>427</v>
      </c>
      <c r="D32" s="678" t="s">
        <v>1320</v>
      </c>
      <c r="E32" s="794" t="s">
        <v>431</v>
      </c>
      <c r="F32" s="795">
        <v>1221</v>
      </c>
      <c r="G32" s="812" t="s">
        <v>1174</v>
      </c>
      <c r="H32" s="709"/>
      <c r="I32" s="709">
        <v>68950.498813140002</v>
      </c>
      <c r="J32" s="1654" t="s">
        <v>1134</v>
      </c>
      <c r="K32" s="825"/>
      <c r="L32" s="709"/>
      <c r="M32" s="2244">
        <v>73802.00185140167</v>
      </c>
      <c r="N32" s="305"/>
      <c r="O32" s="7"/>
      <c r="P32" s="7"/>
      <c r="Q32" s="7"/>
      <c r="R32" s="183"/>
      <c r="S32" s="7"/>
      <c r="T32" s="4"/>
      <c r="U32" s="4"/>
      <c r="V32" s="4"/>
      <c r="W32" s="4"/>
      <c r="X32" s="4"/>
      <c r="Y32" s="4"/>
      <c r="Z32" s="4"/>
      <c r="AA32" s="4"/>
      <c r="AB32" s="4"/>
      <c r="AC32" s="4"/>
      <c r="AD32" s="4"/>
      <c r="AE32" s="4"/>
      <c r="AF32" s="4"/>
    </row>
    <row r="33" spans="1:32" ht="20.399999999999999">
      <c r="A33" s="1495"/>
      <c r="B33" s="700" t="s">
        <v>436</v>
      </c>
      <c r="C33" s="663" t="s">
        <v>427</v>
      </c>
      <c r="D33" s="678" t="s">
        <v>1320</v>
      </c>
      <c r="E33" s="794" t="s">
        <v>431</v>
      </c>
      <c r="F33" s="795">
        <v>1221</v>
      </c>
      <c r="G33" s="1553" t="s">
        <v>3284</v>
      </c>
      <c r="H33" s="1554"/>
      <c r="I33" s="1554">
        <v>2000</v>
      </c>
      <c r="J33" s="1655"/>
      <c r="K33" s="1555"/>
      <c r="L33" s="1554"/>
      <c r="M33" s="3171"/>
      <c r="N33" s="305"/>
      <c r="O33" s="3"/>
      <c r="P33" s="3"/>
      <c r="Q33" s="3"/>
      <c r="R33" s="3"/>
      <c r="S33" s="3"/>
      <c r="T33" s="3"/>
      <c r="U33" s="3"/>
      <c r="V33" s="3"/>
      <c r="W33" s="3"/>
      <c r="X33" s="3"/>
      <c r="Y33" s="3"/>
      <c r="Z33" s="3"/>
      <c r="AA33" s="3"/>
      <c r="AB33" s="3"/>
      <c r="AC33" s="3"/>
      <c r="AD33" s="3"/>
      <c r="AE33" s="3"/>
      <c r="AF33" s="3"/>
    </row>
    <row r="34" spans="1:32" ht="20.399999999999999">
      <c r="A34" s="2679"/>
      <c r="B34" s="700" t="s">
        <v>436</v>
      </c>
      <c r="C34" s="663" t="s">
        <v>427</v>
      </c>
      <c r="D34" s="678" t="s">
        <v>1320</v>
      </c>
      <c r="E34" s="794" t="s">
        <v>431</v>
      </c>
      <c r="F34" s="795">
        <v>1221</v>
      </c>
      <c r="G34" s="2783" t="s">
        <v>4992</v>
      </c>
      <c r="H34" s="2784"/>
      <c r="I34" s="2784">
        <v>4000</v>
      </c>
      <c r="J34" s="2621"/>
      <c r="K34" s="2785"/>
      <c r="L34" s="2784"/>
      <c r="M34" s="3170"/>
      <c r="N34" s="305"/>
      <c r="O34" s="187"/>
      <c r="P34" s="187"/>
      <c r="Q34" s="187"/>
      <c r="R34" s="187"/>
      <c r="S34" s="187"/>
      <c r="T34" s="187"/>
      <c r="U34" s="187"/>
      <c r="V34" s="187"/>
      <c r="W34" s="187"/>
      <c r="X34" s="187"/>
      <c r="Y34" s="187"/>
      <c r="Z34" s="187"/>
      <c r="AA34" s="187"/>
      <c r="AB34" s="187"/>
      <c r="AC34" s="187"/>
      <c r="AD34" s="187"/>
      <c r="AE34" s="187"/>
      <c r="AF34" s="187"/>
    </row>
    <row r="35" spans="1:32" ht="20.399999999999999">
      <c r="A35" s="683"/>
      <c r="B35" s="720" t="s">
        <v>436</v>
      </c>
      <c r="C35" s="683" t="s">
        <v>427</v>
      </c>
      <c r="D35" s="719" t="s">
        <v>1320</v>
      </c>
      <c r="E35" s="1678" t="s">
        <v>431</v>
      </c>
      <c r="F35" s="824">
        <v>1227</v>
      </c>
      <c r="G35" s="800" t="s">
        <v>781</v>
      </c>
      <c r="H35" s="706">
        <v>1000</v>
      </c>
      <c r="I35" s="706"/>
      <c r="J35" s="1494">
        <v>600</v>
      </c>
      <c r="K35" s="802"/>
      <c r="L35" s="1661">
        <v>1000</v>
      </c>
      <c r="M35" s="3174"/>
      <c r="N35" s="305"/>
      <c r="O35" s="3"/>
      <c r="P35" s="3"/>
      <c r="Q35" s="3"/>
      <c r="R35" s="3"/>
      <c r="S35" s="3"/>
      <c r="T35" s="3"/>
      <c r="U35" s="3"/>
      <c r="V35" s="3"/>
      <c r="W35" s="3"/>
      <c r="X35" s="3"/>
      <c r="Y35" s="3"/>
      <c r="Z35" s="3"/>
      <c r="AA35" s="3"/>
      <c r="AB35" s="3"/>
      <c r="AC35" s="3"/>
      <c r="AD35" s="3"/>
      <c r="AE35" s="3"/>
      <c r="AF35" s="3"/>
    </row>
    <row r="36" spans="1:32">
      <c r="A36" s="663"/>
      <c r="B36" s="700" t="s">
        <v>436</v>
      </c>
      <c r="C36" s="663" t="s">
        <v>427</v>
      </c>
      <c r="D36" s="678" t="s">
        <v>1320</v>
      </c>
      <c r="E36" s="1679" t="s">
        <v>431</v>
      </c>
      <c r="F36" s="795">
        <v>1227</v>
      </c>
      <c r="G36" s="812" t="s">
        <v>1329</v>
      </c>
      <c r="H36" s="709"/>
      <c r="I36" s="709">
        <v>1000</v>
      </c>
      <c r="J36" s="1494" t="s">
        <v>1134</v>
      </c>
      <c r="K36" s="825"/>
      <c r="L36" s="1677"/>
      <c r="M36" s="3176">
        <v>1000</v>
      </c>
      <c r="N36" s="305"/>
      <c r="O36" s="3"/>
      <c r="P36" s="3"/>
      <c r="Q36" s="3"/>
      <c r="R36" s="3"/>
      <c r="S36" s="3"/>
      <c r="T36" s="3"/>
      <c r="U36" s="3"/>
      <c r="V36" s="3"/>
      <c r="W36" s="3"/>
      <c r="X36" s="3"/>
      <c r="Y36" s="3"/>
      <c r="Z36" s="3"/>
      <c r="AA36" s="3"/>
      <c r="AB36" s="3"/>
      <c r="AC36" s="3"/>
      <c r="AD36" s="3"/>
      <c r="AE36" s="3"/>
      <c r="AF36" s="3"/>
    </row>
    <row r="37" spans="1:32">
      <c r="A37" s="683"/>
      <c r="B37" s="720" t="s">
        <v>772</v>
      </c>
      <c r="C37" s="683" t="s">
        <v>427</v>
      </c>
      <c r="D37" s="719" t="s">
        <v>1320</v>
      </c>
      <c r="E37" s="823" t="s">
        <v>431</v>
      </c>
      <c r="F37" s="824">
        <v>1228</v>
      </c>
      <c r="G37" s="800" t="s">
        <v>115</v>
      </c>
      <c r="H37" s="706">
        <v>8248.5166666666664</v>
      </c>
      <c r="I37" s="706"/>
      <c r="J37" s="1654">
        <v>5135</v>
      </c>
      <c r="K37" s="802"/>
      <c r="L37" s="706">
        <v>7048.996666666666</v>
      </c>
      <c r="M37" s="3169"/>
      <c r="N37" s="305"/>
      <c r="O37" s="3"/>
      <c r="P37" s="3"/>
      <c r="Q37" s="3"/>
      <c r="R37" s="3"/>
      <c r="S37" s="3"/>
      <c r="T37" s="3"/>
      <c r="U37" s="3"/>
      <c r="V37" s="3"/>
      <c r="W37" s="3"/>
      <c r="X37" s="3"/>
      <c r="Y37" s="3"/>
      <c r="Z37" s="3"/>
      <c r="AA37" s="3"/>
      <c r="AB37" s="3"/>
      <c r="AC37" s="3"/>
      <c r="AD37" s="3"/>
      <c r="AE37" s="3"/>
      <c r="AF37" s="3"/>
    </row>
    <row r="38" spans="1:32">
      <c r="A38" s="663"/>
      <c r="B38" s="700" t="s">
        <v>772</v>
      </c>
      <c r="C38" s="663" t="s">
        <v>427</v>
      </c>
      <c r="D38" s="678" t="s">
        <v>1320</v>
      </c>
      <c r="E38" s="794" t="s">
        <v>431</v>
      </c>
      <c r="F38" s="795">
        <v>1228</v>
      </c>
      <c r="G38" s="812" t="s">
        <v>436</v>
      </c>
      <c r="H38" s="709"/>
      <c r="I38" s="709">
        <v>500</v>
      </c>
      <c r="J38" s="1654" t="s">
        <v>1134</v>
      </c>
      <c r="K38" s="825"/>
      <c r="L38" s="709"/>
      <c r="M38" s="2244">
        <v>500</v>
      </c>
      <c r="N38" s="305"/>
      <c r="O38" s="3"/>
      <c r="P38" s="3"/>
      <c r="Q38" s="3"/>
      <c r="R38" s="3"/>
      <c r="S38" s="3"/>
      <c r="T38" s="3"/>
      <c r="U38" s="3"/>
      <c r="V38" s="3"/>
      <c r="W38" s="3"/>
      <c r="X38" s="3"/>
      <c r="Y38" s="3"/>
      <c r="Z38" s="3"/>
      <c r="AA38" s="3"/>
      <c r="AB38" s="3"/>
      <c r="AC38" s="3"/>
      <c r="AD38" s="3"/>
      <c r="AE38" s="3"/>
      <c r="AF38" s="3"/>
    </row>
    <row r="39" spans="1:32" ht="30.6">
      <c r="A39" s="663"/>
      <c r="B39" s="700" t="s">
        <v>772</v>
      </c>
      <c r="C39" s="663" t="s">
        <v>427</v>
      </c>
      <c r="D39" s="678" t="s">
        <v>1320</v>
      </c>
      <c r="E39" s="794" t="s">
        <v>431</v>
      </c>
      <c r="F39" s="795">
        <v>1228</v>
      </c>
      <c r="G39" s="750" t="s">
        <v>4680</v>
      </c>
      <c r="H39" s="701"/>
      <c r="I39" s="701">
        <v>9000</v>
      </c>
      <c r="J39" s="1654" t="s">
        <v>1134</v>
      </c>
      <c r="K39" s="792"/>
      <c r="L39" s="701"/>
      <c r="M39" s="3172">
        <v>1000</v>
      </c>
      <c r="N39" s="305"/>
      <c r="O39" s="3"/>
      <c r="P39" s="3"/>
      <c r="Q39" s="3"/>
      <c r="R39" s="3"/>
      <c r="S39" s="3"/>
      <c r="T39" s="3"/>
      <c r="U39" s="3"/>
      <c r="V39" s="3"/>
      <c r="W39" s="3"/>
      <c r="X39" s="3"/>
      <c r="Y39" s="3"/>
      <c r="Z39" s="3"/>
      <c r="AA39" s="3"/>
      <c r="AB39" s="3"/>
      <c r="AC39" s="3"/>
      <c r="AD39" s="3"/>
      <c r="AE39" s="3"/>
      <c r="AF39" s="3"/>
    </row>
    <row r="40" spans="1:32" ht="20.399999999999999">
      <c r="A40" s="663"/>
      <c r="B40" s="700" t="s">
        <v>772</v>
      </c>
      <c r="C40" s="663" t="s">
        <v>427</v>
      </c>
      <c r="D40" s="678" t="s">
        <v>1320</v>
      </c>
      <c r="E40" s="794" t="s">
        <v>431</v>
      </c>
      <c r="F40" s="795">
        <v>1228</v>
      </c>
      <c r="G40" s="750" t="s">
        <v>4679</v>
      </c>
      <c r="H40" s="701"/>
      <c r="I40" s="701">
        <v>-6800</v>
      </c>
      <c r="J40" s="1654" t="s">
        <v>1134</v>
      </c>
      <c r="K40" s="792"/>
      <c r="L40" s="701"/>
      <c r="M40" s="3172"/>
      <c r="N40" s="305"/>
      <c r="O40" s="4"/>
      <c r="P40" s="4"/>
    </row>
    <row r="41" spans="1:32" ht="20.399999999999999">
      <c r="A41" s="603"/>
      <c r="B41" s="1119" t="s">
        <v>772</v>
      </c>
      <c r="C41" s="603" t="s">
        <v>427</v>
      </c>
      <c r="D41" s="1114" t="s">
        <v>1320</v>
      </c>
      <c r="E41" s="2472" t="s">
        <v>431</v>
      </c>
      <c r="F41" s="2473">
        <v>1228</v>
      </c>
      <c r="G41" s="1153" t="s">
        <v>2722</v>
      </c>
      <c r="H41" s="1165"/>
      <c r="I41" s="1165">
        <v>2400</v>
      </c>
      <c r="J41" s="1654" t="s">
        <v>1134</v>
      </c>
      <c r="K41" s="1439"/>
      <c r="L41" s="1165"/>
      <c r="M41" s="3177">
        <v>2400</v>
      </c>
      <c r="N41" s="305" t="s">
        <v>2471</v>
      </c>
      <c r="O41" s="3"/>
      <c r="P41" s="3"/>
    </row>
    <row r="42" spans="1:32" ht="20.399999999999999">
      <c r="A42" s="663"/>
      <c r="B42" s="700" t="s">
        <v>772</v>
      </c>
      <c r="C42" s="663" t="s">
        <v>320</v>
      </c>
      <c r="D42" s="678" t="s">
        <v>1320</v>
      </c>
      <c r="E42" s="794" t="s">
        <v>431</v>
      </c>
      <c r="F42" s="795">
        <v>1228</v>
      </c>
      <c r="G42" s="750" t="s">
        <v>477</v>
      </c>
      <c r="H42" s="701"/>
      <c r="I42" s="701">
        <v>50</v>
      </c>
      <c r="J42" s="1654" t="s">
        <v>1134</v>
      </c>
      <c r="K42" s="792"/>
      <c r="L42" s="701"/>
      <c r="M42" s="3172">
        <v>50</v>
      </c>
      <c r="N42" s="305" t="s">
        <v>727</v>
      </c>
      <c r="O42" s="4"/>
      <c r="P42" s="4"/>
    </row>
    <row r="43" spans="1:32" ht="20.399999999999999">
      <c r="A43" s="663"/>
      <c r="B43" s="700" t="s">
        <v>772</v>
      </c>
      <c r="C43" s="663" t="s">
        <v>320</v>
      </c>
      <c r="D43" s="678" t="s">
        <v>1320</v>
      </c>
      <c r="E43" s="794" t="s">
        <v>431</v>
      </c>
      <c r="F43" s="795">
        <v>1228</v>
      </c>
      <c r="G43" s="750" t="s">
        <v>2795</v>
      </c>
      <c r="H43" s="701"/>
      <c r="I43" s="701">
        <v>532.94999999999993</v>
      </c>
      <c r="J43" s="1654" t="s">
        <v>1134</v>
      </c>
      <c r="K43" s="792"/>
      <c r="L43" s="701"/>
      <c r="M43" s="3172">
        <v>532.99999999999989</v>
      </c>
      <c r="N43" s="305"/>
      <c r="O43" s="4"/>
      <c r="P43" s="4"/>
    </row>
    <row r="44" spans="1:32" ht="20.399999999999999">
      <c r="A44" s="663"/>
      <c r="B44" s="700" t="s">
        <v>772</v>
      </c>
      <c r="C44" s="663" t="s">
        <v>320</v>
      </c>
      <c r="D44" s="678" t="s">
        <v>1320</v>
      </c>
      <c r="E44" s="794" t="s">
        <v>431</v>
      </c>
      <c r="F44" s="795">
        <v>1228</v>
      </c>
      <c r="G44" s="750" t="s">
        <v>2794</v>
      </c>
      <c r="H44" s="701"/>
      <c r="I44" s="701">
        <v>532.94999999999993</v>
      </c>
      <c r="J44" s="1654" t="s">
        <v>1134</v>
      </c>
      <c r="K44" s="792"/>
      <c r="L44" s="701"/>
      <c r="M44" s="3172">
        <v>532.99999999999989</v>
      </c>
      <c r="N44" s="305"/>
      <c r="O44" s="4"/>
      <c r="P44" s="4"/>
    </row>
    <row r="45" spans="1:32" ht="20.399999999999999">
      <c r="A45" s="663"/>
      <c r="B45" s="700" t="s">
        <v>772</v>
      </c>
      <c r="C45" s="663" t="s">
        <v>320</v>
      </c>
      <c r="D45" s="678" t="s">
        <v>1320</v>
      </c>
      <c r="E45" s="794" t="s">
        <v>431</v>
      </c>
      <c r="F45" s="795">
        <v>1228</v>
      </c>
      <c r="G45" s="750" t="s">
        <v>2794</v>
      </c>
      <c r="H45" s="701"/>
      <c r="I45" s="701">
        <v>532.94999999999993</v>
      </c>
      <c r="J45" s="1654" t="s">
        <v>1134</v>
      </c>
      <c r="K45" s="792"/>
      <c r="L45" s="701"/>
      <c r="M45" s="3172">
        <v>532.99999999999989</v>
      </c>
      <c r="N45" s="305"/>
      <c r="O45" s="4"/>
      <c r="P45" s="4"/>
    </row>
    <row r="46" spans="1:32" s="16" customFormat="1" ht="30.6">
      <c r="A46" s="663"/>
      <c r="B46" s="700" t="s">
        <v>772</v>
      </c>
      <c r="C46" s="663" t="s">
        <v>320</v>
      </c>
      <c r="D46" s="678" t="s">
        <v>1320</v>
      </c>
      <c r="E46" s="794" t="s">
        <v>431</v>
      </c>
      <c r="F46" s="795">
        <v>1228</v>
      </c>
      <c r="G46" s="750" t="s">
        <v>2796</v>
      </c>
      <c r="H46" s="701"/>
      <c r="I46" s="701">
        <v>1125.6666666666665</v>
      </c>
      <c r="J46" s="1654" t="s">
        <v>1134</v>
      </c>
      <c r="K46" s="792"/>
      <c r="L46" s="701"/>
      <c r="M46" s="3172">
        <v>1125.9966666666664</v>
      </c>
      <c r="N46" s="305"/>
      <c r="O46" s="3"/>
      <c r="P46" s="3"/>
    </row>
    <row r="47" spans="1:32" s="16" customFormat="1" ht="20.399999999999999">
      <c r="A47" s="663"/>
      <c r="B47" s="700" t="s">
        <v>772</v>
      </c>
      <c r="C47" s="663" t="s">
        <v>320</v>
      </c>
      <c r="D47" s="678" t="s">
        <v>1320</v>
      </c>
      <c r="E47" s="794" t="s">
        <v>431</v>
      </c>
      <c r="F47" s="795">
        <v>1228</v>
      </c>
      <c r="G47" s="750" t="s">
        <v>2797</v>
      </c>
      <c r="H47" s="701"/>
      <c r="I47" s="701">
        <v>249.33333333333331</v>
      </c>
      <c r="J47" s="1654" t="s">
        <v>1134</v>
      </c>
      <c r="K47" s="792"/>
      <c r="L47" s="701"/>
      <c r="M47" s="3172">
        <v>249.0033333333333</v>
      </c>
      <c r="N47" s="305"/>
      <c r="O47" s="3"/>
    </row>
    <row r="48" spans="1:32" ht="20.399999999999999">
      <c r="A48" s="663"/>
      <c r="B48" s="700" t="s">
        <v>772</v>
      </c>
      <c r="C48" s="663" t="s">
        <v>320</v>
      </c>
      <c r="D48" s="678" t="s">
        <v>1320</v>
      </c>
      <c r="E48" s="794" t="s">
        <v>431</v>
      </c>
      <c r="F48" s="795">
        <v>1228</v>
      </c>
      <c r="G48" s="750" t="s">
        <v>2798</v>
      </c>
      <c r="H48" s="701"/>
      <c r="I48" s="701">
        <v>124.66666666666666</v>
      </c>
      <c r="J48" s="1654" t="s">
        <v>1134</v>
      </c>
      <c r="K48" s="792"/>
      <c r="L48" s="701"/>
      <c r="M48" s="3172">
        <v>124.99666666666666</v>
      </c>
      <c r="N48" s="305"/>
      <c r="O48" s="4"/>
      <c r="P48" s="4"/>
    </row>
    <row r="49" spans="1:16" ht="20.399999999999999">
      <c r="A49" s="683"/>
      <c r="B49" s="720" t="s">
        <v>772</v>
      </c>
      <c r="C49" s="683" t="s">
        <v>320</v>
      </c>
      <c r="D49" s="719" t="s">
        <v>1320</v>
      </c>
      <c r="E49" s="823" t="s">
        <v>431</v>
      </c>
      <c r="F49" s="824">
        <v>2111</v>
      </c>
      <c r="G49" s="800" t="s">
        <v>591</v>
      </c>
      <c r="H49" s="706">
        <v>50</v>
      </c>
      <c r="I49" s="801"/>
      <c r="J49" s="1654">
        <v>16</v>
      </c>
      <c r="K49" s="802"/>
      <c r="L49" s="706">
        <v>50</v>
      </c>
      <c r="M49" s="3178"/>
      <c r="N49" s="305"/>
      <c r="O49" s="7"/>
      <c r="P49" s="7"/>
    </row>
    <row r="50" spans="1:16" s="16" customFormat="1">
      <c r="A50" s="663"/>
      <c r="B50" s="700" t="s">
        <v>772</v>
      </c>
      <c r="C50" s="663" t="s">
        <v>320</v>
      </c>
      <c r="D50" s="678" t="s">
        <v>1320</v>
      </c>
      <c r="E50" s="794" t="s">
        <v>431</v>
      </c>
      <c r="F50" s="795">
        <v>2111</v>
      </c>
      <c r="G50" s="750"/>
      <c r="H50" s="701"/>
      <c r="I50" s="701">
        <v>50</v>
      </c>
      <c r="J50" s="1654" t="s">
        <v>1134</v>
      </c>
      <c r="K50" s="792"/>
      <c r="L50" s="701"/>
      <c r="M50" s="3172">
        <v>50</v>
      </c>
      <c r="N50" s="305"/>
      <c r="O50" s="7"/>
      <c r="P50" s="7"/>
    </row>
    <row r="51" spans="1:16" s="16" customFormat="1">
      <c r="A51" s="683"/>
      <c r="B51" s="720" t="s">
        <v>772</v>
      </c>
      <c r="C51" s="683" t="s">
        <v>320</v>
      </c>
      <c r="D51" s="719" t="s">
        <v>1320</v>
      </c>
      <c r="E51" s="823" t="s">
        <v>431</v>
      </c>
      <c r="F51" s="824">
        <v>2112</v>
      </c>
      <c r="G51" s="800" t="s">
        <v>116</v>
      </c>
      <c r="H51" s="706">
        <v>100</v>
      </c>
      <c r="I51" s="801"/>
      <c r="J51" s="1654">
        <v>43</v>
      </c>
      <c r="K51" s="802"/>
      <c r="L51" s="706">
        <v>100</v>
      </c>
      <c r="M51" s="3178"/>
      <c r="N51" s="305"/>
      <c r="O51" s="7"/>
      <c r="P51" s="7"/>
    </row>
    <row r="52" spans="1:16" s="16" customFormat="1" ht="20.399999999999999">
      <c r="A52" s="663"/>
      <c r="B52" s="700" t="s">
        <v>772</v>
      </c>
      <c r="C52" s="663" t="s">
        <v>320</v>
      </c>
      <c r="D52" s="678" t="s">
        <v>1320</v>
      </c>
      <c r="E52" s="794" t="s">
        <v>431</v>
      </c>
      <c r="F52" s="795">
        <v>2112</v>
      </c>
      <c r="G52" s="812" t="s">
        <v>1159</v>
      </c>
      <c r="H52" s="709"/>
      <c r="I52" s="709">
        <v>0</v>
      </c>
      <c r="J52" s="1654" t="s">
        <v>1134</v>
      </c>
      <c r="K52" s="825"/>
      <c r="L52" s="709"/>
      <c r="M52" s="2244">
        <v>0</v>
      </c>
      <c r="N52" s="305"/>
      <c r="O52" s="3"/>
      <c r="P52" s="3"/>
    </row>
    <row r="53" spans="1:16" s="16" customFormat="1">
      <c r="A53" s="663"/>
      <c r="B53" s="700" t="s">
        <v>772</v>
      </c>
      <c r="C53" s="663" t="s">
        <v>320</v>
      </c>
      <c r="D53" s="678" t="s">
        <v>1320</v>
      </c>
      <c r="E53" s="794" t="s">
        <v>431</v>
      </c>
      <c r="F53" s="795">
        <v>2112</v>
      </c>
      <c r="G53" s="812" t="s">
        <v>152</v>
      </c>
      <c r="H53" s="709"/>
      <c r="I53" s="709">
        <v>100</v>
      </c>
      <c r="J53" s="1654" t="s">
        <v>1134</v>
      </c>
      <c r="K53" s="825"/>
      <c r="L53" s="709"/>
      <c r="M53" s="2244">
        <v>100</v>
      </c>
      <c r="N53" s="305"/>
      <c r="O53" s="3"/>
      <c r="P53" s="3"/>
    </row>
    <row r="54" spans="1:16" s="16" customFormat="1">
      <c r="A54" s="683"/>
      <c r="B54" s="720" t="s">
        <v>772</v>
      </c>
      <c r="C54" s="683" t="s">
        <v>320</v>
      </c>
      <c r="D54" s="719" t="s">
        <v>1320</v>
      </c>
      <c r="E54" s="823" t="s">
        <v>431</v>
      </c>
      <c r="F54" s="824">
        <v>2121</v>
      </c>
      <c r="G54" s="800" t="s">
        <v>117</v>
      </c>
      <c r="H54" s="706">
        <v>2300</v>
      </c>
      <c r="I54" s="801"/>
      <c r="J54" s="1654">
        <v>870</v>
      </c>
      <c r="K54" s="802"/>
      <c r="L54" s="706">
        <v>1600</v>
      </c>
      <c r="M54" s="3178"/>
      <c r="N54" s="305" t="s">
        <v>726</v>
      </c>
      <c r="O54" s="7"/>
      <c r="P54" s="7"/>
    </row>
    <row r="55" spans="1:16" s="16" customFormat="1">
      <c r="A55" s="663"/>
      <c r="B55" s="700" t="s">
        <v>772</v>
      </c>
      <c r="C55" s="663" t="s">
        <v>320</v>
      </c>
      <c r="D55" s="678" t="s">
        <v>1320</v>
      </c>
      <c r="E55" s="794" t="s">
        <v>431</v>
      </c>
      <c r="F55" s="795">
        <v>2121</v>
      </c>
      <c r="G55" s="750" t="s">
        <v>1160</v>
      </c>
      <c r="H55" s="701"/>
      <c r="I55" s="701">
        <v>1100</v>
      </c>
      <c r="J55" s="1654" t="s">
        <v>1134</v>
      </c>
      <c r="K55" s="792"/>
      <c r="L55" s="701"/>
      <c r="M55" s="3172">
        <v>1100</v>
      </c>
      <c r="N55" s="1223" t="s">
        <v>130</v>
      </c>
      <c r="O55" s="7"/>
      <c r="P55" s="7"/>
    </row>
    <row r="56" spans="1:16" s="16" customFormat="1">
      <c r="A56" s="663"/>
      <c r="B56" s="700" t="s">
        <v>772</v>
      </c>
      <c r="C56" s="663" t="s">
        <v>320</v>
      </c>
      <c r="D56" s="678" t="s">
        <v>1320</v>
      </c>
      <c r="E56" s="794" t="s">
        <v>431</v>
      </c>
      <c r="F56" s="795">
        <v>2121</v>
      </c>
      <c r="G56" s="750" t="s">
        <v>2472</v>
      </c>
      <c r="H56" s="701"/>
      <c r="I56" s="701">
        <v>1200</v>
      </c>
      <c r="J56" s="1654" t="s">
        <v>1134</v>
      </c>
      <c r="K56" s="792"/>
      <c r="L56" s="701"/>
      <c r="M56" s="3172">
        <v>500</v>
      </c>
      <c r="N56" s="305" t="s">
        <v>726</v>
      </c>
      <c r="O56" s="3"/>
      <c r="P56" s="3"/>
    </row>
    <row r="57" spans="1:16" s="16" customFormat="1" ht="56.25" customHeight="1">
      <c r="A57" s="683"/>
      <c r="B57" s="720" t="s">
        <v>772</v>
      </c>
      <c r="C57" s="683" t="s">
        <v>320</v>
      </c>
      <c r="D57" s="719" t="s">
        <v>1320</v>
      </c>
      <c r="E57" s="823" t="s">
        <v>431</v>
      </c>
      <c r="F57" s="824">
        <v>2122</v>
      </c>
      <c r="G57" s="800" t="s">
        <v>118</v>
      </c>
      <c r="H57" s="706">
        <v>1000</v>
      </c>
      <c r="I57" s="801"/>
      <c r="J57" s="1654">
        <v>12</v>
      </c>
      <c r="K57" s="802"/>
      <c r="L57" s="706">
        <v>200</v>
      </c>
      <c r="M57" s="3178"/>
      <c r="N57" s="1223" t="s">
        <v>130</v>
      </c>
      <c r="O57" s="7"/>
      <c r="P57" s="7"/>
    </row>
    <row r="58" spans="1:16" s="16" customFormat="1" ht="56.25" customHeight="1">
      <c r="A58" s="663"/>
      <c r="B58" s="700" t="s">
        <v>772</v>
      </c>
      <c r="C58" s="663" t="s">
        <v>320</v>
      </c>
      <c r="D58" s="678" t="s">
        <v>1320</v>
      </c>
      <c r="E58" s="794" t="s">
        <v>431</v>
      </c>
      <c r="F58" s="795">
        <v>2122</v>
      </c>
      <c r="G58" s="750" t="s">
        <v>2473</v>
      </c>
      <c r="H58" s="701"/>
      <c r="I58" s="701">
        <v>1000</v>
      </c>
      <c r="J58" s="1654" t="s">
        <v>1134</v>
      </c>
      <c r="K58" s="792"/>
      <c r="L58" s="701"/>
      <c r="M58" s="3172">
        <v>200</v>
      </c>
      <c r="N58" s="381" t="s">
        <v>4687</v>
      </c>
      <c r="O58" s="7"/>
      <c r="P58" s="7"/>
    </row>
    <row r="59" spans="1:16" s="16" customFormat="1">
      <c r="A59" s="683"/>
      <c r="B59" s="720" t="s">
        <v>772</v>
      </c>
      <c r="C59" s="683" t="s">
        <v>322</v>
      </c>
      <c r="D59" s="719" t="s">
        <v>1320</v>
      </c>
      <c r="E59" s="823" t="s">
        <v>431</v>
      </c>
      <c r="F59" s="824">
        <v>2210</v>
      </c>
      <c r="G59" s="800" t="s">
        <v>572</v>
      </c>
      <c r="H59" s="706">
        <v>18609.68</v>
      </c>
      <c r="I59" s="801"/>
      <c r="J59" s="1654">
        <v>12563</v>
      </c>
      <c r="K59" s="802"/>
      <c r="L59" s="706">
        <v>21832.974000000002</v>
      </c>
      <c r="M59" s="3178"/>
      <c r="N59" s="1056"/>
      <c r="O59" s="7"/>
      <c r="P59" s="7"/>
    </row>
    <row r="60" spans="1:16" s="16" customFormat="1">
      <c r="A60" s="663"/>
      <c r="B60" s="700" t="s">
        <v>772</v>
      </c>
      <c r="C60" s="663" t="s">
        <v>322</v>
      </c>
      <c r="D60" s="678" t="s">
        <v>1320</v>
      </c>
      <c r="E60" s="794" t="s">
        <v>431</v>
      </c>
      <c r="F60" s="795">
        <v>2210</v>
      </c>
      <c r="G60" s="750" t="s">
        <v>4683</v>
      </c>
      <c r="H60" s="701"/>
      <c r="I60" s="701">
        <v>3209.7060000000001</v>
      </c>
      <c r="J60" s="1654">
        <v>3408</v>
      </c>
      <c r="K60" s="792"/>
      <c r="L60" s="701"/>
      <c r="M60" s="3172">
        <v>3210</v>
      </c>
      <c r="N60" s="1056"/>
      <c r="O60" s="7"/>
      <c r="P60" s="7"/>
    </row>
    <row r="61" spans="1:16" s="16" customFormat="1" ht="20.399999999999999">
      <c r="A61" s="663"/>
      <c r="B61" s="700" t="s">
        <v>772</v>
      </c>
      <c r="C61" s="663" t="s">
        <v>322</v>
      </c>
      <c r="D61" s="678" t="s">
        <v>1320</v>
      </c>
      <c r="E61" s="794" t="s">
        <v>431</v>
      </c>
      <c r="F61" s="795">
        <v>2210</v>
      </c>
      <c r="G61" s="797" t="s">
        <v>2474</v>
      </c>
      <c r="H61" s="701"/>
      <c r="I61" s="701">
        <v>2010.2939999999999</v>
      </c>
      <c r="J61" s="1654">
        <v>1510</v>
      </c>
      <c r="K61" s="792"/>
      <c r="L61" s="701"/>
      <c r="M61" s="3172">
        <v>2010.2939999999999</v>
      </c>
      <c r="N61" s="125"/>
      <c r="O61" s="7"/>
      <c r="P61" s="7"/>
    </row>
    <row r="62" spans="1:16" s="16" customFormat="1" ht="20.399999999999999">
      <c r="A62" s="1407" t="s">
        <v>364</v>
      </c>
      <c r="B62" s="700" t="s">
        <v>772</v>
      </c>
      <c r="C62" s="1407" t="s">
        <v>322</v>
      </c>
      <c r="D62" s="1679" t="s">
        <v>1320</v>
      </c>
      <c r="E62" s="794" t="s">
        <v>431</v>
      </c>
      <c r="F62" s="1413">
        <v>2210</v>
      </c>
      <c r="G62" s="818" t="s">
        <v>3479</v>
      </c>
      <c r="H62" s="1683"/>
      <c r="I62" s="1683">
        <v>175.67999999999998</v>
      </c>
      <c r="J62" s="1654">
        <v>135</v>
      </c>
      <c r="K62" s="1685"/>
      <c r="L62" s="1683"/>
      <c r="M62" s="3179">
        <v>175.67999999999998</v>
      </c>
      <c r="N62" s="125"/>
      <c r="O62" s="7"/>
      <c r="P62" s="7"/>
    </row>
    <row r="63" spans="1:16" s="16" customFormat="1" ht="71.400000000000006">
      <c r="A63" s="663"/>
      <c r="B63" s="700" t="s">
        <v>772</v>
      </c>
      <c r="C63" s="663" t="s">
        <v>322</v>
      </c>
      <c r="D63" s="678" t="s">
        <v>1320</v>
      </c>
      <c r="E63" s="794" t="s">
        <v>431</v>
      </c>
      <c r="F63" s="795">
        <v>2210</v>
      </c>
      <c r="G63" s="750" t="s">
        <v>4681</v>
      </c>
      <c r="H63" s="701"/>
      <c r="I63" s="796">
        <v>7835</v>
      </c>
      <c r="J63" s="1654"/>
      <c r="K63" s="792"/>
      <c r="L63" s="701"/>
      <c r="M63" s="3180">
        <v>7835</v>
      </c>
      <c r="N63" s="1793" t="s">
        <v>4685</v>
      </c>
      <c r="O63" s="7"/>
      <c r="P63" s="7"/>
    </row>
    <row r="64" spans="1:16" s="16" customFormat="1" ht="30.6">
      <c r="A64" s="1407"/>
      <c r="B64" s="700" t="s">
        <v>772</v>
      </c>
      <c r="C64" s="1407" t="s">
        <v>322</v>
      </c>
      <c r="D64" s="1679" t="s">
        <v>1320</v>
      </c>
      <c r="E64" s="794" t="s">
        <v>431</v>
      </c>
      <c r="F64" s="1413">
        <v>2210</v>
      </c>
      <c r="G64" s="818" t="s">
        <v>663</v>
      </c>
      <c r="H64" s="1683"/>
      <c r="I64" s="1683">
        <v>7150</v>
      </c>
      <c r="J64" s="1654">
        <v>6360</v>
      </c>
      <c r="K64" s="1685"/>
      <c r="L64" s="1683"/>
      <c r="M64" s="3179">
        <v>7150</v>
      </c>
      <c r="N64" s="125"/>
      <c r="O64" s="7"/>
      <c r="P64" s="7"/>
    </row>
    <row r="65" spans="1:16" s="16" customFormat="1" ht="40.799999999999997">
      <c r="A65" s="663"/>
      <c r="B65" s="700" t="s">
        <v>772</v>
      </c>
      <c r="C65" s="663" t="s">
        <v>322</v>
      </c>
      <c r="D65" s="678" t="s">
        <v>1320</v>
      </c>
      <c r="E65" s="794" t="s">
        <v>431</v>
      </c>
      <c r="F65" s="795">
        <v>2210</v>
      </c>
      <c r="G65" s="750" t="s">
        <v>4682</v>
      </c>
      <c r="H65" s="701"/>
      <c r="I65" s="701">
        <v>0</v>
      </c>
      <c r="J65" s="1654">
        <v>0</v>
      </c>
      <c r="K65" s="792"/>
      <c r="L65" s="701"/>
      <c r="M65" s="3180">
        <v>0</v>
      </c>
      <c r="N65" s="7"/>
      <c r="O65" s="7"/>
      <c r="P65" s="7"/>
    </row>
    <row r="66" spans="1:16" ht="30.6">
      <c r="A66" s="603"/>
      <c r="B66" s="700" t="s">
        <v>772</v>
      </c>
      <c r="C66" s="663" t="s">
        <v>322</v>
      </c>
      <c r="D66" s="678" t="s">
        <v>1320</v>
      </c>
      <c r="E66" s="794" t="s">
        <v>431</v>
      </c>
      <c r="F66" s="795">
        <v>2210</v>
      </c>
      <c r="G66" s="1153" t="s">
        <v>3285</v>
      </c>
      <c r="H66" s="1165"/>
      <c r="I66" s="1165">
        <v>-500</v>
      </c>
      <c r="J66" s="1654" t="s">
        <v>1134</v>
      </c>
      <c r="K66" s="1439"/>
      <c r="L66" s="1115"/>
      <c r="M66" s="3181"/>
      <c r="N66" s="125"/>
      <c r="O66" s="187"/>
      <c r="P66" s="187"/>
    </row>
    <row r="67" spans="1:16" s="16" customFormat="1" ht="20.399999999999999">
      <c r="A67" s="663"/>
      <c r="B67" s="700" t="s">
        <v>772</v>
      </c>
      <c r="C67" s="663" t="s">
        <v>322</v>
      </c>
      <c r="D67" s="678" t="s">
        <v>1320</v>
      </c>
      <c r="E67" s="794" t="s">
        <v>431</v>
      </c>
      <c r="F67" s="795">
        <v>2210</v>
      </c>
      <c r="G67" s="750" t="s">
        <v>4684</v>
      </c>
      <c r="H67" s="701"/>
      <c r="I67" s="701">
        <v>1200</v>
      </c>
      <c r="J67" s="1654">
        <v>1150</v>
      </c>
      <c r="K67" s="792"/>
      <c r="L67" s="659"/>
      <c r="M67" s="3182">
        <v>1452</v>
      </c>
      <c r="N67" s="125"/>
      <c r="O67" s="7"/>
      <c r="P67" s="7"/>
    </row>
    <row r="68" spans="1:16">
      <c r="A68" s="663"/>
      <c r="B68" s="700" t="s">
        <v>772</v>
      </c>
      <c r="C68" s="663" t="s">
        <v>322</v>
      </c>
      <c r="D68" s="678" t="s">
        <v>1320</v>
      </c>
      <c r="E68" s="794" t="s">
        <v>431</v>
      </c>
      <c r="F68" s="795">
        <v>2210</v>
      </c>
      <c r="G68" s="750" t="s">
        <v>2747</v>
      </c>
      <c r="H68" s="701"/>
      <c r="I68" s="701">
        <v>-2471</v>
      </c>
      <c r="J68" s="1654" t="s">
        <v>1134</v>
      </c>
      <c r="K68" s="792"/>
      <c r="L68" s="659"/>
      <c r="M68" s="2804"/>
      <c r="N68" s="125"/>
      <c r="O68" s="187"/>
      <c r="P68" s="187"/>
    </row>
    <row r="69" spans="1:16">
      <c r="A69" s="683"/>
      <c r="B69" s="720" t="s">
        <v>772</v>
      </c>
      <c r="C69" s="683" t="s">
        <v>322</v>
      </c>
      <c r="D69" s="719" t="s">
        <v>1320</v>
      </c>
      <c r="E69" s="823" t="s">
        <v>431</v>
      </c>
      <c r="F69" s="824">
        <v>2232</v>
      </c>
      <c r="G69" s="800" t="s">
        <v>661</v>
      </c>
      <c r="H69" s="706">
        <v>39050</v>
      </c>
      <c r="I69" s="801"/>
      <c r="J69" s="1654">
        <v>38346</v>
      </c>
      <c r="K69" s="802"/>
      <c r="L69" s="706">
        <v>50852</v>
      </c>
      <c r="M69" s="3178"/>
      <c r="N69" s="125"/>
      <c r="O69" s="187"/>
      <c r="P69" s="187"/>
    </row>
    <row r="70" spans="1:16">
      <c r="A70" s="663"/>
      <c r="B70" s="700" t="s">
        <v>772</v>
      </c>
      <c r="C70" s="663" t="s">
        <v>322</v>
      </c>
      <c r="D70" s="678" t="s">
        <v>1320</v>
      </c>
      <c r="E70" s="794" t="s">
        <v>431</v>
      </c>
      <c r="F70" s="795">
        <v>2232</v>
      </c>
      <c r="G70" s="750" t="s">
        <v>2475</v>
      </c>
      <c r="H70" s="701"/>
      <c r="I70" s="701">
        <v>10890</v>
      </c>
      <c r="J70" s="1654" t="s">
        <v>1134</v>
      </c>
      <c r="K70" s="792"/>
      <c r="L70" s="701"/>
      <c r="M70" s="3172">
        <v>10890</v>
      </c>
      <c r="N70" s="305"/>
      <c r="O70" s="7"/>
      <c r="P70" s="7"/>
    </row>
    <row r="71" spans="1:16" ht="11.4" customHeight="1">
      <c r="A71" s="663"/>
      <c r="B71" s="700" t="s">
        <v>772</v>
      </c>
      <c r="C71" s="663" t="s">
        <v>322</v>
      </c>
      <c r="D71" s="678" t="s">
        <v>1320</v>
      </c>
      <c r="E71" s="1679" t="s">
        <v>431</v>
      </c>
      <c r="F71" s="679">
        <v>2232</v>
      </c>
      <c r="G71" s="665" t="s">
        <v>1616</v>
      </c>
      <c r="H71" s="660"/>
      <c r="I71" s="660">
        <v>5082</v>
      </c>
      <c r="J71" s="1494" t="s">
        <v>1134</v>
      </c>
      <c r="K71" s="667"/>
      <c r="L71" s="659"/>
      <c r="M71" s="3175">
        <v>5082</v>
      </c>
      <c r="N71" s="305"/>
      <c r="O71" s="3"/>
      <c r="P71" s="3"/>
    </row>
    <row r="72" spans="1:16" ht="51">
      <c r="A72" s="663"/>
      <c r="B72" s="700" t="s">
        <v>772</v>
      </c>
      <c r="C72" s="663" t="s">
        <v>322</v>
      </c>
      <c r="D72" s="678" t="s">
        <v>1320</v>
      </c>
      <c r="E72" s="1679" t="s">
        <v>431</v>
      </c>
      <c r="F72" s="679">
        <v>2232</v>
      </c>
      <c r="G72" s="665" t="s">
        <v>1161</v>
      </c>
      <c r="H72" s="660"/>
      <c r="I72" s="660">
        <v>4880</v>
      </c>
      <c r="J72" s="1494" t="s">
        <v>1134</v>
      </c>
      <c r="K72" s="667"/>
      <c r="L72" s="659"/>
      <c r="M72" s="3175">
        <v>4880</v>
      </c>
      <c r="N72" s="305"/>
      <c r="O72" s="7"/>
      <c r="P72" s="7"/>
    </row>
    <row r="73" spans="1:16" s="16" customFormat="1" ht="20.399999999999999">
      <c r="A73" s="760"/>
      <c r="B73" s="700" t="s">
        <v>772</v>
      </c>
      <c r="C73" s="663" t="s">
        <v>322</v>
      </c>
      <c r="D73" s="678" t="s">
        <v>1320</v>
      </c>
      <c r="E73" s="794" t="s">
        <v>431</v>
      </c>
      <c r="F73" s="795">
        <v>2232</v>
      </c>
      <c r="G73" s="750" t="s">
        <v>4802</v>
      </c>
      <c r="H73" s="660"/>
      <c r="I73" s="660">
        <v>11000</v>
      </c>
      <c r="J73" s="1494" t="s">
        <v>1134</v>
      </c>
      <c r="K73" s="661"/>
      <c r="L73" s="659"/>
      <c r="M73" s="3183">
        <v>20000</v>
      </c>
      <c r="N73" s="305"/>
      <c r="O73" s="3"/>
      <c r="P73" s="3"/>
    </row>
    <row r="74" spans="1:16" s="16" customFormat="1" ht="20.399999999999999">
      <c r="A74" s="2604"/>
      <c r="B74" s="700" t="s">
        <v>772</v>
      </c>
      <c r="C74" s="663" t="s">
        <v>322</v>
      </c>
      <c r="D74" s="678" t="s">
        <v>1320</v>
      </c>
      <c r="E74" s="794" t="s">
        <v>431</v>
      </c>
      <c r="F74" s="795">
        <v>2232</v>
      </c>
      <c r="G74" s="2605" t="s">
        <v>2864</v>
      </c>
      <c r="H74" s="2606"/>
      <c r="I74" s="2606"/>
      <c r="J74" s="2607"/>
      <c r="K74" s="2608"/>
      <c r="L74" s="2609"/>
      <c r="M74" s="3184">
        <v>10000</v>
      </c>
      <c r="N74" s="125"/>
      <c r="O74" s="3"/>
      <c r="P74" s="3"/>
    </row>
    <row r="75" spans="1:16" s="16" customFormat="1">
      <c r="A75" s="760"/>
      <c r="B75" s="700" t="s">
        <v>772</v>
      </c>
      <c r="C75" s="663" t="s">
        <v>322</v>
      </c>
      <c r="D75" s="678" t="s">
        <v>1320</v>
      </c>
      <c r="E75" s="794" t="s">
        <v>431</v>
      </c>
      <c r="F75" s="679">
        <v>2232</v>
      </c>
      <c r="G75" s="1264" t="s">
        <v>3025</v>
      </c>
      <c r="H75" s="1260"/>
      <c r="I75" s="1260">
        <v>-1782</v>
      </c>
      <c r="J75" s="1494" t="s">
        <v>1134</v>
      </c>
      <c r="K75" s="1267"/>
      <c r="L75" s="1306"/>
      <c r="M75" s="3185"/>
      <c r="N75" s="125"/>
      <c r="O75" s="3"/>
      <c r="P75" s="3"/>
    </row>
    <row r="76" spans="1:16" ht="20.399999999999999">
      <c r="A76" s="2187"/>
      <c r="B76" s="700" t="s">
        <v>772</v>
      </c>
      <c r="C76" s="663" t="s">
        <v>322</v>
      </c>
      <c r="D76" s="678" t="s">
        <v>1320</v>
      </c>
      <c r="E76" s="794" t="s">
        <v>431</v>
      </c>
      <c r="F76" s="679">
        <v>2232</v>
      </c>
      <c r="G76" s="2177" t="s">
        <v>4166</v>
      </c>
      <c r="H76" s="2169"/>
      <c r="I76" s="2169">
        <v>8980</v>
      </c>
      <c r="J76" s="2170"/>
      <c r="K76" s="2185"/>
      <c r="L76" s="2171"/>
      <c r="M76" s="3186"/>
      <c r="N76" s="305"/>
      <c r="O76" s="3"/>
      <c r="P76" s="3"/>
    </row>
    <row r="77" spans="1:16">
      <c r="A77" s="683"/>
      <c r="B77" s="720" t="s">
        <v>772</v>
      </c>
      <c r="C77" s="683" t="s">
        <v>320</v>
      </c>
      <c r="D77" s="719" t="s">
        <v>1320</v>
      </c>
      <c r="E77" s="823" t="s">
        <v>431</v>
      </c>
      <c r="F77" s="824">
        <v>2233</v>
      </c>
      <c r="G77" s="800" t="s">
        <v>145</v>
      </c>
      <c r="H77" s="706">
        <v>220</v>
      </c>
      <c r="I77" s="801"/>
      <c r="J77" s="1654">
        <v>176</v>
      </c>
      <c r="K77" s="802"/>
      <c r="L77" s="706">
        <v>170</v>
      </c>
      <c r="M77" s="3178"/>
      <c r="N77" s="1656" t="s">
        <v>1331</v>
      </c>
      <c r="O77" s="7"/>
      <c r="P77" s="7"/>
    </row>
    <row r="78" spans="1:16">
      <c r="A78" s="663"/>
      <c r="B78" s="700" t="s">
        <v>772</v>
      </c>
      <c r="C78" s="663" t="s">
        <v>320</v>
      </c>
      <c r="D78" s="678" t="s">
        <v>1320</v>
      </c>
      <c r="E78" s="794" t="s">
        <v>431</v>
      </c>
      <c r="F78" s="795">
        <v>2233</v>
      </c>
      <c r="G78" s="750" t="s">
        <v>1366</v>
      </c>
      <c r="H78" s="701"/>
      <c r="I78" s="701">
        <v>500</v>
      </c>
      <c r="J78" s="1654" t="s">
        <v>1134</v>
      </c>
      <c r="K78" s="792"/>
      <c r="L78" s="701"/>
      <c r="M78" s="3172"/>
      <c r="N78" s="125"/>
      <c r="O78" s="7"/>
      <c r="P78" s="7"/>
    </row>
    <row r="79" spans="1:16" ht="20.399999999999999">
      <c r="A79" s="603"/>
      <c r="B79" s="700" t="s">
        <v>772</v>
      </c>
      <c r="C79" s="663" t="s">
        <v>320</v>
      </c>
      <c r="D79" s="678" t="s">
        <v>1320</v>
      </c>
      <c r="E79" s="794" t="s">
        <v>431</v>
      </c>
      <c r="F79" s="795">
        <v>2233</v>
      </c>
      <c r="G79" s="1153" t="s">
        <v>3098</v>
      </c>
      <c r="H79" s="1165"/>
      <c r="I79" s="1165">
        <v>-450</v>
      </c>
      <c r="J79" s="1654" t="s">
        <v>1134</v>
      </c>
      <c r="K79" s="1439"/>
      <c r="L79" s="1165"/>
      <c r="M79" s="3177"/>
      <c r="N79" s="149" t="s">
        <v>4688</v>
      </c>
      <c r="O79" s="7"/>
      <c r="P79" s="7"/>
    </row>
    <row r="80" spans="1:16" ht="20.399999999999999">
      <c r="A80" s="603"/>
      <c r="B80" s="700" t="s">
        <v>772</v>
      </c>
      <c r="C80" s="663" t="s">
        <v>320</v>
      </c>
      <c r="D80" s="678" t="s">
        <v>1320</v>
      </c>
      <c r="E80" s="794" t="s">
        <v>431</v>
      </c>
      <c r="F80" s="795">
        <v>2233</v>
      </c>
      <c r="G80" s="1153" t="s">
        <v>3187</v>
      </c>
      <c r="H80" s="1165"/>
      <c r="I80" s="1165">
        <v>170</v>
      </c>
      <c r="J80" s="1654" t="s">
        <v>1134</v>
      </c>
      <c r="K80" s="1439"/>
      <c r="L80" s="1165"/>
      <c r="M80" s="3177">
        <v>170</v>
      </c>
      <c r="N80" s="149"/>
      <c r="O80" s="7"/>
      <c r="P80" s="7"/>
    </row>
    <row r="81" spans="1:16">
      <c r="A81" s="683"/>
      <c r="B81" s="720" t="s">
        <v>772</v>
      </c>
      <c r="C81" s="683" t="s">
        <v>320</v>
      </c>
      <c r="D81" s="719" t="s">
        <v>1320</v>
      </c>
      <c r="E81" s="1678" t="s">
        <v>431</v>
      </c>
      <c r="F81" s="824">
        <v>2234</v>
      </c>
      <c r="G81" s="800" t="s">
        <v>120</v>
      </c>
      <c r="H81" s="706">
        <v>2000</v>
      </c>
      <c r="I81" s="801"/>
      <c r="J81" s="1494">
        <v>1470</v>
      </c>
      <c r="K81" s="802"/>
      <c r="L81" s="1661">
        <v>900</v>
      </c>
      <c r="M81" s="3187"/>
      <c r="N81" s="149" t="s">
        <v>2476</v>
      </c>
      <c r="O81" s="7"/>
      <c r="P81" s="7"/>
    </row>
    <row r="82" spans="1:16" ht="20.399999999999999">
      <c r="A82" s="663"/>
      <c r="B82" s="700" t="s">
        <v>772</v>
      </c>
      <c r="C82" s="663" t="s">
        <v>320</v>
      </c>
      <c r="D82" s="678" t="s">
        <v>1320</v>
      </c>
      <c r="E82" s="1679" t="s">
        <v>431</v>
      </c>
      <c r="F82" s="795">
        <v>2234</v>
      </c>
      <c r="G82" s="750" t="s">
        <v>4710</v>
      </c>
      <c r="H82" s="701"/>
      <c r="I82" s="701">
        <v>2000</v>
      </c>
      <c r="J82" s="1494" t="s">
        <v>1134</v>
      </c>
      <c r="K82" s="792"/>
      <c r="L82" s="1662"/>
      <c r="M82" s="3175">
        <v>900</v>
      </c>
      <c r="N82" s="149" t="s">
        <v>726</v>
      </c>
      <c r="O82" s="3"/>
      <c r="P82" s="3"/>
    </row>
    <row r="83" spans="1:16" s="16" customFormat="1">
      <c r="A83" s="683"/>
      <c r="B83" s="720" t="s">
        <v>772</v>
      </c>
      <c r="C83" s="683" t="s">
        <v>322</v>
      </c>
      <c r="D83" s="823" t="s">
        <v>1320</v>
      </c>
      <c r="E83" s="823" t="s">
        <v>431</v>
      </c>
      <c r="F83" s="826">
        <v>2235</v>
      </c>
      <c r="G83" s="805" t="s">
        <v>931</v>
      </c>
      <c r="H83" s="706">
        <v>5100</v>
      </c>
      <c r="I83" s="801"/>
      <c r="J83" s="1654">
        <v>854</v>
      </c>
      <c r="K83" s="802"/>
      <c r="L83" s="706">
        <v>3100</v>
      </c>
      <c r="M83" s="3178"/>
      <c r="N83" s="149" t="s">
        <v>1337</v>
      </c>
      <c r="O83" s="7"/>
      <c r="P83" s="7"/>
    </row>
    <row r="84" spans="1:16" s="16" customFormat="1" ht="20.399999999999999">
      <c r="A84" s="663"/>
      <c r="B84" s="700" t="s">
        <v>772</v>
      </c>
      <c r="C84" s="663" t="s">
        <v>322</v>
      </c>
      <c r="D84" s="794" t="s">
        <v>1320</v>
      </c>
      <c r="E84" s="794" t="s">
        <v>431</v>
      </c>
      <c r="F84" s="795">
        <v>2235</v>
      </c>
      <c r="G84" s="750" t="s">
        <v>811</v>
      </c>
      <c r="H84" s="701"/>
      <c r="I84" s="701">
        <v>5100</v>
      </c>
      <c r="J84" s="1654" t="s">
        <v>1134</v>
      </c>
      <c r="K84" s="792"/>
      <c r="L84" s="701"/>
      <c r="M84" s="3172">
        <v>3100</v>
      </c>
      <c r="N84" s="149" t="s">
        <v>726</v>
      </c>
      <c r="O84" s="7"/>
      <c r="P84" s="7"/>
    </row>
    <row r="85" spans="1:16" s="16" customFormat="1">
      <c r="A85" s="683"/>
      <c r="B85" s="720" t="s">
        <v>772</v>
      </c>
      <c r="C85" s="683" t="s">
        <v>322</v>
      </c>
      <c r="D85" s="719" t="s">
        <v>1320</v>
      </c>
      <c r="E85" s="823" t="s">
        <v>431</v>
      </c>
      <c r="F85" s="824">
        <v>2236</v>
      </c>
      <c r="G85" s="800" t="s">
        <v>121</v>
      </c>
      <c r="H85" s="706">
        <v>4573.04</v>
      </c>
      <c r="I85" s="801"/>
      <c r="J85" s="1494">
        <v>3928</v>
      </c>
      <c r="K85" s="802"/>
      <c r="L85" s="689">
        <v>4517.04</v>
      </c>
      <c r="M85" s="3188"/>
      <c r="N85" s="149" t="s">
        <v>726</v>
      </c>
      <c r="O85" s="3"/>
      <c r="P85" s="3"/>
    </row>
    <row r="86" spans="1:16" s="16" customFormat="1" ht="30.6">
      <c r="A86" s="663"/>
      <c r="B86" s="700" t="s">
        <v>772</v>
      </c>
      <c r="C86" s="663" t="s">
        <v>322</v>
      </c>
      <c r="D86" s="678" t="s">
        <v>1320</v>
      </c>
      <c r="E86" s="794" t="s">
        <v>431</v>
      </c>
      <c r="F86" s="795">
        <v>2236</v>
      </c>
      <c r="G86" s="750" t="s">
        <v>1152</v>
      </c>
      <c r="H86" s="701"/>
      <c r="I86" s="701">
        <v>2904</v>
      </c>
      <c r="J86" s="1494"/>
      <c r="K86" s="792"/>
      <c r="L86" s="660"/>
      <c r="M86" s="3183">
        <v>2178</v>
      </c>
      <c r="N86" s="375"/>
      <c r="O86" s="7"/>
      <c r="P86" s="7"/>
    </row>
    <row r="87" spans="1:16" s="16" customFormat="1" ht="30.6">
      <c r="A87" s="603"/>
      <c r="B87" s="700" t="s">
        <v>772</v>
      </c>
      <c r="C87" s="663" t="s">
        <v>322</v>
      </c>
      <c r="D87" s="678" t="s">
        <v>1320</v>
      </c>
      <c r="E87" s="794" t="s">
        <v>431</v>
      </c>
      <c r="F87" s="795">
        <v>2236</v>
      </c>
      <c r="G87" s="1153" t="s">
        <v>3048</v>
      </c>
      <c r="H87" s="1165"/>
      <c r="I87" s="1165">
        <v>-650</v>
      </c>
      <c r="J87" s="1494"/>
      <c r="K87" s="1439"/>
      <c r="L87" s="1130"/>
      <c r="M87" s="3189"/>
      <c r="N87" s="7" t="s">
        <v>727</v>
      </c>
      <c r="O87" s="7"/>
      <c r="P87" s="7"/>
    </row>
    <row r="88" spans="1:16" s="16" customFormat="1" ht="30.6">
      <c r="A88" s="760"/>
      <c r="B88" s="700" t="s">
        <v>772</v>
      </c>
      <c r="C88" s="663" t="s">
        <v>322</v>
      </c>
      <c r="D88" s="678" t="s">
        <v>1320</v>
      </c>
      <c r="E88" s="794" t="s">
        <v>431</v>
      </c>
      <c r="F88" s="795">
        <v>2236</v>
      </c>
      <c r="G88" s="750" t="s">
        <v>4690</v>
      </c>
      <c r="H88" s="701"/>
      <c r="I88" s="701">
        <v>70</v>
      </c>
      <c r="J88" s="1494"/>
      <c r="K88" s="792"/>
      <c r="L88" s="660"/>
      <c r="M88" s="3183">
        <v>90</v>
      </c>
      <c r="N88" s="125"/>
      <c r="O88" s="3"/>
      <c r="P88" s="3"/>
    </row>
    <row r="89" spans="1:16" s="16" customFormat="1" ht="40.799999999999997">
      <c r="A89" s="663"/>
      <c r="B89" s="700" t="s">
        <v>772</v>
      </c>
      <c r="C89" s="663" t="s">
        <v>322</v>
      </c>
      <c r="D89" s="678" t="s">
        <v>1320</v>
      </c>
      <c r="E89" s="794" t="s">
        <v>431</v>
      </c>
      <c r="F89" s="795">
        <v>2236</v>
      </c>
      <c r="G89" s="750" t="s">
        <v>1330</v>
      </c>
      <c r="H89" s="701"/>
      <c r="I89" s="701">
        <v>725.31999999999994</v>
      </c>
      <c r="J89" s="1494"/>
      <c r="K89" s="792"/>
      <c r="L89" s="660"/>
      <c r="M89" s="3183">
        <v>725.31999999999994</v>
      </c>
      <c r="N89" s="1223" t="s">
        <v>130</v>
      </c>
      <c r="O89" s="3"/>
      <c r="P89" s="3"/>
    </row>
    <row r="90" spans="1:16" s="16" customFormat="1" ht="30.6">
      <c r="A90" s="663"/>
      <c r="B90" s="700" t="s">
        <v>772</v>
      </c>
      <c r="C90" s="663" t="s">
        <v>322</v>
      </c>
      <c r="D90" s="678" t="s">
        <v>1320</v>
      </c>
      <c r="E90" s="794" t="s">
        <v>431</v>
      </c>
      <c r="F90" s="795">
        <v>2236</v>
      </c>
      <c r="G90" s="750" t="s">
        <v>4686</v>
      </c>
      <c r="H90" s="701"/>
      <c r="I90" s="701">
        <v>1240</v>
      </c>
      <c r="J90" s="1494"/>
      <c r="K90" s="792"/>
      <c r="L90" s="660"/>
      <c r="M90" s="3183">
        <v>1240</v>
      </c>
      <c r="N90" s="305" t="s">
        <v>728</v>
      </c>
      <c r="O90" s="3"/>
      <c r="P90" s="3"/>
    </row>
    <row r="91" spans="1:16" s="16" customFormat="1" ht="20.399999999999999">
      <c r="A91" s="663"/>
      <c r="B91" s="700" t="s">
        <v>772</v>
      </c>
      <c r="C91" s="663" t="s">
        <v>322</v>
      </c>
      <c r="D91" s="678" t="s">
        <v>1320</v>
      </c>
      <c r="E91" s="794" t="s">
        <v>431</v>
      </c>
      <c r="F91" s="795">
        <v>2236</v>
      </c>
      <c r="G91" s="750" t="s">
        <v>4689</v>
      </c>
      <c r="H91" s="701"/>
      <c r="I91" s="701">
        <v>153.72</v>
      </c>
      <c r="J91" s="1494"/>
      <c r="K91" s="792"/>
      <c r="L91" s="660"/>
      <c r="M91" s="3183">
        <v>153.72</v>
      </c>
      <c r="N91" s="7" t="s">
        <v>728</v>
      </c>
      <c r="O91" s="7"/>
      <c r="P91" s="7"/>
    </row>
    <row r="92" spans="1:16">
      <c r="A92" s="663"/>
      <c r="B92" s="700" t="s">
        <v>772</v>
      </c>
      <c r="C92" s="663" t="s">
        <v>322</v>
      </c>
      <c r="D92" s="678" t="s">
        <v>1320</v>
      </c>
      <c r="E92" s="794" t="s">
        <v>431</v>
      </c>
      <c r="F92" s="795">
        <v>2236</v>
      </c>
      <c r="G92" s="750" t="s">
        <v>565</v>
      </c>
      <c r="H92" s="701"/>
      <c r="I92" s="701">
        <v>130</v>
      </c>
      <c r="J92" s="1494"/>
      <c r="K92" s="792"/>
      <c r="L92" s="660"/>
      <c r="M92" s="3183">
        <v>130</v>
      </c>
      <c r="N92" s="125"/>
      <c r="O92" s="3"/>
      <c r="P92" s="3"/>
    </row>
    <row r="93" spans="1:16" ht="30.6">
      <c r="A93" s="683"/>
      <c r="B93" s="720" t="s">
        <v>772</v>
      </c>
      <c r="C93" s="720" t="s">
        <v>322</v>
      </c>
      <c r="D93" s="823" t="s">
        <v>1320</v>
      </c>
      <c r="E93" s="823" t="s">
        <v>431</v>
      </c>
      <c r="F93" s="685">
        <v>2239</v>
      </c>
      <c r="G93" s="686" t="s">
        <v>122</v>
      </c>
      <c r="H93" s="706">
        <v>64512.038400000005</v>
      </c>
      <c r="I93" s="801"/>
      <c r="J93" s="1494"/>
      <c r="K93" s="727"/>
      <c r="L93" s="689">
        <v>77432.33189999999</v>
      </c>
      <c r="M93" s="3188"/>
      <c r="N93" s="125"/>
      <c r="O93" s="3"/>
      <c r="P93" s="3"/>
    </row>
    <row r="94" spans="1:16" ht="20.399999999999999">
      <c r="A94" s="663"/>
      <c r="B94" s="700" t="s">
        <v>772</v>
      </c>
      <c r="C94" s="700" t="s">
        <v>322</v>
      </c>
      <c r="D94" s="794" t="s">
        <v>1320</v>
      </c>
      <c r="E94" s="794" t="s">
        <v>431</v>
      </c>
      <c r="F94" s="679">
        <v>2239</v>
      </c>
      <c r="G94" s="665" t="s">
        <v>2576</v>
      </c>
      <c r="H94" s="701"/>
      <c r="I94" s="701">
        <v>800</v>
      </c>
      <c r="J94" s="1494">
        <v>242</v>
      </c>
      <c r="K94" s="667"/>
      <c r="L94" s="659"/>
      <c r="M94" s="3175">
        <v>800</v>
      </c>
      <c r="N94" s="125"/>
      <c r="O94" s="3"/>
      <c r="P94" s="3"/>
    </row>
    <row r="95" spans="1:16">
      <c r="A95" s="663"/>
      <c r="B95" s="700" t="s">
        <v>772</v>
      </c>
      <c r="C95" s="700" t="s">
        <v>322</v>
      </c>
      <c r="D95" s="794" t="s">
        <v>1320</v>
      </c>
      <c r="E95" s="794" t="s">
        <v>431</v>
      </c>
      <c r="F95" s="679">
        <v>2239</v>
      </c>
      <c r="G95" s="665" t="s">
        <v>658</v>
      </c>
      <c r="H95" s="701"/>
      <c r="I95" s="701">
        <v>1000</v>
      </c>
      <c r="J95" s="1494"/>
      <c r="K95" s="667"/>
      <c r="L95" s="659"/>
      <c r="M95" s="3183">
        <v>1000</v>
      </c>
      <c r="N95" s="125"/>
      <c r="O95" s="3"/>
      <c r="P95" s="3"/>
    </row>
    <row r="96" spans="1:16" ht="20.399999999999999">
      <c r="A96" s="1407"/>
      <c r="B96" s="700" t="s">
        <v>772</v>
      </c>
      <c r="C96" s="1407" t="s">
        <v>322</v>
      </c>
      <c r="D96" s="1679" t="s">
        <v>1320</v>
      </c>
      <c r="E96" s="794" t="s">
        <v>431</v>
      </c>
      <c r="F96" s="1413">
        <v>2239</v>
      </c>
      <c r="G96" s="818" t="s">
        <v>699</v>
      </c>
      <c r="H96" s="1683"/>
      <c r="I96" s="1683">
        <v>800</v>
      </c>
      <c r="J96" s="1684" t="s">
        <v>1134</v>
      </c>
      <c r="K96" s="1685"/>
      <c r="L96" s="1683"/>
      <c r="M96" s="3179">
        <v>800</v>
      </c>
      <c r="N96" s="7" t="s">
        <v>729</v>
      </c>
      <c r="O96" s="4"/>
      <c r="P96" s="4"/>
    </row>
    <row r="97" spans="1:16" ht="20.399999999999999">
      <c r="A97" s="663"/>
      <c r="B97" s="700" t="s">
        <v>772</v>
      </c>
      <c r="C97" s="700" t="s">
        <v>322</v>
      </c>
      <c r="D97" s="794" t="s">
        <v>1320</v>
      </c>
      <c r="E97" s="794" t="s">
        <v>431</v>
      </c>
      <c r="F97" s="795">
        <v>2239</v>
      </c>
      <c r="G97" s="750" t="s">
        <v>592</v>
      </c>
      <c r="H97" s="701"/>
      <c r="I97" s="701">
        <v>100</v>
      </c>
      <c r="J97" s="1654" t="s">
        <v>1134</v>
      </c>
      <c r="K97" s="792"/>
      <c r="L97" s="701"/>
      <c r="M97" s="3172">
        <v>100</v>
      </c>
      <c r="N97" s="7"/>
      <c r="O97" s="4"/>
      <c r="P97" s="4"/>
    </row>
    <row r="98" spans="1:16">
      <c r="A98" s="663"/>
      <c r="B98" s="700" t="s">
        <v>772</v>
      </c>
      <c r="C98" s="700" t="s">
        <v>322</v>
      </c>
      <c r="D98" s="794" t="s">
        <v>1320</v>
      </c>
      <c r="E98" s="794" t="s">
        <v>431</v>
      </c>
      <c r="F98" s="679">
        <v>2239</v>
      </c>
      <c r="G98" s="665" t="s">
        <v>662</v>
      </c>
      <c r="H98" s="701"/>
      <c r="I98" s="701">
        <v>89</v>
      </c>
      <c r="J98" s="1494" t="s">
        <v>1134</v>
      </c>
      <c r="K98" s="667"/>
      <c r="L98" s="659"/>
      <c r="M98" s="3183">
        <v>89</v>
      </c>
      <c r="N98" s="125"/>
      <c r="O98" s="3"/>
      <c r="P98" s="3"/>
    </row>
    <row r="99" spans="1:16" ht="30.6">
      <c r="A99" s="760"/>
      <c r="B99" s="700" t="s">
        <v>772</v>
      </c>
      <c r="C99" s="700" t="s">
        <v>322</v>
      </c>
      <c r="D99" s="794" t="s">
        <v>1320</v>
      </c>
      <c r="E99" s="794" t="s">
        <v>431</v>
      </c>
      <c r="F99" s="679">
        <v>2239</v>
      </c>
      <c r="G99" s="665" t="s">
        <v>4826</v>
      </c>
      <c r="H99" s="701"/>
      <c r="I99" s="808">
        <v>54693.038399999998</v>
      </c>
      <c r="J99" s="1494">
        <v>47200</v>
      </c>
      <c r="K99" s="661"/>
      <c r="L99" s="659"/>
      <c r="M99" s="3190">
        <v>54148.331899999997</v>
      </c>
      <c r="N99" s="125"/>
      <c r="O99" s="4"/>
      <c r="P99" s="4"/>
    </row>
    <row r="100" spans="1:16" ht="30.6">
      <c r="A100" s="1145"/>
      <c r="B100" s="700" t="s">
        <v>772</v>
      </c>
      <c r="C100" s="700" t="s">
        <v>322</v>
      </c>
      <c r="D100" s="794" t="s">
        <v>1320</v>
      </c>
      <c r="E100" s="794" t="s">
        <v>431</v>
      </c>
      <c r="F100" s="679">
        <v>2239</v>
      </c>
      <c r="G100" s="1129" t="s">
        <v>3078</v>
      </c>
      <c r="H100" s="1165"/>
      <c r="I100" s="1446">
        <v>-2000</v>
      </c>
      <c r="J100" s="1494" t="s">
        <v>1134</v>
      </c>
      <c r="K100" s="646"/>
      <c r="L100" s="1115"/>
      <c r="M100" s="3191"/>
      <c r="N100" s="125"/>
      <c r="O100" s="4"/>
      <c r="P100" s="4"/>
    </row>
    <row r="101" spans="1:16" ht="30.6">
      <c r="A101" s="1145"/>
      <c r="B101" s="700" t="s">
        <v>772</v>
      </c>
      <c r="C101" s="700" t="s">
        <v>322</v>
      </c>
      <c r="D101" s="794" t="s">
        <v>1320</v>
      </c>
      <c r="E101" s="794" t="s">
        <v>431</v>
      </c>
      <c r="F101" s="679">
        <v>2239</v>
      </c>
      <c r="G101" s="1129" t="s">
        <v>3267</v>
      </c>
      <c r="H101" s="1165"/>
      <c r="I101" s="1446">
        <v>-2000</v>
      </c>
      <c r="J101" s="1494" t="s">
        <v>1134</v>
      </c>
      <c r="K101" s="646"/>
      <c r="L101" s="1115"/>
      <c r="M101" s="3191"/>
      <c r="N101" s="125"/>
      <c r="O101" s="4"/>
      <c r="P101" s="4"/>
    </row>
    <row r="102" spans="1:16" ht="20.399999999999999">
      <c r="A102" s="2187"/>
      <c r="B102" s="700" t="s">
        <v>772</v>
      </c>
      <c r="C102" s="700" t="s">
        <v>322</v>
      </c>
      <c r="D102" s="794" t="s">
        <v>1320</v>
      </c>
      <c r="E102" s="794" t="s">
        <v>431</v>
      </c>
      <c r="F102" s="679">
        <v>2239</v>
      </c>
      <c r="G102" s="2177" t="s">
        <v>4827</v>
      </c>
      <c r="H102" s="2169"/>
      <c r="I102" s="2169">
        <v>-8980</v>
      </c>
      <c r="J102" s="2170"/>
      <c r="K102" s="2185"/>
      <c r="L102" s="2171"/>
      <c r="M102" s="3186"/>
      <c r="N102" s="125"/>
      <c r="O102" s="3"/>
      <c r="P102" s="3"/>
    </row>
    <row r="103" spans="1:16">
      <c r="A103" s="760"/>
      <c r="B103" s="700" t="s">
        <v>772</v>
      </c>
      <c r="C103" s="700" t="s">
        <v>322</v>
      </c>
      <c r="D103" s="794" t="s">
        <v>1320</v>
      </c>
      <c r="E103" s="794" t="s">
        <v>431</v>
      </c>
      <c r="F103" s="679">
        <v>2239</v>
      </c>
      <c r="G103" s="665" t="s">
        <v>659</v>
      </c>
      <c r="H103" s="701"/>
      <c r="I103" s="701">
        <v>100</v>
      </c>
      <c r="J103" s="1494">
        <v>80</v>
      </c>
      <c r="K103" s="661"/>
      <c r="L103" s="659"/>
      <c r="M103" s="3183">
        <v>100</v>
      </c>
      <c r="N103" s="125"/>
      <c r="O103" s="3"/>
      <c r="P103" s="3"/>
    </row>
    <row r="104" spans="1:16" ht="20.399999999999999">
      <c r="A104" s="663"/>
      <c r="B104" s="700" t="s">
        <v>772</v>
      </c>
      <c r="C104" s="700" t="s">
        <v>322</v>
      </c>
      <c r="D104" s="794" t="s">
        <v>1320</v>
      </c>
      <c r="E104" s="794" t="s">
        <v>431</v>
      </c>
      <c r="F104" s="679">
        <v>2239</v>
      </c>
      <c r="G104" s="665" t="s">
        <v>1180</v>
      </c>
      <c r="H104" s="701"/>
      <c r="I104" s="701">
        <v>1500</v>
      </c>
      <c r="J104" s="1494" t="s">
        <v>1134</v>
      </c>
      <c r="K104" s="661"/>
      <c r="L104" s="659"/>
      <c r="M104" s="3183">
        <v>2000</v>
      </c>
      <c r="N104" s="125"/>
      <c r="O104" s="3"/>
      <c r="P104" s="3"/>
    </row>
    <row r="105" spans="1:16">
      <c r="A105" s="663"/>
      <c r="B105" s="700" t="s">
        <v>772</v>
      </c>
      <c r="C105" s="700" t="s">
        <v>322</v>
      </c>
      <c r="D105" s="794" t="s">
        <v>1320</v>
      </c>
      <c r="E105" s="794" t="s">
        <v>431</v>
      </c>
      <c r="F105" s="679">
        <v>2239</v>
      </c>
      <c r="G105" s="665" t="s">
        <v>812</v>
      </c>
      <c r="H105" s="701"/>
      <c r="I105" s="701">
        <v>315</v>
      </c>
      <c r="J105" s="1494" t="s">
        <v>1134</v>
      </c>
      <c r="K105" s="661"/>
      <c r="L105" s="659"/>
      <c r="M105" s="3183">
        <v>315</v>
      </c>
      <c r="N105" s="7"/>
      <c r="O105" s="3"/>
      <c r="P105" s="3"/>
    </row>
    <row r="106" spans="1:16" ht="31.2" thickBot="1">
      <c r="A106" s="663"/>
      <c r="B106" s="700" t="s">
        <v>772</v>
      </c>
      <c r="C106" s="700" t="s">
        <v>322</v>
      </c>
      <c r="D106" s="794" t="s">
        <v>1320</v>
      </c>
      <c r="E106" s="794" t="s">
        <v>431</v>
      </c>
      <c r="F106" s="679">
        <v>2239</v>
      </c>
      <c r="G106" s="2610" t="s">
        <v>1028</v>
      </c>
      <c r="H106" s="2382"/>
      <c r="I106" s="2382">
        <v>5000</v>
      </c>
      <c r="J106" s="2474">
        <v>5000</v>
      </c>
      <c r="K106" s="2379"/>
      <c r="L106" s="2380"/>
      <c r="M106" s="3192">
        <v>5000</v>
      </c>
      <c r="N106" s="1223" t="s">
        <v>1153</v>
      </c>
      <c r="O106" s="4"/>
      <c r="P106" s="4"/>
    </row>
    <row r="107" spans="1:16" ht="30.6">
      <c r="A107" s="663"/>
      <c r="B107" s="700" t="s">
        <v>772</v>
      </c>
      <c r="C107" s="700" t="s">
        <v>320</v>
      </c>
      <c r="D107" s="794" t="s">
        <v>1320</v>
      </c>
      <c r="E107" s="794" t="s">
        <v>431</v>
      </c>
      <c r="F107" s="2617">
        <v>2239</v>
      </c>
      <c r="G107" s="2618" t="s">
        <v>2578</v>
      </c>
      <c r="H107" s="2614"/>
      <c r="I107" s="2614">
        <v>4000</v>
      </c>
      <c r="J107" s="2619">
        <v>612.5</v>
      </c>
      <c r="K107" s="2620"/>
      <c r="L107" s="2614"/>
      <c r="M107" s="3193">
        <v>4000</v>
      </c>
      <c r="N107" s="7" t="s">
        <v>729</v>
      </c>
      <c r="O107" s="4"/>
      <c r="P107" s="4"/>
    </row>
    <row r="108" spans="1:16" ht="20.399999999999999">
      <c r="A108" s="663"/>
      <c r="B108" s="700" t="s">
        <v>772</v>
      </c>
      <c r="C108" s="700" t="s">
        <v>320</v>
      </c>
      <c r="D108" s="794" t="s">
        <v>1320</v>
      </c>
      <c r="E108" s="794" t="s">
        <v>431</v>
      </c>
      <c r="F108" s="2617">
        <v>2239</v>
      </c>
      <c r="G108" s="2623" t="s">
        <v>2577</v>
      </c>
      <c r="H108" s="2615"/>
      <c r="I108" s="2615">
        <v>4500</v>
      </c>
      <c r="J108" s="2621">
        <v>2000</v>
      </c>
      <c r="K108" s="2622"/>
      <c r="L108" s="2615"/>
      <c r="M108" s="3194">
        <v>4500</v>
      </c>
      <c r="N108" s="7" t="s">
        <v>729</v>
      </c>
      <c r="O108" s="4"/>
      <c r="P108" s="4"/>
    </row>
    <row r="109" spans="1:16" ht="20.399999999999999">
      <c r="A109" s="760"/>
      <c r="B109" s="700" t="s">
        <v>772</v>
      </c>
      <c r="C109" s="700" t="s">
        <v>320</v>
      </c>
      <c r="D109" s="794" t="s">
        <v>1320</v>
      </c>
      <c r="E109" s="794" t="s">
        <v>431</v>
      </c>
      <c r="F109" s="2617">
        <v>2239</v>
      </c>
      <c r="G109" s="2649" t="s">
        <v>3478</v>
      </c>
      <c r="H109" s="2650"/>
      <c r="I109" s="2650">
        <v>2000</v>
      </c>
      <c r="J109" s="2391">
        <v>1917</v>
      </c>
      <c r="K109" s="2651"/>
      <c r="L109" s="2650"/>
      <c r="M109" s="3195">
        <v>3000</v>
      </c>
      <c r="N109" s="125"/>
      <c r="O109" s="7"/>
      <c r="P109" s="7"/>
    </row>
    <row r="110" spans="1:16" ht="20.399999999999999">
      <c r="A110" s="1145"/>
      <c r="B110" s="700" t="s">
        <v>772</v>
      </c>
      <c r="C110" s="700" t="s">
        <v>320</v>
      </c>
      <c r="D110" s="794" t="s">
        <v>1320</v>
      </c>
      <c r="E110" s="794" t="s">
        <v>431</v>
      </c>
      <c r="F110" s="2617">
        <v>2239</v>
      </c>
      <c r="G110" s="2623" t="s">
        <v>3186</v>
      </c>
      <c r="H110" s="2615"/>
      <c r="I110" s="2615">
        <v>-385</v>
      </c>
      <c r="J110" s="2621" t="s">
        <v>1134</v>
      </c>
      <c r="K110" s="2622"/>
      <c r="L110" s="2615"/>
      <c r="M110" s="3194">
        <v>-385</v>
      </c>
      <c r="N110" s="7"/>
      <c r="O110" s="7"/>
      <c r="P110" s="7"/>
    </row>
    <row r="111" spans="1:16" ht="20.399999999999999">
      <c r="A111" s="1145"/>
      <c r="B111" s="700" t="s">
        <v>772</v>
      </c>
      <c r="C111" s="700" t="s">
        <v>320</v>
      </c>
      <c r="D111" s="794" t="s">
        <v>1320</v>
      </c>
      <c r="E111" s="794" t="s">
        <v>431</v>
      </c>
      <c r="F111" s="2617">
        <v>2239</v>
      </c>
      <c r="G111" s="2623" t="s">
        <v>3187</v>
      </c>
      <c r="H111" s="2615"/>
      <c r="I111" s="2615">
        <v>-170</v>
      </c>
      <c r="J111" s="2621" t="s">
        <v>1134</v>
      </c>
      <c r="K111" s="2622"/>
      <c r="L111" s="2615"/>
      <c r="M111" s="3194">
        <v>-170</v>
      </c>
      <c r="N111" s="177" t="s">
        <v>3664</v>
      </c>
      <c r="O111" s="3"/>
      <c r="P111" s="3"/>
    </row>
    <row r="112" spans="1:16" ht="21" thickBot="1">
      <c r="A112" s="1556"/>
      <c r="B112" s="700" t="s">
        <v>772</v>
      </c>
      <c r="C112" s="700" t="s">
        <v>320</v>
      </c>
      <c r="D112" s="794" t="s">
        <v>1320</v>
      </c>
      <c r="E112" s="794" t="s">
        <v>431</v>
      </c>
      <c r="F112" s="2617">
        <v>2239</v>
      </c>
      <c r="G112" s="2624" t="s">
        <v>3364</v>
      </c>
      <c r="H112" s="2616"/>
      <c r="I112" s="2616">
        <v>-200</v>
      </c>
      <c r="J112" s="2625" t="s">
        <v>1134</v>
      </c>
      <c r="K112" s="2626"/>
      <c r="L112" s="2616"/>
      <c r="M112" s="3196">
        <v>-200</v>
      </c>
      <c r="N112" s="125"/>
      <c r="O112" s="3"/>
      <c r="P112" s="3"/>
    </row>
    <row r="113" spans="1:16" ht="20.399999999999999">
      <c r="A113" s="1407"/>
      <c r="B113" s="700" t="s">
        <v>772</v>
      </c>
      <c r="C113" s="1407" t="s">
        <v>320</v>
      </c>
      <c r="D113" s="1679" t="s">
        <v>1320</v>
      </c>
      <c r="E113" s="1679" t="s">
        <v>431</v>
      </c>
      <c r="F113" s="1413">
        <v>2239</v>
      </c>
      <c r="G113" s="2611" t="s">
        <v>1437</v>
      </c>
      <c r="H113" s="2612"/>
      <c r="I113" s="2612">
        <v>250</v>
      </c>
      <c r="J113" s="2391">
        <v>76</v>
      </c>
      <c r="K113" s="2613"/>
      <c r="L113" s="2612"/>
      <c r="M113" s="3197">
        <v>250</v>
      </c>
      <c r="N113" s="125"/>
      <c r="O113" s="3"/>
      <c r="P113" s="3"/>
    </row>
    <row r="114" spans="1:16" ht="20.399999999999999">
      <c r="A114" s="663"/>
      <c r="B114" s="700" t="s">
        <v>772</v>
      </c>
      <c r="C114" s="700" t="s">
        <v>320</v>
      </c>
      <c r="D114" s="794" t="s">
        <v>1320</v>
      </c>
      <c r="E114" s="794" t="s">
        <v>431</v>
      </c>
      <c r="F114" s="679">
        <v>2239</v>
      </c>
      <c r="G114" s="665" t="s">
        <v>3462</v>
      </c>
      <c r="H114" s="701"/>
      <c r="I114" s="701">
        <v>1500</v>
      </c>
      <c r="J114" s="1654">
        <v>690</v>
      </c>
      <c r="K114" s="661"/>
      <c r="L114" s="659"/>
      <c r="M114" s="3183">
        <v>1500</v>
      </c>
      <c r="N114" s="125"/>
      <c r="O114" s="3"/>
      <c r="P114" s="3"/>
    </row>
    <row r="115" spans="1:16" ht="20.399999999999999">
      <c r="A115" s="663"/>
      <c r="B115" s="700" t="s">
        <v>772</v>
      </c>
      <c r="C115" s="700" t="s">
        <v>320</v>
      </c>
      <c r="D115" s="794" t="s">
        <v>1320</v>
      </c>
      <c r="E115" s="794" t="s">
        <v>431</v>
      </c>
      <c r="F115" s="679">
        <v>2239</v>
      </c>
      <c r="G115" s="665" t="s">
        <v>3463</v>
      </c>
      <c r="H115" s="701"/>
      <c r="I115" s="701">
        <v>100</v>
      </c>
      <c r="J115" s="1654">
        <v>54</v>
      </c>
      <c r="K115" s="661"/>
      <c r="L115" s="659"/>
      <c r="M115" s="3183">
        <v>85</v>
      </c>
      <c r="N115" s="125"/>
      <c r="O115" s="3"/>
      <c r="P115" s="3"/>
    </row>
    <row r="116" spans="1:16">
      <c r="A116" s="663"/>
      <c r="B116" s="700" t="s">
        <v>772</v>
      </c>
      <c r="C116" s="700" t="s">
        <v>320</v>
      </c>
      <c r="D116" s="794" t="s">
        <v>1320</v>
      </c>
      <c r="E116" s="794" t="s">
        <v>431</v>
      </c>
      <c r="F116" s="795">
        <v>2239</v>
      </c>
      <c r="G116" s="750" t="s">
        <v>725</v>
      </c>
      <c r="H116" s="701"/>
      <c r="I116" s="701">
        <v>1000</v>
      </c>
      <c r="J116" s="1654">
        <v>287.29999999999995</v>
      </c>
      <c r="K116" s="792"/>
      <c r="L116" s="701"/>
      <c r="M116" s="3172">
        <v>400</v>
      </c>
      <c r="N116" s="125"/>
      <c r="O116" s="3"/>
      <c r="P116" s="3"/>
    </row>
    <row r="117" spans="1:16">
      <c r="A117" s="663"/>
      <c r="B117" s="700" t="s">
        <v>772</v>
      </c>
      <c r="C117" s="700" t="s">
        <v>320</v>
      </c>
      <c r="D117" s="794" t="s">
        <v>1320</v>
      </c>
      <c r="E117" s="794" t="s">
        <v>431</v>
      </c>
      <c r="F117" s="795">
        <v>2239</v>
      </c>
      <c r="G117" s="750" t="s">
        <v>473</v>
      </c>
      <c r="H117" s="806"/>
      <c r="I117" s="806">
        <v>500</v>
      </c>
      <c r="J117" s="1654" t="s">
        <v>1134</v>
      </c>
      <c r="K117" s="792"/>
      <c r="L117" s="806"/>
      <c r="M117" s="2244">
        <v>100</v>
      </c>
      <c r="N117" s="125"/>
      <c r="O117" s="3"/>
      <c r="P117" s="3"/>
    </row>
    <row r="118" spans="1:16">
      <c r="A118" s="683"/>
      <c r="B118" s="720" t="s">
        <v>772</v>
      </c>
      <c r="C118" s="683" t="s">
        <v>320</v>
      </c>
      <c r="D118" s="719" t="s">
        <v>1320</v>
      </c>
      <c r="E118" s="1678" t="s">
        <v>431</v>
      </c>
      <c r="F118" s="826">
        <v>2242</v>
      </c>
      <c r="G118" s="805" t="s">
        <v>732</v>
      </c>
      <c r="H118" s="706">
        <v>4820</v>
      </c>
      <c r="I118" s="801"/>
      <c r="J118" s="1494">
        <v>1883</v>
      </c>
      <c r="K118" s="802"/>
      <c r="L118" s="1661">
        <v>4820</v>
      </c>
      <c r="M118" s="3198"/>
      <c r="N118" s="305"/>
      <c r="O118" s="3"/>
      <c r="P118" s="3"/>
    </row>
    <row r="119" spans="1:16">
      <c r="A119" s="760"/>
      <c r="B119" s="700" t="s">
        <v>772</v>
      </c>
      <c r="C119" s="663" t="s">
        <v>320</v>
      </c>
      <c r="D119" s="678" t="s">
        <v>1320</v>
      </c>
      <c r="E119" s="1679" t="s">
        <v>431</v>
      </c>
      <c r="F119" s="795">
        <v>2242</v>
      </c>
      <c r="G119" s="750" t="s">
        <v>3662</v>
      </c>
      <c r="H119" s="701"/>
      <c r="I119" s="701">
        <v>500</v>
      </c>
      <c r="J119" s="1494" t="s">
        <v>1134</v>
      </c>
      <c r="K119" s="792"/>
      <c r="L119" s="659"/>
      <c r="M119" s="3175">
        <v>500</v>
      </c>
      <c r="N119" s="305"/>
      <c r="O119" s="3"/>
      <c r="P119" s="3"/>
    </row>
    <row r="120" spans="1:16">
      <c r="A120" s="760"/>
      <c r="B120" s="700" t="s">
        <v>772</v>
      </c>
      <c r="C120" s="663" t="s">
        <v>320</v>
      </c>
      <c r="D120" s="678" t="s">
        <v>1320</v>
      </c>
      <c r="E120" s="1679" t="s">
        <v>431</v>
      </c>
      <c r="F120" s="795">
        <v>2242</v>
      </c>
      <c r="G120" s="750" t="s">
        <v>1617</v>
      </c>
      <c r="H120" s="701"/>
      <c r="I120" s="701">
        <v>400</v>
      </c>
      <c r="J120" s="1494" t="s">
        <v>1134</v>
      </c>
      <c r="K120" s="792"/>
      <c r="L120" s="659"/>
      <c r="M120" s="3175">
        <v>400</v>
      </c>
      <c r="N120" s="305"/>
      <c r="O120" s="4"/>
      <c r="P120" s="4"/>
    </row>
    <row r="121" spans="1:16">
      <c r="A121" s="760"/>
      <c r="B121" s="700" t="s">
        <v>772</v>
      </c>
      <c r="C121" s="663" t="s">
        <v>320</v>
      </c>
      <c r="D121" s="678" t="s">
        <v>1320</v>
      </c>
      <c r="E121" s="1679" t="s">
        <v>431</v>
      </c>
      <c r="F121" s="795">
        <v>2242</v>
      </c>
      <c r="G121" s="750" t="s">
        <v>3663</v>
      </c>
      <c r="H121" s="701"/>
      <c r="I121" s="701">
        <v>2500</v>
      </c>
      <c r="J121" s="1494" t="s">
        <v>1134</v>
      </c>
      <c r="K121" s="792"/>
      <c r="L121" s="659"/>
      <c r="M121" s="3183">
        <v>2500</v>
      </c>
      <c r="N121" s="305"/>
      <c r="O121" s="4"/>
      <c r="P121" s="4"/>
    </row>
    <row r="122" spans="1:16">
      <c r="A122" s="760"/>
      <c r="B122" s="700" t="s">
        <v>772</v>
      </c>
      <c r="C122" s="663" t="s">
        <v>320</v>
      </c>
      <c r="D122" s="678" t="s">
        <v>1320</v>
      </c>
      <c r="E122" s="1679" t="s">
        <v>431</v>
      </c>
      <c r="F122" s="795">
        <v>2242</v>
      </c>
      <c r="G122" s="750" t="s">
        <v>1175</v>
      </c>
      <c r="H122" s="701"/>
      <c r="I122" s="701">
        <v>170</v>
      </c>
      <c r="J122" s="1494" t="s">
        <v>1134</v>
      </c>
      <c r="K122" s="792"/>
      <c r="L122" s="659"/>
      <c r="M122" s="3175">
        <v>170</v>
      </c>
      <c r="N122" s="305"/>
      <c r="O122" s="3"/>
      <c r="P122" s="3"/>
    </row>
    <row r="123" spans="1:16">
      <c r="A123" s="760"/>
      <c r="B123" s="700" t="s">
        <v>772</v>
      </c>
      <c r="C123" s="663" t="s">
        <v>320</v>
      </c>
      <c r="D123" s="678" t="s">
        <v>1320</v>
      </c>
      <c r="E123" s="1679" t="s">
        <v>431</v>
      </c>
      <c r="F123" s="795">
        <v>2242</v>
      </c>
      <c r="G123" s="750" t="s">
        <v>1176</v>
      </c>
      <c r="H123" s="701"/>
      <c r="I123" s="701">
        <v>800</v>
      </c>
      <c r="J123" s="1494" t="s">
        <v>1134</v>
      </c>
      <c r="K123" s="792"/>
      <c r="L123" s="659"/>
      <c r="M123" s="3175">
        <v>800</v>
      </c>
      <c r="N123" s="305"/>
      <c r="O123" s="3"/>
      <c r="P123" s="3"/>
    </row>
    <row r="124" spans="1:16" ht="20.399999999999999">
      <c r="A124" s="603"/>
      <c r="B124" s="700" t="s">
        <v>772</v>
      </c>
      <c r="C124" s="663" t="s">
        <v>320</v>
      </c>
      <c r="D124" s="678" t="s">
        <v>1320</v>
      </c>
      <c r="E124" s="1679" t="s">
        <v>431</v>
      </c>
      <c r="F124" s="795">
        <v>2242</v>
      </c>
      <c r="G124" s="1153" t="s">
        <v>3661</v>
      </c>
      <c r="H124" s="1165"/>
      <c r="I124" s="1165">
        <v>450</v>
      </c>
      <c r="J124" s="1494"/>
      <c r="K124" s="1439"/>
      <c r="L124" s="1115"/>
      <c r="M124" s="3199">
        <v>450</v>
      </c>
      <c r="N124" s="1486"/>
      <c r="O124" s="3"/>
      <c r="P124" s="3"/>
    </row>
    <row r="125" spans="1:16" ht="20.399999999999999">
      <c r="A125" s="683"/>
      <c r="B125" s="720" t="s">
        <v>772</v>
      </c>
      <c r="C125" s="683" t="s">
        <v>320</v>
      </c>
      <c r="D125" s="719" t="s">
        <v>1320</v>
      </c>
      <c r="E125" s="823" t="s">
        <v>431</v>
      </c>
      <c r="F125" s="824">
        <v>2243</v>
      </c>
      <c r="G125" s="800" t="s">
        <v>123</v>
      </c>
      <c r="H125" s="706">
        <v>450</v>
      </c>
      <c r="I125" s="801"/>
      <c r="J125" s="1654">
        <v>65</v>
      </c>
      <c r="K125" s="802"/>
      <c r="L125" s="706">
        <v>450</v>
      </c>
      <c r="M125" s="3178"/>
      <c r="N125" s="125"/>
      <c r="O125" s="3"/>
      <c r="P125" s="3"/>
    </row>
    <row r="126" spans="1:16" ht="30.6">
      <c r="A126" s="760"/>
      <c r="B126" s="700" t="s">
        <v>772</v>
      </c>
      <c r="C126" s="663" t="s">
        <v>320</v>
      </c>
      <c r="D126" s="678" t="s">
        <v>1320</v>
      </c>
      <c r="E126" s="794" t="s">
        <v>431</v>
      </c>
      <c r="F126" s="795">
        <v>2243</v>
      </c>
      <c r="G126" s="750" t="s">
        <v>478</v>
      </c>
      <c r="H126" s="701"/>
      <c r="I126" s="701">
        <v>150</v>
      </c>
      <c r="J126" s="1654" t="s">
        <v>1134</v>
      </c>
      <c r="K126" s="792"/>
      <c r="L126" s="701"/>
      <c r="M126" s="3172">
        <v>150</v>
      </c>
      <c r="N126" s="125"/>
      <c r="O126" s="3"/>
      <c r="P126" s="3"/>
    </row>
    <row r="127" spans="1:16">
      <c r="A127" s="760"/>
      <c r="B127" s="700" t="s">
        <v>772</v>
      </c>
      <c r="C127" s="663" t="s">
        <v>320</v>
      </c>
      <c r="D127" s="678" t="s">
        <v>1320</v>
      </c>
      <c r="E127" s="794" t="s">
        <v>431</v>
      </c>
      <c r="F127" s="795">
        <v>2243</v>
      </c>
      <c r="G127" s="750" t="s">
        <v>577</v>
      </c>
      <c r="H127" s="701"/>
      <c r="I127" s="701">
        <v>150</v>
      </c>
      <c r="J127" s="1654" t="s">
        <v>1134</v>
      </c>
      <c r="K127" s="792"/>
      <c r="L127" s="701"/>
      <c r="M127" s="3172">
        <v>150</v>
      </c>
      <c r="N127" s="125"/>
      <c r="O127" s="3"/>
      <c r="P127" s="3"/>
    </row>
    <row r="128" spans="1:16">
      <c r="A128" s="1407"/>
      <c r="B128" s="700" t="s">
        <v>772</v>
      </c>
      <c r="C128" s="1407" t="s">
        <v>320</v>
      </c>
      <c r="D128" s="1679" t="s">
        <v>1320</v>
      </c>
      <c r="E128" s="794" t="s">
        <v>431</v>
      </c>
      <c r="F128" s="795">
        <v>2243</v>
      </c>
      <c r="G128" s="750" t="s">
        <v>1618</v>
      </c>
      <c r="H128" s="701"/>
      <c r="I128" s="701">
        <v>50</v>
      </c>
      <c r="J128" s="1654" t="s">
        <v>1134</v>
      </c>
      <c r="K128" s="792"/>
      <c r="L128" s="701"/>
      <c r="M128" s="3172">
        <v>50</v>
      </c>
      <c r="N128" s="125"/>
      <c r="O128" s="7"/>
      <c r="P128" s="7"/>
    </row>
    <row r="129" spans="1:16" ht="20.399999999999999">
      <c r="A129" s="1670"/>
      <c r="B129" s="700" t="s">
        <v>772</v>
      </c>
      <c r="C129" s="1407" t="s">
        <v>320</v>
      </c>
      <c r="D129" s="1679" t="s">
        <v>1320</v>
      </c>
      <c r="E129" s="794" t="s">
        <v>431</v>
      </c>
      <c r="F129" s="795">
        <v>2243</v>
      </c>
      <c r="G129" s="1703" t="s">
        <v>3484</v>
      </c>
      <c r="H129" s="1672"/>
      <c r="I129" s="1672"/>
      <c r="J129" s="1739"/>
      <c r="K129" s="1688"/>
      <c r="L129" s="1672"/>
      <c r="M129" s="3200">
        <v>100</v>
      </c>
      <c r="N129" s="125"/>
      <c r="O129" s="7"/>
      <c r="P129" s="7"/>
    </row>
    <row r="130" spans="1:16" ht="20.399999999999999">
      <c r="A130" s="760"/>
      <c r="B130" s="700" t="s">
        <v>772</v>
      </c>
      <c r="C130" s="663" t="s">
        <v>320</v>
      </c>
      <c r="D130" s="678" t="s">
        <v>1320</v>
      </c>
      <c r="E130" s="794" t="s">
        <v>431</v>
      </c>
      <c r="F130" s="795">
        <v>2243</v>
      </c>
      <c r="G130" s="750" t="s">
        <v>2478</v>
      </c>
      <c r="H130" s="701"/>
      <c r="I130" s="701">
        <v>100</v>
      </c>
      <c r="J130" s="1654" t="s">
        <v>1134</v>
      </c>
      <c r="K130" s="792"/>
      <c r="L130" s="701"/>
      <c r="M130" s="3172"/>
      <c r="N130" s="7"/>
      <c r="O130" s="7"/>
      <c r="P130" s="7"/>
    </row>
    <row r="131" spans="1:16">
      <c r="A131" s="683"/>
      <c r="B131" s="720" t="s">
        <v>772</v>
      </c>
      <c r="C131" s="683" t="s">
        <v>320</v>
      </c>
      <c r="D131" s="719" t="s">
        <v>1320</v>
      </c>
      <c r="E131" s="823" t="s">
        <v>431</v>
      </c>
      <c r="F131" s="826">
        <v>2244</v>
      </c>
      <c r="G131" s="805" t="s">
        <v>330</v>
      </c>
      <c r="H131" s="706">
        <v>1000</v>
      </c>
      <c r="I131" s="801"/>
      <c r="J131" s="1494">
        <v>0</v>
      </c>
      <c r="K131" s="802"/>
      <c r="L131" s="689">
        <v>0</v>
      </c>
      <c r="M131" s="3188"/>
      <c r="N131" s="7" t="s">
        <v>728</v>
      </c>
      <c r="O131" s="3"/>
      <c r="P131" s="3"/>
    </row>
    <row r="132" spans="1:16">
      <c r="A132" s="760"/>
      <c r="B132" s="700" t="s">
        <v>772</v>
      </c>
      <c r="C132" s="663" t="s">
        <v>320</v>
      </c>
      <c r="D132" s="678" t="s">
        <v>1320</v>
      </c>
      <c r="E132" s="794" t="s">
        <v>431</v>
      </c>
      <c r="F132" s="795">
        <v>2244</v>
      </c>
      <c r="G132" s="812" t="s">
        <v>1619</v>
      </c>
      <c r="H132" s="701"/>
      <c r="I132" s="701">
        <v>1000</v>
      </c>
      <c r="J132" s="1494" t="s">
        <v>1134</v>
      </c>
      <c r="K132" s="792"/>
      <c r="L132" s="660"/>
      <c r="M132" s="3183">
        <v>0</v>
      </c>
      <c r="N132" s="7" t="s">
        <v>726</v>
      </c>
      <c r="O132" s="3"/>
      <c r="P132" s="3"/>
    </row>
    <row r="133" spans="1:16">
      <c r="A133" s="683"/>
      <c r="B133" s="720" t="s">
        <v>772</v>
      </c>
      <c r="C133" s="683" t="s">
        <v>320</v>
      </c>
      <c r="D133" s="719" t="s">
        <v>1320</v>
      </c>
      <c r="E133" s="1678" t="s">
        <v>431</v>
      </c>
      <c r="F133" s="694">
        <v>2247</v>
      </c>
      <c r="G133" s="804" t="s">
        <v>161</v>
      </c>
      <c r="H133" s="706">
        <v>6800</v>
      </c>
      <c r="I133" s="801"/>
      <c r="J133" s="1494">
        <v>5127</v>
      </c>
      <c r="K133" s="727"/>
      <c r="L133" s="1661">
        <v>9000</v>
      </c>
      <c r="M133" s="3187"/>
      <c r="N133" s="7"/>
      <c r="O133" s="4"/>
    </row>
    <row r="134" spans="1:16">
      <c r="A134" s="760"/>
      <c r="B134" s="700" t="s">
        <v>772</v>
      </c>
      <c r="C134" s="663" t="s">
        <v>320</v>
      </c>
      <c r="D134" s="678" t="s">
        <v>1320</v>
      </c>
      <c r="E134" s="1679" t="s">
        <v>431</v>
      </c>
      <c r="F134" s="679">
        <v>2247</v>
      </c>
      <c r="G134" s="665" t="s">
        <v>1162</v>
      </c>
      <c r="H134" s="701"/>
      <c r="I134" s="701">
        <v>6800</v>
      </c>
      <c r="J134" s="1494" t="s">
        <v>1134</v>
      </c>
      <c r="K134" s="661"/>
      <c r="L134" s="1662"/>
      <c r="M134" s="3175">
        <v>9000</v>
      </c>
      <c r="N134" s="1223"/>
      <c r="O134" s="4"/>
      <c r="P134" s="4"/>
    </row>
    <row r="135" spans="1:16">
      <c r="A135" s="683"/>
      <c r="B135" s="720" t="s">
        <v>772</v>
      </c>
      <c r="C135" s="683" t="s">
        <v>320</v>
      </c>
      <c r="D135" s="719" t="s">
        <v>1320</v>
      </c>
      <c r="E135" s="823" t="s">
        <v>431</v>
      </c>
      <c r="F135" s="694">
        <v>2249</v>
      </c>
      <c r="G135" s="804" t="s">
        <v>282</v>
      </c>
      <c r="H135" s="706">
        <v>100</v>
      </c>
      <c r="I135" s="801"/>
      <c r="J135" s="1494"/>
      <c r="K135" s="727"/>
      <c r="L135" s="689">
        <v>50</v>
      </c>
      <c r="M135" s="3188"/>
      <c r="N135" s="1223" t="s">
        <v>4762</v>
      </c>
      <c r="O135" s="7"/>
      <c r="P135" s="7"/>
    </row>
    <row r="136" spans="1:16">
      <c r="A136" s="760"/>
      <c r="B136" s="700" t="s">
        <v>772</v>
      </c>
      <c r="C136" s="663" t="s">
        <v>320</v>
      </c>
      <c r="D136" s="678" t="s">
        <v>1320</v>
      </c>
      <c r="E136" s="794" t="s">
        <v>431</v>
      </c>
      <c r="F136" s="679">
        <v>2249</v>
      </c>
      <c r="G136" s="665" t="s">
        <v>433</v>
      </c>
      <c r="H136" s="701"/>
      <c r="I136" s="701">
        <v>100</v>
      </c>
      <c r="J136" s="1494" t="s">
        <v>1134</v>
      </c>
      <c r="K136" s="661"/>
      <c r="L136" s="660"/>
      <c r="M136" s="3183">
        <v>50</v>
      </c>
      <c r="N136" s="1223"/>
      <c r="O136" s="4"/>
      <c r="P136" s="4"/>
    </row>
    <row r="137" spans="1:16">
      <c r="A137" s="683"/>
      <c r="B137" s="720" t="s">
        <v>772</v>
      </c>
      <c r="C137" s="683" t="s">
        <v>322</v>
      </c>
      <c r="D137" s="719" t="s">
        <v>1320</v>
      </c>
      <c r="E137" s="823" t="s">
        <v>431</v>
      </c>
      <c r="F137" s="694">
        <v>2250</v>
      </c>
      <c r="G137" s="686" t="s">
        <v>778</v>
      </c>
      <c r="H137" s="706">
        <v>33975</v>
      </c>
      <c r="I137" s="801"/>
      <c r="J137" s="1494"/>
      <c r="K137" s="727"/>
      <c r="L137" s="689">
        <v>41846.6</v>
      </c>
      <c r="M137" s="3188"/>
      <c r="N137" s="305"/>
      <c r="O137" s="3"/>
      <c r="P137" s="3"/>
    </row>
    <row r="138" spans="1:16">
      <c r="A138" s="663"/>
      <c r="B138" s="700" t="s">
        <v>772</v>
      </c>
      <c r="C138" s="663" t="s">
        <v>322</v>
      </c>
      <c r="D138" s="678" t="s">
        <v>1320</v>
      </c>
      <c r="E138" s="794" t="s">
        <v>431</v>
      </c>
      <c r="F138" s="679">
        <v>2250</v>
      </c>
      <c r="G138" s="665" t="s">
        <v>810</v>
      </c>
      <c r="H138" s="701"/>
      <c r="I138" s="701">
        <v>1260</v>
      </c>
      <c r="J138" s="1494">
        <v>800</v>
      </c>
      <c r="K138" s="661"/>
      <c r="L138" s="660"/>
      <c r="M138" s="3183">
        <v>1260</v>
      </c>
      <c r="N138" s="305"/>
      <c r="O138" s="4"/>
      <c r="P138" s="4"/>
    </row>
    <row r="139" spans="1:16" ht="40.799999999999997">
      <c r="A139" s="663"/>
      <c r="B139" s="700" t="s">
        <v>772</v>
      </c>
      <c r="C139" s="663" t="s">
        <v>322</v>
      </c>
      <c r="D139" s="678" t="s">
        <v>1320</v>
      </c>
      <c r="E139" s="794" t="s">
        <v>431</v>
      </c>
      <c r="F139" s="679">
        <v>2250</v>
      </c>
      <c r="G139" s="750" t="s">
        <v>4682</v>
      </c>
      <c r="H139" s="701"/>
      <c r="I139" s="701">
        <v>19965</v>
      </c>
      <c r="J139" s="1654">
        <v>9290</v>
      </c>
      <c r="K139" s="792"/>
      <c r="L139" s="701"/>
      <c r="M139" s="3180">
        <v>19965</v>
      </c>
      <c r="N139" s="305"/>
      <c r="O139" s="3"/>
      <c r="P139" s="3"/>
    </row>
    <row r="140" spans="1:16">
      <c r="A140" s="1495"/>
      <c r="B140" s="700" t="s">
        <v>772</v>
      </c>
      <c r="C140" s="663" t="s">
        <v>322</v>
      </c>
      <c r="D140" s="678" t="s">
        <v>1320</v>
      </c>
      <c r="E140" s="794" t="s">
        <v>431</v>
      </c>
      <c r="F140" s="679">
        <v>2250</v>
      </c>
      <c r="G140" s="1548" t="s">
        <v>2477</v>
      </c>
      <c r="H140" s="1557"/>
      <c r="I140" s="1557"/>
      <c r="J140" s="1550">
        <v>103</v>
      </c>
      <c r="K140" s="1558"/>
      <c r="L140" s="1549"/>
      <c r="M140" s="3201">
        <v>123.6</v>
      </c>
      <c r="N140" s="305" t="s">
        <v>3309</v>
      </c>
      <c r="O140" s="3"/>
      <c r="P140" s="3"/>
    </row>
    <row r="141" spans="1:16">
      <c r="A141" s="1669"/>
      <c r="B141" s="700" t="s">
        <v>772</v>
      </c>
      <c r="C141" s="663" t="s">
        <v>322</v>
      </c>
      <c r="D141" s="678" t="s">
        <v>1320</v>
      </c>
      <c r="E141" s="794" t="s">
        <v>431</v>
      </c>
      <c r="F141" s="679">
        <v>2250</v>
      </c>
      <c r="G141" s="1671" t="s">
        <v>3476</v>
      </c>
      <c r="H141" s="1672"/>
      <c r="I141" s="1672"/>
      <c r="J141" s="1673"/>
      <c r="K141" s="1674"/>
      <c r="L141" s="1676"/>
      <c r="M141" s="2676">
        <v>2069</v>
      </c>
      <c r="N141" s="305" t="s">
        <v>4803</v>
      </c>
      <c r="O141" s="7"/>
      <c r="P141" s="7"/>
    </row>
    <row r="142" spans="1:16">
      <c r="A142" s="2679"/>
      <c r="B142" s="2797" t="s">
        <v>772</v>
      </c>
      <c r="C142" s="2679" t="s">
        <v>322</v>
      </c>
      <c r="D142" s="2882" t="s">
        <v>1320</v>
      </c>
      <c r="E142" s="2883" t="s">
        <v>431</v>
      </c>
      <c r="F142" s="2809">
        <v>2250</v>
      </c>
      <c r="G142" s="2694" t="s">
        <v>1438</v>
      </c>
      <c r="H142" s="2615"/>
      <c r="I142" s="2615">
        <v>7510</v>
      </c>
      <c r="J142" s="2607" t="s">
        <v>1134</v>
      </c>
      <c r="K142" s="2608"/>
      <c r="L142" s="2606"/>
      <c r="M142" s="3184">
        <v>7510</v>
      </c>
      <c r="N142" s="305"/>
      <c r="O142" s="7"/>
      <c r="P142" s="7"/>
    </row>
    <row r="143" spans="1:16">
      <c r="A143" s="2679"/>
      <c r="B143" s="2797" t="s">
        <v>772</v>
      </c>
      <c r="C143" s="2679" t="s">
        <v>322</v>
      </c>
      <c r="D143" s="2882" t="s">
        <v>1320</v>
      </c>
      <c r="E143" s="2883" t="s">
        <v>431</v>
      </c>
      <c r="F143" s="2809">
        <v>2250</v>
      </c>
      <c r="G143" s="2694" t="s">
        <v>1439</v>
      </c>
      <c r="H143" s="2615"/>
      <c r="I143" s="2615">
        <v>5090</v>
      </c>
      <c r="J143" s="2607" t="s">
        <v>1134</v>
      </c>
      <c r="K143" s="2608"/>
      <c r="L143" s="2606"/>
      <c r="M143" s="3214">
        <v>6413</v>
      </c>
      <c r="N143" s="125"/>
      <c r="O143" s="7"/>
      <c r="P143" s="7"/>
    </row>
    <row r="144" spans="1:16" ht="20.399999999999999">
      <c r="A144" s="2679"/>
      <c r="B144" s="2797" t="s">
        <v>772</v>
      </c>
      <c r="C144" s="2679" t="s">
        <v>322</v>
      </c>
      <c r="D144" s="2882" t="s">
        <v>1320</v>
      </c>
      <c r="E144" s="2883" t="s">
        <v>431</v>
      </c>
      <c r="F144" s="2809">
        <v>2250</v>
      </c>
      <c r="G144" s="2694" t="s">
        <v>1440</v>
      </c>
      <c r="H144" s="2615"/>
      <c r="I144" s="2615">
        <v>150</v>
      </c>
      <c r="J144" s="2607" t="s">
        <v>1134</v>
      </c>
      <c r="K144" s="2608"/>
      <c r="L144" s="2606"/>
      <c r="M144" s="3184">
        <v>150</v>
      </c>
      <c r="N144" s="125" t="s">
        <v>1158</v>
      </c>
      <c r="O144" s="3"/>
      <c r="P144" s="3"/>
    </row>
    <row r="145" spans="1:16" ht="20.399999999999999">
      <c r="A145" s="2679"/>
      <c r="B145" s="2797" t="s">
        <v>772</v>
      </c>
      <c r="C145" s="2679" t="s">
        <v>322</v>
      </c>
      <c r="D145" s="2882" t="s">
        <v>1320</v>
      </c>
      <c r="E145" s="2883" t="s">
        <v>431</v>
      </c>
      <c r="F145" s="2809">
        <v>2250</v>
      </c>
      <c r="G145" s="2694" t="s">
        <v>5242</v>
      </c>
      <c r="H145" s="2615"/>
      <c r="I145" s="2615"/>
      <c r="J145" s="2607"/>
      <c r="K145" s="2608"/>
      <c r="L145" s="2606"/>
      <c r="M145" s="3214">
        <v>4356</v>
      </c>
      <c r="N145" s="125"/>
      <c r="O145" s="7"/>
      <c r="P145" s="7"/>
    </row>
    <row r="146" spans="1:16" ht="20.399999999999999">
      <c r="A146" s="1406"/>
      <c r="B146" s="3129" t="s">
        <v>773</v>
      </c>
      <c r="C146" s="1406" t="s">
        <v>322</v>
      </c>
      <c r="D146" s="1678" t="s">
        <v>1320</v>
      </c>
      <c r="E146" s="1678" t="s">
        <v>431</v>
      </c>
      <c r="F146" s="1690">
        <v>2250</v>
      </c>
      <c r="G146" s="1691" t="s">
        <v>778</v>
      </c>
      <c r="H146" s="1692">
        <v>16396</v>
      </c>
      <c r="I146" s="1693"/>
      <c r="J146" s="1684"/>
      <c r="K146" s="1694"/>
      <c r="L146" s="1692">
        <v>9257</v>
      </c>
      <c r="M146" s="1693"/>
      <c r="N146" s="359" t="s">
        <v>4691</v>
      </c>
      <c r="O146" s="7"/>
      <c r="P146" s="7"/>
    </row>
    <row r="147" spans="1:16" ht="20.399999999999999">
      <c r="A147" s="1407"/>
      <c r="B147" s="3130" t="s">
        <v>773</v>
      </c>
      <c r="C147" s="1407" t="s">
        <v>322</v>
      </c>
      <c r="D147" s="1679" t="s">
        <v>1320</v>
      </c>
      <c r="E147" s="1679" t="s">
        <v>431</v>
      </c>
      <c r="F147" s="1413">
        <v>2250</v>
      </c>
      <c r="G147" s="818" t="s">
        <v>2479</v>
      </c>
      <c r="H147" s="1683"/>
      <c r="I147" s="1683">
        <v>9257</v>
      </c>
      <c r="J147" s="1684" t="s">
        <v>1134</v>
      </c>
      <c r="K147" s="1685"/>
      <c r="L147" s="1683"/>
      <c r="M147" s="1683">
        <v>9257</v>
      </c>
      <c r="N147" s="305"/>
      <c r="O147" s="7"/>
      <c r="P147" s="7"/>
    </row>
    <row r="148" spans="1:16" ht="61.2">
      <c r="A148" s="1414"/>
      <c r="B148" s="3130" t="s">
        <v>773</v>
      </c>
      <c r="C148" s="1407" t="s">
        <v>322</v>
      </c>
      <c r="D148" s="1679" t="s">
        <v>1320</v>
      </c>
      <c r="E148" s="1679" t="s">
        <v>431</v>
      </c>
      <c r="F148" s="1413">
        <v>2250</v>
      </c>
      <c r="G148" s="1695" t="s">
        <v>2480</v>
      </c>
      <c r="H148" s="1696"/>
      <c r="I148" s="1696">
        <v>7139</v>
      </c>
      <c r="J148" s="1684" t="s">
        <v>1134</v>
      </c>
      <c r="K148" s="1697"/>
      <c r="L148" s="1696"/>
      <c r="M148" s="1696"/>
      <c r="N148" s="305" t="s">
        <v>4761</v>
      </c>
      <c r="O148" s="7"/>
      <c r="P148" s="7"/>
    </row>
    <row r="149" spans="1:16">
      <c r="A149" s="683"/>
      <c r="B149" s="720" t="s">
        <v>772</v>
      </c>
      <c r="C149" s="683" t="s">
        <v>320</v>
      </c>
      <c r="D149" s="719" t="s">
        <v>1320</v>
      </c>
      <c r="E149" s="823" t="s">
        <v>431</v>
      </c>
      <c r="F149" s="826">
        <v>2263</v>
      </c>
      <c r="G149" s="805" t="s">
        <v>239</v>
      </c>
      <c r="H149" s="706">
        <v>1600</v>
      </c>
      <c r="I149" s="801"/>
      <c r="J149" s="1654">
        <v>473</v>
      </c>
      <c r="K149" s="802"/>
      <c r="L149" s="706">
        <v>1600</v>
      </c>
      <c r="M149" s="3178"/>
      <c r="N149" s="305"/>
      <c r="O149" s="7"/>
      <c r="P149" s="7"/>
    </row>
    <row r="150" spans="1:16" ht="81.599999999999994">
      <c r="A150" s="760"/>
      <c r="B150" s="700" t="s">
        <v>772</v>
      </c>
      <c r="C150" s="663" t="s">
        <v>320</v>
      </c>
      <c r="D150" s="678" t="s">
        <v>1320</v>
      </c>
      <c r="E150" s="794" t="s">
        <v>431</v>
      </c>
      <c r="F150" s="795">
        <v>2263</v>
      </c>
      <c r="G150" s="750" t="s">
        <v>1620</v>
      </c>
      <c r="H150" s="701"/>
      <c r="I150" s="701">
        <v>1600</v>
      </c>
      <c r="J150" s="1654" t="s">
        <v>1134</v>
      </c>
      <c r="K150" s="792"/>
      <c r="L150" s="701"/>
      <c r="M150" s="3172">
        <v>1600</v>
      </c>
      <c r="N150" s="2023" t="s">
        <v>4692</v>
      </c>
      <c r="O150" s="7"/>
      <c r="P150" s="7"/>
    </row>
    <row r="151" spans="1:16">
      <c r="A151" s="683"/>
      <c r="B151" s="720" t="s">
        <v>772</v>
      </c>
      <c r="C151" s="683" t="s">
        <v>320</v>
      </c>
      <c r="D151" s="719" t="s">
        <v>1320</v>
      </c>
      <c r="E151" s="823" t="s">
        <v>431</v>
      </c>
      <c r="F151" s="826">
        <v>2264</v>
      </c>
      <c r="G151" s="800" t="s">
        <v>125</v>
      </c>
      <c r="H151" s="706">
        <v>925</v>
      </c>
      <c r="I151" s="801"/>
      <c r="J151" s="1654">
        <v>882</v>
      </c>
      <c r="K151" s="802"/>
      <c r="L151" s="706">
        <v>925</v>
      </c>
      <c r="M151" s="3178"/>
      <c r="N151" s="1223"/>
      <c r="O151" s="7"/>
      <c r="P151" s="7"/>
    </row>
    <row r="152" spans="1:16">
      <c r="A152" s="1407"/>
      <c r="B152" s="700" t="s">
        <v>772</v>
      </c>
      <c r="C152" s="1407" t="s">
        <v>320</v>
      </c>
      <c r="D152" s="1679" t="s">
        <v>1320</v>
      </c>
      <c r="E152" s="794" t="s">
        <v>431</v>
      </c>
      <c r="F152" s="795">
        <v>2264</v>
      </c>
      <c r="G152" s="750" t="s">
        <v>2481</v>
      </c>
      <c r="H152" s="701"/>
      <c r="I152" s="701">
        <v>340</v>
      </c>
      <c r="J152" s="1654" t="s">
        <v>1134</v>
      </c>
      <c r="K152" s="792"/>
      <c r="L152" s="701"/>
      <c r="M152" s="3172">
        <v>340</v>
      </c>
      <c r="N152" s="1223" t="s">
        <v>730</v>
      </c>
      <c r="O152" s="7"/>
      <c r="P152" s="7"/>
    </row>
    <row r="153" spans="1:16" ht="20.399999999999999">
      <c r="A153" s="1145"/>
      <c r="B153" s="700" t="s">
        <v>772</v>
      </c>
      <c r="C153" s="663" t="s">
        <v>320</v>
      </c>
      <c r="D153" s="678" t="s">
        <v>1320</v>
      </c>
      <c r="E153" s="794" t="s">
        <v>431</v>
      </c>
      <c r="F153" s="795">
        <v>2264</v>
      </c>
      <c r="G153" s="1153" t="s">
        <v>3186</v>
      </c>
      <c r="H153" s="1165"/>
      <c r="I153" s="1165">
        <v>385</v>
      </c>
      <c r="J153" s="1654" t="s">
        <v>1134</v>
      </c>
      <c r="K153" s="1439"/>
      <c r="L153" s="1165"/>
      <c r="M153" s="3202">
        <v>385</v>
      </c>
      <c r="N153" s="1223" t="s">
        <v>1441</v>
      </c>
      <c r="O153" s="7"/>
      <c r="P153" s="7"/>
    </row>
    <row r="154" spans="1:16" ht="20.399999999999999">
      <c r="A154" s="1556"/>
      <c r="B154" s="700" t="s">
        <v>772</v>
      </c>
      <c r="C154" s="663" t="s">
        <v>320</v>
      </c>
      <c r="D154" s="678" t="s">
        <v>1320</v>
      </c>
      <c r="E154" s="794" t="s">
        <v>431</v>
      </c>
      <c r="F154" s="795">
        <v>2264</v>
      </c>
      <c r="G154" s="1569" t="s">
        <v>3364</v>
      </c>
      <c r="H154" s="1557"/>
      <c r="I154" s="1557">
        <v>200</v>
      </c>
      <c r="J154" s="1655"/>
      <c r="K154" s="1563"/>
      <c r="L154" s="1557"/>
      <c r="M154" s="3202">
        <v>200</v>
      </c>
      <c r="N154" s="1223"/>
      <c r="O154" s="7"/>
      <c r="P154" s="7"/>
    </row>
    <row r="155" spans="1:16">
      <c r="A155" s="683"/>
      <c r="B155" s="720" t="s">
        <v>772</v>
      </c>
      <c r="C155" s="683" t="s">
        <v>322</v>
      </c>
      <c r="D155" s="719" t="s">
        <v>1320</v>
      </c>
      <c r="E155" s="823" t="s">
        <v>431</v>
      </c>
      <c r="F155" s="826">
        <v>2272</v>
      </c>
      <c r="G155" s="800" t="s">
        <v>1015</v>
      </c>
      <c r="H155" s="706">
        <v>3750</v>
      </c>
      <c r="I155" s="801"/>
      <c r="J155" s="1494">
        <v>1932</v>
      </c>
      <c r="K155" s="802"/>
      <c r="L155" s="689">
        <v>500</v>
      </c>
      <c r="M155" s="3188"/>
      <c r="N155" s="305"/>
      <c r="O155" s="7"/>
      <c r="P155" s="7"/>
    </row>
    <row r="156" spans="1:16" ht="20.399999999999999">
      <c r="A156" s="663"/>
      <c r="B156" s="700" t="s">
        <v>772</v>
      </c>
      <c r="C156" s="663" t="s">
        <v>322</v>
      </c>
      <c r="D156" s="678" t="s">
        <v>1320</v>
      </c>
      <c r="E156" s="794" t="s">
        <v>431</v>
      </c>
      <c r="F156" s="795">
        <v>2272</v>
      </c>
      <c r="G156" s="750" t="s">
        <v>1177</v>
      </c>
      <c r="H156" s="701"/>
      <c r="I156" s="701">
        <v>3750</v>
      </c>
      <c r="J156" s="1494" t="s">
        <v>1134</v>
      </c>
      <c r="K156" s="792"/>
      <c r="L156" s="660"/>
      <c r="M156" s="3183">
        <v>500</v>
      </c>
      <c r="N156" s="305" t="s">
        <v>130</v>
      </c>
      <c r="O156" s="7"/>
      <c r="P156" s="7"/>
    </row>
    <row r="157" spans="1:16" ht="20.399999999999999">
      <c r="A157" s="683"/>
      <c r="B157" s="720" t="s">
        <v>772</v>
      </c>
      <c r="C157" s="683" t="s">
        <v>322</v>
      </c>
      <c r="D157" s="719" t="s">
        <v>1320</v>
      </c>
      <c r="E157" s="823" t="s">
        <v>431</v>
      </c>
      <c r="F157" s="826">
        <v>2276</v>
      </c>
      <c r="G157" s="800" t="s">
        <v>1887</v>
      </c>
      <c r="H157" s="706">
        <v>450</v>
      </c>
      <c r="I157" s="801"/>
      <c r="J157" s="1494">
        <v>399</v>
      </c>
      <c r="K157" s="802"/>
      <c r="L157" s="689">
        <v>500</v>
      </c>
      <c r="M157" s="3188"/>
      <c r="N157" s="305" t="s">
        <v>2492</v>
      </c>
      <c r="O157" s="7"/>
      <c r="P157" s="7"/>
    </row>
    <row r="158" spans="1:16" ht="40.799999999999997">
      <c r="A158" s="663"/>
      <c r="B158" s="700" t="s">
        <v>772</v>
      </c>
      <c r="C158" s="663" t="s">
        <v>322</v>
      </c>
      <c r="D158" s="678" t="s">
        <v>1320</v>
      </c>
      <c r="E158" s="794" t="s">
        <v>431</v>
      </c>
      <c r="F158" s="795">
        <v>2276</v>
      </c>
      <c r="G158" s="750"/>
      <c r="H158" s="701"/>
      <c r="I158" s="701">
        <v>450</v>
      </c>
      <c r="J158" s="1494"/>
      <c r="K158" s="792"/>
      <c r="L158" s="660"/>
      <c r="M158" s="3183">
        <v>500</v>
      </c>
      <c r="N158" s="381" t="s">
        <v>4694</v>
      </c>
      <c r="O158" s="7"/>
      <c r="P158" s="7"/>
    </row>
    <row r="159" spans="1:16">
      <c r="A159" s="683"/>
      <c r="B159" s="720" t="s">
        <v>772</v>
      </c>
      <c r="C159" s="683" t="s">
        <v>322</v>
      </c>
      <c r="D159" s="719" t="s">
        <v>1320</v>
      </c>
      <c r="E159" s="823" t="s">
        <v>431</v>
      </c>
      <c r="F159" s="826">
        <v>2280</v>
      </c>
      <c r="G159" s="800" t="s">
        <v>127</v>
      </c>
      <c r="H159" s="706">
        <v>84178.8</v>
      </c>
      <c r="I159" s="801"/>
      <c r="J159" s="1654">
        <v>70146</v>
      </c>
      <c r="K159" s="802"/>
      <c r="L159" s="706">
        <v>70800</v>
      </c>
      <c r="M159" s="3178"/>
      <c r="N159" s="1223" t="s">
        <v>130</v>
      </c>
      <c r="O159" s="7"/>
      <c r="P159" s="7"/>
    </row>
    <row r="160" spans="1:16">
      <c r="A160" s="663"/>
      <c r="B160" s="700" t="s">
        <v>772</v>
      </c>
      <c r="C160" s="663" t="s">
        <v>322</v>
      </c>
      <c r="D160" s="678" t="s">
        <v>1320</v>
      </c>
      <c r="E160" s="794" t="s">
        <v>431</v>
      </c>
      <c r="F160" s="795">
        <v>2280</v>
      </c>
      <c r="G160" s="750" t="s">
        <v>128</v>
      </c>
      <c r="H160" s="701"/>
      <c r="I160" s="701">
        <v>84178.8</v>
      </c>
      <c r="J160" s="1654" t="s">
        <v>1134</v>
      </c>
      <c r="K160" s="792"/>
      <c r="L160" s="701"/>
      <c r="M160" s="3172">
        <v>70800</v>
      </c>
      <c r="N160" s="1223" t="s">
        <v>130</v>
      </c>
      <c r="O160" s="7"/>
      <c r="P160" s="7"/>
    </row>
    <row r="161" spans="1:31">
      <c r="A161" s="683"/>
      <c r="B161" s="720" t="s">
        <v>772</v>
      </c>
      <c r="C161" s="683" t="s">
        <v>322</v>
      </c>
      <c r="D161" s="719" t="s">
        <v>1320</v>
      </c>
      <c r="E161" s="823" t="s">
        <v>431</v>
      </c>
      <c r="F161" s="826">
        <v>2311</v>
      </c>
      <c r="G161" s="800" t="s">
        <v>129</v>
      </c>
      <c r="H161" s="706">
        <v>7783</v>
      </c>
      <c r="I161" s="801"/>
      <c r="J161" s="1654">
        <v>5051</v>
      </c>
      <c r="K161" s="802"/>
      <c r="L161" s="706">
        <v>6500</v>
      </c>
      <c r="M161" s="3178"/>
      <c r="N161" s="1223"/>
      <c r="O161" s="7"/>
      <c r="P161" s="7"/>
    </row>
    <row r="162" spans="1:31">
      <c r="A162" s="663"/>
      <c r="B162" s="700" t="s">
        <v>772</v>
      </c>
      <c r="C162" s="663" t="s">
        <v>322</v>
      </c>
      <c r="D162" s="678" t="s">
        <v>1320</v>
      </c>
      <c r="E162" s="794" t="s">
        <v>431</v>
      </c>
      <c r="F162" s="795">
        <v>2311</v>
      </c>
      <c r="G162" s="750" t="s">
        <v>390</v>
      </c>
      <c r="H162" s="701"/>
      <c r="I162" s="701">
        <v>3000</v>
      </c>
      <c r="J162" s="1654" t="s">
        <v>1134</v>
      </c>
      <c r="K162" s="792"/>
      <c r="L162" s="701"/>
      <c r="M162" s="3172">
        <v>2000</v>
      </c>
      <c r="N162" s="1223"/>
      <c r="O162" s="7"/>
      <c r="P162" s="7"/>
    </row>
    <row r="163" spans="1:31">
      <c r="A163" s="1407"/>
      <c r="B163" s="700" t="s">
        <v>772</v>
      </c>
      <c r="C163" s="1407" t="s">
        <v>322</v>
      </c>
      <c r="D163" s="1679" t="s">
        <v>1320</v>
      </c>
      <c r="E163" s="1679" t="s">
        <v>431</v>
      </c>
      <c r="F163" s="1413">
        <v>2311</v>
      </c>
      <c r="G163" s="818" t="s">
        <v>2482</v>
      </c>
      <c r="H163" s="1683"/>
      <c r="I163" s="1683">
        <v>2000</v>
      </c>
      <c r="J163" s="1684" t="s">
        <v>1134</v>
      </c>
      <c r="K163" s="1685"/>
      <c r="L163" s="1683"/>
      <c r="M163" s="3179">
        <v>2000</v>
      </c>
      <c r="N163" s="305"/>
      <c r="O163" s="7"/>
      <c r="P163" s="7"/>
    </row>
    <row r="164" spans="1:31">
      <c r="A164" s="1407"/>
      <c r="B164" s="700" t="s">
        <v>772</v>
      </c>
      <c r="C164" s="1407" t="s">
        <v>322</v>
      </c>
      <c r="D164" s="1679" t="s">
        <v>1320</v>
      </c>
      <c r="E164" s="1679" t="s">
        <v>431</v>
      </c>
      <c r="F164" s="1413">
        <v>2311</v>
      </c>
      <c r="G164" s="818" t="s">
        <v>556</v>
      </c>
      <c r="H164" s="1683"/>
      <c r="I164" s="1683">
        <v>2000</v>
      </c>
      <c r="J164" s="1684" t="s">
        <v>1134</v>
      </c>
      <c r="K164" s="1685"/>
      <c r="L164" s="1683"/>
      <c r="M164" s="3179">
        <v>2000</v>
      </c>
      <c r="N164" s="305"/>
      <c r="O164" s="7"/>
      <c r="P164" s="7"/>
    </row>
    <row r="165" spans="1:31" ht="20.399999999999999">
      <c r="A165" s="1407" t="s">
        <v>364</v>
      </c>
      <c r="B165" s="700" t="s">
        <v>772</v>
      </c>
      <c r="C165" s="1407" t="s">
        <v>322</v>
      </c>
      <c r="D165" s="1679" t="s">
        <v>1320</v>
      </c>
      <c r="E165" s="1679" t="s">
        <v>431</v>
      </c>
      <c r="F165" s="1413">
        <v>2311</v>
      </c>
      <c r="G165" s="818" t="s">
        <v>2483</v>
      </c>
      <c r="H165" s="1683"/>
      <c r="I165" s="1683">
        <v>500</v>
      </c>
      <c r="J165" s="1684" t="s">
        <v>1134</v>
      </c>
      <c r="K165" s="1685"/>
      <c r="L165" s="1683"/>
      <c r="M165" s="3179">
        <v>500</v>
      </c>
      <c r="N165" s="305"/>
      <c r="O165" s="7"/>
      <c r="P165" s="7"/>
    </row>
    <row r="166" spans="1:31" ht="30.6">
      <c r="A166" s="1407"/>
      <c r="B166" s="700" t="s">
        <v>772</v>
      </c>
      <c r="C166" s="1407" t="s">
        <v>322</v>
      </c>
      <c r="D166" s="1679" t="s">
        <v>1320</v>
      </c>
      <c r="E166" s="1679" t="s">
        <v>431</v>
      </c>
      <c r="F166" s="1413">
        <v>2311</v>
      </c>
      <c r="G166" s="818" t="s">
        <v>3366</v>
      </c>
      <c r="H166" s="1683"/>
      <c r="I166" s="1683">
        <v>283</v>
      </c>
      <c r="J166" s="1684" t="s">
        <v>1134</v>
      </c>
      <c r="K166" s="1685"/>
      <c r="L166" s="1683"/>
      <c r="M166" s="3179"/>
      <c r="N166" s="305"/>
      <c r="O166" s="7"/>
      <c r="P166" s="7"/>
    </row>
    <row r="167" spans="1:31">
      <c r="A167" s="683"/>
      <c r="B167" s="720" t="s">
        <v>772</v>
      </c>
      <c r="C167" s="683" t="s">
        <v>320</v>
      </c>
      <c r="D167" s="719" t="s">
        <v>1320</v>
      </c>
      <c r="E167" s="823" t="s">
        <v>431</v>
      </c>
      <c r="F167" s="824">
        <v>2312</v>
      </c>
      <c r="G167" s="800" t="s">
        <v>131</v>
      </c>
      <c r="H167" s="706">
        <v>5607</v>
      </c>
      <c r="I167" s="801"/>
      <c r="J167" s="1654">
        <v>3629</v>
      </c>
      <c r="K167" s="802"/>
      <c r="L167" s="706">
        <v>4020</v>
      </c>
      <c r="M167" s="3178"/>
      <c r="N167" s="305"/>
      <c r="O167" s="7"/>
      <c r="P167" s="7"/>
    </row>
    <row r="168" spans="1:31">
      <c r="A168" s="1407"/>
      <c r="B168" s="700" t="s">
        <v>772</v>
      </c>
      <c r="C168" s="1407" t="s">
        <v>320</v>
      </c>
      <c r="D168" s="1679" t="s">
        <v>1320</v>
      </c>
      <c r="E168" s="794" t="s">
        <v>431</v>
      </c>
      <c r="F168" s="795">
        <v>2312</v>
      </c>
      <c r="G168" s="750" t="s">
        <v>3486</v>
      </c>
      <c r="H168" s="701"/>
      <c r="I168" s="701">
        <v>140</v>
      </c>
      <c r="J168" s="1654" t="s">
        <v>1134</v>
      </c>
      <c r="K168" s="792"/>
      <c r="L168" s="701"/>
      <c r="M168" s="3172">
        <v>1500</v>
      </c>
      <c r="N168" s="305"/>
      <c r="O168" s="7"/>
      <c r="P168" s="7"/>
    </row>
    <row r="169" spans="1:31">
      <c r="A169" s="1407"/>
      <c r="B169" s="700" t="s">
        <v>772</v>
      </c>
      <c r="C169" s="1407" t="s">
        <v>320</v>
      </c>
      <c r="D169" s="1679" t="s">
        <v>1320</v>
      </c>
      <c r="E169" s="794" t="s">
        <v>431</v>
      </c>
      <c r="F169" s="795">
        <v>2312</v>
      </c>
      <c r="G169" s="750" t="s">
        <v>2491</v>
      </c>
      <c r="H169" s="701"/>
      <c r="I169" s="701">
        <v>600</v>
      </c>
      <c r="J169" s="1654" t="s">
        <v>1134</v>
      </c>
      <c r="K169" s="792"/>
      <c r="L169" s="701"/>
      <c r="M169" s="3172">
        <v>600</v>
      </c>
      <c r="N169" s="305"/>
      <c r="O169" s="7"/>
      <c r="P169" s="7"/>
    </row>
    <row r="170" spans="1:31">
      <c r="A170" s="1407"/>
      <c r="B170" s="700" t="s">
        <v>772</v>
      </c>
      <c r="C170" s="1407" t="s">
        <v>320</v>
      </c>
      <c r="D170" s="1679" t="s">
        <v>1320</v>
      </c>
      <c r="E170" s="794" t="s">
        <v>431</v>
      </c>
      <c r="F170" s="795">
        <v>2312</v>
      </c>
      <c r="G170" s="750" t="s">
        <v>4693</v>
      </c>
      <c r="H170" s="701"/>
      <c r="I170" s="701">
        <v>0</v>
      </c>
      <c r="J170" s="1654" t="s">
        <v>1134</v>
      </c>
      <c r="K170" s="792"/>
      <c r="L170" s="701"/>
      <c r="M170" s="3172">
        <v>420</v>
      </c>
      <c r="N170" s="305"/>
      <c r="O170" s="7"/>
      <c r="P170" s="7"/>
    </row>
    <row r="171" spans="1:31" ht="81.599999999999994">
      <c r="A171" s="1407"/>
      <c r="B171" s="700" t="s">
        <v>772</v>
      </c>
      <c r="C171" s="1407" t="s">
        <v>320</v>
      </c>
      <c r="D171" s="1679" t="s">
        <v>1320</v>
      </c>
      <c r="E171" s="1679" t="s">
        <v>431</v>
      </c>
      <c r="F171" s="1413">
        <v>2312</v>
      </c>
      <c r="G171" s="818" t="s">
        <v>2484</v>
      </c>
      <c r="H171" s="1683"/>
      <c r="I171" s="1683">
        <v>140</v>
      </c>
      <c r="J171" s="1684" t="s">
        <v>1134</v>
      </c>
      <c r="K171" s="1685"/>
      <c r="L171" s="1683"/>
      <c r="M171" s="3179"/>
      <c r="N171" s="1223" t="s">
        <v>727</v>
      </c>
      <c r="O171" s="4"/>
      <c r="P171" s="4"/>
    </row>
    <row r="172" spans="1:31" ht="51">
      <c r="A172" s="1407"/>
      <c r="B172" s="700" t="s">
        <v>772</v>
      </c>
      <c r="C172" s="1407" t="s">
        <v>320</v>
      </c>
      <c r="D172" s="1679" t="s">
        <v>1320</v>
      </c>
      <c r="E172" s="1679" t="s">
        <v>431</v>
      </c>
      <c r="F172" s="1413">
        <v>2312</v>
      </c>
      <c r="G172" s="818" t="s">
        <v>2485</v>
      </c>
      <c r="H172" s="1683"/>
      <c r="I172" s="1683">
        <v>25</v>
      </c>
      <c r="J172" s="1684" t="s">
        <v>1134</v>
      </c>
      <c r="K172" s="1685"/>
      <c r="L172" s="1683"/>
      <c r="M172" s="3179"/>
      <c r="N172" s="1223" t="s">
        <v>130</v>
      </c>
      <c r="O172" s="4"/>
      <c r="P172" s="4"/>
    </row>
    <row r="173" spans="1:31" ht="51">
      <c r="A173" s="1407"/>
      <c r="B173" s="700" t="s">
        <v>772</v>
      </c>
      <c r="C173" s="1407" t="s">
        <v>320</v>
      </c>
      <c r="D173" s="1679" t="s">
        <v>1320</v>
      </c>
      <c r="E173" s="1679" t="s">
        <v>431</v>
      </c>
      <c r="F173" s="1413">
        <v>2312</v>
      </c>
      <c r="G173" s="818" t="s">
        <v>2486</v>
      </c>
      <c r="H173" s="1683"/>
      <c r="I173" s="1683">
        <v>70</v>
      </c>
      <c r="J173" s="1684" t="s">
        <v>1134</v>
      </c>
      <c r="K173" s="1685"/>
      <c r="L173" s="1683"/>
      <c r="M173" s="3179"/>
      <c r="N173" s="305" t="s">
        <v>729</v>
      </c>
      <c r="O173" s="4"/>
      <c r="P173" s="4"/>
    </row>
    <row r="174" spans="1:31" ht="61.2">
      <c r="A174" s="1407"/>
      <c r="B174" s="700" t="s">
        <v>772</v>
      </c>
      <c r="C174" s="1407" t="s">
        <v>320</v>
      </c>
      <c r="D174" s="1679" t="s">
        <v>1320</v>
      </c>
      <c r="E174" s="1679" t="s">
        <v>431</v>
      </c>
      <c r="F174" s="1413">
        <v>2312</v>
      </c>
      <c r="G174" s="818" t="s">
        <v>2487</v>
      </c>
      <c r="H174" s="1683"/>
      <c r="I174" s="1683">
        <v>50</v>
      </c>
      <c r="J174" s="1684" t="s">
        <v>1134</v>
      </c>
      <c r="K174" s="1685"/>
      <c r="L174" s="1683"/>
      <c r="M174" s="3179"/>
      <c r="N174" s="7" t="s">
        <v>729</v>
      </c>
      <c r="O174" s="4"/>
      <c r="P174" s="4"/>
    </row>
    <row r="175" spans="1:31" ht="51">
      <c r="A175" s="1407"/>
      <c r="B175" s="700" t="s">
        <v>772</v>
      </c>
      <c r="C175" s="1407" t="s">
        <v>320</v>
      </c>
      <c r="D175" s="794" t="s">
        <v>1320</v>
      </c>
      <c r="E175" s="794" t="s">
        <v>431</v>
      </c>
      <c r="F175" s="795">
        <v>2312</v>
      </c>
      <c r="G175" s="750" t="s">
        <v>2488</v>
      </c>
      <c r="H175" s="701"/>
      <c r="I175" s="701">
        <v>822.8</v>
      </c>
      <c r="J175" s="1654" t="s">
        <v>1134</v>
      </c>
      <c r="K175" s="792"/>
      <c r="L175" s="701"/>
      <c r="M175" s="3172"/>
      <c r="N175" s="305" t="s">
        <v>729</v>
      </c>
      <c r="O175" s="7"/>
      <c r="P175" s="7"/>
    </row>
    <row r="176" spans="1:31" ht="20.399999999999999">
      <c r="A176" s="663"/>
      <c r="B176" s="700" t="s">
        <v>772</v>
      </c>
      <c r="C176" s="663" t="s">
        <v>320</v>
      </c>
      <c r="D176" s="794" t="s">
        <v>1320</v>
      </c>
      <c r="E176" s="794" t="s">
        <v>431</v>
      </c>
      <c r="F176" s="795">
        <v>2312</v>
      </c>
      <c r="G176" s="750" t="s">
        <v>2493</v>
      </c>
      <c r="H176" s="701"/>
      <c r="I176" s="701">
        <v>992.19999999999993</v>
      </c>
      <c r="J176" s="1654" t="s">
        <v>1134</v>
      </c>
      <c r="K176" s="792"/>
      <c r="L176" s="701"/>
      <c r="M176" s="3172"/>
      <c r="N176" s="7" t="s">
        <v>729</v>
      </c>
      <c r="O176" s="7"/>
      <c r="P176" s="7"/>
      <c r="Q176" s="7"/>
      <c r="R176" s="7"/>
      <c r="S176" s="7"/>
      <c r="T176" s="7"/>
      <c r="U176" s="7"/>
      <c r="V176" s="7"/>
      <c r="W176" s="7"/>
      <c r="X176" s="7"/>
      <c r="Y176" s="7"/>
      <c r="Z176" s="7"/>
      <c r="AA176" s="7"/>
      <c r="AB176" s="7"/>
      <c r="AC176" s="7"/>
      <c r="AD176" s="7"/>
      <c r="AE176" s="7"/>
    </row>
    <row r="177" spans="1:16" ht="30.6">
      <c r="A177" s="663"/>
      <c r="B177" s="700" t="s">
        <v>772</v>
      </c>
      <c r="C177" s="663" t="s">
        <v>320</v>
      </c>
      <c r="D177" s="794" t="s">
        <v>1320</v>
      </c>
      <c r="E177" s="794" t="s">
        <v>431</v>
      </c>
      <c r="F177" s="795">
        <v>2312</v>
      </c>
      <c r="G177" s="750" t="s">
        <v>2489</v>
      </c>
      <c r="H177" s="701"/>
      <c r="I177" s="701">
        <v>50</v>
      </c>
      <c r="J177" s="1654" t="s">
        <v>1134</v>
      </c>
      <c r="K177" s="792"/>
      <c r="L177" s="701"/>
      <c r="M177" s="3172"/>
      <c r="N177" s="7" t="s">
        <v>729</v>
      </c>
      <c r="O177" s="7"/>
      <c r="P177" s="7"/>
    </row>
    <row r="178" spans="1:16" ht="30.6">
      <c r="A178" s="663"/>
      <c r="B178" s="700" t="s">
        <v>772</v>
      </c>
      <c r="C178" s="663" t="s">
        <v>320</v>
      </c>
      <c r="D178" s="794" t="s">
        <v>1320</v>
      </c>
      <c r="E178" s="794" t="s">
        <v>431</v>
      </c>
      <c r="F178" s="795">
        <v>2312</v>
      </c>
      <c r="G178" s="750" t="s">
        <v>2490</v>
      </c>
      <c r="H178" s="701"/>
      <c r="I178" s="701">
        <v>917</v>
      </c>
      <c r="J178" s="1654" t="s">
        <v>1134</v>
      </c>
      <c r="K178" s="792"/>
      <c r="L178" s="701"/>
      <c r="M178" s="3172"/>
      <c r="N178" s="7" t="s">
        <v>729</v>
      </c>
      <c r="O178" s="7"/>
      <c r="P178" s="7"/>
    </row>
    <row r="179" spans="1:16">
      <c r="A179" s="663"/>
      <c r="B179" s="700" t="s">
        <v>772</v>
      </c>
      <c r="C179" s="663" t="s">
        <v>320</v>
      </c>
      <c r="D179" s="794" t="s">
        <v>1320</v>
      </c>
      <c r="E179" s="794" t="s">
        <v>431</v>
      </c>
      <c r="F179" s="795">
        <v>2312</v>
      </c>
      <c r="G179" s="750" t="s">
        <v>555</v>
      </c>
      <c r="H179" s="701"/>
      <c r="I179" s="701">
        <v>300</v>
      </c>
      <c r="J179" s="1654" t="s">
        <v>1134</v>
      </c>
      <c r="K179" s="792"/>
      <c r="L179" s="701"/>
      <c r="M179" s="3172"/>
      <c r="N179" s="7" t="s">
        <v>729</v>
      </c>
      <c r="O179" s="7"/>
      <c r="P179" s="7"/>
    </row>
    <row r="180" spans="1:16" ht="30.6">
      <c r="A180" s="603"/>
      <c r="B180" s="700" t="s">
        <v>772</v>
      </c>
      <c r="C180" s="663" t="s">
        <v>320</v>
      </c>
      <c r="D180" s="794" t="s">
        <v>1320</v>
      </c>
      <c r="E180" s="794" t="s">
        <v>431</v>
      </c>
      <c r="F180" s="795">
        <v>2312</v>
      </c>
      <c r="G180" s="1153" t="s">
        <v>3285</v>
      </c>
      <c r="H180" s="1165"/>
      <c r="I180" s="1165">
        <v>500</v>
      </c>
      <c r="J180" s="1654" t="s">
        <v>1134</v>
      </c>
      <c r="K180" s="1439"/>
      <c r="L180" s="1165"/>
      <c r="M180" s="3203"/>
      <c r="N180" s="305" t="s">
        <v>727</v>
      </c>
      <c r="O180" s="7"/>
      <c r="P180" s="7"/>
    </row>
    <row r="181" spans="1:16">
      <c r="A181" s="663"/>
      <c r="B181" s="700" t="s">
        <v>772</v>
      </c>
      <c r="C181" s="663" t="s">
        <v>320</v>
      </c>
      <c r="D181" s="794" t="s">
        <v>1320</v>
      </c>
      <c r="E181" s="794" t="s">
        <v>431</v>
      </c>
      <c r="F181" s="795">
        <v>2312</v>
      </c>
      <c r="G181" s="750" t="s">
        <v>152</v>
      </c>
      <c r="H181" s="701"/>
      <c r="I181" s="701">
        <v>1000</v>
      </c>
      <c r="J181" s="1654" t="s">
        <v>1134</v>
      </c>
      <c r="K181" s="792"/>
      <c r="L181" s="701"/>
      <c r="M181" s="3172">
        <v>1500</v>
      </c>
      <c r="N181" s="1223" t="s">
        <v>130</v>
      </c>
      <c r="O181" s="7"/>
      <c r="P181" s="7"/>
    </row>
    <row r="182" spans="1:16" ht="20.399999999999999">
      <c r="A182" s="683"/>
      <c r="B182" s="720" t="s">
        <v>772</v>
      </c>
      <c r="C182" s="720" t="s">
        <v>320</v>
      </c>
      <c r="D182" s="823" t="s">
        <v>1320</v>
      </c>
      <c r="E182" s="823" t="s">
        <v>431</v>
      </c>
      <c r="F182" s="824">
        <v>2314</v>
      </c>
      <c r="G182" s="800" t="s">
        <v>1435</v>
      </c>
      <c r="H182" s="706">
        <v>17675</v>
      </c>
      <c r="I182" s="801"/>
      <c r="J182" s="1654">
        <v>9231</v>
      </c>
      <c r="K182" s="802"/>
      <c r="L182" s="706">
        <v>14435</v>
      </c>
      <c r="M182" s="3178"/>
      <c r="N182" s="1224"/>
      <c r="O182" s="7"/>
      <c r="P182" s="7"/>
    </row>
    <row r="183" spans="1:16">
      <c r="A183" s="1407"/>
      <c r="B183" s="700" t="s">
        <v>772</v>
      </c>
      <c r="C183" s="1407" t="s">
        <v>320</v>
      </c>
      <c r="D183" s="1679" t="s">
        <v>1320</v>
      </c>
      <c r="E183" s="1679" t="s">
        <v>431</v>
      </c>
      <c r="F183" s="1413">
        <v>2314</v>
      </c>
      <c r="G183" s="818" t="s">
        <v>951</v>
      </c>
      <c r="H183" s="1683"/>
      <c r="I183" s="1683">
        <v>1200</v>
      </c>
      <c r="J183" s="2652">
        <v>1033</v>
      </c>
      <c r="K183" s="1685"/>
      <c r="L183" s="1683"/>
      <c r="M183" s="3179">
        <v>1200</v>
      </c>
      <c r="N183" s="1223" t="s">
        <v>130</v>
      </c>
      <c r="O183" s="7"/>
      <c r="P183" s="7"/>
    </row>
    <row r="184" spans="1:16">
      <c r="A184" s="1407"/>
      <c r="B184" s="700" t="s">
        <v>772</v>
      </c>
      <c r="C184" s="1407" t="s">
        <v>320</v>
      </c>
      <c r="D184" s="1679" t="s">
        <v>1320</v>
      </c>
      <c r="E184" s="1679" t="s">
        <v>431</v>
      </c>
      <c r="F184" s="1413">
        <v>2314</v>
      </c>
      <c r="G184" s="818" t="s">
        <v>871</v>
      </c>
      <c r="H184" s="1683"/>
      <c r="I184" s="1683">
        <v>1250</v>
      </c>
      <c r="J184" s="2652" t="s">
        <v>1134</v>
      </c>
      <c r="K184" s="1685"/>
      <c r="L184" s="1683"/>
      <c r="M184" s="3179">
        <v>1250</v>
      </c>
      <c r="N184" s="1223" t="s">
        <v>130</v>
      </c>
      <c r="O184" s="7"/>
      <c r="P184" s="7"/>
    </row>
    <row r="185" spans="1:16">
      <c r="A185" s="700"/>
      <c r="B185" s="700" t="s">
        <v>772</v>
      </c>
      <c r="C185" s="700" t="s">
        <v>320</v>
      </c>
      <c r="D185" s="794" t="s">
        <v>1320</v>
      </c>
      <c r="E185" s="794" t="s">
        <v>431</v>
      </c>
      <c r="F185" s="795">
        <v>2314</v>
      </c>
      <c r="G185" s="750" t="s">
        <v>1150</v>
      </c>
      <c r="H185" s="701"/>
      <c r="I185" s="701">
        <v>750</v>
      </c>
      <c r="J185" s="2652" t="s">
        <v>1134</v>
      </c>
      <c r="K185" s="792"/>
      <c r="L185" s="701"/>
      <c r="M185" s="3172">
        <v>750</v>
      </c>
      <c r="N185" s="1504">
        <v>0.8</v>
      </c>
      <c r="O185" s="7"/>
      <c r="P185" s="7"/>
    </row>
    <row r="186" spans="1:16" ht="20.399999999999999">
      <c r="A186" s="663"/>
      <c r="B186" s="700" t="s">
        <v>772</v>
      </c>
      <c r="C186" s="663" t="s">
        <v>320</v>
      </c>
      <c r="D186" s="678" t="s">
        <v>1320</v>
      </c>
      <c r="E186" s="794" t="s">
        <v>431</v>
      </c>
      <c r="F186" s="795">
        <v>2314</v>
      </c>
      <c r="G186" s="665" t="s">
        <v>3464</v>
      </c>
      <c r="H186" s="701"/>
      <c r="I186" s="701">
        <v>100</v>
      </c>
      <c r="J186" s="2652" t="s">
        <v>1134</v>
      </c>
      <c r="K186" s="661"/>
      <c r="L186" s="659"/>
      <c r="M186" s="3183">
        <v>200</v>
      </c>
      <c r="N186" s="125"/>
      <c r="O186" s="7"/>
      <c r="P186" s="7"/>
    </row>
    <row r="187" spans="1:16" ht="20.399999999999999">
      <c r="A187" s="663"/>
      <c r="B187" s="700" t="s">
        <v>772</v>
      </c>
      <c r="C187" s="663" t="s">
        <v>320</v>
      </c>
      <c r="D187" s="678" t="s">
        <v>1320</v>
      </c>
      <c r="E187" s="794" t="s">
        <v>431</v>
      </c>
      <c r="F187" s="795">
        <v>2314</v>
      </c>
      <c r="G187" s="750" t="s">
        <v>3465</v>
      </c>
      <c r="H187" s="701"/>
      <c r="I187" s="701">
        <v>1500</v>
      </c>
      <c r="J187" s="2652" t="s">
        <v>1134</v>
      </c>
      <c r="K187" s="792"/>
      <c r="L187" s="701"/>
      <c r="M187" s="3172">
        <v>1000</v>
      </c>
      <c r="N187" s="125"/>
      <c r="O187" s="7"/>
      <c r="P187" s="7"/>
    </row>
    <row r="188" spans="1:16" ht="20.399999999999999">
      <c r="A188" s="663"/>
      <c r="B188" s="700" t="s">
        <v>772</v>
      </c>
      <c r="C188" s="663" t="s">
        <v>320</v>
      </c>
      <c r="D188" s="678" t="s">
        <v>1320</v>
      </c>
      <c r="E188" s="794" t="s">
        <v>431</v>
      </c>
      <c r="F188" s="795">
        <v>2314</v>
      </c>
      <c r="G188" s="750" t="s">
        <v>3466</v>
      </c>
      <c r="H188" s="701"/>
      <c r="I188" s="701">
        <v>720</v>
      </c>
      <c r="J188" s="2652">
        <v>720</v>
      </c>
      <c r="K188" s="661"/>
      <c r="L188" s="659"/>
      <c r="M188" s="3183">
        <v>250</v>
      </c>
      <c r="N188" s="125"/>
      <c r="O188" s="7"/>
      <c r="P188" s="7"/>
    </row>
    <row r="189" spans="1:16" ht="20.399999999999999">
      <c r="A189" s="663"/>
      <c r="B189" s="700" t="s">
        <v>772</v>
      </c>
      <c r="C189" s="663" t="s">
        <v>320</v>
      </c>
      <c r="D189" s="678" t="s">
        <v>1320</v>
      </c>
      <c r="E189" s="794" t="s">
        <v>431</v>
      </c>
      <c r="F189" s="795">
        <v>2314</v>
      </c>
      <c r="G189" s="750" t="s">
        <v>3468</v>
      </c>
      <c r="H189" s="701"/>
      <c r="I189" s="701">
        <v>4155</v>
      </c>
      <c r="J189" s="2652" t="s">
        <v>1134</v>
      </c>
      <c r="K189" s="661"/>
      <c r="L189" s="659"/>
      <c r="M189" s="3183">
        <v>1385</v>
      </c>
      <c r="N189" s="125"/>
      <c r="O189" s="7"/>
      <c r="P189" s="7"/>
    </row>
    <row r="190" spans="1:16" ht="61.2">
      <c r="A190" s="663"/>
      <c r="B190" s="700" t="s">
        <v>772</v>
      </c>
      <c r="C190" s="663" t="s">
        <v>320</v>
      </c>
      <c r="D190" s="678" t="s">
        <v>1320</v>
      </c>
      <c r="E190" s="794" t="s">
        <v>431</v>
      </c>
      <c r="F190" s="795">
        <v>2314</v>
      </c>
      <c r="G190" s="750" t="s">
        <v>4982</v>
      </c>
      <c r="H190" s="701"/>
      <c r="I190" s="701">
        <v>700</v>
      </c>
      <c r="J190" s="2652" t="s">
        <v>1134</v>
      </c>
      <c r="K190" s="661"/>
      <c r="L190" s="659"/>
      <c r="M190" s="3183">
        <v>1000</v>
      </c>
      <c r="N190" s="7" t="s">
        <v>729</v>
      </c>
      <c r="O190" s="7"/>
      <c r="P190" s="7"/>
    </row>
    <row r="191" spans="1:16" ht="30.6">
      <c r="A191" s="1669"/>
      <c r="B191" s="700" t="s">
        <v>772</v>
      </c>
      <c r="C191" s="663" t="s">
        <v>320</v>
      </c>
      <c r="D191" s="678" t="s">
        <v>1320</v>
      </c>
      <c r="E191" s="794" t="s">
        <v>431</v>
      </c>
      <c r="F191" s="795">
        <v>2314</v>
      </c>
      <c r="G191" s="1703" t="s">
        <v>3485</v>
      </c>
      <c r="H191" s="1672"/>
      <c r="I191" s="1672"/>
      <c r="J191" s="2653"/>
      <c r="K191" s="1674"/>
      <c r="L191" s="1675"/>
      <c r="M191" s="2676">
        <v>100</v>
      </c>
      <c r="N191" s="125"/>
      <c r="O191" s="7"/>
      <c r="P191" s="7"/>
    </row>
    <row r="192" spans="1:16" ht="40.799999999999997">
      <c r="A192" s="663"/>
      <c r="B192" s="700" t="s">
        <v>772</v>
      </c>
      <c r="C192" s="700" t="s">
        <v>320</v>
      </c>
      <c r="D192" s="794" t="s">
        <v>1320</v>
      </c>
      <c r="E192" s="794" t="s">
        <v>431</v>
      </c>
      <c r="F192" s="795">
        <v>2314</v>
      </c>
      <c r="G192" s="750" t="s">
        <v>2579</v>
      </c>
      <c r="H192" s="701"/>
      <c r="I192" s="701">
        <v>2400</v>
      </c>
      <c r="J192" s="2652">
        <v>2398</v>
      </c>
      <c r="K192" s="792"/>
      <c r="L192" s="701"/>
      <c r="M192" s="3204">
        <v>2400</v>
      </c>
      <c r="N192" s="125"/>
      <c r="O192" s="7"/>
      <c r="P192" s="7"/>
    </row>
    <row r="193" spans="1:16" ht="20.399999999999999">
      <c r="A193" s="1407"/>
      <c r="B193" s="700" t="s">
        <v>772</v>
      </c>
      <c r="C193" s="1407" t="s">
        <v>320</v>
      </c>
      <c r="D193" s="1679" t="s">
        <v>1320</v>
      </c>
      <c r="E193" s="1679" t="s">
        <v>431</v>
      </c>
      <c r="F193" s="1413">
        <v>2314</v>
      </c>
      <c r="G193" s="818" t="s">
        <v>3481</v>
      </c>
      <c r="H193" s="1683"/>
      <c r="I193" s="1683">
        <v>1000</v>
      </c>
      <c r="J193" s="2652">
        <v>2220</v>
      </c>
      <c r="K193" s="1685"/>
      <c r="L193" s="1683"/>
      <c r="M193" s="3179">
        <v>1000</v>
      </c>
      <c r="N193" s="1223"/>
      <c r="O193" s="7"/>
      <c r="P193" s="7"/>
    </row>
    <row r="194" spans="1:16" ht="61.2">
      <c r="A194" s="1407"/>
      <c r="B194" s="700" t="s">
        <v>772</v>
      </c>
      <c r="C194" s="1407" t="s">
        <v>320</v>
      </c>
      <c r="D194" s="1679" t="s">
        <v>1320</v>
      </c>
      <c r="E194" s="1679" t="s">
        <v>431</v>
      </c>
      <c r="F194" s="1413">
        <v>2314</v>
      </c>
      <c r="G194" s="818" t="s">
        <v>3482</v>
      </c>
      <c r="H194" s="1683"/>
      <c r="I194" s="1683">
        <v>2000</v>
      </c>
      <c r="J194" s="2652">
        <v>1404</v>
      </c>
      <c r="K194" s="1685"/>
      <c r="L194" s="1683"/>
      <c r="M194" s="3179">
        <v>2000</v>
      </c>
      <c r="N194" s="1223"/>
      <c r="O194" s="7"/>
      <c r="P194" s="7"/>
    </row>
    <row r="195" spans="1:16">
      <c r="A195" s="1407"/>
      <c r="B195" s="700" t="s">
        <v>772</v>
      </c>
      <c r="C195" s="1407" t="s">
        <v>320</v>
      </c>
      <c r="D195" s="1679" t="s">
        <v>1320</v>
      </c>
      <c r="E195" s="1679" t="s">
        <v>431</v>
      </c>
      <c r="F195" s="1413">
        <v>2314</v>
      </c>
      <c r="G195" s="818" t="s">
        <v>1621</v>
      </c>
      <c r="H195" s="1683"/>
      <c r="I195" s="1683">
        <v>1000</v>
      </c>
      <c r="J195" s="2652">
        <v>770</v>
      </c>
      <c r="K195" s="1685"/>
      <c r="L195" s="1683"/>
      <c r="M195" s="3179">
        <v>1000</v>
      </c>
      <c r="N195" s="1223"/>
      <c r="O195" s="7"/>
      <c r="P195" s="7"/>
    </row>
    <row r="196" spans="1:16" ht="30.6">
      <c r="A196" s="1407"/>
      <c r="B196" s="700" t="s">
        <v>772</v>
      </c>
      <c r="C196" s="1407" t="s">
        <v>320</v>
      </c>
      <c r="D196" s="1679" t="s">
        <v>1320</v>
      </c>
      <c r="E196" s="1679" t="s">
        <v>431</v>
      </c>
      <c r="F196" s="1413">
        <v>2314</v>
      </c>
      <c r="G196" s="818" t="s">
        <v>597</v>
      </c>
      <c r="H196" s="1683"/>
      <c r="I196" s="1683">
        <v>900</v>
      </c>
      <c r="J196" s="2652">
        <v>688</v>
      </c>
      <c r="K196" s="1685"/>
      <c r="L196" s="1683"/>
      <c r="M196" s="3179">
        <v>900</v>
      </c>
      <c r="N196" s="1223"/>
      <c r="O196" s="4"/>
      <c r="P196" s="4"/>
    </row>
    <row r="197" spans="1:16">
      <c r="A197" s="683"/>
      <c r="B197" s="720" t="s">
        <v>772</v>
      </c>
      <c r="C197" s="683" t="s">
        <v>320</v>
      </c>
      <c r="D197" s="719" t="s">
        <v>1320</v>
      </c>
      <c r="E197" s="823" t="s">
        <v>431</v>
      </c>
      <c r="F197" s="824">
        <v>2322</v>
      </c>
      <c r="G197" s="800" t="s">
        <v>132</v>
      </c>
      <c r="H197" s="706">
        <v>12994.800000000001</v>
      </c>
      <c r="I197" s="801"/>
      <c r="J197" s="1494">
        <v>4777</v>
      </c>
      <c r="K197" s="802"/>
      <c r="L197" s="837">
        <v>8056.4000000000005</v>
      </c>
      <c r="M197" s="3188"/>
      <c r="N197" s="1223"/>
      <c r="O197" s="4"/>
      <c r="P197" s="4"/>
    </row>
    <row r="198" spans="1:16">
      <c r="A198" s="663"/>
      <c r="B198" s="700" t="s">
        <v>772</v>
      </c>
      <c r="C198" s="663" t="s">
        <v>320</v>
      </c>
      <c r="D198" s="678" t="s">
        <v>1320</v>
      </c>
      <c r="E198" s="794" t="s">
        <v>431</v>
      </c>
      <c r="F198" s="795">
        <v>2322</v>
      </c>
      <c r="G198" s="750" t="s">
        <v>5329</v>
      </c>
      <c r="H198" s="701"/>
      <c r="I198" s="701">
        <v>3553</v>
      </c>
      <c r="J198" s="1494" t="s">
        <v>1134</v>
      </c>
      <c r="K198" s="792"/>
      <c r="L198" s="676"/>
      <c r="M198" s="3183">
        <v>2464</v>
      </c>
      <c r="N198" s="1223"/>
      <c r="O198" s="7"/>
      <c r="P198" s="7"/>
    </row>
    <row r="199" spans="1:16">
      <c r="A199" s="663"/>
      <c r="B199" s="700" t="s">
        <v>772</v>
      </c>
      <c r="C199" s="663" t="s">
        <v>320</v>
      </c>
      <c r="D199" s="678" t="s">
        <v>1320</v>
      </c>
      <c r="E199" s="794" t="s">
        <v>431</v>
      </c>
      <c r="F199" s="795">
        <v>2322</v>
      </c>
      <c r="G199" s="750" t="s">
        <v>5330</v>
      </c>
      <c r="H199" s="701"/>
      <c r="I199" s="701">
        <v>1776.5</v>
      </c>
      <c r="J199" s="1494" t="s">
        <v>1134</v>
      </c>
      <c r="K199" s="792"/>
      <c r="L199" s="660"/>
      <c r="M199" s="3183">
        <v>1232</v>
      </c>
      <c r="N199" s="7"/>
      <c r="O199" s="7"/>
      <c r="P199" s="7"/>
    </row>
    <row r="200" spans="1:16">
      <c r="A200" s="663"/>
      <c r="B200" s="700" t="s">
        <v>772</v>
      </c>
      <c r="C200" s="663" t="s">
        <v>320</v>
      </c>
      <c r="D200" s="678" t="s">
        <v>1320</v>
      </c>
      <c r="E200" s="794" t="s">
        <v>431</v>
      </c>
      <c r="F200" s="795">
        <v>2322</v>
      </c>
      <c r="G200" s="750" t="s">
        <v>5330</v>
      </c>
      <c r="H200" s="701"/>
      <c r="I200" s="701">
        <v>1776.5</v>
      </c>
      <c r="J200" s="1494" t="s">
        <v>1134</v>
      </c>
      <c r="K200" s="792"/>
      <c r="L200" s="660"/>
      <c r="M200" s="3183">
        <v>1232</v>
      </c>
      <c r="N200" s="7" t="s">
        <v>728</v>
      </c>
      <c r="O200" s="7"/>
      <c r="P200" s="7"/>
    </row>
    <row r="201" spans="1:16">
      <c r="A201" s="663"/>
      <c r="B201" s="700" t="s">
        <v>772</v>
      </c>
      <c r="C201" s="663" t="s">
        <v>320</v>
      </c>
      <c r="D201" s="678" t="s">
        <v>1320</v>
      </c>
      <c r="E201" s="794" t="s">
        <v>431</v>
      </c>
      <c r="F201" s="795">
        <v>2322</v>
      </c>
      <c r="G201" s="750" t="s">
        <v>5331</v>
      </c>
      <c r="H201" s="701"/>
      <c r="I201" s="701">
        <v>3197.7</v>
      </c>
      <c r="J201" s="1494" t="s">
        <v>1134</v>
      </c>
      <c r="K201" s="792"/>
      <c r="L201" s="660"/>
      <c r="M201" s="3183">
        <v>2217.6</v>
      </c>
      <c r="N201" s="7" t="s">
        <v>3469</v>
      </c>
      <c r="O201" s="7"/>
      <c r="P201" s="7"/>
    </row>
    <row r="202" spans="1:16">
      <c r="A202" s="663"/>
      <c r="B202" s="700" t="s">
        <v>772</v>
      </c>
      <c r="C202" s="663" t="s">
        <v>320</v>
      </c>
      <c r="D202" s="678" t="s">
        <v>1320</v>
      </c>
      <c r="E202" s="794" t="s">
        <v>431</v>
      </c>
      <c r="F202" s="795">
        <v>2322</v>
      </c>
      <c r="G202" s="750" t="s">
        <v>479</v>
      </c>
      <c r="H202" s="701"/>
      <c r="I202" s="701">
        <v>1776.5</v>
      </c>
      <c r="J202" s="1494" t="s">
        <v>1134</v>
      </c>
      <c r="K202" s="792"/>
      <c r="L202" s="660"/>
      <c r="M202" s="3183">
        <v>250</v>
      </c>
      <c r="N202" s="305" t="s">
        <v>729</v>
      </c>
      <c r="O202" s="7"/>
      <c r="P202" s="7"/>
    </row>
    <row r="203" spans="1:16">
      <c r="A203" s="827"/>
      <c r="B203" s="1831" t="s">
        <v>772</v>
      </c>
      <c r="C203" s="756" t="s">
        <v>320</v>
      </c>
      <c r="D203" s="828" t="s">
        <v>1320</v>
      </c>
      <c r="E203" s="794" t="s">
        <v>431</v>
      </c>
      <c r="F203" s="829">
        <v>2322</v>
      </c>
      <c r="G203" s="830" t="s">
        <v>328</v>
      </c>
      <c r="H203" s="807"/>
      <c r="I203" s="807">
        <v>710.6</v>
      </c>
      <c r="J203" s="1494" t="s">
        <v>1134</v>
      </c>
      <c r="K203" s="831"/>
      <c r="L203" s="1025"/>
      <c r="M203" s="3205">
        <v>492.79999999999995</v>
      </c>
      <c r="N203" s="7" t="s">
        <v>729</v>
      </c>
      <c r="O203" s="7"/>
      <c r="P203" s="7"/>
    </row>
    <row r="204" spans="1:16">
      <c r="A204" s="827"/>
      <c r="B204" s="1831" t="s">
        <v>772</v>
      </c>
      <c r="C204" s="756" t="s">
        <v>320</v>
      </c>
      <c r="D204" s="828" t="s">
        <v>1320</v>
      </c>
      <c r="E204" s="794" t="s">
        <v>431</v>
      </c>
      <c r="F204" s="829">
        <v>2322</v>
      </c>
      <c r="G204" s="830" t="s">
        <v>2799</v>
      </c>
      <c r="H204" s="701"/>
      <c r="I204" s="701">
        <v>204</v>
      </c>
      <c r="J204" s="1494" t="s">
        <v>1134</v>
      </c>
      <c r="K204" s="792"/>
      <c r="L204" s="660"/>
      <c r="M204" s="3183">
        <v>168</v>
      </c>
      <c r="N204" s="305"/>
      <c r="O204" s="7"/>
      <c r="P204" s="7"/>
    </row>
    <row r="205" spans="1:16">
      <c r="A205" s="1406"/>
      <c r="B205" s="720" t="s">
        <v>772</v>
      </c>
      <c r="C205" s="1406" t="s">
        <v>320</v>
      </c>
      <c r="D205" s="1678" t="s">
        <v>1320</v>
      </c>
      <c r="E205" s="1678" t="s">
        <v>431</v>
      </c>
      <c r="F205" s="1698">
        <v>2341</v>
      </c>
      <c r="G205" s="1691" t="s">
        <v>192</v>
      </c>
      <c r="H205" s="1692">
        <v>90</v>
      </c>
      <c r="I205" s="1693"/>
      <c r="J205" s="1684">
        <v>0</v>
      </c>
      <c r="K205" s="1694"/>
      <c r="L205" s="1692">
        <v>90</v>
      </c>
      <c r="M205" s="3206"/>
      <c r="N205" s="305"/>
      <c r="O205" s="7"/>
      <c r="P205" s="7"/>
    </row>
    <row r="206" spans="1:16">
      <c r="A206" s="1407"/>
      <c r="B206" s="700" t="s">
        <v>772</v>
      </c>
      <c r="C206" s="1407" t="s">
        <v>320</v>
      </c>
      <c r="D206" s="1679" t="s">
        <v>1320</v>
      </c>
      <c r="E206" s="1679" t="s">
        <v>431</v>
      </c>
      <c r="F206" s="1413">
        <v>2341</v>
      </c>
      <c r="G206" s="818" t="s">
        <v>996</v>
      </c>
      <c r="H206" s="1683"/>
      <c r="I206" s="1683">
        <v>90</v>
      </c>
      <c r="J206" s="1684" t="s">
        <v>1134</v>
      </c>
      <c r="K206" s="1685"/>
      <c r="L206" s="1683"/>
      <c r="M206" s="3179">
        <v>90</v>
      </c>
      <c r="N206" s="305"/>
      <c r="O206" s="7"/>
      <c r="P206" s="7"/>
    </row>
    <row r="207" spans="1:16">
      <c r="A207" s="1406"/>
      <c r="B207" s="720" t="s">
        <v>772</v>
      </c>
      <c r="C207" s="1406" t="s">
        <v>320</v>
      </c>
      <c r="D207" s="1678" t="s">
        <v>1320</v>
      </c>
      <c r="E207" s="1678" t="s">
        <v>431</v>
      </c>
      <c r="F207" s="1698">
        <v>2350</v>
      </c>
      <c r="G207" s="1691" t="s">
        <v>133</v>
      </c>
      <c r="H207" s="1692">
        <v>1700</v>
      </c>
      <c r="I207" s="1693"/>
      <c r="J207" s="1684">
        <v>747</v>
      </c>
      <c r="K207" s="1694"/>
      <c r="L207" s="1692">
        <v>1700</v>
      </c>
      <c r="M207" s="3206"/>
      <c r="N207" s="305"/>
      <c r="O207" s="7"/>
      <c r="P207" s="7"/>
    </row>
    <row r="208" spans="1:16" ht="20.399999999999999">
      <c r="A208" s="1407"/>
      <c r="B208" s="700" t="s">
        <v>772</v>
      </c>
      <c r="C208" s="1407" t="s">
        <v>320</v>
      </c>
      <c r="D208" s="1679" t="s">
        <v>1320</v>
      </c>
      <c r="E208" s="1679" t="s">
        <v>431</v>
      </c>
      <c r="F208" s="1413">
        <v>2350</v>
      </c>
      <c r="G208" s="818" t="s">
        <v>870</v>
      </c>
      <c r="H208" s="1683"/>
      <c r="I208" s="1683">
        <v>500</v>
      </c>
      <c r="J208" s="1684" t="s">
        <v>1134</v>
      </c>
      <c r="K208" s="1685"/>
      <c r="L208" s="1683"/>
      <c r="M208" s="3179">
        <v>500</v>
      </c>
      <c r="N208" s="381" t="s">
        <v>4695</v>
      </c>
      <c r="O208" s="4"/>
      <c r="P208" s="4"/>
    </row>
    <row r="209" spans="1:16" ht="20.399999999999999">
      <c r="A209" s="1670"/>
      <c r="B209" s="700" t="s">
        <v>772</v>
      </c>
      <c r="C209" s="1407" t="s">
        <v>320</v>
      </c>
      <c r="D209" s="1679" t="s">
        <v>1320</v>
      </c>
      <c r="E209" s="1679" t="s">
        <v>431</v>
      </c>
      <c r="F209" s="1413">
        <v>2350</v>
      </c>
      <c r="G209" s="750" t="s">
        <v>3483</v>
      </c>
      <c r="H209" s="1700"/>
      <c r="I209" s="1700">
        <v>700</v>
      </c>
      <c r="J209" s="1701"/>
      <c r="K209" s="1702"/>
      <c r="L209" s="1700"/>
      <c r="M209" s="3207">
        <v>700</v>
      </c>
      <c r="N209" s="305"/>
      <c r="O209" s="7"/>
      <c r="P209" s="7"/>
    </row>
    <row r="210" spans="1:16">
      <c r="A210" s="1407"/>
      <c r="B210" s="700" t="s">
        <v>772</v>
      </c>
      <c r="C210" s="1407" t="s">
        <v>320</v>
      </c>
      <c r="D210" s="1679" t="s">
        <v>1320</v>
      </c>
      <c r="E210" s="1679" t="s">
        <v>431</v>
      </c>
      <c r="F210" s="1413">
        <v>2350</v>
      </c>
      <c r="G210" s="818" t="s">
        <v>152</v>
      </c>
      <c r="H210" s="1683"/>
      <c r="I210" s="1683">
        <v>500</v>
      </c>
      <c r="J210" s="1684" t="s">
        <v>1134</v>
      </c>
      <c r="K210" s="1685"/>
      <c r="L210" s="1683"/>
      <c r="M210" s="3179">
        <v>500</v>
      </c>
      <c r="N210" s="125"/>
      <c r="O210" s="7"/>
      <c r="P210" s="7"/>
    </row>
    <row r="211" spans="1:16">
      <c r="A211" s="683"/>
      <c r="B211" s="720" t="s">
        <v>772</v>
      </c>
      <c r="C211" s="683" t="s">
        <v>320</v>
      </c>
      <c r="D211" s="719" t="s">
        <v>1320</v>
      </c>
      <c r="E211" s="823" t="s">
        <v>431</v>
      </c>
      <c r="F211" s="824">
        <v>2370</v>
      </c>
      <c r="G211" s="800" t="s">
        <v>134</v>
      </c>
      <c r="H211" s="706">
        <v>250</v>
      </c>
      <c r="I211" s="801"/>
      <c r="J211" s="1494">
        <v>0</v>
      </c>
      <c r="K211" s="802"/>
      <c r="L211" s="689">
        <v>200</v>
      </c>
      <c r="M211" s="3188"/>
      <c r="N211" s="125"/>
      <c r="O211" s="7"/>
      <c r="P211" s="7"/>
    </row>
    <row r="212" spans="1:16">
      <c r="A212" s="663"/>
      <c r="B212" s="700" t="s">
        <v>772</v>
      </c>
      <c r="C212" s="663" t="s">
        <v>320</v>
      </c>
      <c r="D212" s="678" t="s">
        <v>1320</v>
      </c>
      <c r="E212" s="794" t="s">
        <v>431</v>
      </c>
      <c r="F212" s="795">
        <v>2370</v>
      </c>
      <c r="G212" s="750" t="s">
        <v>5332</v>
      </c>
      <c r="H212" s="701"/>
      <c r="I212" s="701">
        <v>250</v>
      </c>
      <c r="J212" s="1494" t="s">
        <v>1134</v>
      </c>
      <c r="K212" s="792"/>
      <c r="L212" s="660"/>
      <c r="M212" s="3183">
        <v>200</v>
      </c>
      <c r="N212" s="125"/>
      <c r="O212" s="7"/>
      <c r="P212" s="7"/>
    </row>
    <row r="213" spans="1:16">
      <c r="A213" s="683"/>
      <c r="B213" s="720" t="s">
        <v>772</v>
      </c>
      <c r="C213" s="683" t="s">
        <v>320</v>
      </c>
      <c r="D213" s="719" t="s">
        <v>1320</v>
      </c>
      <c r="E213" s="823" t="s">
        <v>431</v>
      </c>
      <c r="F213" s="685">
        <v>2390</v>
      </c>
      <c r="G213" s="686" t="s">
        <v>135</v>
      </c>
      <c r="H213" s="706">
        <v>500</v>
      </c>
      <c r="I213" s="801"/>
      <c r="J213" s="1494">
        <v>2088</v>
      </c>
      <c r="K213" s="690"/>
      <c r="L213" s="689">
        <v>460</v>
      </c>
      <c r="M213" s="3198"/>
      <c r="N213" s="125">
        <v>1710868</v>
      </c>
      <c r="O213" s="3"/>
      <c r="P213" s="3"/>
    </row>
    <row r="214" spans="1:16">
      <c r="A214" s="700"/>
      <c r="B214" s="700" t="s">
        <v>772</v>
      </c>
      <c r="C214" s="700" t="s">
        <v>320</v>
      </c>
      <c r="D214" s="794" t="s">
        <v>1320</v>
      </c>
      <c r="E214" s="794" t="s">
        <v>431</v>
      </c>
      <c r="F214" s="795">
        <v>2390</v>
      </c>
      <c r="G214" s="750" t="s">
        <v>3467</v>
      </c>
      <c r="H214" s="701"/>
      <c r="I214" s="701">
        <v>200</v>
      </c>
      <c r="J214" s="1654" t="s">
        <v>1134</v>
      </c>
      <c r="K214" s="792"/>
      <c r="L214" s="701"/>
      <c r="M214" s="3172">
        <v>160</v>
      </c>
      <c r="N214" s="375">
        <v>-1710868</v>
      </c>
      <c r="O214" s="3"/>
      <c r="P214" s="3"/>
    </row>
    <row r="215" spans="1:16">
      <c r="A215" s="663"/>
      <c r="B215" s="700" t="s">
        <v>772</v>
      </c>
      <c r="C215" s="663" t="s">
        <v>320</v>
      </c>
      <c r="D215" s="678" t="s">
        <v>1320</v>
      </c>
      <c r="E215" s="794" t="s">
        <v>431</v>
      </c>
      <c r="F215" s="795">
        <v>2390</v>
      </c>
      <c r="G215" s="750" t="s">
        <v>1151</v>
      </c>
      <c r="H215" s="701"/>
      <c r="I215" s="701">
        <v>300</v>
      </c>
      <c r="J215" s="1494" t="s">
        <v>1134</v>
      </c>
      <c r="K215" s="661"/>
      <c r="L215" s="659"/>
      <c r="M215" s="3183">
        <v>300</v>
      </c>
      <c r="N215" s="305"/>
      <c r="O215" s="7"/>
      <c r="P215" s="7"/>
    </row>
    <row r="216" spans="1:16" ht="20.399999999999999">
      <c r="A216" s="683"/>
      <c r="B216" s="720" t="s">
        <v>772</v>
      </c>
      <c r="C216" s="683" t="s">
        <v>320</v>
      </c>
      <c r="D216" s="719" t="s">
        <v>1320</v>
      </c>
      <c r="E216" s="823" t="s">
        <v>431</v>
      </c>
      <c r="F216" s="824">
        <v>2512</v>
      </c>
      <c r="G216" s="800" t="s">
        <v>779</v>
      </c>
      <c r="H216" s="706">
        <v>2600</v>
      </c>
      <c r="I216" s="801"/>
      <c r="J216" s="1654">
        <v>2174</v>
      </c>
      <c r="K216" s="802"/>
      <c r="L216" s="706">
        <v>2950</v>
      </c>
      <c r="M216" s="3178"/>
      <c r="N216" s="305"/>
      <c r="O216" s="7"/>
      <c r="P216" s="7"/>
    </row>
    <row r="217" spans="1:16">
      <c r="A217" s="1145"/>
      <c r="B217" s="700" t="s">
        <v>772</v>
      </c>
      <c r="C217" s="700" t="s">
        <v>322</v>
      </c>
      <c r="D217" s="794" t="s">
        <v>1320</v>
      </c>
      <c r="E217" s="794" t="s">
        <v>431</v>
      </c>
      <c r="F217" s="795">
        <v>2512</v>
      </c>
      <c r="G217" s="1153" t="s">
        <v>4428</v>
      </c>
      <c r="H217" s="1165"/>
      <c r="I217" s="1165">
        <v>2000</v>
      </c>
      <c r="J217" s="1654" t="s">
        <v>1134</v>
      </c>
      <c r="K217" s="1439"/>
      <c r="L217" s="1165"/>
      <c r="M217" s="3172">
        <v>2950</v>
      </c>
      <c r="N217" s="305"/>
      <c r="O217" s="7"/>
      <c r="P217" s="7"/>
    </row>
    <row r="218" spans="1:16" ht="20.399999999999999">
      <c r="A218" s="663"/>
      <c r="B218" s="700" t="s">
        <v>772</v>
      </c>
      <c r="C218" s="700" t="s">
        <v>322</v>
      </c>
      <c r="D218" s="794" t="s">
        <v>1320</v>
      </c>
      <c r="E218" s="794" t="s">
        <v>431</v>
      </c>
      <c r="F218" s="795">
        <v>2512</v>
      </c>
      <c r="G218" s="750" t="s">
        <v>3365</v>
      </c>
      <c r="H218" s="701"/>
      <c r="I218" s="701">
        <v>600</v>
      </c>
      <c r="J218" s="1654" t="s">
        <v>1134</v>
      </c>
      <c r="K218" s="792"/>
      <c r="L218" s="701"/>
      <c r="M218" s="3172"/>
      <c r="N218" s="305"/>
      <c r="O218" s="7"/>
      <c r="P218" s="7"/>
    </row>
    <row r="219" spans="1:16" ht="20.399999999999999">
      <c r="A219" s="683"/>
      <c r="B219" s="720" t="s">
        <v>772</v>
      </c>
      <c r="C219" s="683" t="s">
        <v>320</v>
      </c>
      <c r="D219" s="719" t="s">
        <v>1320</v>
      </c>
      <c r="E219" s="823" t="s">
        <v>431</v>
      </c>
      <c r="F219" s="824">
        <v>2519</v>
      </c>
      <c r="G219" s="800" t="s">
        <v>780</v>
      </c>
      <c r="H219" s="706">
        <v>3650</v>
      </c>
      <c r="I219" s="801"/>
      <c r="J219" s="1654">
        <v>2195</v>
      </c>
      <c r="K219" s="802"/>
      <c r="L219" s="706">
        <v>2400</v>
      </c>
      <c r="M219" s="3178"/>
      <c r="N219" s="305"/>
      <c r="O219" s="7"/>
      <c r="P219" s="7"/>
    </row>
    <row r="220" spans="1:16" ht="20.399999999999999">
      <c r="A220" s="663"/>
      <c r="B220" s="700" t="s">
        <v>772</v>
      </c>
      <c r="C220" s="663" t="s">
        <v>320</v>
      </c>
      <c r="D220" s="678" t="s">
        <v>1320</v>
      </c>
      <c r="E220" s="794" t="s">
        <v>431</v>
      </c>
      <c r="F220" s="795">
        <v>2519</v>
      </c>
      <c r="G220" s="812" t="s">
        <v>1332</v>
      </c>
      <c r="H220" s="701"/>
      <c r="I220" s="701">
        <v>1200</v>
      </c>
      <c r="J220" s="1654" t="s">
        <v>1134</v>
      </c>
      <c r="K220" s="792"/>
      <c r="L220" s="701"/>
      <c r="M220" s="3172">
        <v>1200</v>
      </c>
      <c r="N220" s="305"/>
      <c r="O220" s="7"/>
      <c r="P220" s="7"/>
    </row>
    <row r="221" spans="1:16">
      <c r="A221" s="1590"/>
      <c r="B221" s="700" t="s">
        <v>772</v>
      </c>
      <c r="C221" s="700" t="s">
        <v>320</v>
      </c>
      <c r="D221" s="794" t="s">
        <v>1320</v>
      </c>
      <c r="E221" s="794" t="s">
        <v>431</v>
      </c>
      <c r="F221" s="795">
        <v>2519</v>
      </c>
      <c r="G221" s="1569" t="s">
        <v>4843</v>
      </c>
      <c r="H221" s="1557"/>
      <c r="I221" s="1557"/>
      <c r="J221" s="1655"/>
      <c r="K221" s="1563"/>
      <c r="L221" s="1557"/>
      <c r="M221" s="3208">
        <v>1200</v>
      </c>
      <c r="N221" s="305"/>
      <c r="O221" s="7"/>
      <c r="P221" s="7"/>
    </row>
    <row r="222" spans="1:16" ht="30.6">
      <c r="A222" s="1145"/>
      <c r="B222" s="700" t="s">
        <v>772</v>
      </c>
      <c r="C222" s="663" t="s">
        <v>320</v>
      </c>
      <c r="D222" s="678" t="s">
        <v>1320</v>
      </c>
      <c r="E222" s="794" t="s">
        <v>431</v>
      </c>
      <c r="F222" s="795">
        <v>2519</v>
      </c>
      <c r="G222" s="1129" t="s">
        <v>3160</v>
      </c>
      <c r="H222" s="1165"/>
      <c r="I222" s="1446">
        <v>1000</v>
      </c>
      <c r="J222" s="1494" t="s">
        <v>1134</v>
      </c>
      <c r="K222" s="646"/>
      <c r="L222" s="1115"/>
      <c r="M222" s="3191"/>
      <c r="N222" s="305"/>
      <c r="O222" s="7"/>
      <c r="P222" s="7"/>
    </row>
    <row r="223" spans="1:16" ht="30.6">
      <c r="A223" s="1145"/>
      <c r="B223" s="700" t="s">
        <v>772</v>
      </c>
      <c r="C223" s="663" t="s">
        <v>320</v>
      </c>
      <c r="D223" s="678" t="s">
        <v>1320</v>
      </c>
      <c r="E223" s="794" t="s">
        <v>431</v>
      </c>
      <c r="F223" s="795">
        <v>2519</v>
      </c>
      <c r="G223" s="1129" t="s">
        <v>3267</v>
      </c>
      <c r="H223" s="1165"/>
      <c r="I223" s="1446">
        <v>1450</v>
      </c>
      <c r="J223" s="1494" t="s">
        <v>1134</v>
      </c>
      <c r="K223" s="646"/>
      <c r="L223" s="1115"/>
      <c r="M223" s="3191"/>
      <c r="N223" s="305"/>
      <c r="O223" s="7"/>
      <c r="P223" s="7"/>
    </row>
    <row r="224" spans="1:16" ht="20.399999999999999">
      <c r="A224" s="832"/>
      <c r="B224" s="3287" t="s">
        <v>809</v>
      </c>
      <c r="C224" s="832" t="s">
        <v>325</v>
      </c>
      <c r="D224" s="833" t="s">
        <v>1320</v>
      </c>
      <c r="E224" s="2542" t="s">
        <v>431</v>
      </c>
      <c r="F224" s="834">
        <v>4311</v>
      </c>
      <c r="G224" s="835" t="s">
        <v>136</v>
      </c>
      <c r="H224" s="706">
        <v>2052431</v>
      </c>
      <c r="I224" s="801"/>
      <c r="J224" s="1494">
        <v>1672644</v>
      </c>
      <c r="K224" s="802"/>
      <c r="L224" s="689">
        <v>1402431</v>
      </c>
      <c r="M224" s="3188"/>
      <c r="N224" s="305"/>
      <c r="O224" s="7"/>
      <c r="P224" s="7"/>
    </row>
    <row r="225" spans="1:32">
      <c r="A225" s="760"/>
      <c r="B225" s="700" t="s">
        <v>809</v>
      </c>
      <c r="C225" s="663" t="s">
        <v>325</v>
      </c>
      <c r="D225" s="678" t="s">
        <v>1320</v>
      </c>
      <c r="E225" s="794" t="s">
        <v>431</v>
      </c>
      <c r="F225" s="795">
        <v>4311</v>
      </c>
      <c r="G225" s="812"/>
      <c r="H225" s="701"/>
      <c r="I225" s="701">
        <v>2052431</v>
      </c>
      <c r="J225" s="1494" t="s">
        <v>1134</v>
      </c>
      <c r="K225" s="792"/>
      <c r="L225" s="660"/>
      <c r="M225" s="3209">
        <v>1402431</v>
      </c>
      <c r="N225" s="305"/>
      <c r="O225" s="7"/>
      <c r="P225" s="7"/>
    </row>
    <row r="226" spans="1:32" ht="30.6">
      <c r="A226" s="760"/>
      <c r="B226" s="700" t="s">
        <v>809</v>
      </c>
      <c r="C226" s="663" t="s">
        <v>325</v>
      </c>
      <c r="D226" s="678" t="s">
        <v>1320</v>
      </c>
      <c r="E226" s="794" t="s">
        <v>431</v>
      </c>
      <c r="F226" s="795">
        <v>4311</v>
      </c>
      <c r="G226" s="812" t="s">
        <v>1883</v>
      </c>
      <c r="H226" s="701"/>
      <c r="I226" s="701"/>
      <c r="J226" s="1494" t="s">
        <v>1134</v>
      </c>
      <c r="K226" s="792"/>
      <c r="L226" s="660"/>
      <c r="M226" s="3183"/>
      <c r="N226" s="2048">
        <v>2800</v>
      </c>
      <c r="O226" s="7"/>
      <c r="P226" s="7"/>
    </row>
    <row r="227" spans="1:32">
      <c r="A227" s="683"/>
      <c r="B227" s="720" t="s">
        <v>774</v>
      </c>
      <c r="C227" s="683" t="s">
        <v>324</v>
      </c>
      <c r="D227" s="719" t="s">
        <v>1320</v>
      </c>
      <c r="E227" s="823" t="s">
        <v>431</v>
      </c>
      <c r="F227" s="824">
        <v>5238</v>
      </c>
      <c r="G227" s="800" t="s">
        <v>139</v>
      </c>
      <c r="H227" s="706">
        <v>5629.5</v>
      </c>
      <c r="I227" s="801"/>
      <c r="J227" s="1654">
        <v>3481.26</v>
      </c>
      <c r="K227" s="802"/>
      <c r="L227" s="706">
        <v>8500</v>
      </c>
      <c r="M227" s="3178"/>
      <c r="N227" s="305"/>
      <c r="O227" s="7"/>
      <c r="P227" s="7"/>
    </row>
    <row r="228" spans="1:32" ht="20.399999999999999">
      <c r="A228" s="663"/>
      <c r="B228" s="700" t="s">
        <v>774</v>
      </c>
      <c r="C228" s="663" t="s">
        <v>324</v>
      </c>
      <c r="D228" s="678" t="s">
        <v>1320</v>
      </c>
      <c r="E228" s="794" t="s">
        <v>431</v>
      </c>
      <c r="F228" s="795">
        <v>5238</v>
      </c>
      <c r="G228" s="750" t="s">
        <v>2495</v>
      </c>
      <c r="H228" s="701"/>
      <c r="I228" s="701">
        <v>1512.5</v>
      </c>
      <c r="J228" s="1654" t="s">
        <v>1134</v>
      </c>
      <c r="K228" s="792"/>
      <c r="L228" s="701"/>
      <c r="M228" s="3172"/>
      <c r="N228" s="17"/>
      <c r="O228" s="7"/>
      <c r="P228" s="7"/>
    </row>
    <row r="229" spans="1:32" ht="20.399999999999999">
      <c r="A229" s="663"/>
      <c r="B229" s="700" t="s">
        <v>774</v>
      </c>
      <c r="C229" s="663" t="s">
        <v>324</v>
      </c>
      <c r="D229" s="678" t="s">
        <v>1320</v>
      </c>
      <c r="E229" s="794" t="s">
        <v>431</v>
      </c>
      <c r="F229" s="795">
        <v>5238</v>
      </c>
      <c r="G229" s="750" t="s">
        <v>2494</v>
      </c>
      <c r="H229" s="701"/>
      <c r="I229" s="701">
        <v>700</v>
      </c>
      <c r="J229" s="1654" t="s">
        <v>1134</v>
      </c>
      <c r="K229" s="792"/>
      <c r="L229" s="701"/>
      <c r="M229" s="3172"/>
      <c r="N229" s="17"/>
      <c r="O229" s="3"/>
      <c r="P229" s="3"/>
    </row>
    <row r="230" spans="1:32">
      <c r="A230" s="663"/>
      <c r="B230" s="700" t="s">
        <v>774</v>
      </c>
      <c r="C230" s="663" t="s">
        <v>324</v>
      </c>
      <c r="D230" s="678" t="s">
        <v>1320</v>
      </c>
      <c r="E230" s="794" t="s">
        <v>431</v>
      </c>
      <c r="F230" s="795">
        <v>5238</v>
      </c>
      <c r="G230" s="750" t="s">
        <v>869</v>
      </c>
      <c r="H230" s="701"/>
      <c r="I230" s="701">
        <v>1700</v>
      </c>
      <c r="J230" s="1654" t="s">
        <v>1134</v>
      </c>
      <c r="K230" s="792"/>
      <c r="L230" s="701"/>
      <c r="M230" s="3172">
        <v>3700</v>
      </c>
      <c r="N230" s="17"/>
      <c r="O230" s="7"/>
      <c r="P230" s="7"/>
    </row>
    <row r="231" spans="1:32">
      <c r="A231" s="663"/>
      <c r="B231" s="700" t="s">
        <v>774</v>
      </c>
      <c r="C231" s="663" t="s">
        <v>324</v>
      </c>
      <c r="D231" s="678" t="s">
        <v>1320</v>
      </c>
      <c r="E231" s="794" t="s">
        <v>431</v>
      </c>
      <c r="F231" s="795">
        <v>5238</v>
      </c>
      <c r="G231" s="750" t="s">
        <v>4904</v>
      </c>
      <c r="H231" s="701"/>
      <c r="I231" s="701">
        <v>2000</v>
      </c>
      <c r="J231" s="1654" t="s">
        <v>1134</v>
      </c>
      <c r="K231" s="792"/>
      <c r="L231" s="701"/>
      <c r="M231" s="3172">
        <v>4800</v>
      </c>
      <c r="N231" s="11"/>
      <c r="O231" s="3"/>
      <c r="P231" s="3"/>
    </row>
    <row r="232" spans="1:32" ht="30.6">
      <c r="A232" s="663"/>
      <c r="B232" s="700" t="s">
        <v>774</v>
      </c>
      <c r="C232" s="663" t="s">
        <v>324</v>
      </c>
      <c r="D232" s="678" t="s">
        <v>1320</v>
      </c>
      <c r="E232" s="794" t="s">
        <v>431</v>
      </c>
      <c r="F232" s="795">
        <v>5238</v>
      </c>
      <c r="G232" s="750" t="s">
        <v>3366</v>
      </c>
      <c r="H232" s="701"/>
      <c r="I232" s="701">
        <v>-283</v>
      </c>
      <c r="J232" s="1654" t="s">
        <v>1134</v>
      </c>
      <c r="K232" s="792"/>
      <c r="L232" s="701"/>
      <c r="M232" s="3172"/>
      <c r="N232" s="17"/>
      <c r="O232" s="3"/>
      <c r="P232" s="3"/>
    </row>
    <row r="233" spans="1:32">
      <c r="A233" s="683"/>
      <c r="B233" s="720" t="s">
        <v>774</v>
      </c>
      <c r="C233" s="683" t="s">
        <v>324</v>
      </c>
      <c r="D233" s="719" t="s">
        <v>1320</v>
      </c>
      <c r="E233" s="823" t="s">
        <v>431</v>
      </c>
      <c r="F233" s="824">
        <v>5239</v>
      </c>
      <c r="G233" s="800" t="s">
        <v>138</v>
      </c>
      <c r="H233" s="706">
        <v>6000</v>
      </c>
      <c r="I233" s="793"/>
      <c r="J233" s="1654">
        <v>0</v>
      </c>
      <c r="K233" s="802"/>
      <c r="L233" s="706">
        <v>6000</v>
      </c>
      <c r="M233" s="3210"/>
      <c r="N233" s="17"/>
      <c r="O233" s="4"/>
      <c r="P233" s="4"/>
      <c r="Q233" s="4"/>
      <c r="R233" s="4"/>
      <c r="S233" s="4"/>
      <c r="T233" s="4"/>
      <c r="U233" s="4"/>
      <c r="V233" s="4"/>
      <c r="W233" s="4"/>
      <c r="X233" s="4"/>
      <c r="Y233" s="4"/>
      <c r="Z233" s="4"/>
      <c r="AA233" s="4"/>
      <c r="AB233" s="4"/>
      <c r="AC233" s="4"/>
      <c r="AD233" s="4"/>
      <c r="AE233" s="4"/>
      <c r="AF233" s="4"/>
    </row>
    <row r="234" spans="1:32">
      <c r="A234" s="663"/>
      <c r="B234" s="700" t="s">
        <v>774</v>
      </c>
      <c r="C234" s="663" t="s">
        <v>324</v>
      </c>
      <c r="D234" s="678" t="s">
        <v>1320</v>
      </c>
      <c r="E234" s="794" t="s">
        <v>431</v>
      </c>
      <c r="F234" s="795">
        <v>5239</v>
      </c>
      <c r="G234" s="750" t="s">
        <v>4804</v>
      </c>
      <c r="H234" s="701"/>
      <c r="I234" s="701">
        <v>6000</v>
      </c>
      <c r="J234" s="1654" t="s">
        <v>1134</v>
      </c>
      <c r="K234" s="792"/>
      <c r="L234" s="701"/>
      <c r="M234" s="3172">
        <v>6000</v>
      </c>
      <c r="N234" s="17"/>
      <c r="O234" s="4"/>
      <c r="P234" s="4"/>
      <c r="Q234" s="4"/>
      <c r="R234" s="4"/>
      <c r="S234" s="4"/>
    </row>
    <row r="235" spans="1:32" ht="20.399999999999999">
      <c r="A235" s="663"/>
      <c r="B235" s="700" t="s">
        <v>774</v>
      </c>
      <c r="C235" s="663" t="s">
        <v>324</v>
      </c>
      <c r="D235" s="678" t="s">
        <v>1320</v>
      </c>
      <c r="E235" s="794" t="s">
        <v>431</v>
      </c>
      <c r="F235" s="795">
        <v>5239</v>
      </c>
      <c r="G235" s="750" t="s">
        <v>2034</v>
      </c>
      <c r="H235" s="701"/>
      <c r="I235" s="701"/>
      <c r="J235" s="1654" t="s">
        <v>1134</v>
      </c>
      <c r="K235" s="792"/>
      <c r="L235" s="701"/>
      <c r="M235" s="3172"/>
      <c r="N235" s="11"/>
      <c r="O235" s="4"/>
      <c r="P235" s="4"/>
      <c r="Q235" s="4"/>
      <c r="R235" s="4"/>
      <c r="S235" s="4"/>
    </row>
    <row r="236" spans="1:32" ht="20.399999999999999" customHeight="1">
      <c r="A236" s="663"/>
      <c r="B236" s="700" t="s">
        <v>774</v>
      </c>
      <c r="C236" s="663" t="s">
        <v>324</v>
      </c>
      <c r="D236" s="678" t="s">
        <v>1320</v>
      </c>
      <c r="E236" s="794" t="s">
        <v>431</v>
      </c>
      <c r="F236" s="795">
        <v>5239</v>
      </c>
      <c r="G236" s="750" t="s">
        <v>2035</v>
      </c>
      <c r="H236" s="701"/>
      <c r="I236" s="701"/>
      <c r="J236" s="1654" t="s">
        <v>1134</v>
      </c>
      <c r="K236" s="792"/>
      <c r="L236" s="701"/>
      <c r="M236" s="3172"/>
      <c r="N236" s="17"/>
      <c r="O236" s="7"/>
      <c r="P236" s="7"/>
      <c r="Q236" s="7"/>
      <c r="R236" s="7"/>
      <c r="S236" s="7"/>
      <c r="T236" s="7"/>
      <c r="U236" s="4"/>
      <c r="V236" s="4"/>
      <c r="W236" s="4"/>
      <c r="X236" s="4"/>
      <c r="Y236" s="4"/>
      <c r="Z236" s="4"/>
      <c r="AA236" s="4"/>
      <c r="AB236" s="4"/>
      <c r="AC236" s="4"/>
      <c r="AD236" s="4"/>
      <c r="AE236" s="4"/>
      <c r="AF236" s="4"/>
    </row>
    <row r="237" spans="1:32" ht="20.399999999999999">
      <c r="A237" s="683"/>
      <c r="B237" s="720" t="s">
        <v>813</v>
      </c>
      <c r="C237" s="683" t="s">
        <v>669</v>
      </c>
      <c r="D237" s="719" t="s">
        <v>1320</v>
      </c>
      <c r="E237" s="823" t="s">
        <v>431</v>
      </c>
      <c r="F237" s="824">
        <v>7260</v>
      </c>
      <c r="G237" s="800" t="s">
        <v>140</v>
      </c>
      <c r="H237" s="706">
        <v>6917724</v>
      </c>
      <c r="I237" s="801"/>
      <c r="J237" s="1654">
        <v>5626416</v>
      </c>
      <c r="K237" s="802"/>
      <c r="L237" s="706">
        <v>7376681</v>
      </c>
      <c r="M237" s="3178"/>
      <c r="N237" s="11"/>
      <c r="O237" s="4"/>
      <c r="P237" s="4"/>
      <c r="Q237" s="4"/>
      <c r="R237" s="4"/>
      <c r="S237" s="4"/>
    </row>
    <row r="238" spans="1:32">
      <c r="A238" s="760"/>
      <c r="B238" s="700" t="s">
        <v>813</v>
      </c>
      <c r="C238" s="663" t="s">
        <v>669</v>
      </c>
      <c r="D238" s="678" t="s">
        <v>1320</v>
      </c>
      <c r="E238" s="794" t="s">
        <v>431</v>
      </c>
      <c r="F238" s="795">
        <v>7260</v>
      </c>
      <c r="G238" s="750" t="s">
        <v>1042</v>
      </c>
      <c r="H238" s="701"/>
      <c r="I238" s="701">
        <v>6917724</v>
      </c>
      <c r="J238" s="1654" t="s">
        <v>1134</v>
      </c>
      <c r="K238" s="792"/>
      <c r="L238" s="701"/>
      <c r="M238" s="3172">
        <v>7376681</v>
      </c>
      <c r="N238" s="11"/>
      <c r="O238" s="4"/>
      <c r="P238" s="4"/>
      <c r="Q238" s="4"/>
      <c r="R238" s="4"/>
      <c r="S238" s="4"/>
      <c r="T238" s="4"/>
      <c r="U238" s="4"/>
      <c r="V238" s="4"/>
      <c r="W238" s="4"/>
      <c r="X238" s="4"/>
      <c r="Y238" s="4"/>
      <c r="Z238" s="4"/>
      <c r="AA238" s="4"/>
      <c r="AB238" s="4"/>
      <c r="AC238" s="4"/>
      <c r="AD238" s="4"/>
      <c r="AE238" s="4"/>
      <c r="AF238" s="4"/>
    </row>
    <row r="239" spans="1:32">
      <c r="A239" s="760"/>
      <c r="B239" s="700" t="s">
        <v>813</v>
      </c>
      <c r="C239" s="663" t="s">
        <v>669</v>
      </c>
      <c r="D239" s="678" t="s">
        <v>1320</v>
      </c>
      <c r="E239" s="794" t="s">
        <v>431</v>
      </c>
      <c r="F239" s="795">
        <v>7260</v>
      </c>
      <c r="G239" s="750" t="s">
        <v>1071</v>
      </c>
      <c r="H239" s="701"/>
      <c r="I239" s="701"/>
      <c r="J239" s="1654" t="s">
        <v>1134</v>
      </c>
      <c r="K239" s="792"/>
      <c r="L239" s="701"/>
      <c r="M239" s="3172"/>
      <c r="N239" s="17"/>
      <c r="O239" s="7"/>
      <c r="P239" s="7"/>
      <c r="Q239" s="7"/>
      <c r="R239" s="7"/>
      <c r="S239" s="7"/>
      <c r="T239" s="7"/>
      <c r="U239" s="7"/>
      <c r="V239" s="7"/>
      <c r="W239" s="7"/>
      <c r="X239" s="7"/>
      <c r="Y239" s="7"/>
      <c r="Z239" s="7"/>
      <c r="AA239" s="7"/>
      <c r="AB239" s="7"/>
      <c r="AC239" s="7"/>
      <c r="AD239" s="7"/>
      <c r="AE239" s="7"/>
      <c r="AF239" s="7"/>
    </row>
    <row r="240" spans="1:32">
      <c r="A240" s="683"/>
      <c r="B240" s="720" t="s">
        <v>436</v>
      </c>
      <c r="C240" s="683" t="s">
        <v>427</v>
      </c>
      <c r="D240" s="719" t="s">
        <v>1320</v>
      </c>
      <c r="E240" s="742" t="s">
        <v>1893</v>
      </c>
      <c r="F240" s="685">
        <v>1111</v>
      </c>
      <c r="G240" s="686" t="s">
        <v>141</v>
      </c>
      <c r="H240" s="837">
        <v>302204.57701920008</v>
      </c>
      <c r="I240" s="837"/>
      <c r="J240" s="1494">
        <v>188852</v>
      </c>
      <c r="K240" s="1014"/>
      <c r="L240" s="837">
        <v>271536.16000000003</v>
      </c>
      <c r="M240" s="837"/>
      <c r="N240" s="17"/>
      <c r="O240" s="4"/>
      <c r="P240" s="4"/>
      <c r="Q240" s="4"/>
      <c r="R240" s="4"/>
      <c r="S240" s="4"/>
    </row>
    <row r="241" spans="1:32">
      <c r="A241" s="663"/>
      <c r="B241" s="700" t="s">
        <v>436</v>
      </c>
      <c r="C241" s="663" t="s">
        <v>427</v>
      </c>
      <c r="D241" s="678" t="s">
        <v>1320</v>
      </c>
      <c r="E241" s="700" t="s">
        <v>1893</v>
      </c>
      <c r="F241" s="679">
        <v>1111</v>
      </c>
      <c r="G241" s="681" t="s">
        <v>436</v>
      </c>
      <c r="H241" s="676"/>
      <c r="I241" s="676">
        <v>302504.57701920008</v>
      </c>
      <c r="J241" s="1494" t="s">
        <v>1134</v>
      </c>
      <c r="K241" s="1015"/>
      <c r="L241" s="676"/>
      <c r="M241" s="676">
        <v>271536.16000000003</v>
      </c>
      <c r="N241" s="11"/>
      <c r="O241" s="7"/>
      <c r="P241" s="7"/>
      <c r="Q241" s="7"/>
      <c r="R241" s="7"/>
      <c r="S241" s="7"/>
      <c r="T241" s="7"/>
      <c r="U241" s="7"/>
      <c r="V241" s="7"/>
      <c r="W241" s="7"/>
      <c r="X241" s="7"/>
      <c r="Y241" s="7"/>
      <c r="Z241" s="7"/>
      <c r="AA241" s="7"/>
      <c r="AB241" s="7"/>
      <c r="AC241" s="7"/>
      <c r="AD241" s="7"/>
      <c r="AE241" s="7"/>
      <c r="AF241" s="7"/>
    </row>
    <row r="242" spans="1:32" ht="20.399999999999999">
      <c r="A242" s="663"/>
      <c r="B242" s="700" t="s">
        <v>436</v>
      </c>
      <c r="C242" s="663" t="s">
        <v>427</v>
      </c>
      <c r="D242" s="678" t="s">
        <v>1320</v>
      </c>
      <c r="E242" s="700" t="s">
        <v>1893</v>
      </c>
      <c r="F242" s="679">
        <v>1111</v>
      </c>
      <c r="G242" s="681" t="s">
        <v>2961</v>
      </c>
      <c r="H242" s="676"/>
      <c r="I242" s="676">
        <v>-300</v>
      </c>
      <c r="J242" s="1494" t="s">
        <v>1134</v>
      </c>
      <c r="K242" s="1015"/>
      <c r="L242" s="676"/>
      <c r="M242" s="676"/>
      <c r="N242" s="17"/>
      <c r="O242" s="4"/>
      <c r="P242" s="4"/>
      <c r="Q242" s="4"/>
      <c r="R242" s="4"/>
      <c r="S242" s="4"/>
      <c r="T242" s="4"/>
      <c r="U242" s="4"/>
      <c r="V242" s="4"/>
      <c r="W242" s="4"/>
      <c r="X242" s="4"/>
      <c r="Y242" s="4"/>
      <c r="Z242" s="4"/>
      <c r="AA242" s="4"/>
      <c r="AB242" s="4"/>
      <c r="AC242" s="4"/>
      <c r="AD242" s="4"/>
      <c r="AE242" s="4"/>
    </row>
    <row r="243" spans="1:32">
      <c r="A243" s="683"/>
      <c r="B243" s="720" t="s">
        <v>436</v>
      </c>
      <c r="C243" s="683" t="s">
        <v>427</v>
      </c>
      <c r="D243" s="719" t="s">
        <v>1320</v>
      </c>
      <c r="E243" s="720" t="s">
        <v>1893</v>
      </c>
      <c r="F243" s="685">
        <v>1119</v>
      </c>
      <c r="G243" s="686" t="s">
        <v>142</v>
      </c>
      <c r="H243" s="837">
        <v>2300</v>
      </c>
      <c r="I243" s="837"/>
      <c r="J243" s="1494"/>
      <c r="K243" s="1014"/>
      <c r="L243" s="837">
        <v>2300</v>
      </c>
      <c r="M243" s="837"/>
      <c r="N243" s="11"/>
      <c r="O243" s="7"/>
      <c r="P243" s="7"/>
      <c r="Q243" s="7"/>
      <c r="R243" s="7"/>
      <c r="S243" s="7"/>
      <c r="T243" s="7"/>
      <c r="U243" s="7"/>
      <c r="V243" s="7"/>
      <c r="W243" s="7"/>
      <c r="X243" s="7"/>
      <c r="Y243" s="7"/>
      <c r="Z243" s="7"/>
      <c r="AA243" s="7"/>
      <c r="AB243" s="7"/>
      <c r="AC243" s="7"/>
      <c r="AD243" s="7"/>
      <c r="AE243" s="7"/>
    </row>
    <row r="244" spans="1:32" ht="20.399999999999999">
      <c r="A244" s="663"/>
      <c r="B244" s="700" t="s">
        <v>436</v>
      </c>
      <c r="C244" s="663" t="s">
        <v>427</v>
      </c>
      <c r="D244" s="678" t="s">
        <v>1320</v>
      </c>
      <c r="E244" s="700" t="s">
        <v>1893</v>
      </c>
      <c r="F244" s="679">
        <v>1119</v>
      </c>
      <c r="G244" s="681" t="s">
        <v>1309</v>
      </c>
      <c r="H244" s="676"/>
      <c r="I244" s="676">
        <v>2300</v>
      </c>
      <c r="J244" s="1494" t="s">
        <v>1134</v>
      </c>
      <c r="K244" s="1015"/>
      <c r="L244" s="676"/>
      <c r="M244" s="676">
        <v>2300</v>
      </c>
      <c r="N244" s="11"/>
      <c r="O244" s="4"/>
      <c r="P244" s="4"/>
      <c r="Q244" s="4"/>
      <c r="R244" s="4"/>
      <c r="S244" s="4"/>
      <c r="T244" s="4"/>
      <c r="U244" s="4"/>
      <c r="V244" s="4"/>
      <c r="W244" s="4"/>
      <c r="X244" s="4"/>
      <c r="Y244" s="4"/>
      <c r="Z244" s="4"/>
      <c r="AA244" s="4"/>
      <c r="AB244" s="4"/>
      <c r="AC244" s="4"/>
      <c r="AD244" s="4"/>
      <c r="AE244" s="4"/>
    </row>
    <row r="245" spans="1:32" ht="20.399999999999999">
      <c r="A245" s="663"/>
      <c r="B245" s="700" t="s">
        <v>436</v>
      </c>
      <c r="C245" s="663" t="s">
        <v>427</v>
      </c>
      <c r="D245" s="678" t="s">
        <v>1320</v>
      </c>
      <c r="E245" s="700" t="s">
        <v>1893</v>
      </c>
      <c r="F245" s="679">
        <v>1119</v>
      </c>
      <c r="G245" s="681" t="s">
        <v>1981</v>
      </c>
      <c r="H245" s="676"/>
      <c r="I245" s="676"/>
      <c r="J245" s="1494" t="s">
        <v>1134</v>
      </c>
      <c r="K245" s="1015"/>
      <c r="L245" s="676"/>
      <c r="M245" s="676"/>
      <c r="N245" s="17"/>
      <c r="O245" s="7"/>
      <c r="P245" s="7"/>
      <c r="Q245" s="7"/>
      <c r="R245" s="7"/>
      <c r="S245" s="7"/>
      <c r="T245" s="7"/>
      <c r="U245" s="7"/>
      <c r="V245" s="7"/>
      <c r="W245" s="7"/>
      <c r="X245" s="7"/>
      <c r="Y245" s="7"/>
      <c r="Z245" s="7"/>
      <c r="AA245" s="7"/>
      <c r="AB245" s="7"/>
      <c r="AC245" s="7"/>
      <c r="AD245" s="7"/>
      <c r="AE245" s="7"/>
    </row>
    <row r="246" spans="1:32">
      <c r="A246" s="683"/>
      <c r="B246" s="720" t="s">
        <v>436</v>
      </c>
      <c r="C246" s="683" t="s">
        <v>322</v>
      </c>
      <c r="D246" s="719" t="s">
        <v>1320</v>
      </c>
      <c r="E246" s="720" t="s">
        <v>1893</v>
      </c>
      <c r="F246" s="685">
        <v>1147</v>
      </c>
      <c r="G246" s="686" t="s">
        <v>111</v>
      </c>
      <c r="H246" s="837"/>
      <c r="I246" s="837"/>
      <c r="J246" s="1494" t="s">
        <v>1134</v>
      </c>
      <c r="K246" s="1014"/>
      <c r="L246" s="837"/>
      <c r="M246" s="837"/>
      <c r="N246" s="11"/>
      <c r="O246" s="7"/>
      <c r="P246" s="7"/>
      <c r="Q246" s="7"/>
      <c r="R246" s="7"/>
      <c r="S246" s="7"/>
      <c r="T246" s="7"/>
      <c r="U246" s="7"/>
      <c r="V246" s="7"/>
      <c r="W246" s="7"/>
      <c r="X246" s="7"/>
      <c r="Y246" s="7"/>
      <c r="Z246" s="7"/>
      <c r="AA246" s="7"/>
      <c r="AB246" s="7"/>
      <c r="AC246" s="7"/>
      <c r="AD246" s="7"/>
      <c r="AE246" s="7"/>
    </row>
    <row r="247" spans="1:32">
      <c r="A247" s="683"/>
      <c r="B247" s="720" t="s">
        <v>436</v>
      </c>
      <c r="C247" s="683" t="s">
        <v>427</v>
      </c>
      <c r="D247" s="719" t="s">
        <v>1320</v>
      </c>
      <c r="E247" s="720" t="s">
        <v>1893</v>
      </c>
      <c r="F247" s="685">
        <v>1210</v>
      </c>
      <c r="G247" s="686" t="s">
        <v>143</v>
      </c>
      <c r="H247" s="837">
        <v>71930.528218829291</v>
      </c>
      <c r="I247" s="837"/>
      <c r="J247" s="1494">
        <v>44224</v>
      </c>
      <c r="K247" s="1014"/>
      <c r="L247" s="837">
        <v>64597.950144000009</v>
      </c>
      <c r="M247" s="837"/>
      <c r="N247" s="11"/>
      <c r="O247" s="7"/>
      <c r="P247" s="7"/>
      <c r="Q247" s="7"/>
      <c r="R247" s="7"/>
      <c r="S247" s="7"/>
      <c r="T247" s="7"/>
      <c r="U247" s="7"/>
      <c r="V247" s="7"/>
      <c r="W247" s="7"/>
      <c r="X247" s="7"/>
      <c r="Y247" s="7"/>
      <c r="Z247" s="7"/>
      <c r="AA247" s="7"/>
      <c r="AB247" s="7"/>
      <c r="AC247" s="7"/>
      <c r="AD247" s="7"/>
      <c r="AE247" s="7"/>
    </row>
    <row r="248" spans="1:32">
      <c r="A248" s="663"/>
      <c r="B248" s="700" t="s">
        <v>436</v>
      </c>
      <c r="C248" s="663" t="s">
        <v>427</v>
      </c>
      <c r="D248" s="678" t="s">
        <v>1320</v>
      </c>
      <c r="E248" s="700" t="s">
        <v>1893</v>
      </c>
      <c r="F248" s="679">
        <v>1210</v>
      </c>
      <c r="G248" s="681" t="s">
        <v>436</v>
      </c>
      <c r="H248" s="676"/>
      <c r="I248" s="676">
        <v>71930.528218829291</v>
      </c>
      <c r="J248" s="1494" t="s">
        <v>1134</v>
      </c>
      <c r="K248" s="1015"/>
      <c r="L248" s="676"/>
      <c r="M248" s="676">
        <v>64597.950144000009</v>
      </c>
      <c r="N248" s="17"/>
      <c r="O248" s="4"/>
      <c r="P248" s="4"/>
      <c r="Q248" s="4"/>
      <c r="R248" s="4"/>
      <c r="S248" s="4"/>
      <c r="T248" s="4"/>
      <c r="U248" s="4"/>
      <c r="V248" s="4"/>
      <c r="W248" s="4"/>
      <c r="X248" s="4"/>
      <c r="Y248" s="4"/>
      <c r="Z248" s="4"/>
      <c r="AA248" s="4"/>
      <c r="AB248" s="4"/>
      <c r="AC248" s="4"/>
      <c r="AD248" s="4"/>
      <c r="AE248" s="4"/>
    </row>
    <row r="249" spans="1:32">
      <c r="A249" s="663"/>
      <c r="B249" s="700" t="s">
        <v>436</v>
      </c>
      <c r="C249" s="663" t="s">
        <v>427</v>
      </c>
      <c r="D249" s="678" t="s">
        <v>1320</v>
      </c>
      <c r="E249" s="700" t="s">
        <v>1893</v>
      </c>
      <c r="F249" s="679">
        <v>1210</v>
      </c>
      <c r="G249" s="681"/>
      <c r="H249" s="676"/>
      <c r="I249" s="676"/>
      <c r="J249" s="1494" t="s">
        <v>1134</v>
      </c>
      <c r="K249" s="1015"/>
      <c r="L249" s="676"/>
      <c r="M249" s="676"/>
      <c r="N249" s="57"/>
      <c r="O249" s="7"/>
      <c r="P249" s="7"/>
      <c r="Q249" s="7"/>
      <c r="R249" s="7"/>
      <c r="S249" s="7"/>
      <c r="T249" s="7"/>
      <c r="U249" s="7"/>
      <c r="V249" s="7"/>
      <c r="W249" s="7"/>
      <c r="X249" s="7"/>
      <c r="Y249" s="7"/>
      <c r="Z249" s="7"/>
      <c r="AA249" s="7"/>
      <c r="AB249" s="7"/>
      <c r="AC249" s="7"/>
      <c r="AD249" s="7"/>
      <c r="AE249" s="7"/>
    </row>
    <row r="250" spans="1:32">
      <c r="A250" s="683"/>
      <c r="B250" s="720" t="s">
        <v>772</v>
      </c>
      <c r="C250" s="683" t="s">
        <v>320</v>
      </c>
      <c r="D250" s="719" t="s">
        <v>1320</v>
      </c>
      <c r="E250" s="720" t="s">
        <v>1893</v>
      </c>
      <c r="F250" s="824">
        <v>2239</v>
      </c>
      <c r="G250" s="800" t="s">
        <v>1017</v>
      </c>
      <c r="H250" s="713">
        <v>300</v>
      </c>
      <c r="I250" s="713"/>
      <c r="J250" s="1654">
        <v>77</v>
      </c>
      <c r="K250" s="842"/>
      <c r="L250" s="713">
        <v>300</v>
      </c>
      <c r="M250" s="713"/>
      <c r="N250" s="1466" t="s">
        <v>2499</v>
      </c>
      <c r="O250" s="4"/>
      <c r="P250" s="4"/>
      <c r="Q250" s="4"/>
      <c r="R250" s="4"/>
      <c r="S250" s="4"/>
    </row>
    <row r="251" spans="1:32">
      <c r="A251" s="663"/>
      <c r="B251" s="700" t="s">
        <v>772</v>
      </c>
      <c r="C251" s="663" t="s">
        <v>320</v>
      </c>
      <c r="D251" s="678" t="s">
        <v>1320</v>
      </c>
      <c r="E251" s="700" t="s">
        <v>1893</v>
      </c>
      <c r="F251" s="795">
        <v>2239</v>
      </c>
      <c r="G251" s="812" t="s">
        <v>1229</v>
      </c>
      <c r="H251" s="714"/>
      <c r="I251" s="714">
        <v>300</v>
      </c>
      <c r="J251" s="1654" t="s">
        <v>1134</v>
      </c>
      <c r="K251" s="809"/>
      <c r="L251" s="714"/>
      <c r="M251" s="714">
        <v>300</v>
      </c>
      <c r="N251" s="1466"/>
      <c r="O251" s="7"/>
      <c r="P251" s="7"/>
      <c r="Q251" s="7"/>
      <c r="R251" s="7"/>
      <c r="S251" s="7"/>
      <c r="T251" s="7"/>
      <c r="U251" s="7"/>
      <c r="V251" s="7"/>
      <c r="W251" s="7"/>
      <c r="X251" s="7"/>
      <c r="Y251" s="7"/>
      <c r="Z251" s="7"/>
      <c r="AA251" s="7"/>
      <c r="AB251" s="7"/>
      <c r="AC251" s="7"/>
      <c r="AD251" s="7"/>
      <c r="AE251" s="7"/>
    </row>
    <row r="252" spans="1:32" ht="11.4" customHeight="1">
      <c r="A252" s="683"/>
      <c r="B252" s="720" t="s">
        <v>772</v>
      </c>
      <c r="C252" s="683" t="s">
        <v>320</v>
      </c>
      <c r="D252" s="719" t="s">
        <v>1320</v>
      </c>
      <c r="E252" s="720" t="s">
        <v>1893</v>
      </c>
      <c r="F252" s="824">
        <v>2243</v>
      </c>
      <c r="G252" s="800" t="s">
        <v>198</v>
      </c>
      <c r="H252" s="713">
        <v>75</v>
      </c>
      <c r="I252" s="713"/>
      <c r="J252" s="1654">
        <v>75</v>
      </c>
      <c r="K252" s="842"/>
      <c r="L252" s="713">
        <v>75</v>
      </c>
      <c r="M252" s="713"/>
      <c r="N252" s="1466"/>
      <c r="O252" s="187"/>
      <c r="P252" s="187"/>
      <c r="Q252" s="187"/>
      <c r="R252" s="187"/>
      <c r="S252" s="187"/>
    </row>
    <row r="253" spans="1:32">
      <c r="A253" s="663"/>
      <c r="B253" s="700" t="s">
        <v>772</v>
      </c>
      <c r="C253" s="663" t="s">
        <v>320</v>
      </c>
      <c r="D253" s="678" t="s">
        <v>1320</v>
      </c>
      <c r="E253" s="700" t="s">
        <v>1893</v>
      </c>
      <c r="F253" s="795">
        <v>2243</v>
      </c>
      <c r="G253" s="812" t="s">
        <v>5334</v>
      </c>
      <c r="H253" s="714"/>
      <c r="I253" s="714">
        <v>75</v>
      </c>
      <c r="J253" s="1654" t="s">
        <v>1134</v>
      </c>
      <c r="K253" s="809"/>
      <c r="L253" s="714"/>
      <c r="M253" s="714">
        <v>75</v>
      </c>
      <c r="N253" s="1466"/>
      <c r="O253" s="4"/>
      <c r="P253" s="4"/>
      <c r="Q253" s="4"/>
      <c r="R253" s="4"/>
      <c r="S253" s="4"/>
    </row>
    <row r="254" spans="1:32">
      <c r="A254" s="683"/>
      <c r="B254" s="720" t="s">
        <v>772</v>
      </c>
      <c r="C254" s="683" t="s">
        <v>320</v>
      </c>
      <c r="D254" s="719" t="s">
        <v>1320</v>
      </c>
      <c r="E254" s="720" t="s">
        <v>1893</v>
      </c>
      <c r="F254" s="824">
        <v>2247</v>
      </c>
      <c r="G254" s="800" t="s">
        <v>161</v>
      </c>
      <c r="H254" s="713">
        <v>40</v>
      </c>
      <c r="I254" s="713"/>
      <c r="J254" s="1654">
        <v>0</v>
      </c>
      <c r="K254" s="842"/>
      <c r="L254" s="713">
        <v>0</v>
      </c>
      <c r="M254" s="713"/>
      <c r="N254" s="1466"/>
      <c r="O254" s="4"/>
      <c r="P254" s="4"/>
      <c r="Q254" s="4"/>
      <c r="R254" s="187"/>
      <c r="S254" s="187"/>
    </row>
    <row r="255" spans="1:32" ht="11.4" customHeight="1">
      <c r="A255" s="663"/>
      <c r="B255" s="700" t="s">
        <v>772</v>
      </c>
      <c r="C255" s="663" t="s">
        <v>320</v>
      </c>
      <c r="D255" s="678" t="s">
        <v>1320</v>
      </c>
      <c r="E255" s="700" t="s">
        <v>1893</v>
      </c>
      <c r="F255" s="795">
        <v>2247</v>
      </c>
      <c r="G255" s="812" t="s">
        <v>1869</v>
      </c>
      <c r="H255" s="714"/>
      <c r="I255" s="714">
        <v>115</v>
      </c>
      <c r="J255" s="1654" t="s">
        <v>1134</v>
      </c>
      <c r="K255" s="809"/>
      <c r="L255" s="714"/>
      <c r="M255" s="714"/>
      <c r="N255" s="1466"/>
      <c r="O255" s="187"/>
      <c r="P255" s="187"/>
      <c r="Q255" s="187"/>
      <c r="R255" s="187"/>
      <c r="S255" s="187"/>
    </row>
    <row r="256" spans="1:32" ht="11.4" customHeight="1">
      <c r="A256" s="663"/>
      <c r="B256" s="700" t="s">
        <v>772</v>
      </c>
      <c r="C256" s="663" t="s">
        <v>320</v>
      </c>
      <c r="D256" s="678" t="s">
        <v>1320</v>
      </c>
      <c r="E256" s="700" t="s">
        <v>1893</v>
      </c>
      <c r="F256" s="795">
        <v>2247</v>
      </c>
      <c r="G256" s="812" t="s">
        <v>3188</v>
      </c>
      <c r="H256" s="714"/>
      <c r="I256" s="714">
        <v>-75</v>
      </c>
      <c r="J256" s="1654" t="s">
        <v>1134</v>
      </c>
      <c r="K256" s="809"/>
      <c r="L256" s="714"/>
      <c r="M256" s="714"/>
      <c r="N256" s="1466"/>
      <c r="O256" s="4"/>
      <c r="P256" s="4"/>
      <c r="Q256" s="4"/>
      <c r="R256" s="187"/>
      <c r="S256" s="187"/>
    </row>
    <row r="257" spans="1:32">
      <c r="A257" s="683"/>
      <c r="B257" s="720" t="s">
        <v>772</v>
      </c>
      <c r="C257" s="683" t="s">
        <v>320</v>
      </c>
      <c r="D257" s="719" t="s">
        <v>1320</v>
      </c>
      <c r="E257" s="720" t="s">
        <v>1893</v>
      </c>
      <c r="F257" s="824">
        <v>2264</v>
      </c>
      <c r="G257" s="800" t="s">
        <v>1288</v>
      </c>
      <c r="H257" s="713">
        <v>334.96</v>
      </c>
      <c r="I257" s="713"/>
      <c r="J257" s="1654">
        <v>306</v>
      </c>
      <c r="K257" s="842"/>
      <c r="L257" s="713">
        <v>334.96</v>
      </c>
      <c r="M257" s="713"/>
      <c r="N257" s="1466"/>
      <c r="O257" s="187"/>
      <c r="P257" s="187"/>
      <c r="Q257" s="187"/>
      <c r="R257" s="187"/>
      <c r="S257" s="187"/>
    </row>
    <row r="258" spans="1:32">
      <c r="A258" s="663"/>
      <c r="B258" s="700" t="s">
        <v>772</v>
      </c>
      <c r="C258" s="663" t="s">
        <v>320</v>
      </c>
      <c r="D258" s="678" t="s">
        <v>1320</v>
      </c>
      <c r="E258" s="700" t="s">
        <v>1893</v>
      </c>
      <c r="F258" s="795">
        <v>2264</v>
      </c>
      <c r="G258" s="812" t="s">
        <v>3471</v>
      </c>
      <c r="H258" s="714"/>
      <c r="I258" s="714">
        <v>334.96</v>
      </c>
      <c r="J258" s="1654" t="s">
        <v>1134</v>
      </c>
      <c r="K258" s="809"/>
      <c r="L258" s="714"/>
      <c r="M258" s="714">
        <v>334.96</v>
      </c>
      <c r="N258" s="57"/>
      <c r="O258" s="4"/>
      <c r="P258" s="4"/>
      <c r="Q258" s="4"/>
      <c r="R258" s="4"/>
    </row>
    <row r="259" spans="1:32">
      <c r="A259" s="683"/>
      <c r="B259" s="720" t="s">
        <v>772</v>
      </c>
      <c r="C259" s="683" t="s">
        <v>320</v>
      </c>
      <c r="D259" s="719" t="s">
        <v>1320</v>
      </c>
      <c r="E259" s="720" t="s">
        <v>1893</v>
      </c>
      <c r="F259" s="824">
        <v>2322</v>
      </c>
      <c r="G259" s="800" t="s">
        <v>191</v>
      </c>
      <c r="H259" s="713">
        <v>0</v>
      </c>
      <c r="I259" s="713"/>
      <c r="J259" s="1654" t="s">
        <v>1134</v>
      </c>
      <c r="K259" s="842"/>
      <c r="L259" s="1657">
        <v>0</v>
      </c>
      <c r="M259" s="713"/>
      <c r="N259" s="1466" t="s">
        <v>2499</v>
      </c>
      <c r="O259" s="187"/>
      <c r="P259" s="187"/>
      <c r="Q259" s="187"/>
      <c r="R259" s="187"/>
      <c r="S259" s="187"/>
    </row>
    <row r="260" spans="1:32">
      <c r="A260" s="663"/>
      <c r="B260" s="700" t="s">
        <v>772</v>
      </c>
      <c r="C260" s="663" t="s">
        <v>320</v>
      </c>
      <c r="D260" s="678" t="s">
        <v>1320</v>
      </c>
      <c r="E260" s="700" t="s">
        <v>1893</v>
      </c>
      <c r="F260" s="795">
        <v>2322</v>
      </c>
      <c r="G260" s="812" t="s">
        <v>925</v>
      </c>
      <c r="H260" s="714"/>
      <c r="I260" s="714"/>
      <c r="J260" s="1654" t="s">
        <v>1134</v>
      </c>
      <c r="K260" s="809"/>
      <c r="L260" s="714"/>
      <c r="M260" s="714"/>
      <c r="N260" s="57"/>
      <c r="O260" s="4"/>
      <c r="P260" s="4"/>
      <c r="Q260" s="4"/>
      <c r="R260" s="4"/>
    </row>
    <row r="261" spans="1:32">
      <c r="A261" s="2543"/>
      <c r="B261" s="3134" t="s">
        <v>326</v>
      </c>
      <c r="C261" s="2543" t="s">
        <v>321</v>
      </c>
      <c r="D261" s="2544" t="s">
        <v>1320</v>
      </c>
      <c r="E261" s="2545" t="s">
        <v>1894</v>
      </c>
      <c r="F261" s="2546">
        <v>1119</v>
      </c>
      <c r="G261" s="2547" t="s">
        <v>506</v>
      </c>
      <c r="H261" s="2548">
        <v>50969.386681770397</v>
      </c>
      <c r="I261" s="2549"/>
      <c r="J261" s="2191">
        <v>37590.769999999997</v>
      </c>
      <c r="K261" s="2550"/>
      <c r="L261" s="2548">
        <v>61850</v>
      </c>
      <c r="M261" s="2549"/>
      <c r="N261" s="1466"/>
      <c r="O261" s="187"/>
      <c r="P261" s="187"/>
      <c r="Q261" s="187"/>
      <c r="R261" s="187"/>
      <c r="S261" s="187"/>
    </row>
    <row r="262" spans="1:32" ht="11.4" customHeight="1">
      <c r="A262" s="2187"/>
      <c r="B262" s="3135" t="s">
        <v>326</v>
      </c>
      <c r="C262" s="2168" t="s">
        <v>321</v>
      </c>
      <c r="D262" s="2551" t="s">
        <v>1320</v>
      </c>
      <c r="E262" s="2552" t="s">
        <v>1894</v>
      </c>
      <c r="F262" s="2553">
        <v>1119</v>
      </c>
      <c r="G262" s="2195" t="s">
        <v>4770</v>
      </c>
      <c r="H262" s="2189"/>
      <c r="I262" s="2189">
        <v>57269.386681770397</v>
      </c>
      <c r="J262" s="2191" t="s">
        <v>1134</v>
      </c>
      <c r="K262" s="2192"/>
      <c r="L262" s="2189"/>
      <c r="M262" s="2189">
        <v>60200</v>
      </c>
      <c r="N262" s="57"/>
      <c r="O262" s="4"/>
      <c r="P262" s="4"/>
      <c r="Q262" s="4"/>
      <c r="R262" s="4"/>
    </row>
    <row r="263" spans="1:32" ht="11.4" customHeight="1">
      <c r="A263" s="2187"/>
      <c r="B263" s="3135" t="s">
        <v>326</v>
      </c>
      <c r="C263" s="2168" t="s">
        <v>321</v>
      </c>
      <c r="D263" s="2551" t="s">
        <v>1320</v>
      </c>
      <c r="E263" s="2552" t="s">
        <v>1894</v>
      </c>
      <c r="F263" s="2553">
        <v>1119</v>
      </c>
      <c r="G263" s="2195" t="s">
        <v>4773</v>
      </c>
      <c r="H263" s="2189"/>
      <c r="I263" s="2189">
        <v>0</v>
      </c>
      <c r="J263" s="2191" t="s">
        <v>1134</v>
      </c>
      <c r="K263" s="2192"/>
      <c r="L263" s="2189"/>
      <c r="M263" s="2189">
        <v>1650</v>
      </c>
      <c r="N263" s="1466"/>
      <c r="O263" s="187"/>
      <c r="P263" s="187"/>
      <c r="Q263" s="187"/>
      <c r="R263" s="187"/>
      <c r="S263" s="187"/>
    </row>
    <row r="264" spans="1:32" ht="20.399999999999999">
      <c r="A264" s="2187"/>
      <c r="B264" s="3135" t="s">
        <v>326</v>
      </c>
      <c r="C264" s="2168" t="s">
        <v>321</v>
      </c>
      <c r="D264" s="2551" t="s">
        <v>1320</v>
      </c>
      <c r="E264" s="2552" t="s">
        <v>1894</v>
      </c>
      <c r="F264" s="2553">
        <v>1119</v>
      </c>
      <c r="G264" s="2195" t="s">
        <v>3190</v>
      </c>
      <c r="H264" s="2189"/>
      <c r="I264" s="2189">
        <v>-2000</v>
      </c>
      <c r="J264" s="2191" t="s">
        <v>1134</v>
      </c>
      <c r="K264" s="2192"/>
      <c r="L264" s="2189"/>
      <c r="M264" s="2554"/>
      <c r="N264" s="1466"/>
      <c r="O264" s="4"/>
      <c r="P264" s="4"/>
      <c r="Q264" s="4"/>
      <c r="R264" s="4"/>
      <c r="S264" s="4"/>
    </row>
    <row r="265" spans="1:32" ht="20.399999999999999">
      <c r="A265" s="2187"/>
      <c r="B265" s="3135" t="s">
        <v>326</v>
      </c>
      <c r="C265" s="2168" t="s">
        <v>321</v>
      </c>
      <c r="D265" s="2551" t="s">
        <v>1320</v>
      </c>
      <c r="E265" s="2552" t="s">
        <v>1894</v>
      </c>
      <c r="F265" s="2553">
        <v>1119</v>
      </c>
      <c r="G265" s="2195" t="s">
        <v>3189</v>
      </c>
      <c r="H265" s="2189"/>
      <c r="I265" s="2189">
        <v>-300</v>
      </c>
      <c r="J265" s="2191" t="s">
        <v>1134</v>
      </c>
      <c r="K265" s="2192"/>
      <c r="L265" s="2189"/>
      <c r="M265" s="2554"/>
      <c r="N265" s="57"/>
      <c r="O265" s="187"/>
      <c r="P265" s="187"/>
      <c r="Q265" s="187"/>
      <c r="R265" s="187"/>
      <c r="S265" s="187"/>
    </row>
    <row r="266" spans="1:32" ht="20.399999999999999">
      <c r="A266" s="2187"/>
      <c r="B266" s="3135" t="s">
        <v>326</v>
      </c>
      <c r="C266" s="2168" t="s">
        <v>321</v>
      </c>
      <c r="D266" s="2551" t="s">
        <v>1320</v>
      </c>
      <c r="E266" s="2552" t="s">
        <v>1894</v>
      </c>
      <c r="F266" s="2553">
        <v>1119</v>
      </c>
      <c r="G266" s="2195" t="s">
        <v>1876</v>
      </c>
      <c r="H266" s="2189"/>
      <c r="I266" s="2189"/>
      <c r="J266" s="2191" t="s">
        <v>1134</v>
      </c>
      <c r="K266" s="2192"/>
      <c r="L266" s="2189"/>
      <c r="M266" s="2554"/>
      <c r="N266" s="1466"/>
      <c r="O266" s="187"/>
      <c r="P266" s="187"/>
      <c r="Q266" s="187"/>
      <c r="R266" s="187"/>
      <c r="S266" s="187"/>
    </row>
    <row r="267" spans="1:32" ht="20.399999999999999">
      <c r="A267" s="2187"/>
      <c r="B267" s="3135" t="s">
        <v>326</v>
      </c>
      <c r="C267" s="2168" t="s">
        <v>321</v>
      </c>
      <c r="D267" s="2551" t="s">
        <v>1320</v>
      </c>
      <c r="E267" s="2552" t="s">
        <v>1894</v>
      </c>
      <c r="F267" s="2553">
        <v>1119</v>
      </c>
      <c r="G267" s="2182" t="s">
        <v>3191</v>
      </c>
      <c r="H267" s="2189"/>
      <c r="I267" s="2189">
        <v>-1500</v>
      </c>
      <c r="J267" s="2191" t="s">
        <v>1134</v>
      </c>
      <c r="K267" s="2192"/>
      <c r="L267" s="2189"/>
      <c r="M267" s="2554"/>
      <c r="N267" s="1466"/>
      <c r="O267" s="4"/>
      <c r="P267" s="4"/>
      <c r="Q267" s="4"/>
      <c r="R267" s="4"/>
      <c r="S267" s="4"/>
    </row>
    <row r="268" spans="1:32" ht="11.4" customHeight="1">
      <c r="A268" s="2187"/>
      <c r="B268" s="3135" t="s">
        <v>326</v>
      </c>
      <c r="C268" s="2168" t="s">
        <v>321</v>
      </c>
      <c r="D268" s="2551" t="s">
        <v>1320</v>
      </c>
      <c r="E268" s="2552" t="s">
        <v>1894</v>
      </c>
      <c r="F268" s="2553">
        <v>1119</v>
      </c>
      <c r="G268" s="2182" t="s">
        <v>3192</v>
      </c>
      <c r="H268" s="2189"/>
      <c r="I268" s="2189">
        <v>-2000</v>
      </c>
      <c r="J268" s="2191" t="s">
        <v>1134</v>
      </c>
      <c r="K268" s="2192"/>
      <c r="L268" s="2189"/>
      <c r="M268" s="2554"/>
      <c r="N268" s="57"/>
      <c r="O268" s="4"/>
      <c r="P268" s="4"/>
      <c r="Q268" s="4"/>
      <c r="R268" s="4"/>
      <c r="S268" s="4"/>
    </row>
    <row r="269" spans="1:32" ht="11.4" customHeight="1">
      <c r="A269" s="2187"/>
      <c r="B269" s="3135" t="s">
        <v>326</v>
      </c>
      <c r="C269" s="2168" t="s">
        <v>321</v>
      </c>
      <c r="D269" s="2551" t="s">
        <v>1320</v>
      </c>
      <c r="E269" s="2552" t="s">
        <v>1894</v>
      </c>
      <c r="F269" s="2553">
        <v>1119</v>
      </c>
      <c r="G269" s="2182" t="s">
        <v>3268</v>
      </c>
      <c r="H269" s="2189"/>
      <c r="I269" s="2189">
        <v>-500</v>
      </c>
      <c r="J269" s="2191" t="s">
        <v>1134</v>
      </c>
      <c r="K269" s="2192"/>
      <c r="L269" s="2189"/>
      <c r="M269" s="2554"/>
      <c r="N269" s="1466"/>
      <c r="O269" s="4"/>
      <c r="P269" s="4"/>
      <c r="Q269" s="4"/>
      <c r="R269" s="4"/>
      <c r="S269" s="4"/>
    </row>
    <row r="270" spans="1:32">
      <c r="A270" s="2543"/>
      <c r="B270" s="2545" t="s">
        <v>436</v>
      </c>
      <c r="C270" s="2543" t="s">
        <v>321</v>
      </c>
      <c r="D270" s="2544" t="s">
        <v>1320</v>
      </c>
      <c r="E270" s="2545" t="s">
        <v>1894</v>
      </c>
      <c r="F270" s="2546">
        <v>1119</v>
      </c>
      <c r="G270" s="2547" t="s">
        <v>506</v>
      </c>
      <c r="H270" s="2548">
        <v>5000</v>
      </c>
      <c r="I270" s="2549"/>
      <c r="J270" s="2191"/>
      <c r="K270" s="2550"/>
      <c r="L270" s="2548">
        <v>5000</v>
      </c>
      <c r="M270" s="2555"/>
      <c r="N270" s="57"/>
      <c r="O270" s="4"/>
      <c r="P270" s="4"/>
      <c r="Q270" s="4"/>
      <c r="R270" s="4"/>
      <c r="S270" s="4"/>
    </row>
    <row r="271" spans="1:32">
      <c r="A271" s="2187"/>
      <c r="B271" s="2558" t="s">
        <v>436</v>
      </c>
      <c r="C271" s="2168" t="s">
        <v>321</v>
      </c>
      <c r="D271" s="2551" t="s">
        <v>1320</v>
      </c>
      <c r="E271" s="2552" t="s">
        <v>1894</v>
      </c>
      <c r="F271" s="2553">
        <v>1119</v>
      </c>
      <c r="G271" s="2195"/>
      <c r="H271" s="2189"/>
      <c r="I271" s="2189">
        <v>5000</v>
      </c>
      <c r="J271" s="2191"/>
      <c r="K271" s="2192"/>
      <c r="L271" s="2189"/>
      <c r="M271" s="2189">
        <v>5000</v>
      </c>
      <c r="N271" s="1466"/>
      <c r="O271" s="187"/>
      <c r="P271" s="187"/>
      <c r="Q271" s="187"/>
      <c r="R271" s="187"/>
      <c r="S271" s="187"/>
    </row>
    <row r="272" spans="1:32" ht="20.399999999999999">
      <c r="A272" s="2543"/>
      <c r="B272" s="2545" t="s">
        <v>436</v>
      </c>
      <c r="C272" s="2543" t="s">
        <v>321</v>
      </c>
      <c r="D272" s="2544" t="s">
        <v>1320</v>
      </c>
      <c r="E272" s="2545" t="s">
        <v>1894</v>
      </c>
      <c r="F272" s="2546">
        <v>7460</v>
      </c>
      <c r="G272" s="2547" t="s">
        <v>1892</v>
      </c>
      <c r="H272" s="2548">
        <v>0</v>
      </c>
      <c r="I272" s="2549"/>
      <c r="J272" s="2191" t="s">
        <v>1134</v>
      </c>
      <c r="K272" s="2550"/>
      <c r="L272" s="2548">
        <v>0</v>
      </c>
      <c r="M272" s="2555"/>
      <c r="N272" s="57"/>
      <c r="O272" s="4"/>
      <c r="P272" s="4"/>
      <c r="Q272" s="4"/>
      <c r="R272" s="4"/>
      <c r="S272" s="4"/>
      <c r="T272" s="4"/>
      <c r="U272" s="4"/>
      <c r="V272" s="4"/>
      <c r="W272" s="4"/>
      <c r="X272" s="4"/>
      <c r="Y272" s="4"/>
      <c r="Z272" s="4"/>
      <c r="AA272" s="4"/>
      <c r="AB272" s="4"/>
      <c r="AC272" s="4"/>
      <c r="AD272" s="4"/>
      <c r="AE272" s="4"/>
      <c r="AF272" s="4"/>
    </row>
    <row r="273" spans="1:32" ht="20.399999999999999">
      <c r="A273" s="2187"/>
      <c r="B273" s="2558" t="s">
        <v>436</v>
      </c>
      <c r="C273" s="2168" t="s">
        <v>321</v>
      </c>
      <c r="D273" s="2551" t="s">
        <v>1320</v>
      </c>
      <c r="E273" s="2552" t="s">
        <v>1894</v>
      </c>
      <c r="F273" s="2553">
        <v>7460</v>
      </c>
      <c r="G273" s="2182" t="s">
        <v>2496</v>
      </c>
      <c r="H273" s="2189"/>
      <c r="I273" s="2189"/>
      <c r="J273" s="2191" t="s">
        <v>1134</v>
      </c>
      <c r="K273" s="2192"/>
      <c r="L273" s="2189"/>
      <c r="M273" s="2554"/>
      <c r="N273" s="1466"/>
      <c r="O273" s="187"/>
      <c r="P273" s="187"/>
      <c r="Q273" s="187"/>
      <c r="R273" s="187"/>
      <c r="S273" s="187"/>
    </row>
    <row r="274" spans="1:32">
      <c r="A274" s="2543"/>
      <c r="B274" s="3134" t="s">
        <v>326</v>
      </c>
      <c r="C274" s="2543" t="s">
        <v>427</v>
      </c>
      <c r="D274" s="2544" t="s">
        <v>1320</v>
      </c>
      <c r="E274" s="2545" t="s">
        <v>1894</v>
      </c>
      <c r="F274" s="2546">
        <v>1141</v>
      </c>
      <c r="G274" s="2556" t="s">
        <v>149</v>
      </c>
      <c r="H274" s="2549">
        <v>2300</v>
      </c>
      <c r="I274" s="2549"/>
      <c r="J274" s="2191">
        <v>2204.87</v>
      </c>
      <c r="K274" s="2550"/>
      <c r="L274" s="2549">
        <v>2300</v>
      </c>
      <c r="M274" s="2555"/>
      <c r="N274" s="1466"/>
      <c r="O274" s="4"/>
      <c r="P274" s="4"/>
      <c r="Q274" s="4"/>
      <c r="R274" s="4"/>
      <c r="S274" s="4"/>
      <c r="T274" s="4"/>
      <c r="U274" s="4"/>
      <c r="V274" s="4"/>
      <c r="W274" s="4"/>
      <c r="X274" s="4"/>
      <c r="Y274" s="4"/>
      <c r="Z274" s="4"/>
      <c r="AA274" s="4"/>
      <c r="AB274" s="4"/>
      <c r="AC274" s="4"/>
      <c r="AD274" s="4"/>
      <c r="AE274" s="4"/>
      <c r="AF274" s="4"/>
    </row>
    <row r="275" spans="1:32" ht="20.399999999999999">
      <c r="A275" s="2187"/>
      <c r="B275" s="3135" t="s">
        <v>326</v>
      </c>
      <c r="C275" s="2168" t="s">
        <v>427</v>
      </c>
      <c r="D275" s="2551" t="s">
        <v>1320</v>
      </c>
      <c r="E275" s="2552" t="s">
        <v>1894</v>
      </c>
      <c r="F275" s="2553">
        <v>1141</v>
      </c>
      <c r="G275" s="2195" t="s">
        <v>3190</v>
      </c>
      <c r="H275" s="2189"/>
      <c r="I275" s="2189">
        <v>2000</v>
      </c>
      <c r="J275" s="2191" t="s">
        <v>1134</v>
      </c>
      <c r="K275" s="2192"/>
      <c r="L275" s="2189"/>
      <c r="M275" s="2189">
        <v>2300</v>
      </c>
      <c r="N275" s="57"/>
      <c r="O275" s="187"/>
      <c r="P275" s="187"/>
      <c r="Q275" s="187"/>
      <c r="R275" s="187"/>
      <c r="S275" s="187"/>
    </row>
    <row r="276" spans="1:32" ht="20.399999999999999">
      <c r="A276" s="2187"/>
      <c r="B276" s="3135" t="s">
        <v>326</v>
      </c>
      <c r="C276" s="2168" t="s">
        <v>427</v>
      </c>
      <c r="D276" s="2551" t="s">
        <v>1320</v>
      </c>
      <c r="E276" s="2552" t="s">
        <v>1894</v>
      </c>
      <c r="F276" s="2553">
        <v>1141</v>
      </c>
      <c r="G276" s="2195" t="s">
        <v>3189</v>
      </c>
      <c r="H276" s="2189"/>
      <c r="I276" s="2189">
        <v>300</v>
      </c>
      <c r="J276" s="2191" t="s">
        <v>1134</v>
      </c>
      <c r="K276" s="2192"/>
      <c r="L276" s="2189"/>
      <c r="M276" s="2554"/>
      <c r="N276" s="1466"/>
      <c r="O276" s="4"/>
      <c r="P276" s="4"/>
      <c r="Q276" s="4"/>
      <c r="R276" s="4"/>
      <c r="S276" s="4"/>
      <c r="T276" s="4"/>
      <c r="U276" s="4"/>
      <c r="V276" s="4"/>
      <c r="W276" s="4"/>
      <c r="X276" s="4"/>
      <c r="Y276" s="4"/>
      <c r="Z276" s="4"/>
      <c r="AA276" s="4"/>
      <c r="AB276" s="4"/>
      <c r="AC276" s="4"/>
      <c r="AD276" s="4"/>
      <c r="AE276" s="4"/>
      <c r="AF276" s="4"/>
    </row>
    <row r="277" spans="1:32" ht="20.399999999999999">
      <c r="A277" s="2543"/>
      <c r="B277" s="2545" t="s">
        <v>436</v>
      </c>
      <c r="C277" s="2543" t="s">
        <v>427</v>
      </c>
      <c r="D277" s="2544" t="s">
        <v>1320</v>
      </c>
      <c r="E277" s="2545" t="s">
        <v>1894</v>
      </c>
      <c r="F277" s="2546">
        <v>1142</v>
      </c>
      <c r="G277" s="2556" t="s">
        <v>110</v>
      </c>
      <c r="H277" s="2549">
        <v>0</v>
      </c>
      <c r="I277" s="2549"/>
      <c r="J277" s="2191" t="s">
        <v>1134</v>
      </c>
      <c r="K277" s="2550"/>
      <c r="L277" s="2549">
        <v>0</v>
      </c>
      <c r="M277" s="2555"/>
      <c r="N277" s="1466"/>
      <c r="O277" s="4"/>
      <c r="P277" s="4"/>
      <c r="Q277" s="4"/>
      <c r="R277" s="4"/>
      <c r="S277" s="4"/>
      <c r="T277" s="4"/>
      <c r="U277" s="4"/>
      <c r="V277" s="4"/>
      <c r="W277" s="4"/>
      <c r="X277" s="4"/>
      <c r="Y277" s="4"/>
      <c r="Z277" s="4"/>
      <c r="AA277" s="4"/>
      <c r="AB277" s="4"/>
      <c r="AC277" s="4"/>
      <c r="AD277" s="4"/>
      <c r="AE277" s="4"/>
      <c r="AF277" s="4"/>
    </row>
    <row r="278" spans="1:32">
      <c r="A278" s="2187"/>
      <c r="B278" s="2558" t="s">
        <v>436</v>
      </c>
      <c r="C278" s="2168" t="s">
        <v>427</v>
      </c>
      <c r="D278" s="2551" t="s">
        <v>1320</v>
      </c>
      <c r="E278" s="2552" t="s">
        <v>1894</v>
      </c>
      <c r="F278" s="2553">
        <v>1142</v>
      </c>
      <c r="G278" s="2182"/>
      <c r="H278" s="2189"/>
      <c r="I278" s="2189"/>
      <c r="J278" s="2191" t="s">
        <v>1134</v>
      </c>
      <c r="K278" s="2192"/>
      <c r="L278" s="2189"/>
      <c r="M278" s="2554"/>
      <c r="N278" s="57"/>
      <c r="O278" s="4"/>
      <c r="P278" s="4"/>
      <c r="Q278" s="4"/>
      <c r="R278" s="4"/>
      <c r="S278" s="4"/>
      <c r="T278" s="4"/>
      <c r="U278" s="4"/>
      <c r="V278" s="4"/>
      <c r="W278" s="4"/>
      <c r="X278" s="4"/>
      <c r="Y278" s="4"/>
      <c r="Z278" s="4"/>
      <c r="AA278" s="4"/>
      <c r="AB278" s="4"/>
      <c r="AC278" s="4"/>
      <c r="AD278" s="4"/>
      <c r="AE278" s="4"/>
      <c r="AF278" s="4"/>
    </row>
    <row r="279" spans="1:32" ht="20.399999999999999">
      <c r="A279" s="2187"/>
      <c r="B279" s="2558" t="s">
        <v>436</v>
      </c>
      <c r="C279" s="2168" t="s">
        <v>427</v>
      </c>
      <c r="D279" s="2551" t="s">
        <v>1320</v>
      </c>
      <c r="E279" s="2552" t="s">
        <v>1894</v>
      </c>
      <c r="F279" s="2553">
        <v>1142</v>
      </c>
      <c r="G279" s="2195" t="s">
        <v>1876</v>
      </c>
      <c r="H279" s="2189"/>
      <c r="I279" s="2189"/>
      <c r="J279" s="2191" t="s">
        <v>1134</v>
      </c>
      <c r="K279" s="2192"/>
      <c r="L279" s="2189"/>
      <c r="M279" s="2554"/>
      <c r="N279" s="1466"/>
      <c r="O279" s="4"/>
      <c r="P279" s="4"/>
      <c r="Q279" s="4"/>
      <c r="R279" s="4"/>
      <c r="S279" s="4"/>
      <c r="T279" s="4"/>
      <c r="U279" s="4"/>
      <c r="V279" s="4"/>
      <c r="W279" s="4"/>
      <c r="X279" s="4"/>
      <c r="Y279" s="4"/>
      <c r="Z279" s="4"/>
      <c r="AA279" s="4"/>
      <c r="AB279" s="4"/>
      <c r="AC279" s="4"/>
      <c r="AD279" s="4"/>
      <c r="AE279" s="4"/>
      <c r="AF279" s="4"/>
    </row>
    <row r="280" spans="1:32" ht="11.4" customHeight="1">
      <c r="A280" s="2543"/>
      <c r="B280" s="3134" t="s">
        <v>326</v>
      </c>
      <c r="C280" s="2545" t="s">
        <v>427</v>
      </c>
      <c r="D280" s="2557" t="s">
        <v>1320</v>
      </c>
      <c r="E280" s="2545" t="s">
        <v>1894</v>
      </c>
      <c r="F280" s="2546">
        <v>1147</v>
      </c>
      <c r="G280" s="2556" t="s">
        <v>428</v>
      </c>
      <c r="H280" s="2549">
        <v>1500</v>
      </c>
      <c r="I280" s="2549"/>
      <c r="J280" s="2191">
        <v>1449</v>
      </c>
      <c r="K280" s="2550"/>
      <c r="L280" s="2549">
        <v>1500</v>
      </c>
      <c r="M280" s="2555"/>
      <c r="N280" s="57"/>
      <c r="O280" s="4"/>
      <c r="P280" s="4"/>
      <c r="Q280" s="4"/>
      <c r="R280" s="4"/>
      <c r="S280" s="4"/>
      <c r="T280" s="4"/>
      <c r="U280" s="4"/>
      <c r="V280" s="4"/>
      <c r="W280" s="4"/>
      <c r="X280" s="4"/>
      <c r="Y280" s="4"/>
      <c r="Z280" s="4"/>
      <c r="AA280" s="4"/>
      <c r="AB280" s="4"/>
      <c r="AC280" s="4"/>
      <c r="AD280" s="4"/>
      <c r="AE280" s="4"/>
      <c r="AF280" s="4"/>
    </row>
    <row r="281" spans="1:32" ht="20.399999999999999">
      <c r="A281" s="2187"/>
      <c r="B281" s="3135" t="s">
        <v>326</v>
      </c>
      <c r="C281" s="2558" t="s">
        <v>427</v>
      </c>
      <c r="D281" s="2559" t="s">
        <v>1320</v>
      </c>
      <c r="E281" s="2552" t="s">
        <v>1894</v>
      </c>
      <c r="F281" s="2553">
        <v>1147</v>
      </c>
      <c r="G281" s="2182" t="s">
        <v>3191</v>
      </c>
      <c r="H281" s="2189"/>
      <c r="I281" s="2189">
        <v>1500</v>
      </c>
      <c r="J281" s="2191" t="s">
        <v>1134</v>
      </c>
      <c r="K281" s="2192"/>
      <c r="L281" s="2189"/>
      <c r="M281" s="2189">
        <v>1500</v>
      </c>
      <c r="N281" s="1466"/>
      <c r="O281" s="4"/>
      <c r="P281" s="4"/>
      <c r="Q281" s="4"/>
      <c r="R281" s="4"/>
      <c r="S281" s="4"/>
      <c r="T281" s="4"/>
      <c r="U281" s="4"/>
      <c r="V281" s="4"/>
      <c r="W281" s="4"/>
      <c r="X281" s="4"/>
      <c r="Y281" s="4"/>
      <c r="Z281" s="4"/>
      <c r="AA281" s="4"/>
      <c r="AB281" s="4"/>
      <c r="AC281" s="4"/>
      <c r="AD281" s="4"/>
      <c r="AE281" s="4"/>
      <c r="AF281" s="4"/>
    </row>
    <row r="282" spans="1:32">
      <c r="A282" s="2543"/>
      <c r="B282" s="2545" t="s">
        <v>436</v>
      </c>
      <c r="C282" s="2545" t="s">
        <v>427</v>
      </c>
      <c r="D282" s="2557" t="s">
        <v>1320</v>
      </c>
      <c r="E282" s="2545" t="s">
        <v>1894</v>
      </c>
      <c r="F282" s="2546">
        <v>1148</v>
      </c>
      <c r="G282" s="2556" t="s">
        <v>1074</v>
      </c>
      <c r="H282" s="2549">
        <v>500</v>
      </c>
      <c r="I282" s="2549"/>
      <c r="J282" s="2191">
        <v>321.39999999999998</v>
      </c>
      <c r="K282" s="2550"/>
      <c r="L282" s="2549">
        <v>0</v>
      </c>
      <c r="M282" s="2555"/>
      <c r="N282" s="57"/>
      <c r="O282" s="4"/>
      <c r="P282" s="4"/>
      <c r="Q282" s="4"/>
      <c r="R282" s="4"/>
      <c r="S282" s="4"/>
      <c r="T282" s="4"/>
      <c r="U282" s="4"/>
      <c r="V282" s="4"/>
      <c r="W282" s="4"/>
      <c r="X282" s="4"/>
      <c r="Y282" s="4"/>
      <c r="Z282" s="4"/>
      <c r="AA282" s="4"/>
      <c r="AB282" s="4"/>
      <c r="AC282" s="4"/>
      <c r="AD282" s="4"/>
      <c r="AE282" s="4"/>
      <c r="AF282" s="4"/>
    </row>
    <row r="283" spans="1:32" ht="20.399999999999999">
      <c r="A283" s="2187"/>
      <c r="B283" s="2558" t="s">
        <v>436</v>
      </c>
      <c r="C283" s="2558" t="s">
        <v>427</v>
      </c>
      <c r="D283" s="2559" t="s">
        <v>1320</v>
      </c>
      <c r="E283" s="2552" t="s">
        <v>1894</v>
      </c>
      <c r="F283" s="2553">
        <v>1148</v>
      </c>
      <c r="G283" s="2182" t="s">
        <v>3268</v>
      </c>
      <c r="H283" s="2189"/>
      <c r="I283" s="2189">
        <v>500</v>
      </c>
      <c r="J283" s="2191" t="s">
        <v>1134</v>
      </c>
      <c r="K283" s="2192"/>
      <c r="L283" s="2189"/>
      <c r="M283" s="2554"/>
      <c r="N283" s="57"/>
      <c r="O283" s="4"/>
      <c r="P283" s="4"/>
      <c r="Q283" s="4"/>
      <c r="R283" s="4"/>
      <c r="S283" s="4"/>
      <c r="T283" s="4"/>
      <c r="U283" s="4"/>
      <c r="V283" s="4"/>
      <c r="W283" s="4"/>
      <c r="X283" s="4"/>
      <c r="Y283" s="4"/>
      <c r="Z283" s="4"/>
      <c r="AA283" s="4"/>
      <c r="AB283" s="4"/>
      <c r="AC283" s="4"/>
      <c r="AD283" s="4"/>
      <c r="AE283" s="4"/>
      <c r="AF283" s="4"/>
    </row>
    <row r="284" spans="1:32" ht="20.399999999999999">
      <c r="A284" s="2543"/>
      <c r="B284" s="3134" t="s">
        <v>326</v>
      </c>
      <c r="C284" s="2543" t="s">
        <v>322</v>
      </c>
      <c r="D284" s="2544" t="s">
        <v>1320</v>
      </c>
      <c r="E284" s="2545" t="s">
        <v>1894</v>
      </c>
      <c r="F284" s="2546">
        <v>1150</v>
      </c>
      <c r="G284" s="2556" t="s">
        <v>401</v>
      </c>
      <c r="H284" s="2549">
        <v>2000</v>
      </c>
      <c r="I284" s="2549"/>
      <c r="J284" s="2191">
        <v>5159.5200000000004</v>
      </c>
      <c r="K284" s="2550"/>
      <c r="L284" s="2549">
        <v>5000</v>
      </c>
      <c r="M284" s="2555"/>
      <c r="N284" s="57"/>
      <c r="O284" s="4"/>
      <c r="P284" s="4"/>
      <c r="Q284" s="4"/>
      <c r="R284" s="4"/>
      <c r="S284" s="4"/>
      <c r="T284" s="4"/>
      <c r="U284" s="4"/>
      <c r="V284" s="4"/>
      <c r="W284" s="4"/>
      <c r="X284" s="4"/>
      <c r="Y284" s="4"/>
      <c r="Z284" s="4"/>
      <c r="AA284" s="4"/>
      <c r="AB284" s="4"/>
      <c r="AC284" s="4"/>
      <c r="AD284" s="4"/>
      <c r="AE284" s="4"/>
      <c r="AF284" s="4"/>
    </row>
    <row r="285" spans="1:32" ht="20.399999999999999">
      <c r="A285" s="2187"/>
      <c r="B285" s="3135" t="s">
        <v>326</v>
      </c>
      <c r="C285" s="2168" t="s">
        <v>322</v>
      </c>
      <c r="D285" s="2551" t="s">
        <v>1320</v>
      </c>
      <c r="E285" s="2552" t="s">
        <v>1894</v>
      </c>
      <c r="F285" s="2553">
        <v>1150</v>
      </c>
      <c r="G285" s="2195" t="s">
        <v>3193</v>
      </c>
      <c r="H285" s="2189"/>
      <c r="I285" s="2189">
        <v>2000</v>
      </c>
      <c r="J285" s="2191" t="s">
        <v>1134</v>
      </c>
      <c r="K285" s="2192"/>
      <c r="L285" s="2189"/>
      <c r="M285" s="2189">
        <v>5000</v>
      </c>
      <c r="N285" s="57"/>
      <c r="O285" s="4"/>
      <c r="P285" s="4"/>
      <c r="Q285" s="4"/>
      <c r="R285" s="4"/>
      <c r="S285" s="4"/>
      <c r="T285" s="4"/>
      <c r="U285" s="4"/>
      <c r="V285" s="4"/>
      <c r="W285" s="4"/>
      <c r="X285" s="4"/>
      <c r="Y285" s="4"/>
      <c r="Z285" s="4"/>
      <c r="AA285" s="4"/>
      <c r="AB285" s="4"/>
      <c r="AC285" s="4"/>
      <c r="AD285" s="4"/>
      <c r="AE285" s="4"/>
      <c r="AF285" s="4"/>
    </row>
    <row r="286" spans="1:32" ht="20.399999999999999">
      <c r="A286" s="2187"/>
      <c r="B286" s="3135" t="s">
        <v>326</v>
      </c>
      <c r="C286" s="2168" t="s">
        <v>322</v>
      </c>
      <c r="D286" s="2551" t="s">
        <v>1320</v>
      </c>
      <c r="E286" s="2552" t="s">
        <v>1894</v>
      </c>
      <c r="F286" s="2553">
        <v>1150</v>
      </c>
      <c r="G286" s="2195" t="s">
        <v>1876</v>
      </c>
      <c r="H286" s="2189"/>
      <c r="I286" s="2189"/>
      <c r="J286" s="2191" t="s">
        <v>1134</v>
      </c>
      <c r="K286" s="2192"/>
      <c r="L286" s="2189"/>
      <c r="M286" s="2554"/>
      <c r="N286" s="57"/>
      <c r="O286" s="4"/>
      <c r="P286" s="4"/>
      <c r="Q286" s="4"/>
      <c r="R286" s="4"/>
      <c r="S286" s="4"/>
      <c r="T286" s="4"/>
      <c r="U286" s="4"/>
      <c r="V286" s="4"/>
      <c r="W286" s="4"/>
      <c r="X286" s="4"/>
      <c r="Y286" s="4"/>
      <c r="Z286" s="4"/>
      <c r="AA286" s="4"/>
      <c r="AB286" s="4"/>
      <c r="AC286" s="4"/>
      <c r="AD286" s="4"/>
      <c r="AE286" s="4"/>
      <c r="AF286" s="4"/>
    </row>
    <row r="287" spans="1:32">
      <c r="A287" s="2543"/>
      <c r="B287" s="3134" t="s">
        <v>326</v>
      </c>
      <c r="C287" s="2543" t="s">
        <v>427</v>
      </c>
      <c r="D287" s="2544" t="s">
        <v>1320</v>
      </c>
      <c r="E287" s="2545" t="s">
        <v>1894</v>
      </c>
      <c r="F287" s="2546">
        <v>1210</v>
      </c>
      <c r="G287" s="2556" t="s">
        <v>113</v>
      </c>
      <c r="H287" s="2549">
        <v>13459.3483182296</v>
      </c>
      <c r="I287" s="2549"/>
      <c r="J287" s="2191">
        <v>10955.47</v>
      </c>
      <c r="K287" s="2550"/>
      <c r="L287" s="2549">
        <v>16666</v>
      </c>
      <c r="M287" s="2555"/>
      <c r="N287" s="57"/>
      <c r="O287" s="4"/>
      <c r="P287" s="4"/>
      <c r="Q287" s="4"/>
      <c r="R287" s="4"/>
      <c r="S287" s="4"/>
      <c r="T287" s="4"/>
      <c r="U287" s="4"/>
      <c r="V287" s="4"/>
      <c r="W287" s="4"/>
      <c r="X287" s="4"/>
      <c r="Y287" s="4"/>
      <c r="Z287" s="4"/>
      <c r="AA287" s="4"/>
      <c r="AB287" s="4"/>
      <c r="AC287" s="4"/>
      <c r="AD287" s="4"/>
      <c r="AE287" s="4"/>
      <c r="AF287" s="4"/>
    </row>
    <row r="288" spans="1:32">
      <c r="A288" s="2187"/>
      <c r="B288" s="3135" t="s">
        <v>326</v>
      </c>
      <c r="C288" s="2168" t="s">
        <v>427</v>
      </c>
      <c r="D288" s="2551" t="s">
        <v>1320</v>
      </c>
      <c r="E288" s="2552" t="s">
        <v>1894</v>
      </c>
      <c r="F288" s="2553">
        <v>1210</v>
      </c>
      <c r="G288" s="2195" t="s">
        <v>4774</v>
      </c>
      <c r="H288" s="2189"/>
      <c r="I288" s="2189">
        <v>13509.3483182296</v>
      </c>
      <c r="J288" s="2191" t="s">
        <v>1134</v>
      </c>
      <c r="K288" s="2192"/>
      <c r="L288" s="2189"/>
      <c r="M288" s="2189">
        <v>16277</v>
      </c>
      <c r="N288" s="57"/>
      <c r="O288" s="4"/>
      <c r="P288" s="4"/>
      <c r="Q288" s="4"/>
      <c r="R288" s="4"/>
      <c r="S288" s="4"/>
      <c r="T288" s="4"/>
      <c r="U288" s="4"/>
      <c r="V288" s="4"/>
      <c r="W288" s="4"/>
      <c r="X288" s="4"/>
      <c r="Y288" s="4"/>
      <c r="Z288" s="4"/>
      <c r="AA288" s="4"/>
      <c r="AB288" s="4"/>
      <c r="AC288" s="4"/>
      <c r="AD288" s="4"/>
      <c r="AE288" s="4"/>
      <c r="AF288" s="4"/>
    </row>
    <row r="289" spans="1:32">
      <c r="A289" s="2187"/>
      <c r="B289" s="3135" t="s">
        <v>326</v>
      </c>
      <c r="C289" s="2168" t="s">
        <v>427</v>
      </c>
      <c r="D289" s="2551" t="s">
        <v>1320</v>
      </c>
      <c r="E289" s="2552" t="s">
        <v>1894</v>
      </c>
      <c r="F289" s="2553">
        <v>1210</v>
      </c>
      <c r="G289" s="2195" t="s">
        <v>4773</v>
      </c>
      <c r="H289" s="2189"/>
      <c r="I289" s="2189">
        <v>-50</v>
      </c>
      <c r="J289" s="2191" t="s">
        <v>1134</v>
      </c>
      <c r="K289" s="2192"/>
      <c r="L289" s="2189"/>
      <c r="M289" s="2189">
        <v>389</v>
      </c>
      <c r="N289" s="57"/>
      <c r="O289" s="4"/>
      <c r="P289" s="4"/>
      <c r="Q289" s="4"/>
      <c r="R289" s="4"/>
      <c r="S289" s="4"/>
      <c r="T289" s="4"/>
      <c r="U289" s="4"/>
      <c r="V289" s="4"/>
      <c r="W289" s="4"/>
      <c r="X289" s="4"/>
      <c r="Y289" s="4"/>
      <c r="Z289" s="4"/>
      <c r="AA289" s="4"/>
      <c r="AB289" s="4"/>
      <c r="AC289" s="4"/>
      <c r="AD289" s="4"/>
      <c r="AE289" s="4"/>
      <c r="AF289" s="4"/>
    </row>
    <row r="290" spans="1:32">
      <c r="A290" s="2543"/>
      <c r="B290" s="2545" t="s">
        <v>436</v>
      </c>
      <c r="C290" s="2543" t="s">
        <v>427</v>
      </c>
      <c r="D290" s="2544" t="s">
        <v>1320</v>
      </c>
      <c r="E290" s="2545" t="s">
        <v>1894</v>
      </c>
      <c r="F290" s="2546">
        <v>1210</v>
      </c>
      <c r="G290" s="2556" t="s">
        <v>113</v>
      </c>
      <c r="H290" s="2549">
        <v>1180</v>
      </c>
      <c r="I290" s="2549"/>
      <c r="J290" s="2191"/>
      <c r="K290" s="2550"/>
      <c r="L290" s="2549">
        <v>1180</v>
      </c>
      <c r="M290" s="2549"/>
      <c r="N290" s="57"/>
      <c r="O290" s="4"/>
      <c r="P290" s="4"/>
      <c r="Q290" s="4"/>
      <c r="R290" s="4"/>
      <c r="S290" s="4"/>
      <c r="T290" s="4"/>
      <c r="U290" s="4"/>
      <c r="V290" s="4"/>
      <c r="W290" s="4"/>
      <c r="X290" s="4"/>
      <c r="Y290" s="4"/>
      <c r="Z290" s="4"/>
      <c r="AA290" s="4"/>
      <c r="AB290" s="4"/>
      <c r="AC290" s="4"/>
      <c r="AD290" s="4"/>
      <c r="AE290" s="4"/>
      <c r="AF290" s="4"/>
    </row>
    <row r="291" spans="1:32">
      <c r="A291" s="2187"/>
      <c r="B291" s="2558" t="s">
        <v>436</v>
      </c>
      <c r="C291" s="2168" t="s">
        <v>427</v>
      </c>
      <c r="D291" s="2551" t="s">
        <v>1320</v>
      </c>
      <c r="E291" s="2552" t="s">
        <v>1894</v>
      </c>
      <c r="F291" s="2553">
        <v>1210</v>
      </c>
      <c r="G291" s="2195" t="s">
        <v>4771</v>
      </c>
      <c r="H291" s="2189"/>
      <c r="I291" s="2189">
        <v>1180</v>
      </c>
      <c r="J291" s="2191" t="s">
        <v>1134</v>
      </c>
      <c r="K291" s="2192"/>
      <c r="L291" s="2189"/>
      <c r="M291" s="2189">
        <v>1180</v>
      </c>
      <c r="N291" s="57"/>
      <c r="O291" s="4"/>
      <c r="P291" s="4"/>
      <c r="Q291" s="4"/>
      <c r="R291" s="4"/>
      <c r="S291" s="4"/>
      <c r="T291" s="4"/>
      <c r="U291" s="4"/>
      <c r="V291" s="4"/>
      <c r="W291" s="4"/>
      <c r="X291" s="4"/>
      <c r="Y291" s="4"/>
      <c r="Z291" s="4"/>
      <c r="AA291" s="4"/>
      <c r="AB291" s="4"/>
      <c r="AC291" s="4"/>
      <c r="AD291" s="4"/>
      <c r="AE291" s="4"/>
      <c r="AF291" s="4"/>
    </row>
    <row r="292" spans="1:32" ht="30.6">
      <c r="A292" s="2543"/>
      <c r="B292" s="2545" t="s">
        <v>436</v>
      </c>
      <c r="C292" s="2543" t="s">
        <v>427</v>
      </c>
      <c r="D292" s="2544" t="s">
        <v>1320</v>
      </c>
      <c r="E292" s="2545" t="s">
        <v>1894</v>
      </c>
      <c r="F292" s="2546">
        <v>1228</v>
      </c>
      <c r="G292" s="2556" t="s">
        <v>151</v>
      </c>
      <c r="H292" s="2549">
        <v>50</v>
      </c>
      <c r="I292" s="2549"/>
      <c r="J292" s="2191">
        <v>36.409999999999997</v>
      </c>
      <c r="K292" s="2550"/>
      <c r="L292" s="2549">
        <v>0</v>
      </c>
      <c r="M292" s="2549"/>
      <c r="N292" s="57"/>
      <c r="O292" s="4"/>
      <c r="P292" s="4"/>
      <c r="Q292" s="4"/>
      <c r="R292" s="4"/>
      <c r="S292" s="4"/>
      <c r="T292" s="4"/>
      <c r="U292" s="4"/>
      <c r="V292" s="4"/>
      <c r="W292" s="4"/>
      <c r="X292" s="4"/>
      <c r="Y292" s="4"/>
      <c r="Z292" s="4"/>
      <c r="AA292" s="4"/>
      <c r="AB292" s="4"/>
      <c r="AC292" s="4"/>
      <c r="AD292" s="4"/>
      <c r="AE292" s="4"/>
      <c r="AF292" s="4"/>
    </row>
    <row r="293" spans="1:32" ht="20.399999999999999">
      <c r="A293" s="2187"/>
      <c r="B293" s="2558" t="s">
        <v>436</v>
      </c>
      <c r="C293" s="2168" t="s">
        <v>427</v>
      </c>
      <c r="D293" s="2551" t="s">
        <v>1320</v>
      </c>
      <c r="E293" s="2552" t="s">
        <v>1894</v>
      </c>
      <c r="F293" s="2553">
        <v>1228</v>
      </c>
      <c r="G293" s="2195" t="s">
        <v>3194</v>
      </c>
      <c r="H293" s="2189"/>
      <c r="I293" s="2189">
        <v>50</v>
      </c>
      <c r="J293" s="2191" t="s">
        <v>1134</v>
      </c>
      <c r="K293" s="2192"/>
      <c r="L293" s="2189"/>
      <c r="M293" s="2189"/>
      <c r="N293" s="1466"/>
      <c r="O293" s="187"/>
      <c r="P293" s="187"/>
      <c r="Q293" s="187"/>
      <c r="R293" s="187"/>
      <c r="S293" s="187"/>
      <c r="T293" s="187"/>
      <c r="U293" s="187"/>
      <c r="V293" s="187"/>
      <c r="W293" s="187"/>
      <c r="X293" s="187"/>
      <c r="Y293" s="4"/>
      <c r="Z293" s="4"/>
      <c r="AA293" s="4"/>
      <c r="AB293" s="4"/>
      <c r="AC293" s="4"/>
      <c r="AD293" s="4"/>
      <c r="AE293" s="4"/>
      <c r="AF293" s="4"/>
    </row>
    <row r="294" spans="1:32">
      <c r="A294" s="2543"/>
      <c r="B294" s="2545" t="s">
        <v>772</v>
      </c>
      <c r="C294" s="2543" t="s">
        <v>322</v>
      </c>
      <c r="D294" s="2544" t="s">
        <v>1320</v>
      </c>
      <c r="E294" s="2545" t="s">
        <v>1894</v>
      </c>
      <c r="F294" s="2546">
        <v>2210</v>
      </c>
      <c r="G294" s="2556" t="s">
        <v>731</v>
      </c>
      <c r="H294" s="2549">
        <v>240.44</v>
      </c>
      <c r="I294" s="2549"/>
      <c r="J294" s="2191">
        <v>106</v>
      </c>
      <c r="K294" s="2550"/>
      <c r="L294" s="2549">
        <v>130</v>
      </c>
      <c r="M294" s="2549"/>
      <c r="N294" s="57"/>
      <c r="O294" s="4"/>
      <c r="P294" s="4"/>
      <c r="Q294" s="4"/>
      <c r="R294" s="4"/>
      <c r="S294" s="4"/>
      <c r="T294" s="4"/>
      <c r="U294" s="4"/>
      <c r="V294" s="4"/>
      <c r="W294" s="4"/>
      <c r="X294" s="4"/>
      <c r="Y294" s="4"/>
      <c r="Z294" s="4"/>
      <c r="AA294" s="4"/>
      <c r="AB294" s="4"/>
      <c r="AC294" s="4"/>
      <c r="AD294" s="4"/>
      <c r="AE294" s="4"/>
      <c r="AF294" s="4"/>
    </row>
    <row r="295" spans="1:32">
      <c r="A295" s="2187"/>
      <c r="B295" s="2558" t="s">
        <v>772</v>
      </c>
      <c r="C295" s="2168" t="s">
        <v>322</v>
      </c>
      <c r="D295" s="2551" t="s">
        <v>1320</v>
      </c>
      <c r="E295" s="2552" t="s">
        <v>1894</v>
      </c>
      <c r="F295" s="2553">
        <v>2210</v>
      </c>
      <c r="G295" s="2195" t="s">
        <v>2497</v>
      </c>
      <c r="H295" s="2189"/>
      <c r="I295" s="2189">
        <v>140.44</v>
      </c>
      <c r="J295" s="2191" t="s">
        <v>1134</v>
      </c>
      <c r="K295" s="2192"/>
      <c r="L295" s="2189"/>
      <c r="M295" s="2189">
        <v>130</v>
      </c>
      <c r="N295" s="1466"/>
      <c r="O295" s="187"/>
      <c r="P295" s="187"/>
      <c r="Q295" s="187"/>
      <c r="R295" s="187"/>
      <c r="S295" s="187"/>
      <c r="T295" s="187"/>
      <c r="U295" s="187"/>
      <c r="V295" s="187"/>
      <c r="W295" s="187"/>
      <c r="X295" s="187"/>
      <c r="Y295" s="4"/>
      <c r="Z295" s="4"/>
      <c r="AA295" s="4"/>
      <c r="AB295" s="4"/>
      <c r="AC295" s="4"/>
      <c r="AD295" s="4"/>
      <c r="AE295" s="4"/>
      <c r="AF295" s="4"/>
    </row>
    <row r="296" spans="1:32">
      <c r="A296" s="2187"/>
      <c r="B296" s="2558" t="s">
        <v>772</v>
      </c>
      <c r="C296" s="2168" t="s">
        <v>322</v>
      </c>
      <c r="D296" s="2551" t="s">
        <v>1320</v>
      </c>
      <c r="E296" s="2552" t="s">
        <v>1894</v>
      </c>
      <c r="F296" s="2553">
        <v>2210</v>
      </c>
      <c r="G296" s="2195" t="s">
        <v>2501</v>
      </c>
      <c r="H296" s="2189"/>
      <c r="I296" s="2189">
        <v>100</v>
      </c>
      <c r="J296" s="2191" t="s">
        <v>1134</v>
      </c>
      <c r="K296" s="2192"/>
      <c r="L296" s="2189"/>
      <c r="M296" s="2189"/>
      <c r="N296" s="57"/>
      <c r="O296" s="4"/>
      <c r="P296" s="4"/>
      <c r="Q296" s="4"/>
      <c r="R296" s="4"/>
      <c r="S296" s="4"/>
      <c r="T296" s="4"/>
      <c r="U296" s="4"/>
      <c r="V296" s="4"/>
      <c r="W296" s="4"/>
      <c r="X296" s="4"/>
      <c r="Y296" s="4"/>
      <c r="Z296" s="4"/>
      <c r="AA296" s="4"/>
      <c r="AB296" s="4"/>
      <c r="AC296" s="4"/>
      <c r="AD296" s="4"/>
      <c r="AE296" s="4"/>
      <c r="AF296" s="4"/>
    </row>
    <row r="297" spans="1:32">
      <c r="A297" s="2543"/>
      <c r="B297" s="3134" t="s">
        <v>326</v>
      </c>
      <c r="C297" s="2543" t="s">
        <v>322</v>
      </c>
      <c r="D297" s="2544" t="s">
        <v>1320</v>
      </c>
      <c r="E297" s="2545" t="s">
        <v>1894</v>
      </c>
      <c r="F297" s="2546">
        <v>2233</v>
      </c>
      <c r="G297" s="2556" t="s">
        <v>145</v>
      </c>
      <c r="H297" s="2549">
        <v>250</v>
      </c>
      <c r="I297" s="2549"/>
      <c r="J297" s="2191">
        <v>0</v>
      </c>
      <c r="K297" s="2550"/>
      <c r="L297" s="2549">
        <v>300</v>
      </c>
      <c r="M297" s="2549"/>
      <c r="N297" s="57"/>
      <c r="O297" s="187"/>
      <c r="P297" s="187"/>
      <c r="Q297" s="187"/>
      <c r="R297" s="187"/>
      <c r="S297" s="187"/>
      <c r="T297" s="187"/>
      <c r="U297" s="187"/>
      <c r="V297" s="187"/>
      <c r="W297" s="187"/>
      <c r="X297" s="187"/>
      <c r="Y297" s="4"/>
      <c r="Z297" s="4"/>
      <c r="AA297" s="4"/>
      <c r="AB297" s="4"/>
      <c r="AC297" s="4"/>
      <c r="AD297" s="4"/>
      <c r="AE297" s="4"/>
      <c r="AF297" s="4"/>
    </row>
    <row r="298" spans="1:32">
      <c r="A298" s="2187"/>
      <c r="B298" s="3135" t="s">
        <v>326</v>
      </c>
      <c r="C298" s="2168" t="s">
        <v>322</v>
      </c>
      <c r="D298" s="2551" t="s">
        <v>1320</v>
      </c>
      <c r="E298" s="2552" t="s">
        <v>1894</v>
      </c>
      <c r="F298" s="2553">
        <v>2233</v>
      </c>
      <c r="G298" s="2195" t="s">
        <v>2502</v>
      </c>
      <c r="H298" s="2189"/>
      <c r="I298" s="2189">
        <v>300</v>
      </c>
      <c r="J298" s="2191" t="s">
        <v>1134</v>
      </c>
      <c r="K298" s="2192"/>
      <c r="L298" s="2189"/>
      <c r="M298" s="2189">
        <v>300</v>
      </c>
      <c r="N298" s="57"/>
      <c r="O298" s="4"/>
      <c r="P298" s="4"/>
      <c r="Q298" s="4"/>
      <c r="R298" s="4"/>
      <c r="S298" s="4"/>
      <c r="T298" s="4"/>
      <c r="U298" s="4"/>
      <c r="V298" s="4"/>
      <c r="W298" s="4"/>
      <c r="X298" s="4"/>
      <c r="Y298" s="4"/>
      <c r="Z298" s="4"/>
      <c r="AA298" s="4"/>
      <c r="AB298" s="4"/>
      <c r="AC298" s="4"/>
      <c r="AD298" s="4"/>
      <c r="AE298" s="4"/>
      <c r="AF298" s="4"/>
    </row>
    <row r="299" spans="1:32" ht="20.399999999999999">
      <c r="A299" s="2187"/>
      <c r="B299" s="3135" t="s">
        <v>326</v>
      </c>
      <c r="C299" s="2168" t="s">
        <v>322</v>
      </c>
      <c r="D299" s="2551" t="s">
        <v>1320</v>
      </c>
      <c r="E299" s="2552" t="s">
        <v>1894</v>
      </c>
      <c r="F299" s="2553">
        <v>2233</v>
      </c>
      <c r="G299" s="2195" t="s">
        <v>3195</v>
      </c>
      <c r="H299" s="2189"/>
      <c r="I299" s="2189">
        <v>-50</v>
      </c>
      <c r="J299" s="2191" t="s">
        <v>1134</v>
      </c>
      <c r="K299" s="2192"/>
      <c r="L299" s="2189"/>
      <c r="M299" s="2189"/>
      <c r="N299" s="57"/>
      <c r="O299" s="187"/>
      <c r="P299" s="187"/>
      <c r="Q299" s="187"/>
      <c r="R299" s="187"/>
      <c r="S299" s="187"/>
      <c r="T299" s="187"/>
      <c r="U299" s="187"/>
      <c r="V299" s="187"/>
      <c r="W299" s="187"/>
      <c r="X299" s="187"/>
      <c r="Y299" s="187"/>
      <c r="Z299" s="187"/>
      <c r="AA299" s="187"/>
      <c r="AB299" s="187"/>
      <c r="AC299" s="187"/>
      <c r="AD299" s="187"/>
      <c r="AE299" s="187"/>
      <c r="AF299" s="187"/>
    </row>
    <row r="300" spans="1:32">
      <c r="A300" s="2543"/>
      <c r="B300" s="3134" t="s">
        <v>326</v>
      </c>
      <c r="C300" s="2543" t="s">
        <v>322</v>
      </c>
      <c r="D300" s="2544" t="s">
        <v>1320</v>
      </c>
      <c r="E300" s="2545" t="s">
        <v>1894</v>
      </c>
      <c r="F300" s="2546">
        <v>2239</v>
      </c>
      <c r="G300" s="2556" t="s">
        <v>1017</v>
      </c>
      <c r="H300" s="2549">
        <v>6568</v>
      </c>
      <c r="I300" s="2549"/>
      <c r="J300" s="2191">
        <v>1610</v>
      </c>
      <c r="K300" s="2550"/>
      <c r="L300" s="2549">
        <v>1068</v>
      </c>
      <c r="M300" s="2549"/>
      <c r="N300" s="57"/>
      <c r="O300" s="4"/>
      <c r="P300" s="4"/>
      <c r="Q300" s="4"/>
      <c r="R300" s="4"/>
      <c r="S300" s="4"/>
      <c r="T300" s="4"/>
      <c r="U300" s="4"/>
      <c r="V300" s="4"/>
      <c r="W300" s="4"/>
      <c r="X300" s="4"/>
      <c r="Y300" s="4"/>
      <c r="Z300" s="4"/>
      <c r="AA300" s="4"/>
      <c r="AB300" s="4"/>
      <c r="AC300" s="4"/>
      <c r="AD300" s="4"/>
      <c r="AE300" s="4"/>
      <c r="AF300" s="4"/>
    </row>
    <row r="301" spans="1:32">
      <c r="A301" s="2187"/>
      <c r="B301" s="3135" t="s">
        <v>326</v>
      </c>
      <c r="C301" s="2168" t="s">
        <v>322</v>
      </c>
      <c r="D301" s="2551" t="s">
        <v>1320</v>
      </c>
      <c r="E301" s="2552" t="s">
        <v>1894</v>
      </c>
      <c r="F301" s="2553">
        <v>2239</v>
      </c>
      <c r="G301" s="2195" t="s">
        <v>2500</v>
      </c>
      <c r="H301" s="2189"/>
      <c r="I301" s="2189">
        <v>5500</v>
      </c>
      <c r="J301" s="2191" t="s">
        <v>1134</v>
      </c>
      <c r="K301" s="2192"/>
      <c r="L301" s="2189"/>
      <c r="M301" s="2189"/>
      <c r="N301" s="57"/>
      <c r="O301" s="187"/>
      <c r="P301" s="187"/>
      <c r="Q301" s="187"/>
      <c r="R301" s="187"/>
      <c r="S301" s="187"/>
      <c r="T301" s="187"/>
      <c r="U301" s="187"/>
      <c r="V301" s="187"/>
      <c r="W301" s="187"/>
      <c r="X301" s="187"/>
      <c r="Y301" s="187"/>
      <c r="Z301" s="187"/>
      <c r="AA301" s="187"/>
      <c r="AB301" s="187"/>
      <c r="AC301" s="187"/>
      <c r="AD301" s="187"/>
      <c r="AE301" s="187"/>
      <c r="AF301" s="187"/>
    </row>
    <row r="302" spans="1:32">
      <c r="A302" s="2187"/>
      <c r="B302" s="3135" t="s">
        <v>326</v>
      </c>
      <c r="C302" s="2168" t="s">
        <v>322</v>
      </c>
      <c r="D302" s="2551" t="s">
        <v>1320</v>
      </c>
      <c r="E302" s="2552" t="s">
        <v>1894</v>
      </c>
      <c r="F302" s="2553">
        <v>2239</v>
      </c>
      <c r="G302" s="2195" t="s">
        <v>2503</v>
      </c>
      <c r="H302" s="2189"/>
      <c r="I302" s="2189">
        <v>1068</v>
      </c>
      <c r="J302" s="2191" t="s">
        <v>1134</v>
      </c>
      <c r="K302" s="2192"/>
      <c r="L302" s="2189"/>
      <c r="M302" s="2189">
        <v>1068</v>
      </c>
      <c r="N302" s="57"/>
      <c r="O302" s="4"/>
      <c r="P302" s="4"/>
      <c r="Q302" s="4"/>
      <c r="R302" s="4"/>
      <c r="S302" s="4"/>
      <c r="T302" s="4"/>
      <c r="U302" s="4"/>
      <c r="V302" s="4"/>
      <c r="W302" s="4"/>
      <c r="X302" s="4"/>
      <c r="Y302" s="4"/>
      <c r="Z302" s="4"/>
      <c r="AA302" s="4"/>
      <c r="AB302" s="4"/>
      <c r="AC302" s="4"/>
      <c r="AD302" s="4"/>
      <c r="AE302" s="4"/>
      <c r="AF302" s="4"/>
    </row>
    <row r="303" spans="1:32">
      <c r="A303" s="2543"/>
      <c r="B303" s="3134" t="s">
        <v>326</v>
      </c>
      <c r="C303" s="2543" t="s">
        <v>322</v>
      </c>
      <c r="D303" s="2544" t="s">
        <v>1320</v>
      </c>
      <c r="E303" s="2545" t="s">
        <v>1894</v>
      </c>
      <c r="F303" s="2546">
        <v>2311</v>
      </c>
      <c r="G303" s="2556" t="s">
        <v>129</v>
      </c>
      <c r="H303" s="2549">
        <v>300</v>
      </c>
      <c r="I303" s="2549"/>
      <c r="J303" s="2191">
        <v>2663.16</v>
      </c>
      <c r="K303" s="2550"/>
      <c r="L303" s="2549">
        <v>300</v>
      </c>
      <c r="M303" s="2549"/>
      <c r="N303" s="57"/>
      <c r="O303" s="187"/>
      <c r="P303" s="187"/>
      <c r="Q303" s="187"/>
      <c r="R303" s="187"/>
      <c r="S303" s="187"/>
      <c r="T303" s="187"/>
      <c r="U303" s="187"/>
      <c r="V303" s="187"/>
      <c r="W303" s="187"/>
      <c r="X303" s="187"/>
      <c r="Y303" s="187"/>
      <c r="Z303" s="187"/>
      <c r="AA303" s="187"/>
      <c r="AB303" s="187"/>
      <c r="AC303" s="187"/>
      <c r="AD303" s="187"/>
      <c r="AE303" s="187"/>
    </row>
    <row r="304" spans="1:32">
      <c r="A304" s="2187"/>
      <c r="B304" s="3135" t="s">
        <v>326</v>
      </c>
      <c r="C304" s="2168" t="s">
        <v>322</v>
      </c>
      <c r="D304" s="2551" t="s">
        <v>1320</v>
      </c>
      <c r="E304" s="2552" t="s">
        <v>1894</v>
      </c>
      <c r="F304" s="2553">
        <v>2311</v>
      </c>
      <c r="G304" s="2195" t="s">
        <v>206</v>
      </c>
      <c r="H304" s="2189"/>
      <c r="I304" s="2189">
        <v>300</v>
      </c>
      <c r="J304" s="2191" t="s">
        <v>1134</v>
      </c>
      <c r="K304" s="2192"/>
      <c r="L304" s="2189"/>
      <c r="M304" s="2189">
        <v>300</v>
      </c>
      <c r="N304" s="57"/>
      <c r="O304" s="4"/>
      <c r="P304" s="4"/>
      <c r="Q304" s="4"/>
      <c r="R304" s="4"/>
      <c r="S304" s="4"/>
      <c r="T304" s="4"/>
      <c r="U304" s="4"/>
      <c r="V304" s="4"/>
      <c r="W304" s="4"/>
      <c r="X304" s="4"/>
      <c r="Y304" s="4"/>
      <c r="Z304" s="4"/>
      <c r="AA304" s="4"/>
      <c r="AB304" s="4"/>
      <c r="AC304" s="4"/>
      <c r="AD304" s="4"/>
      <c r="AE304" s="4"/>
      <c r="AF304" s="4"/>
    </row>
    <row r="305" spans="1:32" ht="20.399999999999999">
      <c r="A305" s="2187"/>
      <c r="B305" s="3135" t="s">
        <v>326</v>
      </c>
      <c r="C305" s="2168" t="s">
        <v>322</v>
      </c>
      <c r="D305" s="2551" t="s">
        <v>1320</v>
      </c>
      <c r="E305" s="2552" t="s">
        <v>1894</v>
      </c>
      <c r="F305" s="2553">
        <v>2311</v>
      </c>
      <c r="G305" s="2195" t="s">
        <v>1876</v>
      </c>
      <c r="H305" s="2189"/>
      <c r="I305" s="2189"/>
      <c r="J305" s="2191" t="s">
        <v>1134</v>
      </c>
      <c r="K305" s="2192"/>
      <c r="L305" s="2189"/>
      <c r="M305" s="2189"/>
      <c r="N305" s="3" t="s">
        <v>3473</v>
      </c>
      <c r="O305" s="4"/>
      <c r="P305" s="4"/>
      <c r="Q305" s="4"/>
      <c r="R305" s="4"/>
      <c r="S305" s="4"/>
      <c r="T305" s="4"/>
      <c r="U305" s="4"/>
      <c r="V305" s="4"/>
      <c r="W305" s="4"/>
      <c r="X305" s="4"/>
      <c r="Y305" s="4"/>
      <c r="Z305" s="4"/>
      <c r="AA305" s="4"/>
      <c r="AB305" s="4"/>
      <c r="AC305" s="4"/>
      <c r="AD305" s="4"/>
      <c r="AE305" s="4"/>
      <c r="AF305" s="4"/>
    </row>
    <row r="306" spans="1:32">
      <c r="A306" s="2543"/>
      <c r="B306" s="2545" t="s">
        <v>772</v>
      </c>
      <c r="C306" s="2543" t="s">
        <v>322</v>
      </c>
      <c r="D306" s="2544" t="s">
        <v>1320</v>
      </c>
      <c r="E306" s="2545" t="s">
        <v>1894</v>
      </c>
      <c r="F306" s="2546">
        <v>2312</v>
      </c>
      <c r="G306" s="2556" t="s">
        <v>207</v>
      </c>
      <c r="H306" s="2549">
        <v>0</v>
      </c>
      <c r="I306" s="2549"/>
      <c r="J306" s="2191" t="s">
        <v>1134</v>
      </c>
      <c r="K306" s="2550"/>
      <c r="L306" s="2549">
        <v>0</v>
      </c>
      <c r="M306" s="2549"/>
      <c r="N306" s="17"/>
      <c r="O306" s="187"/>
      <c r="P306" s="187"/>
      <c r="Q306" s="187"/>
      <c r="R306" s="187"/>
      <c r="S306" s="187"/>
      <c r="T306" s="187"/>
      <c r="U306" s="187"/>
      <c r="V306" s="187"/>
      <c r="W306" s="187"/>
      <c r="X306" s="187"/>
      <c r="Y306" s="187"/>
      <c r="Z306" s="187"/>
      <c r="AA306" s="187"/>
      <c r="AB306" s="187"/>
      <c r="AC306" s="187"/>
      <c r="AD306" s="187"/>
      <c r="AE306" s="187"/>
      <c r="AF306" s="187"/>
    </row>
    <row r="307" spans="1:32" ht="20.399999999999999">
      <c r="A307" s="2187"/>
      <c r="B307" s="2558" t="s">
        <v>772</v>
      </c>
      <c r="C307" s="2168" t="s">
        <v>322</v>
      </c>
      <c r="D307" s="2551" t="s">
        <v>1320</v>
      </c>
      <c r="E307" s="2552" t="s">
        <v>1894</v>
      </c>
      <c r="F307" s="2553">
        <v>2312</v>
      </c>
      <c r="G307" s="2195" t="s">
        <v>1997</v>
      </c>
      <c r="H307" s="2189"/>
      <c r="I307" s="2189"/>
      <c r="J307" s="2191" t="s">
        <v>1134</v>
      </c>
      <c r="K307" s="2192"/>
      <c r="L307" s="2189"/>
      <c r="M307" s="2189"/>
      <c r="N307" s="17"/>
      <c r="O307" s="187"/>
      <c r="P307" s="187"/>
      <c r="Q307" s="187"/>
      <c r="R307" s="187"/>
      <c r="S307" s="187"/>
      <c r="T307" s="187"/>
      <c r="U307" s="187"/>
      <c r="V307" s="187"/>
      <c r="W307" s="187"/>
      <c r="X307" s="187"/>
      <c r="Y307" s="187"/>
      <c r="Z307" s="187"/>
      <c r="AA307" s="187"/>
      <c r="AB307" s="187"/>
      <c r="AC307" s="187"/>
      <c r="AD307" s="187"/>
      <c r="AE307" s="187"/>
      <c r="AF307" s="187"/>
    </row>
    <row r="308" spans="1:32">
      <c r="A308" s="2543"/>
      <c r="B308" s="2545" t="s">
        <v>772</v>
      </c>
      <c r="C308" s="2543" t="s">
        <v>322</v>
      </c>
      <c r="D308" s="2544" t="s">
        <v>1320</v>
      </c>
      <c r="E308" s="2545" t="s">
        <v>1894</v>
      </c>
      <c r="F308" s="2546">
        <v>2322</v>
      </c>
      <c r="G308" s="2556" t="s">
        <v>191</v>
      </c>
      <c r="H308" s="2549">
        <v>50</v>
      </c>
      <c r="I308" s="2549"/>
      <c r="J308" s="2191">
        <v>28.57</v>
      </c>
      <c r="K308" s="2550"/>
      <c r="L308" s="2549">
        <v>0</v>
      </c>
      <c r="M308" s="2549"/>
      <c r="N308" s="17"/>
      <c r="O308" s="4"/>
      <c r="P308" s="4"/>
      <c r="Q308" s="4"/>
      <c r="R308" s="4"/>
      <c r="S308" s="4"/>
      <c r="T308" s="4"/>
      <c r="U308" s="4"/>
      <c r="V308" s="4"/>
      <c r="W308" s="4"/>
      <c r="X308" s="4"/>
      <c r="Y308" s="4"/>
      <c r="Z308" s="4"/>
      <c r="AA308" s="4"/>
      <c r="AB308" s="4"/>
      <c r="AC308" s="4"/>
      <c r="AD308" s="4"/>
      <c r="AE308" s="4"/>
      <c r="AF308" s="4"/>
    </row>
    <row r="309" spans="1:32" ht="20.399999999999999">
      <c r="A309" s="2187"/>
      <c r="B309" s="2558" t="s">
        <v>772</v>
      </c>
      <c r="C309" s="2168" t="s">
        <v>322</v>
      </c>
      <c r="D309" s="2551" t="s">
        <v>1320</v>
      </c>
      <c r="E309" s="2552" t="s">
        <v>1894</v>
      </c>
      <c r="F309" s="2553">
        <v>2322</v>
      </c>
      <c r="G309" s="2195" t="s">
        <v>3195</v>
      </c>
      <c r="H309" s="2189"/>
      <c r="I309" s="2189">
        <v>50</v>
      </c>
      <c r="J309" s="2191" t="s">
        <v>1134</v>
      </c>
      <c r="K309" s="2192"/>
      <c r="L309" s="2189"/>
      <c r="M309" s="2189"/>
      <c r="N309" s="17"/>
      <c r="O309" s="187"/>
      <c r="P309" s="187"/>
      <c r="Q309" s="187"/>
      <c r="R309" s="187"/>
      <c r="S309" s="187"/>
      <c r="T309" s="187"/>
      <c r="U309" s="187"/>
      <c r="V309" s="187"/>
      <c r="W309" s="187"/>
      <c r="X309" s="187"/>
      <c r="Y309" s="187"/>
      <c r="Z309" s="187"/>
      <c r="AA309" s="187"/>
      <c r="AB309" s="187"/>
      <c r="AC309" s="187"/>
      <c r="AD309" s="187"/>
      <c r="AE309" s="187"/>
      <c r="AF309" s="187"/>
    </row>
    <row r="310" spans="1:32">
      <c r="A310" s="2543"/>
      <c r="B310" s="2545" t="s">
        <v>772</v>
      </c>
      <c r="C310" s="2543" t="s">
        <v>322</v>
      </c>
      <c r="D310" s="2544" t="s">
        <v>1320</v>
      </c>
      <c r="E310" s="2545" t="s">
        <v>1894</v>
      </c>
      <c r="F310" s="2546">
        <v>2350</v>
      </c>
      <c r="G310" s="2556" t="s">
        <v>1044</v>
      </c>
      <c r="H310" s="2549">
        <v>2000</v>
      </c>
      <c r="I310" s="2549"/>
      <c r="J310" s="2191">
        <v>0</v>
      </c>
      <c r="K310" s="2550"/>
      <c r="L310" s="2549">
        <v>1900</v>
      </c>
      <c r="M310" s="2549"/>
      <c r="N310" s="17"/>
      <c r="O310" s="4"/>
      <c r="P310" s="4"/>
      <c r="Q310" s="4"/>
      <c r="R310" s="187"/>
      <c r="S310" s="187"/>
      <c r="T310" s="187"/>
      <c r="U310" s="187"/>
      <c r="V310" s="187"/>
      <c r="W310" s="187"/>
      <c r="X310" s="187"/>
      <c r="Y310" s="187"/>
      <c r="Z310" s="187"/>
      <c r="AA310" s="187"/>
      <c r="AB310" s="187"/>
      <c r="AC310" s="187"/>
      <c r="AD310" s="187"/>
      <c r="AE310" s="187"/>
      <c r="AF310" s="187"/>
    </row>
    <row r="311" spans="1:32">
      <c r="A311" s="2187"/>
      <c r="B311" s="2558" t="s">
        <v>772</v>
      </c>
      <c r="C311" s="2168" t="s">
        <v>322</v>
      </c>
      <c r="D311" s="2551" t="s">
        <v>1320</v>
      </c>
      <c r="E311" s="2552" t="s">
        <v>1894</v>
      </c>
      <c r="F311" s="2553">
        <v>2350</v>
      </c>
      <c r="G311" s="2195" t="s">
        <v>1247</v>
      </c>
      <c r="H311" s="2189"/>
      <c r="I311" s="2189">
        <v>2000</v>
      </c>
      <c r="J311" s="2191" t="s">
        <v>1134</v>
      </c>
      <c r="K311" s="2192"/>
      <c r="L311" s="2189"/>
      <c r="M311" s="2189">
        <v>1900</v>
      </c>
      <c r="O311" s="187"/>
      <c r="P311" s="187"/>
      <c r="Q311" s="187"/>
      <c r="R311" s="187"/>
      <c r="S311" s="187"/>
      <c r="T311" s="187"/>
      <c r="U311" s="187"/>
      <c r="V311" s="187"/>
      <c r="W311" s="187"/>
      <c r="X311" s="187"/>
      <c r="Y311" s="187"/>
      <c r="Z311" s="187"/>
      <c r="AA311" s="187"/>
      <c r="AB311" s="187"/>
      <c r="AC311" s="187"/>
      <c r="AD311" s="187"/>
      <c r="AE311" s="187"/>
      <c r="AF311" s="187"/>
    </row>
    <row r="312" spans="1:32">
      <c r="A312" s="2543"/>
      <c r="B312" s="2545" t="s">
        <v>772</v>
      </c>
      <c r="C312" s="2543" t="s">
        <v>322</v>
      </c>
      <c r="D312" s="2544" t="s">
        <v>1320</v>
      </c>
      <c r="E312" s="2545" t="s">
        <v>1894</v>
      </c>
      <c r="F312" s="2546">
        <v>2390</v>
      </c>
      <c r="G312" s="2556" t="s">
        <v>1044</v>
      </c>
      <c r="H312" s="2549">
        <v>230</v>
      </c>
      <c r="I312" s="2549"/>
      <c r="J312" s="2191">
        <v>216.7</v>
      </c>
      <c r="K312" s="2550"/>
      <c r="L312" s="2549">
        <v>325</v>
      </c>
      <c r="M312" s="2549"/>
      <c r="N312" s="17"/>
      <c r="O312" s="4"/>
      <c r="P312" s="4"/>
      <c r="Q312" s="4"/>
      <c r="R312" s="4"/>
      <c r="S312" s="4"/>
      <c r="T312" s="4"/>
      <c r="U312" s="4"/>
      <c r="V312" s="4"/>
      <c r="W312" s="4"/>
      <c r="X312" s="4"/>
      <c r="Y312" s="4"/>
      <c r="Z312" s="4"/>
      <c r="AA312" s="4"/>
      <c r="AB312" s="4"/>
      <c r="AC312" s="4"/>
      <c r="AD312" s="4"/>
      <c r="AE312" s="4"/>
      <c r="AF312" s="4"/>
    </row>
    <row r="313" spans="1:32" s="79" customFormat="1" ht="13.8">
      <c r="A313" s="2187"/>
      <c r="B313" s="2558" t="s">
        <v>772</v>
      </c>
      <c r="C313" s="2168" t="s">
        <v>322</v>
      </c>
      <c r="D313" s="2551" t="s">
        <v>1320</v>
      </c>
      <c r="E313" s="2552" t="s">
        <v>1894</v>
      </c>
      <c r="F313" s="2553">
        <v>2390</v>
      </c>
      <c r="G313" s="2195" t="s">
        <v>4772</v>
      </c>
      <c r="H313" s="2189"/>
      <c r="I313" s="2189">
        <v>180</v>
      </c>
      <c r="J313" s="2191" t="s">
        <v>1134</v>
      </c>
      <c r="K313" s="2192"/>
      <c r="L313" s="2189"/>
      <c r="M313" s="2189">
        <v>225</v>
      </c>
      <c r="N313" s="125"/>
    </row>
    <row r="314" spans="1:32" s="79" customFormat="1" ht="13.8">
      <c r="A314" s="2187"/>
      <c r="B314" s="2558" t="s">
        <v>772</v>
      </c>
      <c r="C314" s="2168" t="s">
        <v>322</v>
      </c>
      <c r="D314" s="2551" t="s">
        <v>1320</v>
      </c>
      <c r="E314" s="2552" t="s">
        <v>1894</v>
      </c>
      <c r="F314" s="2553">
        <v>2390</v>
      </c>
      <c r="G314" s="2195" t="s">
        <v>2505</v>
      </c>
      <c r="H314" s="2189"/>
      <c r="I314" s="2189">
        <v>50</v>
      </c>
      <c r="J314" s="2191" t="s">
        <v>1134</v>
      </c>
      <c r="K314" s="2192"/>
      <c r="L314" s="2189"/>
      <c r="M314" s="2189">
        <v>100</v>
      </c>
      <c r="N314" s="180" t="s">
        <v>2048</v>
      </c>
    </row>
    <row r="315" spans="1:32">
      <c r="A315" s="2543"/>
      <c r="B315" s="2545" t="s">
        <v>774</v>
      </c>
      <c r="C315" s="2543" t="s">
        <v>322</v>
      </c>
      <c r="D315" s="2544" t="s">
        <v>1320</v>
      </c>
      <c r="E315" s="2545" t="s">
        <v>1894</v>
      </c>
      <c r="F315" s="2546">
        <v>5238</v>
      </c>
      <c r="G315" s="2556" t="s">
        <v>139</v>
      </c>
      <c r="H315" s="2549">
        <v>1500</v>
      </c>
      <c r="I315" s="2549"/>
      <c r="J315" s="2191">
        <v>0</v>
      </c>
      <c r="K315" s="2550"/>
      <c r="L315" s="2549">
        <v>1500</v>
      </c>
      <c r="M315" s="2555"/>
      <c r="N315" s="125"/>
      <c r="O315" s="4"/>
      <c r="P315" s="4"/>
      <c r="Q315" s="4"/>
      <c r="R315" s="4"/>
      <c r="S315" s="4"/>
      <c r="T315" s="4"/>
      <c r="U315" s="4"/>
      <c r="V315" s="4"/>
      <c r="W315" s="4"/>
      <c r="X315" s="4"/>
      <c r="Y315" s="4"/>
      <c r="Z315" s="4"/>
      <c r="AA315" s="4"/>
      <c r="AB315" s="4"/>
      <c r="AC315" s="4"/>
      <c r="AD315" s="4"/>
      <c r="AE315" s="4"/>
      <c r="AF315" s="4"/>
    </row>
    <row r="316" spans="1:32" s="79" customFormat="1" ht="13.8">
      <c r="A316" s="2187"/>
      <c r="B316" s="2558" t="s">
        <v>774</v>
      </c>
      <c r="C316" s="2168" t="s">
        <v>322</v>
      </c>
      <c r="D316" s="2551" t="s">
        <v>1320</v>
      </c>
      <c r="E316" s="2552" t="s">
        <v>1894</v>
      </c>
      <c r="F316" s="2553">
        <v>5238</v>
      </c>
      <c r="G316" s="2195" t="s">
        <v>2504</v>
      </c>
      <c r="H316" s="2189"/>
      <c r="I316" s="2189">
        <v>1500</v>
      </c>
      <c r="J316" s="2191" t="s">
        <v>1134</v>
      </c>
      <c r="K316" s="2192"/>
      <c r="L316" s="2189"/>
      <c r="M316" s="2189">
        <v>1500</v>
      </c>
      <c r="N316" s="17"/>
    </row>
    <row r="317" spans="1:32" s="79" customFormat="1" ht="13.8">
      <c r="A317" s="683"/>
      <c r="B317" s="720" t="s">
        <v>436</v>
      </c>
      <c r="C317" s="683" t="s">
        <v>427</v>
      </c>
      <c r="D317" s="719" t="s">
        <v>1320</v>
      </c>
      <c r="E317" s="1406" t="s">
        <v>1895</v>
      </c>
      <c r="F317" s="685">
        <v>1119</v>
      </c>
      <c r="G317" s="686" t="s">
        <v>406</v>
      </c>
      <c r="H317" s="689">
        <v>47852.639999999999</v>
      </c>
      <c r="I317" s="689"/>
      <c r="J317" s="1494">
        <v>25249</v>
      </c>
      <c r="K317" s="727"/>
      <c r="L317" s="1661">
        <v>32832</v>
      </c>
      <c r="M317" s="1661"/>
      <c r="N317" s="125"/>
    </row>
    <row r="318" spans="1:32" s="79" customFormat="1" ht="13.8">
      <c r="A318" s="663"/>
      <c r="B318" s="700" t="s">
        <v>436</v>
      </c>
      <c r="C318" s="663" t="s">
        <v>427</v>
      </c>
      <c r="D318" s="678" t="s">
        <v>1320</v>
      </c>
      <c r="E318" s="1407" t="s">
        <v>1895</v>
      </c>
      <c r="F318" s="679">
        <v>1119</v>
      </c>
      <c r="G318" s="681" t="s">
        <v>736</v>
      </c>
      <c r="H318" s="660"/>
      <c r="I318" s="660">
        <v>47852.639999999999</v>
      </c>
      <c r="J318" s="1494" t="s">
        <v>1134</v>
      </c>
      <c r="K318" s="667"/>
      <c r="L318" s="1662"/>
      <c r="M318" s="1662">
        <v>32832</v>
      </c>
      <c r="N318" s="17" t="s">
        <v>3487</v>
      </c>
    </row>
    <row r="319" spans="1:32" s="79" customFormat="1" ht="13.8">
      <c r="A319" s="683"/>
      <c r="B319" s="720" t="s">
        <v>436</v>
      </c>
      <c r="C319" s="683" t="s">
        <v>322</v>
      </c>
      <c r="D319" s="719" t="s">
        <v>1320</v>
      </c>
      <c r="E319" s="1406" t="s">
        <v>1895</v>
      </c>
      <c r="F319" s="685">
        <v>1170</v>
      </c>
      <c r="G319" s="686" t="s">
        <v>527</v>
      </c>
      <c r="H319" s="689">
        <v>0</v>
      </c>
      <c r="I319" s="689"/>
      <c r="J319" s="1494" t="s">
        <v>1134</v>
      </c>
      <c r="K319" s="727"/>
      <c r="L319" s="1661">
        <v>0</v>
      </c>
      <c r="M319" s="1661"/>
      <c r="N319" s="353"/>
    </row>
    <row r="320" spans="1:32" s="79" customFormat="1" ht="13.8">
      <c r="A320" s="663"/>
      <c r="B320" s="700" t="s">
        <v>436</v>
      </c>
      <c r="C320" s="663" t="s">
        <v>427</v>
      </c>
      <c r="D320" s="678" t="s">
        <v>1320</v>
      </c>
      <c r="E320" s="1407" t="s">
        <v>1895</v>
      </c>
      <c r="F320" s="679">
        <v>1170</v>
      </c>
      <c r="G320" s="681" t="s">
        <v>736</v>
      </c>
      <c r="H320" s="660"/>
      <c r="I320" s="660"/>
      <c r="J320" s="1494" t="s">
        <v>1134</v>
      </c>
      <c r="K320" s="667"/>
      <c r="L320" s="1662"/>
      <c r="M320" s="1662"/>
      <c r="N320" s="17"/>
    </row>
    <row r="321" spans="1:32" s="79" customFormat="1" ht="13.8">
      <c r="A321" s="683"/>
      <c r="B321" s="720" t="s">
        <v>436</v>
      </c>
      <c r="C321" s="683" t="s">
        <v>427</v>
      </c>
      <c r="D321" s="719" t="s">
        <v>1320</v>
      </c>
      <c r="E321" s="720" t="s">
        <v>1895</v>
      </c>
      <c r="F321" s="685">
        <v>1210</v>
      </c>
      <c r="G321" s="686" t="s">
        <v>113</v>
      </c>
      <c r="H321" s="689">
        <v>11288.437776000001</v>
      </c>
      <c r="I321" s="689"/>
      <c r="J321" s="1494">
        <v>5846</v>
      </c>
      <c r="K321" s="727"/>
      <c r="L321" s="689">
        <v>7745.0688</v>
      </c>
      <c r="M321" s="689"/>
      <c r="N321" s="17"/>
    </row>
    <row r="322" spans="1:32" s="79" customFormat="1" ht="13.8">
      <c r="A322" s="663"/>
      <c r="B322" s="700" t="s">
        <v>436</v>
      </c>
      <c r="C322" s="663" t="s">
        <v>427</v>
      </c>
      <c r="D322" s="678" t="s">
        <v>1320</v>
      </c>
      <c r="E322" s="700" t="s">
        <v>1895</v>
      </c>
      <c r="F322" s="679">
        <v>1210</v>
      </c>
      <c r="G322" s="681" t="s">
        <v>736</v>
      </c>
      <c r="H322" s="660"/>
      <c r="I322" s="660">
        <v>11288.437776000001</v>
      </c>
      <c r="J322" s="1494" t="s">
        <v>1134</v>
      </c>
      <c r="K322" s="667"/>
      <c r="L322" s="660"/>
      <c r="M322" s="660">
        <v>7745.0688</v>
      </c>
      <c r="N322" s="125"/>
    </row>
    <row r="323" spans="1:32" s="79" customFormat="1" ht="13.8">
      <c r="A323" s="683"/>
      <c r="B323" s="720" t="s">
        <v>436</v>
      </c>
      <c r="C323" s="683" t="s">
        <v>427</v>
      </c>
      <c r="D323" s="719" t="s">
        <v>1320</v>
      </c>
      <c r="E323" s="720" t="s">
        <v>1895</v>
      </c>
      <c r="F323" s="685">
        <v>1221</v>
      </c>
      <c r="G323" s="686" t="s">
        <v>120</v>
      </c>
      <c r="H323" s="689">
        <v>0</v>
      </c>
      <c r="I323" s="689"/>
      <c r="J323" s="1494" t="s">
        <v>1134</v>
      </c>
      <c r="K323" s="727"/>
      <c r="L323" s="689">
        <v>0</v>
      </c>
      <c r="M323" s="689"/>
      <c r="N323" s="17"/>
    </row>
    <row r="324" spans="1:32" s="79" customFormat="1" ht="13.8">
      <c r="A324" s="663"/>
      <c r="B324" s="700" t="s">
        <v>436</v>
      </c>
      <c r="C324" s="663" t="s">
        <v>427</v>
      </c>
      <c r="D324" s="678" t="s">
        <v>1320</v>
      </c>
      <c r="E324" s="700" t="s">
        <v>1895</v>
      </c>
      <c r="F324" s="679">
        <v>1221</v>
      </c>
      <c r="G324" s="681" t="s">
        <v>736</v>
      </c>
      <c r="H324" s="660"/>
      <c r="I324" s="660"/>
      <c r="J324" s="1494" t="s">
        <v>1134</v>
      </c>
      <c r="K324" s="667"/>
      <c r="L324" s="660"/>
      <c r="M324" s="660"/>
      <c r="N324" s="125"/>
    </row>
    <row r="325" spans="1:32" s="79" customFormat="1" ht="13.8">
      <c r="A325" s="683"/>
      <c r="B325" s="720" t="s">
        <v>772</v>
      </c>
      <c r="C325" s="683" t="s">
        <v>322</v>
      </c>
      <c r="D325" s="719" t="s">
        <v>1320</v>
      </c>
      <c r="E325" s="720" t="s">
        <v>1895</v>
      </c>
      <c r="F325" s="685">
        <v>2210</v>
      </c>
      <c r="G325" s="686" t="s">
        <v>572</v>
      </c>
      <c r="H325" s="689">
        <v>115.44</v>
      </c>
      <c r="I325" s="689"/>
      <c r="J325" s="1494">
        <v>124</v>
      </c>
      <c r="K325" s="727"/>
      <c r="L325" s="689">
        <v>115.44</v>
      </c>
      <c r="M325" s="689"/>
      <c r="N325" s="125"/>
    </row>
    <row r="326" spans="1:32" s="79" customFormat="1" ht="13.8">
      <c r="A326" s="663"/>
      <c r="B326" s="700" t="s">
        <v>772</v>
      </c>
      <c r="C326" s="663" t="s">
        <v>322</v>
      </c>
      <c r="D326" s="678" t="s">
        <v>1320</v>
      </c>
      <c r="E326" s="700" t="s">
        <v>1895</v>
      </c>
      <c r="F326" s="679">
        <v>2210</v>
      </c>
      <c r="G326" s="681" t="s">
        <v>2498</v>
      </c>
      <c r="H326" s="660"/>
      <c r="I326" s="660">
        <v>115.44</v>
      </c>
      <c r="J326" s="1494" t="s">
        <v>1134</v>
      </c>
      <c r="K326" s="667"/>
      <c r="L326" s="660"/>
      <c r="M326" s="660">
        <v>115.44</v>
      </c>
      <c r="N326" s="53"/>
    </row>
    <row r="327" spans="1:32" s="79" customFormat="1" ht="13.8">
      <c r="A327" s="683"/>
      <c r="B327" s="720" t="s">
        <v>772</v>
      </c>
      <c r="C327" s="683" t="s">
        <v>322</v>
      </c>
      <c r="D327" s="719" t="s">
        <v>1320</v>
      </c>
      <c r="E327" s="720" t="s">
        <v>1895</v>
      </c>
      <c r="F327" s="685">
        <v>2235</v>
      </c>
      <c r="G327" s="686" t="s">
        <v>931</v>
      </c>
      <c r="H327" s="689">
        <v>765</v>
      </c>
      <c r="I327" s="689"/>
      <c r="J327" s="1494">
        <v>0</v>
      </c>
      <c r="K327" s="727"/>
      <c r="L327" s="689">
        <v>765</v>
      </c>
      <c r="M327" s="689"/>
      <c r="N327" s="176"/>
    </row>
    <row r="328" spans="1:32">
      <c r="A328" s="663"/>
      <c r="B328" s="700" t="s">
        <v>772</v>
      </c>
      <c r="C328" s="663" t="s">
        <v>322</v>
      </c>
      <c r="D328" s="678" t="s">
        <v>1320</v>
      </c>
      <c r="E328" s="700" t="s">
        <v>1895</v>
      </c>
      <c r="F328" s="679">
        <v>2235</v>
      </c>
      <c r="G328" s="665" t="s">
        <v>924</v>
      </c>
      <c r="H328" s="660"/>
      <c r="I328" s="660">
        <v>765</v>
      </c>
      <c r="J328" s="1494" t="s">
        <v>1134</v>
      </c>
      <c r="K328" s="667"/>
      <c r="L328" s="660"/>
      <c r="M328" s="660">
        <v>765</v>
      </c>
      <c r="N328" s="7" t="s">
        <v>3472</v>
      </c>
      <c r="O328" s="4"/>
      <c r="P328" s="4"/>
      <c r="Q328" s="4"/>
      <c r="R328" s="4"/>
      <c r="S328" s="4"/>
      <c r="T328" s="4"/>
      <c r="U328" s="4"/>
      <c r="V328" s="4"/>
      <c r="W328" s="4"/>
      <c r="X328" s="4"/>
      <c r="Y328" s="4"/>
      <c r="Z328" s="4"/>
      <c r="AA328" s="4"/>
      <c r="AB328" s="4"/>
      <c r="AC328" s="4"/>
      <c r="AD328" s="4"/>
      <c r="AE328" s="4"/>
      <c r="AF328" s="4"/>
    </row>
    <row r="329" spans="1:32">
      <c r="A329" s="683"/>
      <c r="B329" s="720" t="s">
        <v>772</v>
      </c>
      <c r="C329" s="683" t="s">
        <v>322</v>
      </c>
      <c r="D329" s="719" t="s">
        <v>1320</v>
      </c>
      <c r="E329" s="720" t="s">
        <v>1895</v>
      </c>
      <c r="F329" s="685">
        <v>2239</v>
      </c>
      <c r="G329" s="686" t="s">
        <v>119</v>
      </c>
      <c r="H329" s="689"/>
      <c r="I329" s="689"/>
      <c r="J329" s="1494">
        <v>0</v>
      </c>
      <c r="K329" s="727"/>
      <c r="L329" s="689">
        <v>0</v>
      </c>
      <c r="M329" s="689"/>
      <c r="N329" s="125"/>
      <c r="O329" s="4"/>
      <c r="P329" s="4"/>
      <c r="Q329" s="4"/>
      <c r="R329" s="4"/>
      <c r="S329" s="4"/>
      <c r="T329" s="4"/>
      <c r="U329" s="4"/>
      <c r="V329" s="4"/>
      <c r="W329" s="4"/>
      <c r="X329" s="4"/>
      <c r="Y329" s="4"/>
      <c r="Z329" s="4"/>
      <c r="AA329" s="4"/>
      <c r="AB329" s="4"/>
      <c r="AC329" s="4"/>
      <c r="AD329" s="4"/>
      <c r="AE329" s="4"/>
      <c r="AF329" s="4"/>
    </row>
    <row r="330" spans="1:32">
      <c r="A330" s="663"/>
      <c r="B330" s="700" t="s">
        <v>772</v>
      </c>
      <c r="C330" s="663" t="s">
        <v>322</v>
      </c>
      <c r="D330" s="678" t="s">
        <v>1320</v>
      </c>
      <c r="E330" s="700" t="s">
        <v>1895</v>
      </c>
      <c r="F330" s="679">
        <v>2239</v>
      </c>
      <c r="G330" s="665"/>
      <c r="H330" s="660"/>
      <c r="I330" s="660"/>
      <c r="J330" s="1494" t="s">
        <v>1134</v>
      </c>
      <c r="K330" s="667"/>
      <c r="L330" s="660"/>
      <c r="M330" s="660">
        <v>0</v>
      </c>
      <c r="N330" s="125"/>
      <c r="O330" s="4"/>
      <c r="P330" s="4"/>
      <c r="Q330" s="4"/>
      <c r="R330" s="4"/>
      <c r="S330" s="4"/>
      <c r="T330" s="4"/>
      <c r="U330" s="4"/>
      <c r="V330" s="4"/>
      <c r="W330" s="4"/>
      <c r="X330" s="4"/>
      <c r="Y330" s="4"/>
      <c r="Z330" s="4"/>
      <c r="AA330" s="4"/>
      <c r="AB330" s="4"/>
      <c r="AC330" s="4"/>
      <c r="AD330" s="4"/>
      <c r="AE330" s="4"/>
      <c r="AF330" s="4"/>
    </row>
    <row r="331" spans="1:32">
      <c r="A331" s="683"/>
      <c r="B331" s="720" t="s">
        <v>772</v>
      </c>
      <c r="C331" s="683" t="s">
        <v>322</v>
      </c>
      <c r="D331" s="719" t="s">
        <v>1320</v>
      </c>
      <c r="E331" s="720" t="s">
        <v>1895</v>
      </c>
      <c r="F331" s="685">
        <v>2272</v>
      </c>
      <c r="G331" s="686" t="s">
        <v>1015</v>
      </c>
      <c r="H331" s="689">
        <v>0</v>
      </c>
      <c r="I331" s="689"/>
      <c r="J331" s="1494"/>
      <c r="K331" s="727"/>
      <c r="L331" s="689">
        <v>500</v>
      </c>
      <c r="M331" s="689"/>
      <c r="N331" s="17"/>
      <c r="O331" s="4"/>
      <c r="P331" s="4"/>
      <c r="Q331" s="4"/>
      <c r="R331" s="4"/>
      <c r="S331" s="4"/>
      <c r="T331" s="4"/>
      <c r="U331" s="4"/>
      <c r="V331" s="4"/>
      <c r="W331" s="4"/>
      <c r="X331" s="4"/>
      <c r="Y331" s="4"/>
      <c r="Z331" s="4"/>
      <c r="AA331" s="4"/>
      <c r="AB331" s="4"/>
      <c r="AC331" s="4"/>
      <c r="AD331" s="4"/>
      <c r="AE331" s="4"/>
      <c r="AF331" s="4"/>
    </row>
    <row r="332" spans="1:32" ht="40.799999999999997">
      <c r="A332" s="663"/>
      <c r="B332" s="700" t="s">
        <v>772</v>
      </c>
      <c r="C332" s="663" t="s">
        <v>322</v>
      </c>
      <c r="D332" s="678" t="s">
        <v>1320</v>
      </c>
      <c r="E332" s="700" t="s">
        <v>1895</v>
      </c>
      <c r="F332" s="679">
        <v>2272</v>
      </c>
      <c r="G332" s="665" t="s">
        <v>2821</v>
      </c>
      <c r="H332" s="660"/>
      <c r="I332" s="660">
        <v>430</v>
      </c>
      <c r="J332" s="1494" t="s">
        <v>1134</v>
      </c>
      <c r="K332" s="667"/>
      <c r="L332" s="660"/>
      <c r="M332" s="660">
        <v>500</v>
      </c>
      <c r="N332" s="125"/>
      <c r="O332" s="4"/>
      <c r="P332" s="4"/>
      <c r="Q332" s="4"/>
      <c r="R332" s="4"/>
      <c r="S332" s="4"/>
      <c r="T332" s="4"/>
      <c r="U332" s="4"/>
      <c r="V332" s="4"/>
      <c r="W332" s="4"/>
      <c r="X332" s="4"/>
      <c r="Y332" s="4"/>
      <c r="Z332" s="4"/>
      <c r="AA332" s="4"/>
      <c r="AB332" s="4"/>
      <c r="AC332" s="4"/>
      <c r="AD332" s="4"/>
      <c r="AE332" s="4"/>
      <c r="AF332" s="4"/>
    </row>
    <row r="333" spans="1:32" ht="30.6">
      <c r="A333" s="663"/>
      <c r="B333" s="700" t="s">
        <v>772</v>
      </c>
      <c r="C333" s="663" t="s">
        <v>322</v>
      </c>
      <c r="D333" s="678" t="s">
        <v>1320</v>
      </c>
      <c r="E333" s="700" t="s">
        <v>1895</v>
      </c>
      <c r="F333" s="679">
        <v>2272</v>
      </c>
      <c r="G333" s="665" t="s">
        <v>1854</v>
      </c>
      <c r="H333" s="660"/>
      <c r="I333" s="660">
        <v>-430</v>
      </c>
      <c r="J333" s="1494" t="s">
        <v>1134</v>
      </c>
      <c r="K333" s="667"/>
      <c r="L333" s="660"/>
      <c r="M333" s="660"/>
      <c r="N333" s="176"/>
      <c r="O333" s="4"/>
      <c r="P333" s="4"/>
      <c r="Q333" s="4"/>
      <c r="R333" s="4"/>
      <c r="S333" s="4"/>
      <c r="T333" s="4"/>
      <c r="U333" s="4"/>
      <c r="V333" s="4"/>
      <c r="W333" s="4"/>
      <c r="X333" s="4"/>
      <c r="Y333" s="4"/>
      <c r="Z333" s="4"/>
      <c r="AA333" s="4"/>
      <c r="AB333" s="4"/>
      <c r="AC333" s="4"/>
      <c r="AD333" s="4"/>
      <c r="AE333" s="4"/>
      <c r="AF333" s="4"/>
    </row>
    <row r="334" spans="1:32" ht="20.399999999999999">
      <c r="A334" s="683"/>
      <c r="B334" s="720" t="s">
        <v>772</v>
      </c>
      <c r="C334" s="683" t="s">
        <v>322</v>
      </c>
      <c r="D334" s="719" t="s">
        <v>1320</v>
      </c>
      <c r="E334" s="720" t="s">
        <v>1895</v>
      </c>
      <c r="F334" s="685">
        <v>2276</v>
      </c>
      <c r="G334" s="686" t="s">
        <v>1887</v>
      </c>
      <c r="H334" s="689">
        <v>1070</v>
      </c>
      <c r="I334" s="689"/>
      <c r="J334" s="1494">
        <v>860</v>
      </c>
      <c r="K334" s="727"/>
      <c r="L334" s="689">
        <v>1100</v>
      </c>
      <c r="M334" s="689"/>
      <c r="N334" s="17"/>
      <c r="O334" s="4"/>
      <c r="P334" s="4"/>
      <c r="Q334" s="4"/>
      <c r="R334" s="4"/>
      <c r="S334" s="4"/>
      <c r="T334" s="4"/>
      <c r="U334" s="4"/>
      <c r="V334" s="4"/>
      <c r="W334" s="4"/>
      <c r="X334" s="4"/>
      <c r="Y334" s="4"/>
      <c r="Z334" s="4"/>
      <c r="AA334" s="4"/>
      <c r="AB334" s="4"/>
      <c r="AC334" s="4"/>
      <c r="AD334" s="4"/>
      <c r="AE334" s="4"/>
      <c r="AF334" s="4"/>
    </row>
    <row r="335" spans="1:32" ht="13.8">
      <c r="A335" s="663"/>
      <c r="B335" s="700" t="s">
        <v>772</v>
      </c>
      <c r="C335" s="663" t="s">
        <v>322</v>
      </c>
      <c r="D335" s="678" t="s">
        <v>1320</v>
      </c>
      <c r="E335" s="700" t="s">
        <v>1895</v>
      </c>
      <c r="F335" s="679">
        <v>2276</v>
      </c>
      <c r="G335" s="665" t="s">
        <v>652</v>
      </c>
      <c r="H335" s="660"/>
      <c r="I335" s="660">
        <v>1070</v>
      </c>
      <c r="J335" s="1494" t="s">
        <v>1134</v>
      </c>
      <c r="K335" s="667"/>
      <c r="L335" s="660"/>
      <c r="M335" s="660">
        <v>1100</v>
      </c>
      <c r="N335" s="354"/>
      <c r="O335" s="4"/>
      <c r="P335" s="4"/>
      <c r="Q335" s="4"/>
      <c r="R335" s="4"/>
      <c r="S335" s="4"/>
      <c r="T335" s="4"/>
      <c r="U335" s="4"/>
      <c r="V335" s="4"/>
      <c r="W335" s="4"/>
      <c r="X335" s="4"/>
      <c r="Y335" s="4"/>
      <c r="Z335" s="4"/>
      <c r="AA335" s="4"/>
      <c r="AB335" s="4"/>
      <c r="AC335" s="4"/>
      <c r="AD335" s="4"/>
      <c r="AE335" s="4"/>
      <c r="AF335" s="4"/>
    </row>
    <row r="336" spans="1:32" ht="13.8">
      <c r="A336" s="683"/>
      <c r="B336" s="720" t="s">
        <v>772</v>
      </c>
      <c r="C336" s="683" t="s">
        <v>322</v>
      </c>
      <c r="D336" s="719" t="s">
        <v>1320</v>
      </c>
      <c r="E336" s="720" t="s">
        <v>1895</v>
      </c>
      <c r="F336" s="685">
        <v>2311</v>
      </c>
      <c r="G336" s="686" t="s">
        <v>129</v>
      </c>
      <c r="H336" s="689">
        <v>400</v>
      </c>
      <c r="I336" s="689"/>
      <c r="J336" s="1494">
        <v>227</v>
      </c>
      <c r="K336" s="727"/>
      <c r="L336" s="689">
        <v>400</v>
      </c>
      <c r="M336" s="689"/>
      <c r="N336" s="354"/>
      <c r="O336" s="4"/>
      <c r="P336" s="4"/>
      <c r="Q336" s="4"/>
      <c r="R336" s="4"/>
      <c r="S336" s="4"/>
      <c r="T336" s="4"/>
      <c r="U336" s="4"/>
      <c r="V336" s="4"/>
      <c r="W336" s="4"/>
      <c r="X336" s="4"/>
      <c r="Y336" s="4"/>
      <c r="Z336" s="4"/>
      <c r="AA336" s="4"/>
      <c r="AB336" s="4"/>
      <c r="AC336" s="4"/>
      <c r="AD336" s="4"/>
      <c r="AE336" s="4"/>
      <c r="AF336" s="4"/>
    </row>
    <row r="337" spans="1:32" ht="20.399999999999999">
      <c r="A337" s="663"/>
      <c r="B337" s="700" t="s">
        <v>772</v>
      </c>
      <c r="C337" s="663" t="s">
        <v>322</v>
      </c>
      <c r="D337" s="678" t="s">
        <v>1320</v>
      </c>
      <c r="E337" s="700" t="s">
        <v>1895</v>
      </c>
      <c r="F337" s="679">
        <v>2311</v>
      </c>
      <c r="G337" s="665" t="s">
        <v>638</v>
      </c>
      <c r="H337" s="660"/>
      <c r="I337" s="660">
        <v>200</v>
      </c>
      <c r="J337" s="1494" t="s">
        <v>1134</v>
      </c>
      <c r="K337" s="667"/>
      <c r="L337" s="660"/>
      <c r="M337" s="660">
        <v>200</v>
      </c>
      <c r="N337" s="17"/>
      <c r="O337" s="4"/>
      <c r="P337" s="4"/>
      <c r="Q337" s="4"/>
      <c r="R337" s="4"/>
      <c r="S337" s="4"/>
      <c r="T337" s="4"/>
      <c r="U337" s="4"/>
      <c r="V337" s="4"/>
      <c r="W337" s="4"/>
      <c r="X337" s="4"/>
      <c r="Y337" s="4"/>
      <c r="Z337" s="4"/>
      <c r="AA337" s="4"/>
      <c r="AB337" s="4"/>
      <c r="AC337" s="4"/>
      <c r="AD337" s="4"/>
      <c r="AE337" s="4"/>
      <c r="AF337" s="4"/>
    </row>
    <row r="338" spans="1:32" ht="13.8">
      <c r="A338" s="663"/>
      <c r="B338" s="700" t="s">
        <v>772</v>
      </c>
      <c r="C338" s="663" t="s">
        <v>322</v>
      </c>
      <c r="D338" s="678" t="s">
        <v>1320</v>
      </c>
      <c r="E338" s="700" t="s">
        <v>1895</v>
      </c>
      <c r="F338" s="679">
        <v>2311</v>
      </c>
      <c r="G338" s="665" t="s">
        <v>493</v>
      </c>
      <c r="H338" s="660"/>
      <c r="I338" s="660">
        <v>200</v>
      </c>
      <c r="J338" s="1494" t="s">
        <v>1134</v>
      </c>
      <c r="K338" s="667"/>
      <c r="L338" s="660"/>
      <c r="M338" s="660">
        <v>200</v>
      </c>
      <c r="N338" s="354"/>
      <c r="O338" s="4"/>
      <c r="P338" s="4"/>
      <c r="Q338" s="4"/>
      <c r="R338" s="4"/>
      <c r="S338" s="4"/>
      <c r="T338" s="4"/>
      <c r="U338" s="4"/>
      <c r="V338" s="4"/>
      <c r="W338" s="4"/>
      <c r="X338" s="4"/>
      <c r="Y338" s="4"/>
      <c r="Z338" s="4"/>
      <c r="AA338" s="4"/>
      <c r="AB338" s="4"/>
      <c r="AC338" s="4"/>
      <c r="AD338" s="4"/>
      <c r="AE338" s="4"/>
      <c r="AF338" s="4"/>
    </row>
    <row r="339" spans="1:32" ht="13.8">
      <c r="A339" s="683"/>
      <c r="B339" s="720" t="s">
        <v>774</v>
      </c>
      <c r="C339" s="683" t="s">
        <v>324</v>
      </c>
      <c r="D339" s="719" t="s">
        <v>1320</v>
      </c>
      <c r="E339" s="720" t="s">
        <v>1895</v>
      </c>
      <c r="F339" s="824">
        <v>2312</v>
      </c>
      <c r="G339" s="800" t="s">
        <v>207</v>
      </c>
      <c r="H339" s="1663">
        <v>640</v>
      </c>
      <c r="I339" s="1663"/>
      <c r="J339" s="1654">
        <v>287</v>
      </c>
      <c r="K339" s="1664"/>
      <c r="L339" s="1663">
        <v>240</v>
      </c>
      <c r="M339" s="1663"/>
      <c r="N339" s="354"/>
      <c r="O339" s="4"/>
      <c r="P339" s="4"/>
      <c r="Q339" s="4"/>
      <c r="R339" s="4"/>
      <c r="S339" s="4"/>
      <c r="T339" s="4"/>
      <c r="U339" s="4"/>
      <c r="V339" s="4"/>
      <c r="W339" s="4"/>
      <c r="X339" s="4"/>
      <c r="Y339" s="4"/>
      <c r="Z339" s="4"/>
      <c r="AA339" s="4"/>
      <c r="AB339" s="4"/>
      <c r="AC339" s="4"/>
      <c r="AD339" s="4"/>
      <c r="AE339" s="4"/>
      <c r="AF339" s="4"/>
    </row>
    <row r="340" spans="1:32" ht="13.8">
      <c r="A340" s="603"/>
      <c r="B340" s="700" t="s">
        <v>774</v>
      </c>
      <c r="C340" s="663" t="s">
        <v>324</v>
      </c>
      <c r="D340" s="678" t="s">
        <v>1320</v>
      </c>
      <c r="E340" s="700" t="s">
        <v>1895</v>
      </c>
      <c r="F340" s="795">
        <v>2312</v>
      </c>
      <c r="G340" s="1153" t="s">
        <v>5335</v>
      </c>
      <c r="H340" s="1665"/>
      <c r="I340" s="1665">
        <v>240</v>
      </c>
      <c r="J340" s="1654" t="s">
        <v>1134</v>
      </c>
      <c r="K340" s="1666"/>
      <c r="L340" s="1665"/>
      <c r="M340" s="1665">
        <v>240</v>
      </c>
      <c r="N340" s="354"/>
      <c r="O340" s="4"/>
      <c r="P340" s="4"/>
      <c r="Q340" s="4"/>
      <c r="R340" s="4"/>
      <c r="S340" s="4"/>
      <c r="T340" s="4"/>
      <c r="U340" s="4"/>
      <c r="V340" s="4"/>
      <c r="W340" s="4"/>
      <c r="X340" s="4"/>
      <c r="Y340" s="4"/>
      <c r="Z340" s="4"/>
      <c r="AA340" s="4"/>
      <c r="AB340" s="4"/>
      <c r="AC340" s="4"/>
      <c r="AD340" s="4"/>
      <c r="AE340" s="4"/>
      <c r="AF340" s="4"/>
    </row>
    <row r="341" spans="1:32" ht="13.8">
      <c r="A341" s="663"/>
      <c r="B341" s="700" t="s">
        <v>774</v>
      </c>
      <c r="C341" s="663" t="s">
        <v>324</v>
      </c>
      <c r="D341" s="678" t="s">
        <v>1320</v>
      </c>
      <c r="E341" s="700" t="s">
        <v>1895</v>
      </c>
      <c r="F341" s="795">
        <v>2312</v>
      </c>
      <c r="G341" s="750" t="s">
        <v>2047</v>
      </c>
      <c r="H341" s="1667"/>
      <c r="I341" s="1667">
        <v>400</v>
      </c>
      <c r="J341" s="1654" t="s">
        <v>1134</v>
      </c>
      <c r="K341" s="1668"/>
      <c r="L341" s="1667"/>
      <c r="M341" s="1667"/>
      <c r="N341" s="354"/>
      <c r="O341" s="4"/>
      <c r="P341" s="4"/>
      <c r="Q341" s="4"/>
      <c r="R341" s="4"/>
      <c r="S341" s="4"/>
      <c r="T341" s="4"/>
      <c r="U341" s="4"/>
      <c r="V341" s="4"/>
      <c r="W341" s="4"/>
      <c r="X341" s="4"/>
      <c r="Y341" s="4"/>
      <c r="Z341" s="4"/>
      <c r="AA341" s="4"/>
      <c r="AB341" s="4"/>
      <c r="AC341" s="4"/>
      <c r="AD341" s="4"/>
      <c r="AE341" s="4"/>
      <c r="AF341" s="4"/>
    </row>
    <row r="342" spans="1:32" ht="20.399999999999999">
      <c r="A342" s="683"/>
      <c r="B342" s="720" t="s">
        <v>772</v>
      </c>
      <c r="C342" s="683" t="s">
        <v>322</v>
      </c>
      <c r="D342" s="719" t="s">
        <v>1320</v>
      </c>
      <c r="E342" s="720" t="s">
        <v>1895</v>
      </c>
      <c r="F342" s="685">
        <v>2519</v>
      </c>
      <c r="G342" s="686" t="s">
        <v>1020</v>
      </c>
      <c r="H342" s="689">
        <v>260</v>
      </c>
      <c r="I342" s="689"/>
      <c r="J342" s="1494">
        <v>-307</v>
      </c>
      <c r="K342" s="727"/>
      <c r="L342" s="689">
        <v>260</v>
      </c>
      <c r="M342" s="689"/>
      <c r="N342" s="354"/>
      <c r="O342" s="4"/>
      <c r="P342" s="4"/>
      <c r="Q342" s="4"/>
      <c r="R342" s="4"/>
      <c r="S342" s="4"/>
      <c r="T342" s="4"/>
      <c r="U342" s="4"/>
      <c r="V342" s="4"/>
      <c r="W342" s="4"/>
      <c r="X342" s="4"/>
      <c r="Y342" s="4"/>
      <c r="Z342" s="4"/>
      <c r="AA342" s="4"/>
      <c r="AB342" s="4"/>
      <c r="AC342" s="4"/>
      <c r="AD342" s="4"/>
      <c r="AE342" s="4"/>
      <c r="AF342" s="4"/>
    </row>
    <row r="343" spans="1:32" ht="30.6">
      <c r="A343" s="663"/>
      <c r="B343" s="700" t="s">
        <v>772</v>
      </c>
      <c r="C343" s="663" t="s">
        <v>322</v>
      </c>
      <c r="D343" s="678" t="s">
        <v>1320</v>
      </c>
      <c r="E343" s="700" t="s">
        <v>1895</v>
      </c>
      <c r="F343" s="679">
        <v>2519</v>
      </c>
      <c r="G343" s="665" t="s">
        <v>5336</v>
      </c>
      <c r="H343" s="660"/>
      <c r="I343" s="660">
        <v>500</v>
      </c>
      <c r="J343" s="1494" t="s">
        <v>1134</v>
      </c>
      <c r="K343" s="667"/>
      <c r="L343" s="660"/>
      <c r="M343" s="660">
        <v>260</v>
      </c>
      <c r="N343" s="354"/>
      <c r="O343" s="3"/>
      <c r="P343" s="3"/>
      <c r="Q343" s="3"/>
      <c r="R343" s="3"/>
      <c r="S343" s="3"/>
      <c r="T343" s="3"/>
      <c r="U343" s="3"/>
      <c r="V343" s="3"/>
      <c r="W343" s="3"/>
      <c r="X343" s="3"/>
      <c r="Y343" s="3"/>
      <c r="Z343" s="3"/>
      <c r="AA343" s="3"/>
      <c r="AB343" s="3"/>
      <c r="AC343" s="3"/>
      <c r="AD343" s="3"/>
      <c r="AE343" s="3"/>
      <c r="AF343" s="3"/>
    </row>
    <row r="344" spans="1:32" ht="20.399999999999999">
      <c r="A344" s="603"/>
      <c r="B344" s="700" t="s">
        <v>772</v>
      </c>
      <c r="C344" s="663" t="s">
        <v>322</v>
      </c>
      <c r="D344" s="678" t="s">
        <v>1320</v>
      </c>
      <c r="E344" s="700" t="s">
        <v>1895</v>
      </c>
      <c r="F344" s="679">
        <v>2519</v>
      </c>
      <c r="G344" s="1129" t="s">
        <v>3185</v>
      </c>
      <c r="H344" s="1460"/>
      <c r="I344" s="1460">
        <v>-240</v>
      </c>
      <c r="J344" s="1494" t="s">
        <v>1134</v>
      </c>
      <c r="K344" s="1461"/>
      <c r="L344" s="1460"/>
      <c r="M344" s="1460"/>
      <c r="N344" s="354"/>
      <c r="O344" s="7"/>
      <c r="P344" s="7"/>
      <c r="Q344" s="7"/>
      <c r="R344" s="7"/>
      <c r="S344" s="7"/>
      <c r="T344" s="7"/>
      <c r="U344" s="7"/>
      <c r="V344" s="7"/>
      <c r="W344" s="7"/>
      <c r="X344" s="7"/>
      <c r="Y344" s="7"/>
      <c r="Z344" s="7"/>
      <c r="AA344" s="7"/>
      <c r="AB344" s="7"/>
      <c r="AC344" s="7"/>
      <c r="AD344" s="7"/>
      <c r="AE344" s="7"/>
      <c r="AF344" s="7"/>
    </row>
    <row r="345" spans="1:32" ht="30.6">
      <c r="A345" s="683"/>
      <c r="B345" s="720" t="s">
        <v>774</v>
      </c>
      <c r="C345" s="683" t="s">
        <v>324</v>
      </c>
      <c r="D345" s="719" t="s">
        <v>1320</v>
      </c>
      <c r="E345" s="720" t="s">
        <v>1895</v>
      </c>
      <c r="F345" s="685">
        <v>6500</v>
      </c>
      <c r="G345" s="686" t="s">
        <v>1855</v>
      </c>
      <c r="H345" s="843">
        <v>430</v>
      </c>
      <c r="I345" s="843"/>
      <c r="J345" s="1494">
        <v>0</v>
      </c>
      <c r="K345" s="1343"/>
      <c r="L345" s="843">
        <v>0</v>
      </c>
      <c r="M345" s="843"/>
      <c r="N345" s="354"/>
      <c r="O345" s="7"/>
      <c r="P345" s="7"/>
      <c r="Q345" s="7"/>
      <c r="R345" s="7"/>
      <c r="S345" s="7"/>
      <c r="T345" s="7"/>
      <c r="U345" s="7"/>
      <c r="V345" s="7"/>
      <c r="W345" s="7"/>
      <c r="X345" s="7"/>
      <c r="Y345" s="7"/>
      <c r="Z345" s="7"/>
      <c r="AA345" s="7"/>
      <c r="AB345" s="7"/>
      <c r="AC345" s="7"/>
      <c r="AD345" s="7"/>
      <c r="AE345" s="7"/>
      <c r="AF345" s="7"/>
    </row>
    <row r="346" spans="1:32" ht="30.6">
      <c r="A346" s="663"/>
      <c r="B346" s="700" t="s">
        <v>774</v>
      </c>
      <c r="C346" s="663" t="s">
        <v>324</v>
      </c>
      <c r="D346" s="678" t="s">
        <v>1320</v>
      </c>
      <c r="E346" s="700" t="s">
        <v>1895</v>
      </c>
      <c r="F346" s="679">
        <v>6500</v>
      </c>
      <c r="G346" s="665" t="s">
        <v>1854</v>
      </c>
      <c r="H346" s="844"/>
      <c r="I346" s="844">
        <v>430</v>
      </c>
      <c r="J346" s="1494" t="s">
        <v>1134</v>
      </c>
      <c r="K346" s="1344"/>
      <c r="L346" s="844"/>
      <c r="M346" s="844"/>
      <c r="N346" s="354"/>
      <c r="O346" s="7"/>
      <c r="P346" s="7"/>
      <c r="Q346" s="7"/>
      <c r="R346" s="7"/>
      <c r="S346" s="7"/>
      <c r="T346" s="7"/>
      <c r="U346" s="7"/>
      <c r="V346" s="7"/>
      <c r="W346" s="7"/>
      <c r="X346" s="7"/>
      <c r="Y346" s="7"/>
      <c r="Z346" s="7"/>
      <c r="AA346" s="7"/>
      <c r="AB346" s="7"/>
      <c r="AC346" s="7"/>
      <c r="AD346" s="7"/>
      <c r="AE346" s="7"/>
      <c r="AF346" s="7"/>
    </row>
    <row r="347" spans="1:32" ht="13.8">
      <c r="A347" s="683"/>
      <c r="B347" s="720" t="s">
        <v>436</v>
      </c>
      <c r="C347" s="683" t="s">
        <v>427</v>
      </c>
      <c r="D347" s="719" t="s">
        <v>1320</v>
      </c>
      <c r="E347" s="742" t="s">
        <v>1896</v>
      </c>
      <c r="F347" s="685">
        <v>1111</v>
      </c>
      <c r="G347" s="686" t="s">
        <v>2822</v>
      </c>
      <c r="H347" s="837">
        <v>6840</v>
      </c>
      <c r="I347" s="837"/>
      <c r="J347" s="1494">
        <v>0</v>
      </c>
      <c r="K347" s="1014"/>
      <c r="L347" s="837">
        <v>5000</v>
      </c>
      <c r="M347" s="837"/>
      <c r="N347" s="354"/>
      <c r="O347" s="7"/>
      <c r="P347" s="7"/>
      <c r="Q347" s="7"/>
      <c r="R347" s="7"/>
      <c r="S347" s="7"/>
      <c r="T347" s="7"/>
      <c r="U347" s="7"/>
      <c r="V347" s="7"/>
      <c r="W347" s="7"/>
      <c r="X347" s="7"/>
      <c r="Y347" s="7"/>
      <c r="Z347" s="7"/>
      <c r="AA347" s="7"/>
      <c r="AB347" s="7"/>
      <c r="AC347" s="7"/>
      <c r="AD347" s="7"/>
      <c r="AE347" s="7"/>
      <c r="AF347" s="7"/>
    </row>
    <row r="348" spans="1:32" ht="14.4">
      <c r="A348" s="663"/>
      <c r="B348" s="700" t="s">
        <v>436</v>
      </c>
      <c r="C348" s="663" t="s">
        <v>427</v>
      </c>
      <c r="D348" s="678" t="s">
        <v>1320</v>
      </c>
      <c r="E348" s="700" t="s">
        <v>1896</v>
      </c>
      <c r="F348" s="679">
        <v>1111</v>
      </c>
      <c r="G348" s="681" t="s">
        <v>436</v>
      </c>
      <c r="H348" s="844"/>
      <c r="I348" s="844">
        <v>6840</v>
      </c>
      <c r="J348" s="1494" t="s">
        <v>1134</v>
      </c>
      <c r="K348" s="1014"/>
      <c r="L348" s="844"/>
      <c r="M348" s="844">
        <v>5000</v>
      </c>
      <c r="N348" s="355"/>
      <c r="O348" s="7"/>
      <c r="P348" s="7"/>
      <c r="Q348" s="7"/>
      <c r="R348" s="7"/>
      <c r="S348" s="7"/>
      <c r="T348" s="7"/>
      <c r="U348" s="7"/>
      <c r="V348" s="7"/>
      <c r="W348" s="7"/>
      <c r="X348" s="7"/>
      <c r="Y348" s="7"/>
      <c r="Z348" s="7"/>
      <c r="AA348" s="7"/>
      <c r="AB348" s="7"/>
      <c r="AC348" s="7"/>
      <c r="AD348" s="7"/>
      <c r="AE348" s="7"/>
      <c r="AF348" s="7"/>
    </row>
    <row r="349" spans="1:32" ht="20.399999999999999">
      <c r="A349" s="683"/>
      <c r="B349" s="720" t="s">
        <v>436</v>
      </c>
      <c r="C349" s="683" t="s">
        <v>427</v>
      </c>
      <c r="D349" s="719" t="s">
        <v>1320</v>
      </c>
      <c r="E349" s="720" t="s">
        <v>1896</v>
      </c>
      <c r="F349" s="685">
        <v>1112</v>
      </c>
      <c r="G349" s="686" t="s">
        <v>571</v>
      </c>
      <c r="H349" s="837">
        <v>9120</v>
      </c>
      <c r="I349" s="837"/>
      <c r="J349" s="1494">
        <v>266</v>
      </c>
      <c r="K349" s="1014"/>
      <c r="L349" s="837">
        <v>9120</v>
      </c>
      <c r="M349" s="837"/>
      <c r="N349" s="354"/>
      <c r="O349" s="7"/>
      <c r="P349" s="7"/>
      <c r="Q349" s="7"/>
      <c r="R349" s="7"/>
      <c r="S349" s="7"/>
      <c r="T349" s="7"/>
      <c r="U349" s="7"/>
      <c r="V349" s="7"/>
      <c r="W349" s="7"/>
      <c r="X349" s="7"/>
      <c r="Y349" s="7"/>
      <c r="Z349" s="7"/>
      <c r="AA349" s="7"/>
      <c r="AB349" s="7"/>
      <c r="AC349" s="7"/>
      <c r="AD349" s="7"/>
      <c r="AE349" s="7"/>
      <c r="AF349" s="7"/>
    </row>
    <row r="350" spans="1:32" ht="13.8">
      <c r="A350" s="663"/>
      <c r="B350" s="700" t="s">
        <v>436</v>
      </c>
      <c r="C350" s="663" t="s">
        <v>427</v>
      </c>
      <c r="D350" s="678" t="s">
        <v>1320</v>
      </c>
      <c r="E350" s="700" t="s">
        <v>1896</v>
      </c>
      <c r="F350" s="679">
        <v>1112</v>
      </c>
      <c r="G350" s="681" t="s">
        <v>436</v>
      </c>
      <c r="H350" s="844"/>
      <c r="I350" s="844">
        <v>9120</v>
      </c>
      <c r="J350" s="1494" t="s">
        <v>1134</v>
      </c>
      <c r="K350" s="1014"/>
      <c r="L350" s="844"/>
      <c r="M350" s="844">
        <v>9120</v>
      </c>
      <c r="N350" s="354"/>
      <c r="O350" s="3"/>
      <c r="P350" s="3"/>
      <c r="Q350" s="3"/>
      <c r="R350" s="3"/>
      <c r="S350" s="3"/>
      <c r="T350" s="3"/>
      <c r="U350" s="3"/>
      <c r="V350" s="3"/>
      <c r="W350" s="3"/>
      <c r="X350" s="3"/>
      <c r="Y350" s="3"/>
      <c r="Z350" s="3"/>
      <c r="AA350" s="3"/>
      <c r="AB350" s="3"/>
      <c r="AC350" s="3"/>
      <c r="AD350" s="3"/>
      <c r="AE350" s="3"/>
      <c r="AF350" s="3"/>
    </row>
    <row r="351" spans="1:32" ht="13.8">
      <c r="A351" s="683"/>
      <c r="B351" s="720" t="s">
        <v>436</v>
      </c>
      <c r="C351" s="683" t="s">
        <v>427</v>
      </c>
      <c r="D351" s="719" t="s">
        <v>1320</v>
      </c>
      <c r="E351" s="720" t="s">
        <v>1896</v>
      </c>
      <c r="F351" s="685">
        <v>1119</v>
      </c>
      <c r="G351" s="686" t="s">
        <v>109</v>
      </c>
      <c r="H351" s="837">
        <v>18582.68</v>
      </c>
      <c r="I351" s="837"/>
      <c r="J351" s="1494">
        <v>15324</v>
      </c>
      <c r="K351" s="1014"/>
      <c r="L351" s="837">
        <v>20991</v>
      </c>
      <c r="M351" s="837"/>
      <c r="N351" s="354"/>
      <c r="O351" s="7"/>
      <c r="P351" s="7"/>
      <c r="Q351" s="7"/>
      <c r="R351" s="7"/>
      <c r="S351" s="7"/>
      <c r="T351" s="7"/>
      <c r="U351" s="7"/>
      <c r="V351" s="7"/>
      <c r="W351" s="7"/>
      <c r="X351" s="7"/>
      <c r="Y351" s="7"/>
      <c r="Z351" s="7"/>
      <c r="AA351" s="7"/>
      <c r="AB351" s="7"/>
      <c r="AC351" s="7"/>
      <c r="AD351" s="7"/>
      <c r="AE351" s="7"/>
    </row>
    <row r="352" spans="1:32" ht="13.8">
      <c r="A352" s="663"/>
      <c r="B352" s="700" t="s">
        <v>436</v>
      </c>
      <c r="C352" s="663" t="s">
        <v>427</v>
      </c>
      <c r="D352" s="678" t="s">
        <v>1320</v>
      </c>
      <c r="E352" s="700" t="s">
        <v>1896</v>
      </c>
      <c r="F352" s="679">
        <v>1119</v>
      </c>
      <c r="G352" s="681" t="s">
        <v>436</v>
      </c>
      <c r="H352" s="844"/>
      <c r="I352" s="844">
        <v>26575.68</v>
      </c>
      <c r="J352" s="1494" t="s">
        <v>1134</v>
      </c>
      <c r="K352" s="1014"/>
      <c r="L352" s="844"/>
      <c r="M352" s="844">
        <v>26008</v>
      </c>
      <c r="N352" s="354"/>
      <c r="O352" s="7"/>
      <c r="P352" s="7"/>
      <c r="Q352" s="7"/>
      <c r="R352" s="7"/>
      <c r="S352" s="7"/>
      <c r="T352" s="7"/>
      <c r="U352" s="7"/>
      <c r="V352" s="7"/>
      <c r="W352" s="7"/>
      <c r="X352" s="7"/>
      <c r="Y352" s="7"/>
      <c r="Z352" s="7"/>
      <c r="AA352" s="7"/>
      <c r="AB352" s="7"/>
      <c r="AC352" s="7"/>
      <c r="AD352" s="7"/>
      <c r="AE352" s="7"/>
    </row>
    <row r="353" spans="1:32" ht="13.8">
      <c r="A353" s="663"/>
      <c r="B353" s="700" t="s">
        <v>436</v>
      </c>
      <c r="C353" s="663" t="s">
        <v>427</v>
      </c>
      <c r="D353" s="678" t="s">
        <v>1320</v>
      </c>
      <c r="E353" s="700" t="s">
        <v>1896</v>
      </c>
      <c r="F353" s="679">
        <v>1119</v>
      </c>
      <c r="G353" s="681" t="s">
        <v>1599</v>
      </c>
      <c r="H353" s="844"/>
      <c r="I353" s="844">
        <v>-7993</v>
      </c>
      <c r="J353" s="1494" t="s">
        <v>1134</v>
      </c>
      <c r="K353" s="1014"/>
      <c r="L353" s="844"/>
      <c r="M353" s="844">
        <v>-5017</v>
      </c>
      <c r="N353" s="354"/>
      <c r="O353" s="187"/>
      <c r="P353" s="187"/>
      <c r="Q353" s="187"/>
      <c r="R353" s="187"/>
      <c r="S353" s="187"/>
      <c r="T353" s="187"/>
      <c r="U353" s="187"/>
      <c r="V353" s="187"/>
      <c r="W353" s="187"/>
      <c r="X353" s="187"/>
      <c r="Y353" s="187"/>
      <c r="Z353" s="187"/>
      <c r="AA353" s="187"/>
      <c r="AB353" s="187"/>
      <c r="AC353" s="187"/>
      <c r="AD353" s="187"/>
      <c r="AE353" s="187"/>
      <c r="AF353" s="187"/>
    </row>
    <row r="354" spans="1:32">
      <c r="A354" s="683"/>
      <c r="B354" s="720" t="s">
        <v>436</v>
      </c>
      <c r="C354" s="683" t="s">
        <v>427</v>
      </c>
      <c r="D354" s="719" t="s">
        <v>1320</v>
      </c>
      <c r="E354" s="720" t="s">
        <v>1896</v>
      </c>
      <c r="F354" s="685">
        <v>1210</v>
      </c>
      <c r="G354" s="686" t="s">
        <v>113</v>
      </c>
      <c r="H354" s="837">
        <v>9984.1669120000006</v>
      </c>
      <c r="I354" s="837"/>
      <c r="J354" s="1494">
        <v>3572</v>
      </c>
      <c r="K354" s="1014"/>
      <c r="L354" s="837">
        <v>9416.1952000000001</v>
      </c>
      <c r="M354" s="837"/>
      <c r="N354" s="17"/>
      <c r="O354" s="187"/>
      <c r="P354" s="187"/>
      <c r="Q354" s="187"/>
      <c r="R354" s="187"/>
      <c r="S354" s="187"/>
      <c r="T354" s="187"/>
      <c r="U354" s="187"/>
      <c r="V354" s="187"/>
      <c r="W354" s="187"/>
      <c r="X354" s="187"/>
      <c r="Y354" s="187"/>
      <c r="Z354" s="187"/>
      <c r="AA354" s="187"/>
      <c r="AB354" s="187"/>
      <c r="AC354" s="187"/>
      <c r="AD354" s="187"/>
      <c r="AE354" s="187"/>
      <c r="AF354" s="187"/>
    </row>
    <row r="355" spans="1:32">
      <c r="A355" s="663"/>
      <c r="B355" s="700" t="s">
        <v>436</v>
      </c>
      <c r="C355" s="663" t="s">
        <v>427</v>
      </c>
      <c r="D355" s="678" t="s">
        <v>1320</v>
      </c>
      <c r="E355" s="700" t="s">
        <v>1896</v>
      </c>
      <c r="F355" s="679">
        <v>1210</v>
      </c>
      <c r="G355" s="681" t="s">
        <v>436</v>
      </c>
      <c r="H355" s="844"/>
      <c r="I355" s="844">
        <v>10034.166912000001</v>
      </c>
      <c r="J355" s="1494" t="s">
        <v>1134</v>
      </c>
      <c r="K355" s="1014"/>
      <c r="L355" s="844"/>
      <c r="M355" s="844">
        <v>9416.1952000000001</v>
      </c>
      <c r="N355" s="17"/>
      <c r="O355" s="7"/>
      <c r="P355" s="7"/>
      <c r="Q355" s="7"/>
      <c r="R355" s="7"/>
      <c r="S355" s="7"/>
      <c r="T355" s="7"/>
      <c r="U355" s="7"/>
      <c r="V355" s="7"/>
      <c r="W355" s="7"/>
      <c r="X355" s="7"/>
      <c r="Y355" s="7"/>
      <c r="Z355" s="7"/>
      <c r="AA355" s="7"/>
      <c r="AB355" s="7"/>
      <c r="AC355" s="7"/>
      <c r="AD355" s="7"/>
      <c r="AE355" s="7"/>
    </row>
    <row r="356" spans="1:32" ht="20.399999999999999">
      <c r="A356" s="603"/>
      <c r="B356" s="700" t="s">
        <v>436</v>
      </c>
      <c r="C356" s="663" t="s">
        <v>427</v>
      </c>
      <c r="D356" s="678" t="s">
        <v>1320</v>
      </c>
      <c r="E356" s="700" t="s">
        <v>1896</v>
      </c>
      <c r="F356" s="679">
        <v>1210</v>
      </c>
      <c r="G356" s="1133" t="s">
        <v>3194</v>
      </c>
      <c r="H356" s="1460"/>
      <c r="I356" s="1460">
        <v>-50</v>
      </c>
      <c r="J356" s="1494" t="s">
        <v>1134</v>
      </c>
      <c r="K356" s="1465"/>
      <c r="L356" s="1460"/>
      <c r="M356" s="1460"/>
      <c r="N356" s="17"/>
      <c r="O356" s="187"/>
      <c r="P356" s="187"/>
      <c r="Q356" s="187"/>
      <c r="R356" s="187"/>
      <c r="S356" s="187"/>
      <c r="T356" s="187"/>
      <c r="U356" s="187"/>
      <c r="V356" s="187"/>
      <c r="W356" s="187"/>
      <c r="X356" s="187"/>
      <c r="Y356" s="187"/>
      <c r="Z356" s="187"/>
      <c r="AA356" s="187"/>
      <c r="AB356" s="187"/>
      <c r="AC356" s="187"/>
      <c r="AD356" s="187"/>
      <c r="AE356" s="187"/>
      <c r="AF356" s="187"/>
    </row>
    <row r="357" spans="1:32" ht="30.6">
      <c r="A357" s="683"/>
      <c r="B357" s="720" t="s">
        <v>436</v>
      </c>
      <c r="C357" s="683" t="s">
        <v>427</v>
      </c>
      <c r="D357" s="719" t="s">
        <v>1320</v>
      </c>
      <c r="E357" s="720" t="s">
        <v>1896</v>
      </c>
      <c r="F357" s="685">
        <v>1228</v>
      </c>
      <c r="G357" s="686" t="s">
        <v>151</v>
      </c>
      <c r="H357" s="837">
        <v>50</v>
      </c>
      <c r="I357" s="837"/>
      <c r="J357" s="1494">
        <v>45.76</v>
      </c>
      <c r="K357" s="1014"/>
      <c r="L357" s="837">
        <v>50</v>
      </c>
      <c r="M357" s="837"/>
      <c r="N357" s="17"/>
      <c r="O357" s="7"/>
      <c r="P357" s="7"/>
      <c r="Q357" s="7"/>
      <c r="R357" s="7"/>
      <c r="S357" s="7"/>
      <c r="T357" s="7"/>
      <c r="U357" s="7"/>
      <c r="V357" s="7"/>
      <c r="W357" s="7"/>
      <c r="X357" s="7"/>
      <c r="Y357" s="7"/>
      <c r="Z357" s="7"/>
      <c r="AA357" s="7"/>
      <c r="AB357" s="7"/>
      <c r="AC357" s="7"/>
      <c r="AD357" s="7"/>
      <c r="AE357" s="7"/>
      <c r="AF357" s="7"/>
    </row>
    <row r="358" spans="1:32" ht="20.399999999999999">
      <c r="A358" s="663"/>
      <c r="B358" s="700" t="s">
        <v>436</v>
      </c>
      <c r="C358" s="663" t="s">
        <v>427</v>
      </c>
      <c r="D358" s="678" t="s">
        <v>1320</v>
      </c>
      <c r="E358" s="700" t="s">
        <v>1896</v>
      </c>
      <c r="F358" s="679">
        <v>1228</v>
      </c>
      <c r="G358" s="681" t="s">
        <v>3194</v>
      </c>
      <c r="H358" s="844"/>
      <c r="I358" s="844">
        <v>50</v>
      </c>
      <c r="J358" s="1494" t="s">
        <v>1134</v>
      </c>
      <c r="K358" s="1014"/>
      <c r="L358" s="844"/>
      <c r="M358" s="844">
        <v>50</v>
      </c>
      <c r="N358" s="17"/>
      <c r="O358" s="187"/>
      <c r="P358" s="187"/>
      <c r="Q358" s="187"/>
      <c r="R358" s="187"/>
      <c r="S358" s="187"/>
      <c r="T358" s="187"/>
      <c r="U358" s="187"/>
      <c r="V358" s="187"/>
      <c r="W358" s="187"/>
      <c r="X358" s="187"/>
      <c r="Y358" s="187"/>
      <c r="Z358" s="187"/>
      <c r="AA358" s="187"/>
      <c r="AB358" s="187"/>
      <c r="AC358" s="187"/>
      <c r="AD358" s="187"/>
      <c r="AE358" s="187"/>
      <c r="AF358" s="187"/>
    </row>
    <row r="359" spans="1:32">
      <c r="A359" s="683"/>
      <c r="B359" s="720" t="s">
        <v>772</v>
      </c>
      <c r="C359" s="683" t="s">
        <v>322</v>
      </c>
      <c r="D359" s="719" t="s">
        <v>1320</v>
      </c>
      <c r="E359" s="720" t="s">
        <v>1896</v>
      </c>
      <c r="F359" s="694">
        <v>2235</v>
      </c>
      <c r="G359" s="686" t="s">
        <v>931</v>
      </c>
      <c r="H359" s="837">
        <v>500</v>
      </c>
      <c r="I359" s="837"/>
      <c r="J359" s="1494">
        <v>0</v>
      </c>
      <c r="K359" s="1014"/>
      <c r="L359" s="837">
        <v>480</v>
      </c>
      <c r="M359" s="837"/>
      <c r="N359" s="17"/>
      <c r="O359" s="187"/>
      <c r="P359" s="187"/>
      <c r="Q359" s="187"/>
      <c r="R359" s="187"/>
      <c r="S359" s="187"/>
      <c r="T359" s="187"/>
      <c r="U359" s="187"/>
      <c r="V359" s="187"/>
      <c r="W359" s="187"/>
      <c r="X359" s="187"/>
      <c r="Y359" s="187"/>
      <c r="Z359" s="187"/>
      <c r="AA359" s="187"/>
      <c r="AB359" s="187"/>
      <c r="AC359" s="187"/>
      <c r="AD359" s="187"/>
      <c r="AE359" s="187"/>
      <c r="AF359" s="187"/>
    </row>
    <row r="360" spans="1:32">
      <c r="A360" s="663"/>
      <c r="B360" s="700" t="s">
        <v>772</v>
      </c>
      <c r="C360" s="663" t="s">
        <v>322</v>
      </c>
      <c r="D360" s="678" t="s">
        <v>1320</v>
      </c>
      <c r="E360" s="700" t="s">
        <v>1896</v>
      </c>
      <c r="F360" s="679">
        <v>2235</v>
      </c>
      <c r="G360" s="681" t="s">
        <v>3474</v>
      </c>
      <c r="H360" s="844"/>
      <c r="I360" s="844">
        <v>500</v>
      </c>
      <c r="J360" s="1494" t="s">
        <v>1134</v>
      </c>
      <c r="K360" s="1014"/>
      <c r="L360" s="844"/>
      <c r="M360" s="844">
        <v>480</v>
      </c>
      <c r="N360" s="17"/>
      <c r="O360" s="7"/>
      <c r="P360" s="7"/>
      <c r="Q360" s="7"/>
      <c r="R360" s="7"/>
      <c r="S360" s="7"/>
      <c r="T360" s="7"/>
      <c r="U360" s="7"/>
      <c r="V360" s="7"/>
      <c r="W360" s="7"/>
      <c r="X360" s="7"/>
      <c r="Y360" s="7"/>
      <c r="Z360" s="7"/>
      <c r="AA360" s="7"/>
      <c r="AB360" s="7"/>
      <c r="AC360" s="7"/>
      <c r="AD360" s="7"/>
      <c r="AE360" s="7"/>
      <c r="AF360" s="7"/>
    </row>
    <row r="361" spans="1:32">
      <c r="A361" s="683"/>
      <c r="B361" s="720" t="s">
        <v>772</v>
      </c>
      <c r="C361" s="683" t="s">
        <v>322</v>
      </c>
      <c r="D361" s="719" t="s">
        <v>1320</v>
      </c>
      <c r="E361" s="720" t="s">
        <v>1896</v>
      </c>
      <c r="F361" s="685">
        <v>2311</v>
      </c>
      <c r="G361" s="686" t="s">
        <v>129</v>
      </c>
      <c r="H361" s="837">
        <v>100</v>
      </c>
      <c r="I361" s="837"/>
      <c r="J361" s="1494">
        <v>79</v>
      </c>
      <c r="K361" s="1014"/>
      <c r="L361" s="837">
        <v>100</v>
      </c>
      <c r="M361" s="837"/>
      <c r="N361" s="17"/>
      <c r="O361" s="3"/>
      <c r="P361" s="3"/>
      <c r="Q361" s="3"/>
      <c r="R361" s="3"/>
      <c r="S361" s="3"/>
      <c r="T361" s="3"/>
      <c r="U361" s="3"/>
      <c r="V361" s="3"/>
      <c r="W361" s="3"/>
      <c r="X361" s="3"/>
      <c r="Y361" s="3"/>
      <c r="Z361" s="3"/>
      <c r="AA361" s="3"/>
      <c r="AB361" s="3"/>
      <c r="AC361" s="3"/>
      <c r="AD361" s="3"/>
      <c r="AE361" s="3"/>
      <c r="AF361" s="3"/>
    </row>
    <row r="362" spans="1:32">
      <c r="A362" s="663"/>
      <c r="B362" s="700" t="s">
        <v>772</v>
      </c>
      <c r="C362" s="663" t="s">
        <v>322</v>
      </c>
      <c r="D362" s="678" t="s">
        <v>1320</v>
      </c>
      <c r="E362" s="700" t="s">
        <v>1896</v>
      </c>
      <c r="F362" s="679">
        <v>2311</v>
      </c>
      <c r="G362" s="681" t="s">
        <v>647</v>
      </c>
      <c r="H362" s="844"/>
      <c r="I362" s="844">
        <v>100</v>
      </c>
      <c r="J362" s="1494" t="s">
        <v>1134</v>
      </c>
      <c r="K362" s="1014"/>
      <c r="L362" s="844"/>
      <c r="M362" s="844">
        <v>100</v>
      </c>
      <c r="N362" s="17"/>
      <c r="O362" s="3"/>
      <c r="P362" s="3"/>
      <c r="Q362" s="3"/>
      <c r="R362" s="3"/>
      <c r="S362" s="3"/>
      <c r="T362" s="3"/>
      <c r="U362" s="3"/>
      <c r="V362" s="3"/>
      <c r="W362" s="3"/>
      <c r="X362" s="3"/>
      <c r="Y362" s="3"/>
      <c r="Z362" s="3"/>
      <c r="AA362" s="3"/>
      <c r="AB362" s="3"/>
      <c r="AC362" s="3"/>
      <c r="AD362" s="3"/>
      <c r="AE362" s="3"/>
      <c r="AF362" s="3"/>
    </row>
    <row r="363" spans="1:32">
      <c r="A363" s="663"/>
      <c r="B363" s="700" t="s">
        <v>772</v>
      </c>
      <c r="C363" s="663" t="s">
        <v>322</v>
      </c>
      <c r="D363" s="678" t="s">
        <v>1320</v>
      </c>
      <c r="E363" s="700" t="s">
        <v>1896</v>
      </c>
      <c r="F363" s="679">
        <v>2311</v>
      </c>
      <c r="G363" s="681" t="s">
        <v>650</v>
      </c>
      <c r="H363" s="844"/>
      <c r="I363" s="844"/>
      <c r="J363" s="1494" t="s">
        <v>1134</v>
      </c>
      <c r="K363" s="1014"/>
      <c r="L363" s="844"/>
      <c r="M363" s="844"/>
      <c r="N363" s="17"/>
      <c r="O363" s="7"/>
      <c r="P363" s="7"/>
      <c r="Q363" s="7"/>
      <c r="R363" s="7"/>
      <c r="S363" s="7"/>
      <c r="T363" s="7"/>
      <c r="U363" s="7"/>
      <c r="V363" s="7"/>
      <c r="W363" s="7"/>
      <c r="X363" s="7"/>
      <c r="Y363" s="7"/>
      <c r="Z363" s="7"/>
      <c r="AA363" s="7"/>
      <c r="AB363" s="7"/>
      <c r="AC363" s="7"/>
      <c r="AD363" s="7"/>
      <c r="AE363" s="7"/>
      <c r="AF363" s="7"/>
    </row>
    <row r="364" spans="1:32">
      <c r="A364" s="683"/>
      <c r="B364" s="720" t="s">
        <v>772</v>
      </c>
      <c r="C364" s="683" t="s">
        <v>322</v>
      </c>
      <c r="D364" s="719" t="s">
        <v>1320</v>
      </c>
      <c r="E364" s="720" t="s">
        <v>1896</v>
      </c>
      <c r="F364" s="685">
        <v>2312</v>
      </c>
      <c r="G364" s="686" t="s">
        <v>207</v>
      </c>
      <c r="H364" s="837">
        <v>0</v>
      </c>
      <c r="I364" s="837"/>
      <c r="J364" s="1494" t="s">
        <v>1134</v>
      </c>
      <c r="K364" s="1014"/>
      <c r="L364" s="837">
        <v>0</v>
      </c>
      <c r="M364" s="837"/>
      <c r="N364" s="17"/>
      <c r="O364" s="3"/>
      <c r="P364" s="3"/>
      <c r="Q364" s="3"/>
      <c r="R364" s="3"/>
      <c r="S364" s="3"/>
      <c r="T364" s="3"/>
      <c r="U364" s="3"/>
      <c r="V364" s="3"/>
      <c r="W364" s="3"/>
      <c r="X364" s="3"/>
      <c r="Y364" s="3"/>
      <c r="Z364" s="3"/>
      <c r="AA364" s="3"/>
      <c r="AB364" s="3"/>
      <c r="AC364" s="3"/>
      <c r="AD364" s="3"/>
      <c r="AE364" s="3"/>
      <c r="AF364" s="3"/>
    </row>
    <row r="365" spans="1:32">
      <c r="A365" s="663"/>
      <c r="B365" s="700" t="s">
        <v>772</v>
      </c>
      <c r="C365" s="663" t="s">
        <v>322</v>
      </c>
      <c r="D365" s="678" t="s">
        <v>1320</v>
      </c>
      <c r="E365" s="700" t="s">
        <v>1896</v>
      </c>
      <c r="F365" s="679">
        <v>2312</v>
      </c>
      <c r="G365" s="681" t="s">
        <v>651</v>
      </c>
      <c r="H365" s="844"/>
      <c r="I365" s="844"/>
      <c r="J365" s="1494" t="s">
        <v>1134</v>
      </c>
      <c r="K365" s="1014"/>
      <c r="L365" s="844"/>
      <c r="M365" s="844"/>
      <c r="N365" s="17"/>
      <c r="O365" s="7"/>
      <c r="P365" s="7"/>
      <c r="Q365" s="7"/>
      <c r="R365" s="7"/>
      <c r="S365" s="7"/>
      <c r="T365" s="7"/>
      <c r="U365" s="7"/>
      <c r="V365" s="7"/>
      <c r="W365" s="7"/>
      <c r="X365" s="7"/>
      <c r="Y365" s="7"/>
      <c r="Z365" s="7"/>
      <c r="AA365" s="7"/>
      <c r="AB365" s="7"/>
      <c r="AC365" s="7"/>
      <c r="AD365" s="7"/>
      <c r="AE365" s="7"/>
      <c r="AF365" s="7"/>
    </row>
    <row r="366" spans="1:32">
      <c r="A366" s="683"/>
      <c r="B366" s="720" t="s">
        <v>436</v>
      </c>
      <c r="C366" s="683" t="s">
        <v>427</v>
      </c>
      <c r="D366" s="719" t="s">
        <v>1320</v>
      </c>
      <c r="E366" s="1714" t="s">
        <v>1897</v>
      </c>
      <c r="F366" s="685">
        <v>1111</v>
      </c>
      <c r="G366" s="686" t="s">
        <v>448</v>
      </c>
      <c r="H366" s="837">
        <v>0</v>
      </c>
      <c r="I366" s="837"/>
      <c r="J366" s="1494" t="s">
        <v>1134</v>
      </c>
      <c r="K366" s="688"/>
      <c r="L366" s="837">
        <v>0</v>
      </c>
      <c r="M366" s="837"/>
      <c r="N366" s="17"/>
      <c r="O366" s="3"/>
      <c r="P366" s="3"/>
      <c r="Q366" s="3"/>
      <c r="R366" s="3"/>
      <c r="S366" s="3"/>
      <c r="T366" s="3"/>
      <c r="U366" s="3"/>
      <c r="V366" s="3"/>
      <c r="W366" s="3"/>
      <c r="X366" s="3"/>
      <c r="Y366" s="3"/>
      <c r="Z366" s="3"/>
      <c r="AA366" s="3"/>
      <c r="AB366" s="3"/>
      <c r="AC366" s="3"/>
      <c r="AD366" s="3"/>
      <c r="AE366" s="3"/>
      <c r="AF366" s="3"/>
    </row>
    <row r="367" spans="1:32">
      <c r="A367" s="760"/>
      <c r="B367" s="700" t="s">
        <v>436</v>
      </c>
      <c r="C367" s="663" t="s">
        <v>427</v>
      </c>
      <c r="D367" s="678" t="s">
        <v>1320</v>
      </c>
      <c r="E367" s="700" t="s">
        <v>1897</v>
      </c>
      <c r="F367" s="679">
        <v>1111</v>
      </c>
      <c r="G367" s="675" t="s">
        <v>436</v>
      </c>
      <c r="H367" s="676"/>
      <c r="I367" s="676"/>
      <c r="J367" s="1494" t="s">
        <v>1134</v>
      </c>
      <c r="K367" s="680"/>
      <c r="L367" s="676"/>
      <c r="M367" s="676"/>
      <c r="N367" s="17"/>
      <c r="O367" s="7"/>
      <c r="P367" s="7"/>
      <c r="Q367" s="7"/>
      <c r="R367" s="7"/>
      <c r="S367" s="7"/>
      <c r="T367" s="7"/>
      <c r="U367" s="7"/>
      <c r="V367" s="7"/>
      <c r="W367" s="7"/>
      <c r="X367" s="7"/>
      <c r="Y367" s="7"/>
      <c r="Z367" s="7"/>
      <c r="AA367" s="7"/>
      <c r="AB367" s="7"/>
      <c r="AC367" s="7"/>
      <c r="AD367" s="7"/>
      <c r="AE367" s="7"/>
      <c r="AF367" s="7"/>
    </row>
    <row r="368" spans="1:32">
      <c r="A368" s="760"/>
      <c r="B368" s="700" t="s">
        <v>436</v>
      </c>
      <c r="C368" s="663" t="s">
        <v>427</v>
      </c>
      <c r="D368" s="678" t="s">
        <v>1320</v>
      </c>
      <c r="E368" s="700" t="s">
        <v>1897</v>
      </c>
      <c r="F368" s="679">
        <v>1111</v>
      </c>
      <c r="G368" s="675"/>
      <c r="H368" s="676"/>
      <c r="I368" s="676"/>
      <c r="J368" s="1494" t="s">
        <v>1134</v>
      </c>
      <c r="K368" s="680"/>
      <c r="L368" s="676"/>
      <c r="M368" s="676"/>
      <c r="N368" s="17"/>
      <c r="O368" s="3"/>
      <c r="P368" s="3"/>
      <c r="Q368" s="3"/>
      <c r="R368" s="3"/>
      <c r="S368" s="3"/>
      <c r="T368" s="3"/>
      <c r="U368" s="3"/>
      <c r="V368" s="3"/>
      <c r="W368" s="3"/>
      <c r="X368" s="3"/>
      <c r="Y368" s="3"/>
      <c r="Z368" s="3"/>
      <c r="AA368" s="3"/>
      <c r="AB368" s="3"/>
      <c r="AC368" s="3"/>
      <c r="AD368" s="3"/>
      <c r="AE368" s="3"/>
      <c r="AF368" s="3"/>
    </row>
    <row r="369" spans="1:32" ht="20.399999999999999">
      <c r="A369" s="683"/>
      <c r="B369" s="720" t="s">
        <v>436</v>
      </c>
      <c r="C369" s="683" t="s">
        <v>427</v>
      </c>
      <c r="D369" s="719" t="s">
        <v>1320</v>
      </c>
      <c r="E369" s="1715" t="s">
        <v>1897</v>
      </c>
      <c r="F369" s="685">
        <v>1112</v>
      </c>
      <c r="G369" s="686" t="s">
        <v>571</v>
      </c>
      <c r="H369" s="837">
        <v>0</v>
      </c>
      <c r="I369" s="837"/>
      <c r="J369" s="1494" t="s">
        <v>1134</v>
      </c>
      <c r="K369" s="688"/>
      <c r="L369" s="837">
        <v>0</v>
      </c>
      <c r="M369" s="837"/>
      <c r="N369" s="2479"/>
      <c r="O369" s="3"/>
      <c r="P369" s="3"/>
      <c r="Q369" s="3"/>
      <c r="R369" s="3"/>
      <c r="S369" s="3"/>
      <c r="T369" s="3"/>
      <c r="U369" s="3"/>
      <c r="V369" s="3"/>
      <c r="W369" s="3"/>
      <c r="X369" s="3"/>
      <c r="Y369" s="3"/>
      <c r="Z369" s="3"/>
      <c r="AA369" s="3"/>
      <c r="AB369" s="3"/>
      <c r="AC369" s="3"/>
      <c r="AD369" s="3"/>
      <c r="AE369" s="3"/>
      <c r="AF369" s="3"/>
    </row>
    <row r="370" spans="1:32">
      <c r="A370" s="760"/>
      <c r="B370" s="700" t="s">
        <v>436</v>
      </c>
      <c r="C370" s="663" t="s">
        <v>427</v>
      </c>
      <c r="D370" s="678" t="s">
        <v>1320</v>
      </c>
      <c r="E370" s="700" t="s">
        <v>1897</v>
      </c>
      <c r="F370" s="679">
        <v>1112</v>
      </c>
      <c r="G370" s="675" t="s">
        <v>436</v>
      </c>
      <c r="H370" s="676"/>
      <c r="I370" s="676"/>
      <c r="J370" s="1494" t="s">
        <v>1134</v>
      </c>
      <c r="K370" s="680"/>
      <c r="L370" s="676"/>
      <c r="M370" s="676"/>
      <c r="N370" s="305"/>
      <c r="O370" s="7"/>
      <c r="P370" s="7"/>
      <c r="Q370" s="7"/>
      <c r="R370" s="7"/>
      <c r="S370" s="7"/>
      <c r="T370" s="7"/>
      <c r="U370" s="7"/>
      <c r="V370" s="7"/>
      <c r="W370" s="7"/>
      <c r="X370" s="7"/>
      <c r="Y370" s="7"/>
      <c r="Z370" s="7"/>
      <c r="AA370" s="7"/>
      <c r="AB370" s="7"/>
      <c r="AC370" s="7"/>
      <c r="AD370" s="7"/>
      <c r="AE370" s="7"/>
      <c r="AF370" s="7"/>
    </row>
    <row r="371" spans="1:32">
      <c r="A371" s="683"/>
      <c r="B371" s="720" t="s">
        <v>436</v>
      </c>
      <c r="C371" s="683" t="s">
        <v>427</v>
      </c>
      <c r="D371" s="719" t="s">
        <v>1320</v>
      </c>
      <c r="E371" s="1715" t="s">
        <v>1897</v>
      </c>
      <c r="F371" s="685">
        <v>1119</v>
      </c>
      <c r="G371" s="686" t="s">
        <v>109</v>
      </c>
      <c r="H371" s="837">
        <v>27096.66</v>
      </c>
      <c r="I371" s="837"/>
      <c r="J371" s="1494">
        <v>6619</v>
      </c>
      <c r="K371" s="688"/>
      <c r="L371" s="837">
        <v>13224</v>
      </c>
      <c r="M371" s="837"/>
      <c r="N371" s="381"/>
      <c r="O371" s="7"/>
      <c r="P371" s="7"/>
      <c r="Q371" s="7"/>
      <c r="R371" s="7"/>
      <c r="S371" s="7"/>
      <c r="T371" s="7"/>
      <c r="U371" s="7"/>
      <c r="V371" s="7"/>
      <c r="W371" s="7"/>
      <c r="X371" s="7"/>
      <c r="Y371" s="7"/>
      <c r="Z371" s="7"/>
      <c r="AA371" s="7"/>
      <c r="AB371" s="7"/>
      <c r="AC371" s="7"/>
      <c r="AD371" s="7"/>
      <c r="AE371" s="7"/>
      <c r="AF371" s="7"/>
    </row>
    <row r="372" spans="1:32">
      <c r="A372" s="760"/>
      <c r="B372" s="700" t="s">
        <v>436</v>
      </c>
      <c r="C372" s="663" t="s">
        <v>427</v>
      </c>
      <c r="D372" s="678" t="s">
        <v>1320</v>
      </c>
      <c r="E372" s="700" t="s">
        <v>1897</v>
      </c>
      <c r="F372" s="679">
        <v>1119</v>
      </c>
      <c r="G372" s="675" t="s">
        <v>436</v>
      </c>
      <c r="H372" s="676"/>
      <c r="I372" s="676">
        <v>27096.66</v>
      </c>
      <c r="J372" s="1494" t="s">
        <v>1134</v>
      </c>
      <c r="K372" s="680"/>
      <c r="L372" s="676"/>
      <c r="M372" s="676">
        <v>13224</v>
      </c>
      <c r="N372" s="305"/>
      <c r="O372" s="7"/>
      <c r="P372" s="7"/>
      <c r="Q372" s="7"/>
      <c r="R372" s="7"/>
      <c r="S372" s="7"/>
      <c r="T372" s="7"/>
      <c r="U372" s="7"/>
      <c r="V372" s="7"/>
      <c r="W372" s="7"/>
      <c r="X372" s="7"/>
      <c r="Y372" s="7"/>
      <c r="Z372" s="7"/>
      <c r="AA372" s="7"/>
      <c r="AB372" s="7"/>
      <c r="AC372" s="7"/>
      <c r="AD372" s="7"/>
      <c r="AE372" s="7"/>
      <c r="AF372" s="7"/>
    </row>
    <row r="373" spans="1:32">
      <c r="A373" s="760"/>
      <c r="B373" s="700" t="s">
        <v>436</v>
      </c>
      <c r="C373" s="663" t="s">
        <v>427</v>
      </c>
      <c r="D373" s="678" t="s">
        <v>1320</v>
      </c>
      <c r="E373" s="700" t="s">
        <v>1897</v>
      </c>
      <c r="F373" s="679">
        <v>1119</v>
      </c>
      <c r="G373" s="675"/>
      <c r="H373" s="676"/>
      <c r="I373" s="676"/>
      <c r="J373" s="1494" t="s">
        <v>1134</v>
      </c>
      <c r="K373" s="680"/>
      <c r="L373" s="676"/>
      <c r="M373" s="676"/>
      <c r="N373" s="305"/>
      <c r="O373" s="7"/>
      <c r="P373" s="7"/>
      <c r="Q373" s="7"/>
      <c r="R373" s="7"/>
      <c r="S373" s="7"/>
      <c r="T373" s="7"/>
      <c r="U373" s="7"/>
      <c r="V373" s="7"/>
      <c r="W373" s="7"/>
      <c r="X373" s="7"/>
      <c r="Y373" s="7"/>
      <c r="Z373" s="7"/>
      <c r="AA373" s="7"/>
      <c r="AB373" s="7"/>
      <c r="AC373" s="7"/>
      <c r="AD373" s="7"/>
      <c r="AE373" s="7"/>
      <c r="AF373" s="7"/>
    </row>
    <row r="374" spans="1:32" ht="30.6">
      <c r="A374" s="760"/>
      <c r="B374" s="700" t="s">
        <v>436</v>
      </c>
      <c r="C374" s="663" t="s">
        <v>427</v>
      </c>
      <c r="D374" s="678" t="s">
        <v>1320</v>
      </c>
      <c r="E374" s="700" t="s">
        <v>1897</v>
      </c>
      <c r="F374" s="679">
        <v>1119</v>
      </c>
      <c r="G374" s="675" t="s">
        <v>969</v>
      </c>
      <c r="H374" s="676"/>
      <c r="I374" s="676"/>
      <c r="J374" s="1494" t="s">
        <v>1134</v>
      </c>
      <c r="K374" s="680"/>
      <c r="L374" s="676"/>
      <c r="M374" s="676"/>
      <c r="N374" s="305"/>
      <c r="O374" s="7"/>
      <c r="P374" s="7"/>
      <c r="Q374" s="7"/>
      <c r="R374" s="7"/>
      <c r="S374" s="7"/>
      <c r="T374" s="7"/>
      <c r="U374" s="7"/>
      <c r="V374" s="7"/>
      <c r="W374" s="7"/>
      <c r="X374" s="7"/>
      <c r="Y374" s="7"/>
      <c r="Z374" s="7"/>
      <c r="AA374" s="7"/>
      <c r="AB374" s="7"/>
      <c r="AC374" s="7"/>
      <c r="AD374" s="7"/>
      <c r="AE374" s="7"/>
      <c r="AF374" s="7"/>
    </row>
    <row r="375" spans="1:32">
      <c r="A375" s="760"/>
      <c r="B375" s="700" t="s">
        <v>436</v>
      </c>
      <c r="C375" s="663" t="s">
        <v>427</v>
      </c>
      <c r="D375" s="678" t="s">
        <v>1320</v>
      </c>
      <c r="E375" s="700" t="s">
        <v>1897</v>
      </c>
      <c r="F375" s="679">
        <v>1119</v>
      </c>
      <c r="G375" s="675" t="s">
        <v>1599</v>
      </c>
      <c r="H375" s="676"/>
      <c r="I375" s="676"/>
      <c r="J375" s="1494" t="s">
        <v>1134</v>
      </c>
      <c r="K375" s="680"/>
      <c r="L375" s="676"/>
      <c r="M375" s="676"/>
      <c r="N375" s="305"/>
      <c r="O375" s="7"/>
      <c r="P375" s="7"/>
      <c r="Q375" s="7"/>
      <c r="R375" s="7"/>
      <c r="S375" s="7"/>
      <c r="T375" s="7"/>
      <c r="U375" s="7"/>
      <c r="V375" s="7"/>
      <c r="W375" s="7"/>
      <c r="X375" s="7"/>
      <c r="Y375" s="7"/>
      <c r="Z375" s="7"/>
      <c r="AA375" s="7"/>
      <c r="AB375" s="7"/>
      <c r="AC375" s="7"/>
      <c r="AD375" s="7"/>
      <c r="AE375" s="7"/>
      <c r="AF375" s="7"/>
    </row>
    <row r="376" spans="1:32">
      <c r="A376" s="683"/>
      <c r="B376" s="720" t="s">
        <v>436</v>
      </c>
      <c r="C376" s="683" t="s">
        <v>427</v>
      </c>
      <c r="D376" s="719" t="s">
        <v>1320</v>
      </c>
      <c r="E376" s="1715" t="s">
        <v>1897</v>
      </c>
      <c r="F376" s="685">
        <v>1210</v>
      </c>
      <c r="G376" s="686" t="s">
        <v>113</v>
      </c>
      <c r="H376" s="837">
        <v>6392.1020939999999</v>
      </c>
      <c r="I376" s="837"/>
      <c r="J376" s="1494">
        <v>1461</v>
      </c>
      <c r="K376" s="688"/>
      <c r="L376" s="837">
        <v>3119.5416</v>
      </c>
      <c r="M376" s="837"/>
      <c r="N376" s="305"/>
      <c r="O376" s="7"/>
      <c r="P376" s="7"/>
      <c r="Q376" s="7"/>
      <c r="R376" s="7"/>
      <c r="S376" s="7"/>
      <c r="T376" s="7"/>
      <c r="U376" s="7"/>
      <c r="V376" s="7"/>
      <c r="W376" s="7"/>
      <c r="X376" s="7"/>
      <c r="Y376" s="7"/>
      <c r="Z376" s="7"/>
      <c r="AA376" s="7"/>
      <c r="AB376" s="7"/>
      <c r="AC376" s="7"/>
      <c r="AD376" s="7"/>
      <c r="AE376" s="7"/>
      <c r="AF376" s="7"/>
    </row>
    <row r="377" spans="1:32">
      <c r="A377" s="760"/>
      <c r="B377" s="700" t="s">
        <v>436</v>
      </c>
      <c r="C377" s="663" t="s">
        <v>427</v>
      </c>
      <c r="D377" s="678" t="s">
        <v>1320</v>
      </c>
      <c r="E377" s="700" t="s">
        <v>1897</v>
      </c>
      <c r="F377" s="679">
        <v>1210</v>
      </c>
      <c r="G377" s="675" t="s">
        <v>436</v>
      </c>
      <c r="H377" s="676"/>
      <c r="I377" s="676">
        <v>6392.1020939999999</v>
      </c>
      <c r="J377" s="1494" t="s">
        <v>1134</v>
      </c>
      <c r="K377" s="680"/>
      <c r="L377" s="676"/>
      <c r="M377" s="676">
        <v>3119.5416</v>
      </c>
      <c r="N377" s="305"/>
      <c r="O377" s="4"/>
      <c r="P377" s="4"/>
      <c r="Q377" s="4"/>
      <c r="R377" s="4"/>
      <c r="S377" s="4"/>
      <c r="T377" s="4"/>
      <c r="U377" s="4"/>
      <c r="V377" s="4"/>
      <c r="W377" s="4"/>
      <c r="X377" s="4"/>
      <c r="Y377" s="4"/>
      <c r="Z377" s="4"/>
      <c r="AA377" s="4"/>
      <c r="AB377" s="4"/>
      <c r="AC377" s="4"/>
      <c r="AD377" s="4"/>
      <c r="AE377" s="4"/>
      <c r="AF377" s="4"/>
    </row>
    <row r="378" spans="1:32" ht="30.6">
      <c r="A378" s="760"/>
      <c r="B378" s="700" t="s">
        <v>436</v>
      </c>
      <c r="C378" s="663" t="s">
        <v>427</v>
      </c>
      <c r="D378" s="678" t="s">
        <v>1320</v>
      </c>
      <c r="E378" s="700" t="s">
        <v>1897</v>
      </c>
      <c r="F378" s="679">
        <v>1210</v>
      </c>
      <c r="G378" s="675" t="s">
        <v>969</v>
      </c>
      <c r="H378" s="676"/>
      <c r="I378" s="676"/>
      <c r="J378" s="1494" t="s">
        <v>1134</v>
      </c>
      <c r="K378" s="680"/>
      <c r="L378" s="676"/>
      <c r="M378" s="676"/>
      <c r="N378" s="305"/>
      <c r="O378" s="4"/>
      <c r="P378" s="4"/>
      <c r="Q378" s="4"/>
      <c r="R378" s="4"/>
      <c r="S378" s="4"/>
      <c r="T378" s="4"/>
      <c r="U378" s="4"/>
      <c r="V378" s="4"/>
      <c r="W378" s="4"/>
      <c r="X378" s="4"/>
      <c r="Y378" s="4"/>
      <c r="Z378" s="4"/>
      <c r="AA378" s="4"/>
      <c r="AB378" s="4"/>
      <c r="AC378" s="4"/>
      <c r="AD378" s="4"/>
      <c r="AE378" s="4"/>
      <c r="AF378" s="4"/>
    </row>
    <row r="379" spans="1:32">
      <c r="A379" s="683"/>
      <c r="B379" s="720" t="s">
        <v>772</v>
      </c>
      <c r="C379" s="683" t="s">
        <v>322</v>
      </c>
      <c r="D379" s="719" t="s">
        <v>1320</v>
      </c>
      <c r="E379" s="1715" t="s">
        <v>1897</v>
      </c>
      <c r="F379" s="694">
        <v>2239</v>
      </c>
      <c r="G379" s="686" t="s">
        <v>147</v>
      </c>
      <c r="H379" s="838">
        <v>0</v>
      </c>
      <c r="I379" s="838"/>
      <c r="J379" s="1494" t="s">
        <v>1134</v>
      </c>
      <c r="K379" s="688"/>
      <c r="L379" s="837">
        <v>0</v>
      </c>
      <c r="M379" s="837"/>
      <c r="N379" s="305"/>
      <c r="O379" s="7"/>
      <c r="P379" s="7"/>
      <c r="Q379" s="7"/>
      <c r="R379" s="7"/>
      <c r="S379" s="7"/>
      <c r="T379" s="7"/>
      <c r="U379" s="7"/>
      <c r="V379" s="7"/>
      <c r="W379" s="7"/>
      <c r="X379" s="7"/>
      <c r="Y379" s="7"/>
      <c r="Z379" s="7"/>
      <c r="AA379" s="7"/>
      <c r="AB379" s="7"/>
      <c r="AC379" s="7"/>
      <c r="AD379" s="7"/>
      <c r="AE379" s="7"/>
      <c r="AF379" s="7"/>
    </row>
    <row r="380" spans="1:32" ht="20.399999999999999">
      <c r="A380" s="760"/>
      <c r="B380" s="700" t="s">
        <v>772</v>
      </c>
      <c r="C380" s="663" t="s">
        <v>322</v>
      </c>
      <c r="D380" s="678" t="s">
        <v>1320</v>
      </c>
      <c r="E380" s="700" t="s">
        <v>1897</v>
      </c>
      <c r="F380" s="679">
        <v>2239</v>
      </c>
      <c r="G380" s="763" t="s">
        <v>1314</v>
      </c>
      <c r="H380" s="798"/>
      <c r="I380" s="798"/>
      <c r="J380" s="1494" t="s">
        <v>1134</v>
      </c>
      <c r="K380" s="680"/>
      <c r="L380" s="676"/>
      <c r="M380" s="676"/>
      <c r="N380" s="305"/>
      <c r="O380" s="4"/>
      <c r="P380" s="4"/>
      <c r="Q380" s="4"/>
      <c r="R380" s="4"/>
      <c r="S380" s="4"/>
      <c r="T380" s="4"/>
      <c r="U380" s="4"/>
      <c r="V380" s="4"/>
      <c r="W380" s="4"/>
      <c r="X380" s="4"/>
      <c r="Y380" s="4"/>
      <c r="Z380" s="4"/>
      <c r="AA380" s="4"/>
      <c r="AB380" s="4"/>
      <c r="AC380" s="4"/>
      <c r="AD380" s="4"/>
      <c r="AE380" s="4"/>
      <c r="AF380" s="4"/>
    </row>
    <row r="381" spans="1:32">
      <c r="A381" s="683"/>
      <c r="B381" s="720" t="s">
        <v>436</v>
      </c>
      <c r="C381" s="683" t="s">
        <v>427</v>
      </c>
      <c r="D381" s="719" t="s">
        <v>1974</v>
      </c>
      <c r="E381" s="742" t="s">
        <v>407</v>
      </c>
      <c r="F381" s="824">
        <v>1119</v>
      </c>
      <c r="G381" s="800" t="s">
        <v>109</v>
      </c>
      <c r="H381" s="706">
        <v>546195</v>
      </c>
      <c r="I381" s="706"/>
      <c r="J381" s="1654">
        <v>453075</v>
      </c>
      <c r="K381" s="802"/>
      <c r="L381" s="706">
        <v>582967.68639999989</v>
      </c>
      <c r="M381" s="706"/>
      <c r="N381" s="305"/>
      <c r="O381" s="7"/>
      <c r="P381" s="7"/>
      <c r="Q381" s="7"/>
      <c r="R381" s="7"/>
      <c r="S381" s="7"/>
      <c r="T381" s="7"/>
      <c r="U381" s="7"/>
      <c r="V381" s="7"/>
      <c r="W381" s="7"/>
      <c r="X381" s="7"/>
      <c r="Y381" s="7"/>
      <c r="Z381" s="7"/>
      <c r="AA381" s="7"/>
      <c r="AB381" s="7"/>
      <c r="AC381" s="7"/>
      <c r="AD381" s="7"/>
      <c r="AE381" s="7"/>
    </row>
    <row r="382" spans="1:32">
      <c r="A382" s="760"/>
      <c r="B382" s="700" t="s">
        <v>436</v>
      </c>
      <c r="C382" s="663" t="s">
        <v>427</v>
      </c>
      <c r="D382" s="678" t="s">
        <v>1974</v>
      </c>
      <c r="E382" s="700" t="s">
        <v>407</v>
      </c>
      <c r="F382" s="795">
        <v>1119</v>
      </c>
      <c r="G382" s="1374" t="s">
        <v>436</v>
      </c>
      <c r="H382" s="1375"/>
      <c r="I382" s="1376">
        <v>540695.07999999984</v>
      </c>
      <c r="J382" s="1654" t="s">
        <v>1134</v>
      </c>
      <c r="K382" s="1377"/>
      <c r="L382" s="1375"/>
      <c r="M382" s="1376">
        <v>582967.68639999989</v>
      </c>
      <c r="N382" s="305"/>
      <c r="O382" s="7"/>
      <c r="P382" s="7"/>
      <c r="Q382" s="7"/>
      <c r="R382" s="7"/>
      <c r="S382" s="7"/>
      <c r="T382" s="7"/>
      <c r="U382" s="7"/>
      <c r="V382" s="7"/>
      <c r="W382" s="7"/>
      <c r="X382" s="7"/>
      <c r="Y382" s="7"/>
      <c r="Z382" s="7"/>
      <c r="AA382" s="7"/>
      <c r="AB382" s="7"/>
      <c r="AC382" s="7"/>
      <c r="AD382" s="7"/>
      <c r="AE382" s="7"/>
    </row>
    <row r="383" spans="1:32" ht="20.399999999999999">
      <c r="A383" s="663"/>
      <c r="B383" s="700" t="s">
        <v>436</v>
      </c>
      <c r="C383" s="663" t="s">
        <v>427</v>
      </c>
      <c r="D383" s="678" t="s">
        <v>1974</v>
      </c>
      <c r="E383" s="700" t="s">
        <v>407</v>
      </c>
      <c r="F383" s="795">
        <v>1119</v>
      </c>
      <c r="G383" s="2480" t="s">
        <v>4996</v>
      </c>
      <c r="H383" s="709"/>
      <c r="I383" s="709">
        <v>5500</v>
      </c>
      <c r="J383" s="1654" t="s">
        <v>1134</v>
      </c>
      <c r="K383" s="825"/>
      <c r="L383" s="709"/>
      <c r="M383" s="709"/>
      <c r="N383" s="305"/>
      <c r="O383" s="7"/>
      <c r="P383" s="7"/>
      <c r="Q383" s="7"/>
      <c r="R383" s="7"/>
      <c r="S383" s="7"/>
      <c r="T383" s="7"/>
      <c r="U383" s="7"/>
      <c r="V383" s="7"/>
      <c r="W383" s="7"/>
      <c r="X383" s="7"/>
      <c r="Y383" s="7"/>
      <c r="Z383" s="7"/>
      <c r="AA383" s="7"/>
      <c r="AB383" s="7"/>
      <c r="AC383" s="7"/>
      <c r="AD383" s="7"/>
      <c r="AE383" s="7"/>
    </row>
    <row r="384" spans="1:32">
      <c r="A384" s="683"/>
      <c r="B384" s="720" t="s">
        <v>436</v>
      </c>
      <c r="C384" s="683" t="s">
        <v>427</v>
      </c>
      <c r="D384" s="719" t="s">
        <v>1974</v>
      </c>
      <c r="E384" s="720" t="s">
        <v>407</v>
      </c>
      <c r="F384" s="824">
        <v>1141</v>
      </c>
      <c r="G384" s="800" t="s">
        <v>149</v>
      </c>
      <c r="H384" s="706">
        <v>51700</v>
      </c>
      <c r="I384" s="706"/>
      <c r="J384" s="1654">
        <v>43195</v>
      </c>
      <c r="K384" s="802"/>
      <c r="L384" s="706">
        <v>49900</v>
      </c>
      <c r="M384" s="706"/>
      <c r="N384" s="305"/>
      <c r="O384" s="7"/>
      <c r="P384" s="7"/>
      <c r="Q384" s="7"/>
      <c r="R384" s="7"/>
      <c r="S384" s="7"/>
      <c r="T384" s="7"/>
      <c r="U384" s="7"/>
      <c r="V384" s="7"/>
      <c r="W384" s="7"/>
      <c r="X384" s="7"/>
      <c r="Y384" s="7"/>
      <c r="Z384" s="7"/>
      <c r="AA384" s="7"/>
      <c r="AB384" s="7"/>
      <c r="AC384" s="7"/>
      <c r="AD384" s="7"/>
      <c r="AE384" s="7"/>
      <c r="AF384" s="7"/>
    </row>
    <row r="385" spans="1:32">
      <c r="A385" s="760"/>
      <c r="B385" s="700" t="s">
        <v>436</v>
      </c>
      <c r="C385" s="663" t="s">
        <v>427</v>
      </c>
      <c r="D385" s="678" t="s">
        <v>1974</v>
      </c>
      <c r="E385" s="700" t="s">
        <v>407</v>
      </c>
      <c r="F385" s="795">
        <v>1141</v>
      </c>
      <c r="G385" s="1374" t="s">
        <v>436</v>
      </c>
      <c r="H385" s="1375"/>
      <c r="I385" s="1376">
        <v>50000</v>
      </c>
      <c r="J385" s="1654" t="s">
        <v>1134</v>
      </c>
      <c r="K385" s="1377"/>
      <c r="L385" s="1375"/>
      <c r="M385" s="1376">
        <v>49900</v>
      </c>
      <c r="N385" s="305"/>
      <c r="O385" s="7"/>
      <c r="P385" s="7"/>
      <c r="Q385" s="7"/>
      <c r="R385" s="7"/>
      <c r="S385" s="7"/>
      <c r="T385" s="7"/>
      <c r="U385" s="7"/>
      <c r="V385" s="7"/>
      <c r="W385" s="7"/>
      <c r="X385" s="7"/>
      <c r="Y385" s="7"/>
      <c r="Z385" s="7"/>
      <c r="AA385" s="7"/>
      <c r="AB385" s="7"/>
      <c r="AC385" s="7"/>
      <c r="AD385" s="7"/>
      <c r="AE385" s="7"/>
      <c r="AF385" s="7"/>
    </row>
    <row r="386" spans="1:32" ht="20.399999999999999">
      <c r="A386" s="760"/>
      <c r="B386" s="700" t="s">
        <v>436</v>
      </c>
      <c r="C386" s="663" t="s">
        <v>427</v>
      </c>
      <c r="D386" s="678" t="s">
        <v>1974</v>
      </c>
      <c r="E386" s="700" t="s">
        <v>407</v>
      </c>
      <c r="F386" s="795">
        <v>1141</v>
      </c>
      <c r="G386" s="1374" t="s">
        <v>4997</v>
      </c>
      <c r="H386" s="1375"/>
      <c r="I386" s="1376">
        <v>1700</v>
      </c>
      <c r="J386" s="1654" t="s">
        <v>1134</v>
      </c>
      <c r="K386" s="1377"/>
      <c r="L386" s="1375"/>
      <c r="M386" s="1376"/>
      <c r="N386" s="305"/>
      <c r="O386" s="7"/>
      <c r="P386" s="7"/>
      <c r="Q386" s="7"/>
      <c r="R386" s="7"/>
      <c r="S386" s="7"/>
      <c r="T386" s="7"/>
      <c r="U386" s="7"/>
      <c r="V386" s="7"/>
      <c r="W386" s="7"/>
      <c r="X386" s="7"/>
      <c r="Y386" s="7"/>
      <c r="Z386" s="7"/>
      <c r="AA386" s="7"/>
      <c r="AB386" s="7"/>
      <c r="AC386" s="7"/>
      <c r="AD386" s="7"/>
      <c r="AE386" s="7"/>
      <c r="AF386" s="7"/>
    </row>
    <row r="387" spans="1:32" ht="20.399999999999999">
      <c r="A387" s="760"/>
      <c r="B387" s="700" t="s">
        <v>436</v>
      </c>
      <c r="C387" s="663" t="s">
        <v>427</v>
      </c>
      <c r="D387" s="678" t="s">
        <v>1974</v>
      </c>
      <c r="E387" s="700" t="s">
        <v>407</v>
      </c>
      <c r="F387" s="795">
        <v>1141</v>
      </c>
      <c r="G387" s="2480" t="s">
        <v>2575</v>
      </c>
      <c r="H387" s="1375"/>
      <c r="I387" s="1376"/>
      <c r="J387" s="1654" t="s">
        <v>1134</v>
      </c>
      <c r="K387" s="1377"/>
      <c r="L387" s="1375"/>
      <c r="M387" s="1376"/>
      <c r="N387" s="305"/>
      <c r="O387" s="7"/>
      <c r="P387" s="7"/>
      <c r="Q387" s="7"/>
      <c r="R387" s="7"/>
      <c r="S387" s="7"/>
      <c r="T387" s="7"/>
      <c r="U387" s="7"/>
      <c r="V387" s="7"/>
      <c r="W387" s="7"/>
      <c r="X387" s="7"/>
      <c r="Y387" s="7"/>
      <c r="Z387" s="7"/>
      <c r="AA387" s="7"/>
      <c r="AB387" s="7"/>
      <c r="AC387" s="7"/>
      <c r="AD387" s="7"/>
      <c r="AE387" s="7"/>
      <c r="AF387" s="7"/>
    </row>
    <row r="388" spans="1:32" ht="20.399999999999999">
      <c r="A388" s="683"/>
      <c r="B388" s="720" t="s">
        <v>436</v>
      </c>
      <c r="C388" s="683" t="s">
        <v>427</v>
      </c>
      <c r="D388" s="719" t="s">
        <v>1974</v>
      </c>
      <c r="E388" s="720" t="s">
        <v>407</v>
      </c>
      <c r="F388" s="824">
        <v>1142</v>
      </c>
      <c r="G388" s="800" t="s">
        <v>110</v>
      </c>
      <c r="H388" s="706">
        <v>31000</v>
      </c>
      <c r="I388" s="706"/>
      <c r="J388" s="1654">
        <v>29585</v>
      </c>
      <c r="K388" s="802"/>
      <c r="L388" s="706">
        <v>30000</v>
      </c>
      <c r="M388" s="706"/>
      <c r="N388" s="57"/>
      <c r="O388" s="7"/>
      <c r="P388" s="7"/>
      <c r="Q388" s="7"/>
      <c r="R388" s="7"/>
      <c r="S388" s="7"/>
      <c r="T388" s="7"/>
      <c r="U388" s="7"/>
      <c r="V388" s="7"/>
      <c r="W388" s="7"/>
      <c r="X388" s="7"/>
      <c r="Y388" s="7"/>
      <c r="Z388" s="7"/>
      <c r="AA388" s="7"/>
      <c r="AB388" s="7"/>
      <c r="AC388" s="7"/>
      <c r="AD388" s="7"/>
      <c r="AE388" s="7"/>
      <c r="AF388" s="7"/>
    </row>
    <row r="389" spans="1:32" ht="11.4" customHeight="1">
      <c r="A389" s="760"/>
      <c r="B389" s="700" t="s">
        <v>436</v>
      </c>
      <c r="C389" s="663" t="s">
        <v>427</v>
      </c>
      <c r="D389" s="678" t="s">
        <v>1974</v>
      </c>
      <c r="E389" s="700" t="s">
        <v>407</v>
      </c>
      <c r="F389" s="795">
        <v>1142</v>
      </c>
      <c r="G389" s="1374" t="s">
        <v>436</v>
      </c>
      <c r="H389" s="1375"/>
      <c r="I389" s="1376">
        <v>30000</v>
      </c>
      <c r="J389" s="1654" t="s">
        <v>1134</v>
      </c>
      <c r="K389" s="1377"/>
      <c r="L389" s="1375"/>
      <c r="M389" s="1376">
        <v>30000</v>
      </c>
      <c r="N389" s="57"/>
      <c r="O389" s="7"/>
      <c r="P389" s="7"/>
      <c r="Q389" s="7"/>
      <c r="R389" s="7"/>
      <c r="S389" s="7"/>
      <c r="T389" s="7"/>
      <c r="U389" s="7"/>
      <c r="V389" s="7"/>
      <c r="W389" s="7"/>
      <c r="X389" s="7"/>
      <c r="Y389" s="7"/>
      <c r="Z389" s="7"/>
      <c r="AA389" s="7"/>
      <c r="AB389" s="7"/>
      <c r="AC389" s="7"/>
      <c r="AD389" s="7"/>
      <c r="AE389" s="7"/>
      <c r="AF389" s="7"/>
    </row>
    <row r="390" spans="1:32" ht="20.399999999999999">
      <c r="A390" s="760"/>
      <c r="B390" s="700" t="s">
        <v>436</v>
      </c>
      <c r="C390" s="663" t="s">
        <v>427</v>
      </c>
      <c r="D390" s="678" t="s">
        <v>1974</v>
      </c>
      <c r="E390" s="700" t="s">
        <v>407</v>
      </c>
      <c r="F390" s="795">
        <v>1142</v>
      </c>
      <c r="G390" s="1374" t="s">
        <v>4998</v>
      </c>
      <c r="H390" s="1375"/>
      <c r="I390" s="1376">
        <v>1000</v>
      </c>
      <c r="J390" s="1654" t="s">
        <v>1134</v>
      </c>
      <c r="K390" s="1377"/>
      <c r="L390" s="1375"/>
      <c r="M390" s="1376"/>
      <c r="N390" s="305"/>
      <c r="O390" s="4"/>
      <c r="P390" s="4"/>
      <c r="Q390" s="4"/>
      <c r="R390" s="4"/>
      <c r="S390" s="4"/>
      <c r="T390" s="4"/>
      <c r="U390" s="4"/>
      <c r="V390" s="4"/>
      <c r="W390" s="4"/>
      <c r="X390" s="4"/>
      <c r="Y390" s="4"/>
      <c r="Z390" s="4"/>
      <c r="AA390" s="4"/>
      <c r="AB390" s="4"/>
      <c r="AC390" s="4"/>
      <c r="AD390" s="4"/>
      <c r="AE390" s="4"/>
      <c r="AF390" s="4"/>
    </row>
    <row r="391" spans="1:32" s="16" customFormat="1" ht="11.4" customHeight="1">
      <c r="A391" s="849"/>
      <c r="B391" s="720" t="s">
        <v>436</v>
      </c>
      <c r="C391" s="683" t="s">
        <v>427</v>
      </c>
      <c r="D391" s="719" t="s">
        <v>1974</v>
      </c>
      <c r="E391" s="720" t="s">
        <v>407</v>
      </c>
      <c r="F391" s="824">
        <v>1145</v>
      </c>
      <c r="G391" s="800" t="s">
        <v>1016</v>
      </c>
      <c r="H391" s="706">
        <v>23835</v>
      </c>
      <c r="I391" s="706"/>
      <c r="J391" s="1654">
        <v>19077</v>
      </c>
      <c r="K391" s="802"/>
      <c r="L391" s="706">
        <v>33148.384319999997</v>
      </c>
      <c r="M391" s="706"/>
      <c r="N391" s="57"/>
      <c r="O391" s="7"/>
      <c r="P391" s="7"/>
      <c r="Q391" s="7"/>
      <c r="R391" s="7"/>
      <c r="S391" s="7"/>
      <c r="T391" s="7"/>
      <c r="U391" s="7"/>
      <c r="V391" s="7"/>
      <c r="W391" s="7"/>
      <c r="X391" s="7"/>
      <c r="Y391" s="7"/>
      <c r="Z391" s="7"/>
      <c r="AA391" s="7"/>
      <c r="AB391" s="7"/>
      <c r="AC391" s="7"/>
      <c r="AD391" s="7"/>
      <c r="AE391" s="7"/>
      <c r="AF391" s="7"/>
    </row>
    <row r="392" spans="1:32">
      <c r="A392" s="760"/>
      <c r="B392" s="700" t="s">
        <v>436</v>
      </c>
      <c r="C392" s="663" t="s">
        <v>427</v>
      </c>
      <c r="D392" s="678" t="s">
        <v>1974</v>
      </c>
      <c r="E392" s="700" t="s">
        <v>407</v>
      </c>
      <c r="F392" s="795">
        <v>1145</v>
      </c>
      <c r="G392" s="1374"/>
      <c r="H392" s="1375"/>
      <c r="I392" s="1376"/>
      <c r="J392" s="1654" t="s">
        <v>1134</v>
      </c>
      <c r="K392" s="1377"/>
      <c r="L392" s="1375"/>
      <c r="M392" s="1376"/>
      <c r="N392" s="305"/>
      <c r="O392" s="7"/>
      <c r="P392" s="7"/>
      <c r="Q392" s="7"/>
      <c r="R392" s="7"/>
      <c r="S392" s="7"/>
      <c r="T392" s="7"/>
      <c r="U392" s="7"/>
      <c r="V392" s="7"/>
      <c r="W392" s="7"/>
      <c r="X392" s="7"/>
      <c r="Y392" s="7"/>
      <c r="Z392" s="7"/>
      <c r="AA392" s="7"/>
      <c r="AB392" s="7"/>
      <c r="AC392" s="7"/>
      <c r="AD392" s="7"/>
      <c r="AE392" s="7"/>
      <c r="AF392" s="7"/>
    </row>
    <row r="393" spans="1:32" s="16" customFormat="1">
      <c r="A393" s="760"/>
      <c r="B393" s="700" t="s">
        <v>436</v>
      </c>
      <c r="C393" s="663" t="s">
        <v>427</v>
      </c>
      <c r="D393" s="678" t="s">
        <v>1974</v>
      </c>
      <c r="E393" s="700" t="s">
        <v>407</v>
      </c>
      <c r="F393" s="795">
        <v>1145</v>
      </c>
      <c r="G393" s="2481" t="s">
        <v>1696</v>
      </c>
      <c r="H393" s="1375"/>
      <c r="I393" s="1376">
        <v>31034.753999999994</v>
      </c>
      <c r="J393" s="1654" t="s">
        <v>1134</v>
      </c>
      <c r="K393" s="1377"/>
      <c r="L393" s="1375"/>
      <c r="M393" s="2482">
        <v>33148.384319999997</v>
      </c>
      <c r="N393" s="57"/>
      <c r="O393" s="7"/>
      <c r="P393" s="7"/>
      <c r="Q393" s="7"/>
      <c r="R393" s="7"/>
      <c r="S393" s="7"/>
      <c r="T393" s="7"/>
      <c r="U393" s="7"/>
      <c r="V393" s="7"/>
      <c r="W393" s="7"/>
      <c r="X393" s="7"/>
      <c r="Y393" s="7"/>
      <c r="Z393" s="7"/>
      <c r="AA393" s="7"/>
      <c r="AB393" s="7"/>
      <c r="AC393" s="7"/>
      <c r="AD393" s="7"/>
      <c r="AE393" s="7"/>
      <c r="AF393" s="7"/>
    </row>
    <row r="394" spans="1:32" ht="11.4" customHeight="1">
      <c r="A394" s="2604"/>
      <c r="B394" s="700" t="s">
        <v>436</v>
      </c>
      <c r="C394" s="663" t="s">
        <v>427</v>
      </c>
      <c r="D394" s="678" t="s">
        <v>1974</v>
      </c>
      <c r="E394" s="700" t="s">
        <v>407</v>
      </c>
      <c r="F394" s="795">
        <v>1145</v>
      </c>
      <c r="G394" s="2480" t="s">
        <v>4996</v>
      </c>
      <c r="H394" s="2790"/>
      <c r="I394" s="2791">
        <v>-5500</v>
      </c>
      <c r="J394" s="2621"/>
      <c r="K394" s="2792"/>
      <c r="L394" s="2790"/>
      <c r="M394" s="2793"/>
      <c r="N394" s="305"/>
      <c r="O394" s="7"/>
      <c r="P394" s="7"/>
      <c r="Q394" s="7"/>
      <c r="R394" s="7"/>
      <c r="S394" s="7"/>
      <c r="T394" s="7"/>
      <c r="U394" s="7"/>
      <c r="V394" s="7"/>
      <c r="W394" s="7"/>
      <c r="X394" s="7"/>
      <c r="Y394" s="7"/>
      <c r="Z394" s="7"/>
      <c r="AA394" s="7"/>
      <c r="AB394" s="7"/>
      <c r="AC394" s="7"/>
      <c r="AD394" s="7"/>
      <c r="AE394" s="7"/>
      <c r="AF394" s="7"/>
    </row>
    <row r="395" spans="1:32" ht="20.399999999999999">
      <c r="A395" s="2604"/>
      <c r="B395" s="700" t="s">
        <v>436</v>
      </c>
      <c r="C395" s="663" t="s">
        <v>427</v>
      </c>
      <c r="D395" s="678" t="s">
        <v>1974</v>
      </c>
      <c r="E395" s="700" t="s">
        <v>407</v>
      </c>
      <c r="F395" s="795">
        <v>1145</v>
      </c>
      <c r="G395" s="1374" t="s">
        <v>4997</v>
      </c>
      <c r="H395" s="2790"/>
      <c r="I395" s="2791">
        <v>-1700</v>
      </c>
      <c r="J395" s="2621"/>
      <c r="K395" s="2792"/>
      <c r="L395" s="2790"/>
      <c r="M395" s="2793"/>
      <c r="N395" s="57"/>
      <c r="O395" s="7"/>
      <c r="P395" s="7"/>
      <c r="Q395" s="7"/>
      <c r="R395" s="7"/>
      <c r="S395" s="7"/>
      <c r="T395" s="7"/>
      <c r="U395" s="7"/>
      <c r="V395" s="7"/>
      <c r="W395" s="7"/>
      <c r="X395" s="7"/>
      <c r="Y395" s="7"/>
      <c r="Z395" s="7"/>
      <c r="AA395" s="7"/>
      <c r="AB395" s="7"/>
      <c r="AC395" s="7"/>
      <c r="AD395" s="7"/>
      <c r="AE395" s="7"/>
      <c r="AF395" s="7"/>
    </row>
    <row r="396" spans="1:32" ht="20.399999999999999">
      <c r="A396" s="849"/>
      <c r="B396" s="720" t="s">
        <v>436</v>
      </c>
      <c r="C396" s="683" t="s">
        <v>427</v>
      </c>
      <c r="D396" s="719" t="s">
        <v>1974</v>
      </c>
      <c r="E396" s="720" t="s">
        <v>407</v>
      </c>
      <c r="F396" s="824">
        <v>1146</v>
      </c>
      <c r="G396" s="800" t="s">
        <v>600</v>
      </c>
      <c r="H396" s="706">
        <v>100</v>
      </c>
      <c r="I396" s="706"/>
      <c r="J396" s="1654">
        <v>0</v>
      </c>
      <c r="K396" s="802"/>
      <c r="L396" s="706">
        <v>100</v>
      </c>
      <c r="M396" s="706"/>
      <c r="N396" s="57"/>
      <c r="O396" s="4"/>
      <c r="P396" s="4"/>
      <c r="Q396" s="4"/>
      <c r="R396" s="4"/>
      <c r="S396" s="4"/>
      <c r="T396" s="4"/>
      <c r="U396" s="4"/>
      <c r="V396" s="4"/>
      <c r="W396" s="4"/>
      <c r="X396" s="4"/>
      <c r="Y396" s="4"/>
      <c r="Z396" s="4"/>
      <c r="AA396" s="4"/>
      <c r="AB396" s="4"/>
      <c r="AC396" s="4"/>
      <c r="AD396" s="4"/>
      <c r="AE396" s="4"/>
      <c r="AF396" s="4"/>
    </row>
    <row r="397" spans="1:32">
      <c r="A397" s="760"/>
      <c r="B397" s="700" t="s">
        <v>436</v>
      </c>
      <c r="C397" s="663" t="s">
        <v>427</v>
      </c>
      <c r="D397" s="678" t="s">
        <v>1974</v>
      </c>
      <c r="E397" s="700" t="s">
        <v>407</v>
      </c>
      <c r="F397" s="795">
        <v>1146</v>
      </c>
      <c r="G397" s="1374"/>
      <c r="H397" s="1375"/>
      <c r="I397" s="1376">
        <v>100</v>
      </c>
      <c r="J397" s="1654" t="s">
        <v>1134</v>
      </c>
      <c r="K397" s="1377"/>
      <c r="L397" s="1375"/>
      <c r="M397" s="1376">
        <v>100</v>
      </c>
      <c r="N397" s="57"/>
      <c r="O397" s="4"/>
      <c r="P397" s="4"/>
      <c r="Q397" s="4"/>
      <c r="R397" s="4"/>
      <c r="S397" s="4"/>
      <c r="T397" s="4"/>
      <c r="U397" s="4"/>
      <c r="V397" s="4"/>
      <c r="W397" s="4"/>
      <c r="X397" s="4"/>
      <c r="Y397" s="4"/>
      <c r="Z397" s="4"/>
      <c r="AA397" s="4"/>
      <c r="AB397" s="4"/>
      <c r="AC397" s="4"/>
      <c r="AD397" s="4"/>
      <c r="AE397" s="4"/>
      <c r="AF397" s="4"/>
    </row>
    <row r="398" spans="1:32">
      <c r="A398" s="849"/>
      <c r="B398" s="720" t="s">
        <v>436</v>
      </c>
      <c r="C398" s="683" t="s">
        <v>427</v>
      </c>
      <c r="D398" s="719" t="s">
        <v>1974</v>
      </c>
      <c r="E398" s="720" t="s">
        <v>407</v>
      </c>
      <c r="F398" s="824">
        <v>1147</v>
      </c>
      <c r="G398" s="800" t="s">
        <v>371</v>
      </c>
      <c r="H398" s="706">
        <v>6052.1310000000003</v>
      </c>
      <c r="I398" s="706"/>
      <c r="J398" s="1654">
        <v>3907</v>
      </c>
      <c r="K398" s="802"/>
      <c r="L398" s="706">
        <v>42460.21112</v>
      </c>
      <c r="M398" s="706"/>
      <c r="N398" s="2190"/>
      <c r="O398" s="7"/>
      <c r="P398" s="7"/>
      <c r="Q398" s="7"/>
      <c r="R398" s="7"/>
      <c r="S398" s="7"/>
      <c r="T398" s="7"/>
      <c r="U398" s="7"/>
      <c r="V398" s="7"/>
      <c r="W398" s="7"/>
      <c r="X398" s="7"/>
      <c r="Y398" s="7"/>
      <c r="Z398" s="7"/>
      <c r="AA398" s="7"/>
      <c r="AB398" s="7"/>
      <c r="AC398" s="7"/>
      <c r="AD398" s="7"/>
      <c r="AE398" s="7"/>
      <c r="AF398" s="7"/>
    </row>
    <row r="399" spans="1:32">
      <c r="A399" s="760"/>
      <c r="B399" s="700" t="s">
        <v>436</v>
      </c>
      <c r="C399" s="663" t="s">
        <v>427</v>
      </c>
      <c r="D399" s="678" t="s">
        <v>1974</v>
      </c>
      <c r="E399" s="700" t="s">
        <v>407</v>
      </c>
      <c r="F399" s="795">
        <v>1147</v>
      </c>
      <c r="G399" s="1374" t="s">
        <v>436</v>
      </c>
      <c r="H399" s="1375"/>
      <c r="I399" s="1376">
        <v>39052.130999999994</v>
      </c>
      <c r="J399" s="1654" t="s">
        <v>1134</v>
      </c>
      <c r="K399" s="1377"/>
      <c r="L399" s="1375"/>
      <c r="M399" s="1376">
        <v>42460.21112</v>
      </c>
      <c r="N399" s="305"/>
      <c r="O399" s="4"/>
      <c r="P399" s="4"/>
      <c r="Q399" s="4"/>
      <c r="R399" s="4"/>
      <c r="S399" s="4"/>
      <c r="T399" s="4"/>
      <c r="U399" s="4"/>
      <c r="V399" s="4"/>
      <c r="W399" s="4"/>
      <c r="X399" s="4"/>
      <c r="Y399" s="4"/>
      <c r="Z399" s="4"/>
      <c r="AA399" s="4"/>
      <c r="AB399" s="4"/>
      <c r="AC399" s="4"/>
      <c r="AD399" s="4"/>
      <c r="AE399" s="4"/>
      <c r="AF399" s="4"/>
    </row>
    <row r="400" spans="1:32" ht="20.399999999999999">
      <c r="A400" s="760"/>
      <c r="B400" s="700" t="s">
        <v>436</v>
      </c>
      <c r="C400" s="663" t="s">
        <v>427</v>
      </c>
      <c r="D400" s="678" t="s">
        <v>1974</v>
      </c>
      <c r="E400" s="700" t="s">
        <v>407</v>
      </c>
      <c r="F400" s="795">
        <v>1147</v>
      </c>
      <c r="G400" s="1374" t="s">
        <v>1019</v>
      </c>
      <c r="H400" s="1375"/>
      <c r="I400" s="1376">
        <v>-2000</v>
      </c>
      <c r="J400" s="1654" t="s">
        <v>1134</v>
      </c>
      <c r="K400" s="1377"/>
      <c r="L400" s="1375"/>
      <c r="M400" s="701"/>
      <c r="N400" s="381"/>
      <c r="O400" s="187"/>
      <c r="P400" s="187"/>
      <c r="Q400" s="187"/>
      <c r="R400" s="187"/>
      <c r="S400" s="187"/>
      <c r="T400" s="187"/>
      <c r="U400" s="187"/>
      <c r="V400" s="187"/>
      <c r="W400" s="187"/>
      <c r="X400" s="187"/>
      <c r="Y400" s="187"/>
      <c r="Z400" s="187"/>
      <c r="AA400" s="187"/>
      <c r="AB400" s="187"/>
      <c r="AC400" s="187"/>
      <c r="AD400" s="187"/>
      <c r="AE400" s="187"/>
      <c r="AF400" s="187"/>
    </row>
    <row r="401" spans="1:32" ht="20.399999999999999">
      <c r="A401" s="760"/>
      <c r="B401" s="700" t="s">
        <v>436</v>
      </c>
      <c r="C401" s="663" t="s">
        <v>427</v>
      </c>
      <c r="D401" s="678" t="s">
        <v>1974</v>
      </c>
      <c r="E401" s="700" t="s">
        <v>407</v>
      </c>
      <c r="F401" s="795">
        <v>1147</v>
      </c>
      <c r="G401" s="1374" t="s">
        <v>4998</v>
      </c>
      <c r="H401" s="1375"/>
      <c r="I401" s="1376">
        <v>-1000</v>
      </c>
      <c r="J401" s="1654" t="s">
        <v>1134</v>
      </c>
      <c r="K401" s="1377"/>
      <c r="L401" s="1375"/>
      <c r="M401" s="1376"/>
      <c r="N401" s="57"/>
      <c r="O401" s="187"/>
      <c r="P401" s="187"/>
      <c r="Q401" s="187"/>
      <c r="R401" s="187"/>
      <c r="S401" s="187"/>
      <c r="T401" s="187"/>
      <c r="U401" s="187"/>
      <c r="V401" s="187"/>
      <c r="W401" s="187"/>
      <c r="X401" s="187"/>
      <c r="Y401" s="187"/>
      <c r="Z401" s="187"/>
      <c r="AA401" s="187"/>
      <c r="AB401" s="187"/>
      <c r="AC401" s="187"/>
      <c r="AD401" s="187"/>
      <c r="AE401" s="187"/>
      <c r="AF401" s="187"/>
    </row>
    <row r="402" spans="1:32" ht="20.399999999999999">
      <c r="A402" s="2604"/>
      <c r="B402" s="700" t="s">
        <v>436</v>
      </c>
      <c r="C402" s="663" t="s">
        <v>427</v>
      </c>
      <c r="D402" s="678" t="s">
        <v>1974</v>
      </c>
      <c r="E402" s="700" t="s">
        <v>407</v>
      </c>
      <c r="F402" s="795">
        <v>1147</v>
      </c>
      <c r="G402" s="2794" t="s">
        <v>4999</v>
      </c>
      <c r="H402" s="2790"/>
      <c r="I402" s="2791">
        <v>-30000</v>
      </c>
      <c r="J402" s="2621"/>
      <c r="K402" s="2792"/>
      <c r="L402" s="2790"/>
      <c r="M402" s="2791"/>
      <c r="N402" s="305"/>
      <c r="O402" s="187"/>
      <c r="P402" s="187"/>
      <c r="Q402" s="187"/>
      <c r="R402" s="187"/>
      <c r="S402" s="187"/>
      <c r="T402" s="187"/>
      <c r="U402" s="187"/>
      <c r="V402" s="187"/>
      <c r="W402" s="187"/>
      <c r="X402" s="187"/>
      <c r="Y402" s="187"/>
      <c r="Z402" s="187"/>
      <c r="AA402" s="187"/>
      <c r="AB402" s="187"/>
      <c r="AC402" s="187"/>
      <c r="AD402" s="187"/>
      <c r="AE402" s="187"/>
      <c r="AF402" s="187"/>
    </row>
    <row r="403" spans="1:32">
      <c r="A403" s="683"/>
      <c r="B403" s="720" t="s">
        <v>436</v>
      </c>
      <c r="C403" s="683" t="s">
        <v>427</v>
      </c>
      <c r="D403" s="719" t="s">
        <v>1974</v>
      </c>
      <c r="E403" s="720" t="s">
        <v>407</v>
      </c>
      <c r="F403" s="824">
        <v>1148</v>
      </c>
      <c r="G403" s="800" t="s">
        <v>112</v>
      </c>
      <c r="H403" s="706">
        <v>34500</v>
      </c>
      <c r="I403" s="706"/>
      <c r="J403" s="1654">
        <v>4073</v>
      </c>
      <c r="K403" s="802"/>
      <c r="L403" s="706">
        <v>4500</v>
      </c>
      <c r="M403" s="706"/>
      <c r="N403" s="356"/>
      <c r="O403" s="187"/>
      <c r="P403" s="187"/>
      <c r="Q403" s="187"/>
      <c r="R403" s="187"/>
      <c r="S403" s="187"/>
      <c r="T403" s="187"/>
      <c r="U403" s="187"/>
      <c r="V403" s="187"/>
      <c r="W403" s="187"/>
      <c r="X403" s="187"/>
      <c r="Y403" s="187"/>
      <c r="Z403" s="187"/>
      <c r="AA403" s="187"/>
      <c r="AB403" s="187"/>
      <c r="AC403" s="187"/>
      <c r="AD403" s="187"/>
      <c r="AE403" s="187"/>
      <c r="AF403" s="187"/>
    </row>
    <row r="404" spans="1:32">
      <c r="A404" s="663"/>
      <c r="B404" s="700" t="s">
        <v>436</v>
      </c>
      <c r="C404" s="663" t="s">
        <v>427</v>
      </c>
      <c r="D404" s="678" t="s">
        <v>1974</v>
      </c>
      <c r="E404" s="700" t="s">
        <v>407</v>
      </c>
      <c r="F404" s="795">
        <v>1148</v>
      </c>
      <c r="G404" s="812"/>
      <c r="H404" s="701"/>
      <c r="I404" s="701">
        <v>2500</v>
      </c>
      <c r="J404" s="1654" t="s">
        <v>1134</v>
      </c>
      <c r="K404" s="802"/>
      <c r="L404" s="701"/>
      <c r="M404" s="701">
        <v>4500</v>
      </c>
      <c r="N404" s="356"/>
      <c r="O404" s="187"/>
      <c r="P404" s="187"/>
      <c r="Q404" s="187"/>
      <c r="R404" s="187"/>
      <c r="S404" s="187"/>
      <c r="T404" s="187"/>
      <c r="U404" s="187"/>
      <c r="V404" s="187"/>
      <c r="W404" s="187"/>
      <c r="X404" s="187"/>
      <c r="Y404" s="187"/>
      <c r="Z404" s="187"/>
      <c r="AA404" s="187"/>
      <c r="AB404" s="187"/>
      <c r="AC404" s="187"/>
      <c r="AD404" s="187"/>
      <c r="AE404" s="187"/>
    </row>
    <row r="405" spans="1:32" ht="20.399999999999999">
      <c r="A405" s="663"/>
      <c r="B405" s="700" t="s">
        <v>436</v>
      </c>
      <c r="C405" s="663" t="s">
        <v>427</v>
      </c>
      <c r="D405" s="678" t="s">
        <v>1974</v>
      </c>
      <c r="E405" s="700" t="s">
        <v>407</v>
      </c>
      <c r="F405" s="795">
        <v>1148</v>
      </c>
      <c r="G405" s="812" t="s">
        <v>1019</v>
      </c>
      <c r="H405" s="701"/>
      <c r="I405" s="701">
        <v>2000</v>
      </c>
      <c r="J405" s="1654" t="s">
        <v>1134</v>
      </c>
      <c r="K405" s="802"/>
      <c r="L405" s="701"/>
      <c r="M405" s="701"/>
      <c r="N405" s="125"/>
      <c r="O405" s="187"/>
      <c r="P405" s="187"/>
      <c r="Q405" s="187"/>
      <c r="R405" s="187"/>
      <c r="S405" s="187"/>
      <c r="T405" s="187"/>
      <c r="U405" s="187"/>
      <c r="V405" s="187"/>
      <c r="W405" s="187"/>
      <c r="X405" s="187"/>
      <c r="Y405" s="187"/>
      <c r="Z405" s="187"/>
      <c r="AA405" s="187"/>
      <c r="AB405" s="187"/>
      <c r="AC405" s="187"/>
      <c r="AD405" s="187"/>
      <c r="AE405" s="187"/>
      <c r="AF405" s="187"/>
    </row>
    <row r="406" spans="1:32" ht="20.399999999999999">
      <c r="A406" s="2679"/>
      <c r="B406" s="700" t="s">
        <v>436</v>
      </c>
      <c r="C406" s="663" t="s">
        <v>427</v>
      </c>
      <c r="D406" s="678" t="s">
        <v>1974</v>
      </c>
      <c r="E406" s="700" t="s">
        <v>407</v>
      </c>
      <c r="F406" s="795">
        <v>1148</v>
      </c>
      <c r="G406" s="2783" t="s">
        <v>4999</v>
      </c>
      <c r="H406" s="2615"/>
      <c r="I406" s="2615">
        <v>30000</v>
      </c>
      <c r="J406" s="2621"/>
      <c r="K406" s="2786"/>
      <c r="L406" s="2615"/>
      <c r="M406" s="2615"/>
      <c r="N406" s="125"/>
      <c r="O406" s="7"/>
      <c r="P406" s="7"/>
      <c r="Q406" s="7"/>
      <c r="R406" s="187"/>
      <c r="S406" s="187"/>
      <c r="T406" s="187"/>
      <c r="U406" s="187"/>
      <c r="V406" s="187"/>
      <c r="W406" s="187"/>
      <c r="X406" s="187"/>
      <c r="Y406" s="187"/>
      <c r="Z406" s="187"/>
      <c r="AA406" s="187"/>
      <c r="AB406" s="187"/>
      <c r="AC406" s="187"/>
      <c r="AD406" s="187"/>
      <c r="AE406" s="187"/>
      <c r="AF406" s="187"/>
    </row>
    <row r="407" spans="1:32" ht="20.399999999999999">
      <c r="A407" s="683"/>
      <c r="B407" s="720" t="s">
        <v>436</v>
      </c>
      <c r="C407" s="683" t="s">
        <v>427</v>
      </c>
      <c r="D407" s="719" t="s">
        <v>1974</v>
      </c>
      <c r="E407" s="720" t="s">
        <v>407</v>
      </c>
      <c r="F407" s="824">
        <v>1149</v>
      </c>
      <c r="G407" s="800" t="s">
        <v>788</v>
      </c>
      <c r="H407" s="706">
        <v>0</v>
      </c>
      <c r="I407" s="706"/>
      <c r="J407" s="1654">
        <v>0</v>
      </c>
      <c r="K407" s="802"/>
      <c r="L407" s="706">
        <v>0</v>
      </c>
      <c r="M407" s="706"/>
      <c r="N407" s="125"/>
    </row>
    <row r="408" spans="1:32">
      <c r="A408" s="663"/>
      <c r="B408" s="700" t="s">
        <v>436</v>
      </c>
      <c r="C408" s="663" t="s">
        <v>427</v>
      </c>
      <c r="D408" s="678" t="s">
        <v>1974</v>
      </c>
      <c r="E408" s="700" t="s">
        <v>407</v>
      </c>
      <c r="F408" s="795">
        <v>1149</v>
      </c>
      <c r="G408" s="812"/>
      <c r="H408" s="701"/>
      <c r="I408" s="701">
        <v>5000</v>
      </c>
      <c r="J408" s="1654" t="s">
        <v>1134</v>
      </c>
      <c r="K408" s="802"/>
      <c r="L408" s="701"/>
      <c r="M408" s="701"/>
      <c r="N408" s="125"/>
      <c r="O408" s="7"/>
      <c r="P408" s="7"/>
      <c r="Q408" s="7"/>
      <c r="R408" s="187"/>
      <c r="S408" s="187"/>
      <c r="T408" s="187"/>
      <c r="U408" s="187"/>
      <c r="V408" s="187"/>
      <c r="W408" s="187"/>
      <c r="X408" s="187"/>
      <c r="Y408" s="187"/>
      <c r="Z408" s="187"/>
      <c r="AA408" s="187"/>
      <c r="AB408" s="187"/>
      <c r="AC408" s="187"/>
      <c r="AD408" s="187"/>
      <c r="AE408" s="187"/>
      <c r="AF408" s="187"/>
    </row>
    <row r="409" spans="1:32" ht="20.399999999999999">
      <c r="A409" s="663"/>
      <c r="B409" s="700" t="s">
        <v>436</v>
      </c>
      <c r="C409" s="663" t="s">
        <v>427</v>
      </c>
      <c r="D409" s="678" t="s">
        <v>1974</v>
      </c>
      <c r="E409" s="700" t="s">
        <v>407</v>
      </c>
      <c r="F409" s="795">
        <v>1149</v>
      </c>
      <c r="G409" s="2794" t="s">
        <v>5000</v>
      </c>
      <c r="H409" s="701"/>
      <c r="I409" s="701">
        <v>-5000</v>
      </c>
      <c r="J409" s="1654" t="s">
        <v>1134</v>
      </c>
      <c r="K409" s="802"/>
      <c r="L409" s="701"/>
      <c r="M409" s="701"/>
      <c r="N409" s="125"/>
      <c r="O409" s="7"/>
      <c r="P409" s="7"/>
      <c r="Q409" s="7"/>
      <c r="R409" s="187"/>
      <c r="S409" s="187"/>
      <c r="T409" s="187"/>
      <c r="U409" s="187"/>
      <c r="V409" s="187"/>
      <c r="W409" s="187"/>
      <c r="X409" s="187"/>
      <c r="Y409" s="187"/>
      <c r="Z409" s="187"/>
      <c r="AA409" s="187"/>
      <c r="AB409" s="187"/>
      <c r="AC409" s="187"/>
      <c r="AD409" s="187"/>
      <c r="AE409" s="187"/>
      <c r="AF409" s="187"/>
    </row>
    <row r="410" spans="1:32" ht="51">
      <c r="A410" s="683"/>
      <c r="B410" s="720" t="s">
        <v>436</v>
      </c>
      <c r="C410" s="683" t="s">
        <v>427</v>
      </c>
      <c r="D410" s="719" t="s">
        <v>1974</v>
      </c>
      <c r="E410" s="720" t="s">
        <v>407</v>
      </c>
      <c r="F410" s="824">
        <v>1150</v>
      </c>
      <c r="G410" s="800" t="s">
        <v>1041</v>
      </c>
      <c r="H410" s="706">
        <v>0</v>
      </c>
      <c r="I410" s="706"/>
      <c r="J410" s="1654" t="s">
        <v>1134</v>
      </c>
      <c r="K410" s="802"/>
      <c r="L410" s="706">
        <v>0</v>
      </c>
      <c r="M410" s="706"/>
      <c r="N410" s="125"/>
      <c r="O410" s="7"/>
      <c r="P410" s="7"/>
      <c r="Q410" s="7"/>
      <c r="R410" s="187"/>
      <c r="S410" s="187"/>
      <c r="T410" s="187"/>
      <c r="U410" s="187"/>
      <c r="V410" s="187"/>
      <c r="W410" s="187"/>
      <c r="X410" s="187"/>
      <c r="Y410" s="187"/>
      <c r="Z410" s="187"/>
      <c r="AA410" s="187"/>
      <c r="AB410" s="187"/>
      <c r="AC410" s="187"/>
      <c r="AD410" s="187"/>
      <c r="AE410" s="187"/>
      <c r="AF410" s="187"/>
    </row>
    <row r="411" spans="1:32">
      <c r="A411" s="663"/>
      <c r="B411" s="700" t="s">
        <v>436</v>
      </c>
      <c r="C411" s="663" t="s">
        <v>427</v>
      </c>
      <c r="D411" s="678" t="s">
        <v>1974</v>
      </c>
      <c r="E411" s="700" t="s">
        <v>407</v>
      </c>
      <c r="F411" s="795">
        <v>1150</v>
      </c>
      <c r="G411" s="1374"/>
      <c r="H411" s="701"/>
      <c r="I411" s="701"/>
      <c r="J411" s="1654" t="s">
        <v>1134</v>
      </c>
      <c r="K411" s="802"/>
      <c r="L411" s="701"/>
      <c r="M411" s="701"/>
      <c r="N411" s="125" t="s">
        <v>3497</v>
      </c>
      <c r="O411" s="187"/>
      <c r="P411" s="187"/>
      <c r="Q411" s="187"/>
      <c r="R411" s="187"/>
      <c r="S411" s="187"/>
      <c r="T411" s="187"/>
      <c r="U411" s="187"/>
      <c r="V411" s="187"/>
      <c r="W411" s="187"/>
      <c r="X411" s="187"/>
      <c r="Y411" s="187"/>
      <c r="Z411" s="187"/>
      <c r="AA411" s="187"/>
      <c r="AB411" s="187"/>
      <c r="AC411" s="187"/>
      <c r="AD411" s="187"/>
      <c r="AE411" s="187"/>
      <c r="AF411" s="187"/>
    </row>
    <row r="412" spans="1:32">
      <c r="A412" s="683"/>
      <c r="B412" s="720" t="s">
        <v>436</v>
      </c>
      <c r="C412" s="683" t="s">
        <v>427</v>
      </c>
      <c r="D412" s="719" t="s">
        <v>1974</v>
      </c>
      <c r="E412" s="720" t="s">
        <v>407</v>
      </c>
      <c r="F412" s="824">
        <v>1170</v>
      </c>
      <c r="G412" s="800" t="s">
        <v>475</v>
      </c>
      <c r="H412" s="706">
        <v>465</v>
      </c>
      <c r="I412" s="706"/>
      <c r="J412" s="1654">
        <v>465</v>
      </c>
      <c r="K412" s="802"/>
      <c r="L412" s="706">
        <v>465</v>
      </c>
      <c r="M412" s="706"/>
      <c r="N412" s="125"/>
      <c r="O412" s="187"/>
      <c r="P412" s="187"/>
      <c r="Q412" s="187"/>
      <c r="R412" s="187"/>
      <c r="S412" s="187"/>
      <c r="T412" s="187"/>
      <c r="U412" s="187"/>
      <c r="V412" s="187"/>
      <c r="W412" s="187"/>
      <c r="X412" s="187"/>
      <c r="Y412" s="187"/>
      <c r="Z412" s="187"/>
      <c r="AA412" s="187"/>
      <c r="AB412" s="187"/>
      <c r="AC412" s="187"/>
      <c r="AD412" s="187"/>
      <c r="AE412" s="187"/>
      <c r="AF412" s="187"/>
    </row>
    <row r="413" spans="1:32" ht="20.399999999999999">
      <c r="A413" s="663"/>
      <c r="B413" s="700" t="s">
        <v>436</v>
      </c>
      <c r="C413" s="663" t="s">
        <v>427</v>
      </c>
      <c r="D413" s="678" t="s">
        <v>1974</v>
      </c>
      <c r="E413" s="700" t="s">
        <v>407</v>
      </c>
      <c r="F413" s="795">
        <v>1170</v>
      </c>
      <c r="G413" s="750" t="s">
        <v>1333</v>
      </c>
      <c r="H413" s="701"/>
      <c r="I413" s="701">
        <v>465</v>
      </c>
      <c r="J413" s="1654" t="s">
        <v>1134</v>
      </c>
      <c r="K413" s="802"/>
      <c r="L413" s="701"/>
      <c r="M413" s="701">
        <v>465</v>
      </c>
      <c r="N413" s="359" t="s">
        <v>3491</v>
      </c>
      <c r="O413" s="187"/>
      <c r="P413" s="187"/>
      <c r="Q413" s="187"/>
      <c r="R413" s="187"/>
      <c r="S413" s="187"/>
      <c r="T413" s="187"/>
      <c r="U413" s="187"/>
      <c r="V413" s="187"/>
      <c r="W413" s="187"/>
      <c r="X413" s="187"/>
      <c r="Y413" s="187"/>
      <c r="Z413" s="187"/>
      <c r="AA413" s="187"/>
      <c r="AB413" s="187"/>
      <c r="AC413" s="187"/>
      <c r="AD413" s="187"/>
      <c r="AE413" s="187"/>
      <c r="AF413" s="187"/>
    </row>
    <row r="414" spans="1:32" ht="56.25" customHeight="1">
      <c r="A414" s="683"/>
      <c r="B414" s="720" t="s">
        <v>436</v>
      </c>
      <c r="C414" s="683" t="s">
        <v>427</v>
      </c>
      <c r="D414" s="719" t="s">
        <v>1974</v>
      </c>
      <c r="E414" s="720" t="s">
        <v>407</v>
      </c>
      <c r="F414" s="824">
        <v>1210</v>
      </c>
      <c r="G414" s="800" t="s">
        <v>113</v>
      </c>
      <c r="H414" s="706">
        <v>167650.40431072999</v>
      </c>
      <c r="I414" s="706"/>
      <c r="J414" s="1654">
        <v>123675</v>
      </c>
      <c r="K414" s="802"/>
      <c r="L414" s="706">
        <v>173108.69422483566</v>
      </c>
      <c r="M414" s="706"/>
      <c r="N414" s="381" t="s">
        <v>3498</v>
      </c>
      <c r="O414" s="187"/>
      <c r="P414" s="187"/>
      <c r="Q414" s="187"/>
      <c r="R414" s="187"/>
      <c r="S414" s="187"/>
      <c r="T414" s="187"/>
      <c r="U414" s="187"/>
      <c r="V414" s="187"/>
      <c r="W414" s="187"/>
      <c r="X414" s="187"/>
      <c r="Y414" s="187"/>
      <c r="Z414" s="187"/>
      <c r="AA414" s="187"/>
      <c r="AB414" s="187"/>
      <c r="AC414" s="187"/>
      <c r="AD414" s="187"/>
      <c r="AE414" s="187"/>
      <c r="AF414" s="187"/>
    </row>
    <row r="415" spans="1:32" ht="56.25" customHeight="1">
      <c r="A415" s="760"/>
      <c r="B415" s="700" t="s">
        <v>436</v>
      </c>
      <c r="C415" s="663" t="s">
        <v>427</v>
      </c>
      <c r="D415" s="678" t="s">
        <v>1974</v>
      </c>
      <c r="E415" s="700" t="s">
        <v>407</v>
      </c>
      <c r="F415" s="795">
        <v>1210</v>
      </c>
      <c r="G415" s="1374" t="s">
        <v>436</v>
      </c>
      <c r="H415" s="1375"/>
      <c r="I415" s="1376">
        <v>155329.30584213004</v>
      </c>
      <c r="J415" s="1654" t="s">
        <v>1134</v>
      </c>
      <c r="K415" s="1377"/>
      <c r="L415" s="1375"/>
      <c r="M415" s="1376">
        <v>165288.99036374767</v>
      </c>
      <c r="N415" s="381"/>
      <c r="O415" s="187"/>
      <c r="P415" s="187"/>
      <c r="Q415" s="187"/>
      <c r="R415" s="187"/>
      <c r="S415" s="187"/>
      <c r="T415" s="187"/>
      <c r="U415" s="187"/>
      <c r="V415" s="187"/>
      <c r="W415" s="187"/>
      <c r="X415" s="187"/>
      <c r="Y415" s="187"/>
      <c r="Z415" s="187"/>
      <c r="AA415" s="187"/>
      <c r="AB415" s="187"/>
      <c r="AC415" s="187"/>
      <c r="AD415" s="187"/>
      <c r="AE415" s="187"/>
      <c r="AF415" s="187"/>
    </row>
    <row r="416" spans="1:32" ht="20.399999999999999">
      <c r="A416" s="2604"/>
      <c r="B416" s="700" t="s">
        <v>436</v>
      </c>
      <c r="C416" s="663" t="s">
        <v>427</v>
      </c>
      <c r="D416" s="678" t="s">
        <v>1974</v>
      </c>
      <c r="E416" s="700" t="s">
        <v>407</v>
      </c>
      <c r="F416" s="795">
        <v>1210</v>
      </c>
      <c r="G416" s="2794" t="s">
        <v>5000</v>
      </c>
      <c r="H416" s="2790"/>
      <c r="I416" s="2791">
        <v>5000</v>
      </c>
      <c r="J416" s="2621"/>
      <c r="K416" s="2792"/>
      <c r="L416" s="2790"/>
      <c r="M416" s="2791"/>
      <c r="N416" s="381"/>
      <c r="O416" s="187"/>
      <c r="P416" s="187"/>
      <c r="Q416" s="187"/>
      <c r="R416" s="187"/>
      <c r="S416" s="187"/>
      <c r="T416" s="187"/>
      <c r="U416" s="187"/>
      <c r="V416" s="187"/>
      <c r="W416" s="187"/>
      <c r="X416" s="187"/>
      <c r="Y416" s="187"/>
      <c r="Z416" s="187"/>
      <c r="AA416" s="187"/>
      <c r="AB416" s="187"/>
      <c r="AC416" s="187"/>
      <c r="AD416" s="187"/>
      <c r="AE416" s="187"/>
      <c r="AF416" s="187"/>
    </row>
    <row r="417" spans="1:32">
      <c r="A417" s="663"/>
      <c r="B417" s="700" t="s">
        <v>436</v>
      </c>
      <c r="C417" s="663" t="s">
        <v>427</v>
      </c>
      <c r="D417" s="678" t="s">
        <v>1974</v>
      </c>
      <c r="E417" s="700" t="s">
        <v>407</v>
      </c>
      <c r="F417" s="795">
        <v>1210</v>
      </c>
      <c r="G417" s="2481" t="s">
        <v>1696</v>
      </c>
      <c r="H417" s="1375"/>
      <c r="I417" s="709">
        <v>7321.0984685999983</v>
      </c>
      <c r="J417" s="1654" t="s">
        <v>1134</v>
      </c>
      <c r="K417" s="825"/>
      <c r="L417" s="709"/>
      <c r="M417" s="2483">
        <v>7819.703861087999</v>
      </c>
      <c r="N417" s="176" t="s">
        <v>3495</v>
      </c>
      <c r="O417" s="7"/>
      <c r="P417" s="7"/>
      <c r="Q417" s="7"/>
      <c r="R417" s="187"/>
      <c r="S417" s="187"/>
      <c r="T417" s="187"/>
      <c r="U417" s="187"/>
      <c r="V417" s="187"/>
      <c r="W417" s="187"/>
      <c r="X417" s="187"/>
      <c r="Y417" s="187"/>
      <c r="Z417" s="187"/>
      <c r="AA417" s="187"/>
      <c r="AB417" s="187"/>
      <c r="AC417" s="187"/>
      <c r="AD417" s="187"/>
      <c r="AE417" s="187"/>
      <c r="AF417" s="187"/>
    </row>
    <row r="418" spans="1:32" ht="30.6">
      <c r="A418" s="683"/>
      <c r="B418" s="720" t="s">
        <v>436</v>
      </c>
      <c r="C418" s="683" t="s">
        <v>427</v>
      </c>
      <c r="D418" s="719" t="s">
        <v>1974</v>
      </c>
      <c r="E418" s="720" t="s">
        <v>407</v>
      </c>
      <c r="F418" s="824">
        <v>1221</v>
      </c>
      <c r="G418" s="800" t="s">
        <v>150</v>
      </c>
      <c r="H418" s="706">
        <v>34037.521623269997</v>
      </c>
      <c r="I418" s="706"/>
      <c r="J418" s="1654">
        <v>28251</v>
      </c>
      <c r="K418" s="802"/>
      <c r="L418" s="706">
        <v>36323.074145460399</v>
      </c>
      <c r="M418" s="706"/>
      <c r="N418" s="359" t="s">
        <v>3500</v>
      </c>
      <c r="O418" s="187"/>
      <c r="P418" s="187"/>
      <c r="Q418" s="187"/>
      <c r="R418" s="187"/>
      <c r="S418" s="187"/>
      <c r="T418" s="187"/>
      <c r="U418" s="187"/>
      <c r="V418" s="187"/>
      <c r="W418" s="187"/>
      <c r="X418" s="187"/>
      <c r="Y418" s="187"/>
      <c r="Z418" s="187"/>
      <c r="AA418" s="187"/>
      <c r="AB418" s="187"/>
      <c r="AC418" s="187"/>
      <c r="AD418" s="187"/>
      <c r="AE418" s="187"/>
      <c r="AF418" s="187"/>
    </row>
    <row r="419" spans="1:32" ht="56.25" customHeight="1">
      <c r="A419" s="663"/>
      <c r="B419" s="700" t="s">
        <v>436</v>
      </c>
      <c r="C419" s="663" t="s">
        <v>427</v>
      </c>
      <c r="D419" s="678" t="s">
        <v>1974</v>
      </c>
      <c r="E419" s="700" t="s">
        <v>407</v>
      </c>
      <c r="F419" s="795">
        <v>1221</v>
      </c>
      <c r="G419" s="2480" t="s">
        <v>1046</v>
      </c>
      <c r="H419" s="1375"/>
      <c r="I419" s="709">
        <v>34037.521623269997</v>
      </c>
      <c r="J419" s="1654" t="s">
        <v>1134</v>
      </c>
      <c r="K419" s="825"/>
      <c r="L419" s="709"/>
      <c r="M419" s="1376">
        <v>36323.074145460399</v>
      </c>
      <c r="N419" s="125"/>
      <c r="O419" s="7"/>
      <c r="P419" s="7"/>
      <c r="Q419" s="7"/>
      <c r="R419" s="187"/>
      <c r="S419" s="187"/>
      <c r="T419" s="187"/>
      <c r="U419" s="187"/>
      <c r="V419" s="187"/>
      <c r="W419" s="187"/>
      <c r="X419" s="187"/>
      <c r="Y419" s="187"/>
      <c r="Z419" s="187"/>
      <c r="AA419" s="187"/>
      <c r="AB419" s="187"/>
      <c r="AC419" s="187"/>
      <c r="AD419" s="187"/>
      <c r="AE419" s="187"/>
      <c r="AF419" s="187"/>
    </row>
    <row r="420" spans="1:32">
      <c r="A420" s="683"/>
      <c r="B420" s="720" t="s">
        <v>436</v>
      </c>
      <c r="C420" s="683" t="s">
        <v>427</v>
      </c>
      <c r="D420" s="719" t="s">
        <v>1974</v>
      </c>
      <c r="E420" s="720" t="s">
        <v>407</v>
      </c>
      <c r="F420" s="824">
        <v>1227</v>
      </c>
      <c r="G420" s="800" t="s">
        <v>120</v>
      </c>
      <c r="H420" s="706">
        <v>0</v>
      </c>
      <c r="I420" s="706"/>
      <c r="J420" s="1654" t="s">
        <v>1134</v>
      </c>
      <c r="K420" s="802"/>
      <c r="L420" s="706">
        <v>0</v>
      </c>
      <c r="M420" s="706"/>
      <c r="N420" s="176" t="s">
        <v>709</v>
      </c>
      <c r="O420" s="187"/>
      <c r="P420" s="187"/>
      <c r="Q420" s="187"/>
      <c r="R420" s="187"/>
      <c r="S420" s="187"/>
      <c r="T420" s="187"/>
      <c r="U420" s="187"/>
      <c r="V420" s="187"/>
      <c r="W420" s="187"/>
      <c r="X420" s="187"/>
      <c r="Y420" s="187"/>
      <c r="Z420" s="187"/>
      <c r="AA420" s="187"/>
      <c r="AB420" s="187"/>
      <c r="AC420" s="187"/>
      <c r="AD420" s="187"/>
      <c r="AE420" s="187"/>
      <c r="AF420" s="187"/>
    </row>
    <row r="421" spans="1:32">
      <c r="A421" s="663"/>
      <c r="B421" s="700" t="s">
        <v>436</v>
      </c>
      <c r="C421" s="663" t="s">
        <v>427</v>
      </c>
      <c r="D421" s="678" t="s">
        <v>1974</v>
      </c>
      <c r="E421" s="700" t="s">
        <v>407</v>
      </c>
      <c r="F421" s="795">
        <v>1227</v>
      </c>
      <c r="G421" s="750"/>
      <c r="H421" s="701"/>
      <c r="I421" s="701"/>
      <c r="J421" s="1654" t="s">
        <v>1134</v>
      </c>
      <c r="K421" s="792"/>
      <c r="L421" s="701"/>
      <c r="M421" s="701"/>
      <c r="N421" s="125"/>
      <c r="O421" s="187"/>
      <c r="P421" s="187"/>
      <c r="Q421" s="187"/>
      <c r="R421" s="187"/>
      <c r="S421" s="187"/>
      <c r="T421" s="187"/>
      <c r="U421" s="187"/>
      <c r="V421" s="187"/>
      <c r="W421" s="187"/>
      <c r="X421" s="187"/>
      <c r="Y421" s="187"/>
      <c r="Z421" s="187"/>
      <c r="AA421" s="187"/>
      <c r="AB421" s="187"/>
      <c r="AC421" s="187"/>
      <c r="AD421" s="187"/>
      <c r="AE421" s="187"/>
      <c r="AF421" s="187"/>
    </row>
    <row r="422" spans="1:32" ht="30.6">
      <c r="A422" s="683"/>
      <c r="B422" s="720" t="s">
        <v>436</v>
      </c>
      <c r="C422" s="683" t="s">
        <v>427</v>
      </c>
      <c r="D422" s="719" t="s">
        <v>1974</v>
      </c>
      <c r="E422" s="720" t="s">
        <v>407</v>
      </c>
      <c r="F422" s="685">
        <v>1228</v>
      </c>
      <c r="G422" s="686" t="s">
        <v>151</v>
      </c>
      <c r="H422" s="689">
        <v>1100</v>
      </c>
      <c r="I422" s="689"/>
      <c r="J422" s="1494">
        <v>1000</v>
      </c>
      <c r="K422" s="727"/>
      <c r="L422" s="689">
        <v>2000</v>
      </c>
      <c r="M422" s="689"/>
      <c r="N422" s="359" t="s">
        <v>3502</v>
      </c>
      <c r="O422" s="187"/>
      <c r="P422" s="187"/>
      <c r="Q422" s="187"/>
      <c r="R422" s="187"/>
      <c r="S422" s="187"/>
      <c r="T422" s="187"/>
      <c r="U422" s="187"/>
      <c r="V422" s="187"/>
      <c r="W422" s="187"/>
      <c r="X422" s="187"/>
      <c r="Y422" s="187"/>
      <c r="Z422" s="187"/>
      <c r="AA422" s="187"/>
      <c r="AB422" s="187"/>
      <c r="AC422" s="187"/>
      <c r="AD422" s="187"/>
      <c r="AE422" s="187"/>
      <c r="AF422" s="187"/>
    </row>
    <row r="423" spans="1:32">
      <c r="A423" s="663"/>
      <c r="B423" s="700" t="s">
        <v>436</v>
      </c>
      <c r="C423" s="663" t="s">
        <v>427</v>
      </c>
      <c r="D423" s="678" t="s">
        <v>1974</v>
      </c>
      <c r="E423" s="700" t="s">
        <v>407</v>
      </c>
      <c r="F423" s="679">
        <v>1228</v>
      </c>
      <c r="G423" s="675" t="s">
        <v>1334</v>
      </c>
      <c r="H423" s="660"/>
      <c r="I423" s="660">
        <v>800</v>
      </c>
      <c r="J423" s="1494" t="s">
        <v>1134</v>
      </c>
      <c r="K423" s="667"/>
      <c r="L423" s="660"/>
      <c r="M423" s="660">
        <v>800</v>
      </c>
      <c r="N423" s="17"/>
      <c r="O423" s="187"/>
      <c r="P423" s="187"/>
      <c r="Q423" s="187"/>
      <c r="R423" s="187"/>
      <c r="S423" s="187"/>
      <c r="T423" s="187"/>
      <c r="U423" s="187"/>
      <c r="V423" s="187"/>
      <c r="W423" s="187"/>
      <c r="X423" s="187"/>
      <c r="Y423" s="187"/>
      <c r="Z423" s="187"/>
      <c r="AA423" s="187"/>
      <c r="AB423" s="187"/>
      <c r="AC423" s="187"/>
      <c r="AD423" s="187"/>
      <c r="AE423" s="187"/>
      <c r="AF423" s="187"/>
    </row>
    <row r="424" spans="1:32" ht="20.399999999999999">
      <c r="A424" s="663"/>
      <c r="B424" s="700" t="s">
        <v>436</v>
      </c>
      <c r="C424" s="663" t="s">
        <v>427</v>
      </c>
      <c r="D424" s="678" t="s">
        <v>1974</v>
      </c>
      <c r="E424" s="700" t="s">
        <v>407</v>
      </c>
      <c r="F424" s="679">
        <v>1228</v>
      </c>
      <c r="G424" s="608" t="s">
        <v>3475</v>
      </c>
      <c r="H424" s="1130"/>
      <c r="I424" s="1130">
        <v>300</v>
      </c>
      <c r="J424" s="1494" t="s">
        <v>1134</v>
      </c>
      <c r="K424" s="646"/>
      <c r="L424" s="1130"/>
      <c r="M424" s="1130">
        <v>1200</v>
      </c>
      <c r="N424" s="125"/>
      <c r="O424" s="187"/>
      <c r="P424" s="187"/>
      <c r="Q424" s="187"/>
      <c r="R424" s="187"/>
      <c r="S424" s="187"/>
      <c r="T424" s="187"/>
      <c r="U424" s="187"/>
      <c r="V424" s="187"/>
      <c r="W424" s="187"/>
      <c r="X424" s="187"/>
      <c r="Y424" s="187"/>
      <c r="Z424" s="187"/>
      <c r="AA424" s="187"/>
      <c r="AB424" s="187"/>
      <c r="AC424" s="187"/>
      <c r="AD424" s="187"/>
      <c r="AE424" s="187"/>
      <c r="AF424" s="187"/>
    </row>
    <row r="425" spans="1:32" ht="20.399999999999999">
      <c r="A425" s="683"/>
      <c r="B425" s="720" t="s">
        <v>772</v>
      </c>
      <c r="C425" s="683" t="s">
        <v>320</v>
      </c>
      <c r="D425" s="719" t="s">
        <v>1974</v>
      </c>
      <c r="E425" s="720" t="s">
        <v>407</v>
      </c>
      <c r="F425" s="685">
        <v>2111</v>
      </c>
      <c r="G425" s="686" t="s">
        <v>595</v>
      </c>
      <c r="H425" s="689">
        <v>500</v>
      </c>
      <c r="I425" s="689"/>
      <c r="J425" s="1494">
        <v>0</v>
      </c>
      <c r="K425" s="727"/>
      <c r="L425" s="689">
        <v>500</v>
      </c>
      <c r="M425" s="689"/>
      <c r="N425" s="125"/>
      <c r="O425" s="187"/>
      <c r="P425" s="187"/>
      <c r="Q425" s="187"/>
      <c r="R425" s="187"/>
      <c r="S425" s="187"/>
      <c r="T425" s="187"/>
      <c r="U425" s="187"/>
      <c r="V425" s="187"/>
      <c r="W425" s="187"/>
      <c r="X425" s="187"/>
      <c r="Y425" s="187"/>
      <c r="Z425" s="187"/>
      <c r="AA425" s="187"/>
      <c r="AB425" s="187"/>
      <c r="AC425" s="187"/>
      <c r="AD425" s="187"/>
      <c r="AE425" s="187"/>
      <c r="AF425" s="187"/>
    </row>
    <row r="426" spans="1:32">
      <c r="A426" s="663"/>
      <c r="B426" s="700" t="s">
        <v>772</v>
      </c>
      <c r="C426" s="663" t="s">
        <v>320</v>
      </c>
      <c r="D426" s="678" t="s">
        <v>1974</v>
      </c>
      <c r="E426" s="700" t="s">
        <v>407</v>
      </c>
      <c r="F426" s="679">
        <v>2111</v>
      </c>
      <c r="G426" s="665" t="s">
        <v>1336</v>
      </c>
      <c r="H426" s="660"/>
      <c r="I426" s="660">
        <v>500</v>
      </c>
      <c r="J426" s="1494" t="s">
        <v>1134</v>
      </c>
      <c r="K426" s="667"/>
      <c r="L426" s="660"/>
      <c r="M426" s="660">
        <v>500</v>
      </c>
      <c r="N426" s="125"/>
      <c r="O426" s="187"/>
      <c r="P426" s="187"/>
      <c r="Q426" s="187"/>
      <c r="R426" s="187"/>
      <c r="S426" s="187"/>
      <c r="T426" s="187"/>
      <c r="U426" s="187"/>
      <c r="V426" s="187"/>
      <c r="W426" s="187"/>
      <c r="X426" s="187"/>
      <c r="Y426" s="187"/>
      <c r="Z426" s="187"/>
      <c r="AA426" s="187"/>
      <c r="AB426" s="187"/>
      <c r="AC426" s="187"/>
      <c r="AD426" s="187"/>
      <c r="AE426" s="187"/>
      <c r="AF426" s="187"/>
    </row>
    <row r="427" spans="1:32">
      <c r="A427" s="683"/>
      <c r="B427" s="720" t="s">
        <v>772</v>
      </c>
      <c r="C427" s="683" t="s">
        <v>320</v>
      </c>
      <c r="D427" s="719" t="s">
        <v>1974</v>
      </c>
      <c r="E427" s="720" t="s">
        <v>407</v>
      </c>
      <c r="F427" s="685">
        <v>2121</v>
      </c>
      <c r="G427" s="686" t="s">
        <v>494</v>
      </c>
      <c r="H427" s="689">
        <v>0</v>
      </c>
      <c r="I427" s="689"/>
      <c r="J427" s="1494" t="s">
        <v>1134</v>
      </c>
      <c r="K427" s="727"/>
      <c r="L427" s="689">
        <v>0</v>
      </c>
      <c r="M427" s="689"/>
      <c r="N427" s="125" t="s">
        <v>3503</v>
      </c>
      <c r="O427" s="187"/>
      <c r="P427" s="187"/>
      <c r="Q427" s="187"/>
      <c r="R427" s="187"/>
      <c r="S427" s="187"/>
      <c r="T427" s="187"/>
      <c r="U427" s="187"/>
      <c r="V427" s="187"/>
      <c r="W427" s="187"/>
      <c r="X427" s="187"/>
      <c r="Y427" s="187"/>
      <c r="Z427" s="187"/>
      <c r="AA427" s="187"/>
      <c r="AB427" s="187"/>
      <c r="AC427" s="187"/>
      <c r="AD427" s="187"/>
      <c r="AE427" s="187"/>
      <c r="AF427" s="187"/>
    </row>
    <row r="428" spans="1:32" ht="20.399999999999999">
      <c r="A428" s="663"/>
      <c r="B428" s="700" t="s">
        <v>772</v>
      </c>
      <c r="C428" s="663" t="s">
        <v>320</v>
      </c>
      <c r="D428" s="678" t="s">
        <v>1974</v>
      </c>
      <c r="E428" s="700" t="s">
        <v>407</v>
      </c>
      <c r="F428" s="679">
        <v>2121</v>
      </c>
      <c r="G428" s="665" t="s">
        <v>1879</v>
      </c>
      <c r="H428" s="660"/>
      <c r="I428" s="660"/>
      <c r="J428" s="1494" t="s">
        <v>1134</v>
      </c>
      <c r="K428" s="667"/>
      <c r="L428" s="660"/>
      <c r="M428" s="660"/>
      <c r="N428" s="125" t="s">
        <v>3503</v>
      </c>
      <c r="O428" s="187"/>
      <c r="P428" s="187"/>
      <c r="Q428" s="187"/>
      <c r="R428" s="187"/>
      <c r="S428" s="187"/>
      <c r="T428" s="187"/>
      <c r="U428" s="187"/>
      <c r="V428" s="187"/>
      <c r="W428" s="187"/>
      <c r="X428" s="187"/>
      <c r="Y428" s="187"/>
      <c r="Z428" s="187"/>
      <c r="AA428" s="187"/>
      <c r="AB428" s="187"/>
      <c r="AC428" s="187"/>
      <c r="AD428" s="187"/>
      <c r="AE428" s="187"/>
      <c r="AF428" s="187"/>
    </row>
    <row r="429" spans="1:32">
      <c r="A429" s="683"/>
      <c r="B429" s="720" t="s">
        <v>772</v>
      </c>
      <c r="C429" s="683" t="s">
        <v>322</v>
      </c>
      <c r="D429" s="719" t="s">
        <v>1974</v>
      </c>
      <c r="E429" s="720" t="s">
        <v>407</v>
      </c>
      <c r="F429" s="685">
        <v>2210</v>
      </c>
      <c r="G429" s="686" t="s">
        <v>572</v>
      </c>
      <c r="H429" s="689">
        <v>15790.400000000001</v>
      </c>
      <c r="I429" s="689"/>
      <c r="J429" s="1494">
        <v>9532</v>
      </c>
      <c r="K429" s="727"/>
      <c r="L429" s="689">
        <v>14115</v>
      </c>
      <c r="M429" s="687"/>
      <c r="N429" s="125" t="s">
        <v>3503</v>
      </c>
      <c r="O429" s="187"/>
      <c r="P429" s="187"/>
      <c r="Q429" s="187"/>
      <c r="R429" s="187"/>
      <c r="S429" s="187"/>
      <c r="T429" s="187"/>
      <c r="U429" s="187"/>
      <c r="V429" s="187"/>
      <c r="W429" s="187"/>
      <c r="X429" s="187"/>
      <c r="Y429" s="187"/>
      <c r="Z429" s="187"/>
      <c r="AA429" s="187"/>
      <c r="AB429" s="187"/>
      <c r="AC429" s="187"/>
      <c r="AD429" s="187"/>
      <c r="AE429" s="187"/>
      <c r="AF429" s="187"/>
    </row>
    <row r="430" spans="1:32" ht="40.799999999999997">
      <c r="A430" s="663"/>
      <c r="B430" s="700" t="s">
        <v>772</v>
      </c>
      <c r="C430" s="663" t="s">
        <v>322</v>
      </c>
      <c r="D430" s="678" t="s">
        <v>1974</v>
      </c>
      <c r="E430" s="700" t="s">
        <v>407</v>
      </c>
      <c r="F430" s="679">
        <v>2210</v>
      </c>
      <c r="G430" s="682" t="s">
        <v>3489</v>
      </c>
      <c r="H430" s="660"/>
      <c r="I430" s="660">
        <v>0</v>
      </c>
      <c r="J430" s="1494" t="s">
        <v>1134</v>
      </c>
      <c r="K430" s="667"/>
      <c r="L430" s="659"/>
      <c r="M430" s="660">
        <v>0</v>
      </c>
      <c r="N430" s="7" t="s">
        <v>1342</v>
      </c>
      <c r="O430" s="187"/>
      <c r="P430" s="187"/>
      <c r="Q430" s="187"/>
      <c r="R430" s="187"/>
      <c r="S430" s="187"/>
      <c r="T430" s="187"/>
      <c r="U430" s="187"/>
      <c r="V430" s="187"/>
      <c r="W430" s="187"/>
      <c r="X430" s="187"/>
      <c r="Y430" s="187"/>
      <c r="Z430" s="187"/>
      <c r="AA430" s="187"/>
      <c r="AB430" s="187"/>
      <c r="AC430" s="187"/>
      <c r="AD430" s="187"/>
      <c r="AE430" s="187"/>
      <c r="AF430" s="187"/>
    </row>
    <row r="431" spans="1:32" ht="40.799999999999997">
      <c r="A431" s="663"/>
      <c r="B431" s="700" t="s">
        <v>772</v>
      </c>
      <c r="C431" s="663" t="s">
        <v>322</v>
      </c>
      <c r="D431" s="678" t="s">
        <v>1974</v>
      </c>
      <c r="E431" s="700" t="s">
        <v>407</v>
      </c>
      <c r="F431" s="679">
        <v>2210</v>
      </c>
      <c r="G431" s="665" t="s">
        <v>1335</v>
      </c>
      <c r="H431" s="660"/>
      <c r="I431" s="660">
        <v>1440</v>
      </c>
      <c r="J431" s="1494">
        <v>1372</v>
      </c>
      <c r="K431" s="667"/>
      <c r="L431" s="659"/>
      <c r="M431" s="660">
        <v>1440</v>
      </c>
      <c r="N431" s="125"/>
      <c r="O431" s="187"/>
      <c r="P431" s="187"/>
      <c r="Q431" s="187"/>
      <c r="R431" s="187"/>
      <c r="S431" s="187"/>
      <c r="T431" s="187"/>
      <c r="U431" s="187"/>
      <c r="V431" s="187"/>
      <c r="W431" s="187"/>
      <c r="X431" s="187"/>
      <c r="Y431" s="187"/>
      <c r="Z431" s="187"/>
      <c r="AA431" s="187"/>
      <c r="AB431" s="187"/>
      <c r="AC431" s="187"/>
      <c r="AD431" s="187"/>
      <c r="AE431" s="187"/>
      <c r="AF431" s="187"/>
    </row>
    <row r="432" spans="1:32" ht="20.399999999999999">
      <c r="A432" s="663"/>
      <c r="B432" s="700" t="s">
        <v>772</v>
      </c>
      <c r="C432" s="663" t="s">
        <v>322</v>
      </c>
      <c r="D432" s="678" t="s">
        <v>1974</v>
      </c>
      <c r="E432" s="700" t="s">
        <v>407</v>
      </c>
      <c r="F432" s="679">
        <v>2210</v>
      </c>
      <c r="G432" s="665" t="s">
        <v>3490</v>
      </c>
      <c r="H432" s="660"/>
      <c r="I432" s="660">
        <v>600</v>
      </c>
      <c r="J432" s="1494">
        <v>586</v>
      </c>
      <c r="K432" s="667"/>
      <c r="L432" s="659"/>
      <c r="M432" s="660">
        <v>720</v>
      </c>
      <c r="N432" s="14"/>
      <c r="O432" s="4"/>
      <c r="P432" s="4"/>
      <c r="Q432" s="4"/>
      <c r="R432" s="4"/>
      <c r="S432" s="4"/>
      <c r="T432" s="4"/>
      <c r="U432" s="4"/>
      <c r="V432" s="4"/>
      <c r="W432" s="4"/>
      <c r="X432" s="4"/>
      <c r="Y432" s="4"/>
      <c r="Z432" s="4"/>
      <c r="AA432" s="4"/>
      <c r="AB432" s="4"/>
      <c r="AC432" s="4"/>
      <c r="AD432" s="4"/>
      <c r="AE432" s="4"/>
      <c r="AF432" s="4"/>
    </row>
    <row r="433" spans="1:32" ht="61.2">
      <c r="A433" s="663"/>
      <c r="B433" s="700" t="s">
        <v>772</v>
      </c>
      <c r="C433" s="663" t="s">
        <v>322</v>
      </c>
      <c r="D433" s="678" t="s">
        <v>1974</v>
      </c>
      <c r="E433" s="700" t="s">
        <v>407</v>
      </c>
      <c r="F433" s="795">
        <v>2210</v>
      </c>
      <c r="G433" s="750" t="s">
        <v>3492</v>
      </c>
      <c r="H433" s="701"/>
      <c r="I433" s="701">
        <v>0</v>
      </c>
      <c r="J433" s="1654" t="s">
        <v>1134</v>
      </c>
      <c r="K433" s="792"/>
      <c r="L433" s="701"/>
      <c r="M433" s="701">
        <v>0</v>
      </c>
      <c r="N433" s="125" t="s">
        <v>3497</v>
      </c>
      <c r="O433" s="4"/>
      <c r="P433" s="4"/>
      <c r="Q433" s="4"/>
      <c r="R433" s="4"/>
      <c r="S433" s="4"/>
      <c r="T433" s="4"/>
      <c r="U433" s="4"/>
      <c r="V433" s="4"/>
      <c r="W433" s="4"/>
      <c r="X433" s="4"/>
      <c r="Y433" s="4"/>
      <c r="Z433" s="4"/>
      <c r="AA433" s="4"/>
      <c r="AB433" s="4"/>
      <c r="AC433" s="4"/>
      <c r="AD433" s="4"/>
      <c r="AE433" s="4"/>
      <c r="AF433" s="4"/>
    </row>
    <row r="434" spans="1:32">
      <c r="A434" s="663"/>
      <c r="B434" s="700" t="s">
        <v>772</v>
      </c>
      <c r="C434" s="663" t="s">
        <v>322</v>
      </c>
      <c r="D434" s="678" t="s">
        <v>1974</v>
      </c>
      <c r="E434" s="700" t="s">
        <v>407</v>
      </c>
      <c r="F434" s="795">
        <v>2210</v>
      </c>
      <c r="G434" s="750" t="s">
        <v>2049</v>
      </c>
      <c r="H434" s="701"/>
      <c r="I434" s="701">
        <v>10000</v>
      </c>
      <c r="J434" s="1654">
        <v>5098</v>
      </c>
      <c r="K434" s="792"/>
      <c r="L434" s="701"/>
      <c r="M434" s="701">
        <v>8000</v>
      </c>
      <c r="N434" s="1487" t="s">
        <v>3497</v>
      </c>
      <c r="O434" s="4"/>
      <c r="P434" s="4"/>
      <c r="Q434" s="4"/>
      <c r="R434" s="4"/>
      <c r="S434" s="4"/>
      <c r="T434" s="4"/>
      <c r="U434" s="4"/>
      <c r="V434" s="4"/>
      <c r="W434" s="4"/>
      <c r="X434" s="4"/>
      <c r="Y434" s="4"/>
      <c r="Z434" s="4"/>
      <c r="AA434" s="4"/>
      <c r="AB434" s="4"/>
      <c r="AC434" s="4"/>
      <c r="AD434" s="4"/>
      <c r="AE434" s="4"/>
      <c r="AF434" s="4"/>
    </row>
    <row r="435" spans="1:32" ht="20.399999999999999">
      <c r="A435" s="663"/>
      <c r="B435" s="700" t="s">
        <v>772</v>
      </c>
      <c r="C435" s="663" t="s">
        <v>322</v>
      </c>
      <c r="D435" s="678" t="s">
        <v>1974</v>
      </c>
      <c r="E435" s="700" t="s">
        <v>407</v>
      </c>
      <c r="F435" s="795">
        <v>2210</v>
      </c>
      <c r="G435" s="750" t="s">
        <v>3494</v>
      </c>
      <c r="H435" s="701"/>
      <c r="I435" s="701">
        <v>3630</v>
      </c>
      <c r="J435" s="1654">
        <v>2476</v>
      </c>
      <c r="K435" s="792"/>
      <c r="L435" s="701"/>
      <c r="M435" s="714">
        <v>3715.0000000000005</v>
      </c>
      <c r="N435" s="125"/>
      <c r="O435" s="187"/>
      <c r="P435" s="187"/>
      <c r="Q435" s="187"/>
      <c r="R435" s="187"/>
      <c r="S435" s="187"/>
      <c r="T435" s="187"/>
      <c r="U435" s="187"/>
      <c r="V435" s="187"/>
      <c r="W435" s="187"/>
      <c r="X435" s="187"/>
      <c r="Y435" s="187"/>
      <c r="Z435" s="187"/>
      <c r="AA435" s="187"/>
      <c r="AB435" s="187"/>
      <c r="AC435" s="187"/>
      <c r="AD435" s="187"/>
      <c r="AE435" s="187"/>
      <c r="AF435" s="187"/>
    </row>
    <row r="436" spans="1:32" ht="33.75" customHeight="1">
      <c r="A436" s="663"/>
      <c r="B436" s="700" t="s">
        <v>772</v>
      </c>
      <c r="C436" s="663" t="s">
        <v>322</v>
      </c>
      <c r="D436" s="678" t="s">
        <v>1974</v>
      </c>
      <c r="E436" s="700" t="s">
        <v>407</v>
      </c>
      <c r="F436" s="795">
        <v>2210</v>
      </c>
      <c r="G436" s="750" t="s">
        <v>3496</v>
      </c>
      <c r="H436" s="701"/>
      <c r="I436" s="701">
        <v>120</v>
      </c>
      <c r="J436" s="1654" t="s">
        <v>1134</v>
      </c>
      <c r="K436" s="792"/>
      <c r="L436" s="701"/>
      <c r="M436" s="701">
        <v>240</v>
      </c>
      <c r="N436" s="125"/>
      <c r="O436" s="187"/>
      <c r="P436" s="187"/>
      <c r="Q436" s="187"/>
      <c r="R436" s="187"/>
      <c r="S436" s="187"/>
      <c r="T436" s="187"/>
      <c r="U436" s="187"/>
      <c r="V436" s="187"/>
      <c r="W436" s="187"/>
      <c r="X436" s="187"/>
      <c r="Y436" s="187"/>
      <c r="Z436" s="187"/>
      <c r="AA436" s="187"/>
      <c r="AB436" s="187"/>
      <c r="AC436" s="187"/>
      <c r="AD436" s="187"/>
      <c r="AE436" s="187"/>
      <c r="AF436" s="187"/>
    </row>
    <row r="437" spans="1:32" ht="33.75" customHeight="1">
      <c r="A437" s="603"/>
      <c r="B437" s="700" t="s">
        <v>772</v>
      </c>
      <c r="C437" s="663" t="s">
        <v>322</v>
      </c>
      <c r="D437" s="678" t="s">
        <v>1974</v>
      </c>
      <c r="E437" s="700" t="s">
        <v>407</v>
      </c>
      <c r="F437" s="795">
        <v>2210</v>
      </c>
      <c r="G437" s="1153" t="s">
        <v>3499</v>
      </c>
      <c r="H437" s="1165"/>
      <c r="I437" s="1165">
        <v>0</v>
      </c>
      <c r="J437" s="1654" t="s">
        <v>1134</v>
      </c>
      <c r="K437" s="1439"/>
      <c r="L437" s="1165"/>
      <c r="M437" s="1165">
        <v>0</v>
      </c>
      <c r="N437" s="125"/>
      <c r="O437" s="187"/>
      <c r="P437" s="187"/>
      <c r="Q437" s="187"/>
      <c r="R437" s="187"/>
      <c r="S437" s="187"/>
      <c r="T437" s="187"/>
      <c r="U437" s="187"/>
      <c r="V437" s="187"/>
      <c r="W437" s="187"/>
      <c r="X437" s="187"/>
      <c r="Y437" s="187"/>
      <c r="Z437" s="187"/>
      <c r="AA437" s="187"/>
      <c r="AB437" s="187"/>
      <c r="AC437" s="187"/>
      <c r="AD437" s="187"/>
      <c r="AE437" s="187"/>
      <c r="AF437" s="187"/>
    </row>
    <row r="438" spans="1:32" ht="33.75" customHeight="1">
      <c r="A438" s="683"/>
      <c r="B438" s="720" t="s">
        <v>772</v>
      </c>
      <c r="C438" s="683" t="s">
        <v>320</v>
      </c>
      <c r="D438" s="823" t="s">
        <v>1974</v>
      </c>
      <c r="E438" s="720" t="s">
        <v>407</v>
      </c>
      <c r="F438" s="824">
        <v>2222</v>
      </c>
      <c r="G438" s="800" t="s">
        <v>153</v>
      </c>
      <c r="H438" s="706">
        <v>600</v>
      </c>
      <c r="I438" s="706"/>
      <c r="J438" s="1654">
        <v>0</v>
      </c>
      <c r="K438" s="802"/>
      <c r="L438" s="706">
        <v>0</v>
      </c>
      <c r="M438" s="706"/>
      <c r="N438" s="125"/>
      <c r="O438" s="187"/>
      <c r="P438" s="187"/>
      <c r="Q438" s="187"/>
      <c r="R438" s="187"/>
      <c r="S438" s="187"/>
      <c r="T438" s="187"/>
      <c r="U438" s="187"/>
      <c r="V438" s="187"/>
      <c r="W438" s="187"/>
      <c r="X438" s="187"/>
      <c r="Y438" s="187"/>
      <c r="Z438" s="187"/>
      <c r="AA438" s="187"/>
      <c r="AB438" s="187"/>
      <c r="AC438" s="187"/>
      <c r="AD438" s="187"/>
      <c r="AE438" s="187"/>
      <c r="AF438" s="187"/>
    </row>
    <row r="439" spans="1:32" ht="33.75" customHeight="1">
      <c r="A439" s="663"/>
      <c r="B439" s="700" t="s">
        <v>772</v>
      </c>
      <c r="C439" s="663" t="s">
        <v>320</v>
      </c>
      <c r="D439" s="794" t="s">
        <v>1974</v>
      </c>
      <c r="E439" s="700" t="s">
        <v>407</v>
      </c>
      <c r="F439" s="795">
        <v>2222</v>
      </c>
      <c r="G439" s="1708" t="s">
        <v>2050</v>
      </c>
      <c r="H439" s="701"/>
      <c r="I439" s="701">
        <v>600</v>
      </c>
      <c r="J439" s="1654" t="s">
        <v>1134</v>
      </c>
      <c r="K439" s="792"/>
      <c r="L439" s="701"/>
      <c r="M439" s="1707">
        <v>0</v>
      </c>
      <c r="N439" s="176" t="s">
        <v>3518</v>
      </c>
      <c r="O439" s="187"/>
      <c r="P439" s="187"/>
      <c r="Q439" s="187"/>
      <c r="R439" s="187"/>
      <c r="S439" s="187"/>
      <c r="T439" s="187"/>
      <c r="U439" s="187"/>
      <c r="V439" s="187"/>
      <c r="W439" s="187"/>
      <c r="X439" s="187"/>
      <c r="Y439" s="187"/>
      <c r="Z439" s="187"/>
      <c r="AA439" s="187"/>
      <c r="AB439" s="187"/>
      <c r="AC439" s="187"/>
      <c r="AD439" s="187"/>
      <c r="AE439" s="187"/>
      <c r="AF439" s="187"/>
    </row>
    <row r="440" spans="1:32">
      <c r="A440" s="683"/>
      <c r="B440" s="720" t="s">
        <v>772</v>
      </c>
      <c r="C440" s="683" t="s">
        <v>320</v>
      </c>
      <c r="D440" s="719" t="s">
        <v>1974</v>
      </c>
      <c r="E440" s="720" t="s">
        <v>407</v>
      </c>
      <c r="F440" s="824">
        <v>2223</v>
      </c>
      <c r="G440" s="800" t="s">
        <v>154</v>
      </c>
      <c r="H440" s="706">
        <v>3720</v>
      </c>
      <c r="I440" s="706"/>
      <c r="J440" s="1654">
        <v>2913</v>
      </c>
      <c r="K440" s="802"/>
      <c r="L440" s="706">
        <v>3840</v>
      </c>
      <c r="M440" s="706"/>
      <c r="N440" s="176"/>
      <c r="O440" s="187"/>
      <c r="P440" s="187"/>
      <c r="Q440" s="187"/>
      <c r="R440" s="187"/>
      <c r="S440" s="187"/>
      <c r="T440" s="187"/>
      <c r="U440" s="187"/>
      <c r="V440" s="187"/>
      <c r="W440" s="187"/>
      <c r="X440" s="187"/>
      <c r="Y440" s="187"/>
      <c r="Z440" s="187"/>
      <c r="AA440" s="187"/>
      <c r="AB440" s="187"/>
      <c r="AC440" s="187"/>
      <c r="AD440" s="187"/>
      <c r="AE440" s="187"/>
      <c r="AF440" s="187"/>
    </row>
    <row r="441" spans="1:32" ht="33.75" customHeight="1">
      <c r="A441" s="663"/>
      <c r="B441" s="700" t="s">
        <v>772</v>
      </c>
      <c r="C441" s="663" t="s">
        <v>320</v>
      </c>
      <c r="D441" s="678" t="s">
        <v>1974</v>
      </c>
      <c r="E441" s="700" t="s">
        <v>407</v>
      </c>
      <c r="F441" s="795">
        <v>2223</v>
      </c>
      <c r="G441" s="1708" t="s">
        <v>3501</v>
      </c>
      <c r="H441" s="701"/>
      <c r="I441" s="701">
        <v>3720</v>
      </c>
      <c r="J441" s="1654" t="s">
        <v>1134</v>
      </c>
      <c r="K441" s="792"/>
      <c r="L441" s="701"/>
      <c r="M441" s="701">
        <v>3840</v>
      </c>
      <c r="N441" s="125"/>
      <c r="O441" s="4"/>
      <c r="P441" s="4"/>
      <c r="Q441" s="4"/>
      <c r="R441" s="4"/>
      <c r="S441" s="4"/>
      <c r="T441" s="4"/>
      <c r="U441" s="4"/>
      <c r="V441" s="4"/>
      <c r="W441" s="4"/>
      <c r="X441" s="4"/>
      <c r="Y441" s="4"/>
      <c r="Z441" s="4"/>
      <c r="AA441" s="4"/>
      <c r="AB441" s="4"/>
      <c r="AC441" s="4"/>
      <c r="AD441" s="4"/>
      <c r="AE441" s="4"/>
      <c r="AF441" s="4"/>
    </row>
    <row r="442" spans="1:32">
      <c r="A442" s="683"/>
      <c r="B442" s="720" t="s">
        <v>772</v>
      </c>
      <c r="C442" s="683" t="s">
        <v>320</v>
      </c>
      <c r="D442" s="719" t="s">
        <v>1974</v>
      </c>
      <c r="E442" s="720" t="s">
        <v>407</v>
      </c>
      <c r="F442" s="685">
        <v>2235</v>
      </c>
      <c r="G442" s="686" t="s">
        <v>931</v>
      </c>
      <c r="H442" s="689">
        <v>2577</v>
      </c>
      <c r="I442" s="689"/>
      <c r="J442" s="1494">
        <v>2576.14</v>
      </c>
      <c r="K442" s="727"/>
      <c r="L442" s="689">
        <v>2400</v>
      </c>
      <c r="M442" s="689"/>
      <c r="N442" s="125"/>
      <c r="O442" s="7"/>
      <c r="P442" s="7"/>
      <c r="Q442" s="7"/>
      <c r="R442" s="7"/>
      <c r="S442" s="7"/>
      <c r="T442" s="7"/>
      <c r="U442" s="7"/>
      <c r="V442" s="7"/>
      <c r="W442" s="7"/>
      <c r="X442" s="7"/>
      <c r="Y442" s="7"/>
      <c r="Z442" s="7"/>
      <c r="AA442" s="7"/>
      <c r="AB442" s="7"/>
      <c r="AC442" s="7"/>
      <c r="AD442" s="7"/>
      <c r="AE442" s="7"/>
      <c r="AF442" s="7"/>
    </row>
    <row r="443" spans="1:32" ht="33.75" customHeight="1">
      <c r="A443" s="663"/>
      <c r="B443" s="700" t="s">
        <v>772</v>
      </c>
      <c r="C443" s="663" t="s">
        <v>320</v>
      </c>
      <c r="D443" s="678" t="s">
        <v>1974</v>
      </c>
      <c r="E443" s="700" t="s">
        <v>407</v>
      </c>
      <c r="F443" s="679">
        <v>2235</v>
      </c>
      <c r="G443" s="811" t="s">
        <v>1002</v>
      </c>
      <c r="H443" s="660"/>
      <c r="I443" s="660">
        <v>2400</v>
      </c>
      <c r="J443" s="1494" t="s">
        <v>1134</v>
      </c>
      <c r="K443" s="667"/>
      <c r="L443" s="660"/>
      <c r="M443" s="660">
        <v>2400</v>
      </c>
      <c r="N443" s="125"/>
      <c r="O443" s="7"/>
      <c r="P443" s="7"/>
      <c r="Q443" s="7"/>
      <c r="R443" s="7"/>
      <c r="S443" s="7"/>
      <c r="T443" s="7"/>
      <c r="U443" s="7"/>
      <c r="V443" s="7"/>
      <c r="W443" s="7"/>
      <c r="X443" s="7"/>
      <c r="Y443" s="7"/>
      <c r="Z443" s="7"/>
      <c r="AA443" s="7"/>
      <c r="AB443" s="7"/>
      <c r="AC443" s="7"/>
      <c r="AD443" s="7"/>
      <c r="AE443" s="7"/>
      <c r="AF443" s="7"/>
    </row>
    <row r="444" spans="1:32" ht="20.399999999999999">
      <c r="A444" s="1135"/>
      <c r="B444" s="700" t="s">
        <v>772</v>
      </c>
      <c r="C444" s="663" t="s">
        <v>320</v>
      </c>
      <c r="D444" s="678" t="s">
        <v>1974</v>
      </c>
      <c r="E444" s="700" t="s">
        <v>407</v>
      </c>
      <c r="F444" s="679">
        <v>2235</v>
      </c>
      <c r="G444" s="1154" t="s">
        <v>3199</v>
      </c>
      <c r="H444" s="1130"/>
      <c r="I444" s="1130">
        <v>177</v>
      </c>
      <c r="J444" s="1494" t="s">
        <v>1134</v>
      </c>
      <c r="K444" s="1463"/>
      <c r="L444" s="1115"/>
      <c r="M444" s="1115"/>
      <c r="N444" s="176"/>
      <c r="O444" s="7"/>
      <c r="P444" s="7"/>
      <c r="Q444" s="7"/>
      <c r="R444" s="7"/>
      <c r="S444" s="7"/>
      <c r="T444" s="7"/>
      <c r="U444" s="7"/>
      <c r="V444" s="7"/>
      <c r="W444" s="7"/>
      <c r="X444" s="7"/>
      <c r="Y444" s="7"/>
      <c r="Z444" s="7"/>
      <c r="AA444" s="7"/>
      <c r="AB444" s="7"/>
      <c r="AC444" s="7"/>
      <c r="AD444" s="7"/>
      <c r="AE444" s="7"/>
      <c r="AF444" s="7"/>
    </row>
    <row r="445" spans="1:32">
      <c r="A445" s="683"/>
      <c r="B445" s="720" t="s">
        <v>772</v>
      </c>
      <c r="C445" s="683" t="s">
        <v>322</v>
      </c>
      <c r="D445" s="719" t="s">
        <v>1974</v>
      </c>
      <c r="E445" s="720" t="s">
        <v>407</v>
      </c>
      <c r="F445" s="685">
        <v>2239</v>
      </c>
      <c r="G445" s="686" t="s">
        <v>155</v>
      </c>
      <c r="H445" s="689">
        <v>36100.5</v>
      </c>
      <c r="I445" s="689"/>
      <c r="J445" s="1494">
        <v>33917</v>
      </c>
      <c r="K445" s="727"/>
      <c r="L445" s="689">
        <v>36200.5</v>
      </c>
      <c r="M445" s="689"/>
      <c r="N445" s="125"/>
      <c r="O445" s="7"/>
      <c r="P445" s="7"/>
      <c r="Q445" s="7"/>
      <c r="R445" s="7"/>
      <c r="S445" s="7"/>
      <c r="T445" s="7"/>
      <c r="U445" s="7"/>
      <c r="V445" s="7"/>
      <c r="W445" s="7"/>
      <c r="X445" s="7"/>
      <c r="Y445" s="7"/>
      <c r="Z445" s="7"/>
      <c r="AA445" s="7"/>
      <c r="AB445" s="7"/>
      <c r="AC445" s="7"/>
      <c r="AD445" s="7"/>
      <c r="AE445" s="7"/>
      <c r="AF445" s="7"/>
    </row>
    <row r="446" spans="1:32" ht="20.399999999999999" customHeight="1">
      <c r="A446" s="760"/>
      <c r="B446" s="700" t="s">
        <v>772</v>
      </c>
      <c r="C446" s="663" t="s">
        <v>322</v>
      </c>
      <c r="D446" s="678" t="s">
        <v>1974</v>
      </c>
      <c r="E446" s="700" t="s">
        <v>407</v>
      </c>
      <c r="F446" s="679">
        <v>2239</v>
      </c>
      <c r="G446" s="811" t="s">
        <v>1354</v>
      </c>
      <c r="H446" s="660"/>
      <c r="I446" s="660">
        <v>0</v>
      </c>
      <c r="J446" s="1494" t="s">
        <v>1134</v>
      </c>
      <c r="K446" s="667"/>
      <c r="L446" s="660"/>
      <c r="M446" s="660">
        <v>0</v>
      </c>
      <c r="N446" s="125"/>
      <c r="O446" s="4"/>
      <c r="P446" s="4"/>
      <c r="Q446" s="4"/>
      <c r="R446" s="4"/>
      <c r="S446" s="4"/>
      <c r="T446" s="4"/>
      <c r="U446" s="4"/>
      <c r="V446" s="4"/>
      <c r="W446" s="4"/>
      <c r="X446" s="4"/>
      <c r="Y446" s="4"/>
      <c r="Z446" s="4"/>
      <c r="AA446" s="4"/>
      <c r="AB446" s="4"/>
      <c r="AC446" s="4"/>
      <c r="AD446" s="4"/>
      <c r="AE446" s="4"/>
      <c r="AF446" s="4"/>
    </row>
    <row r="447" spans="1:32">
      <c r="A447" s="760"/>
      <c r="B447" s="700" t="s">
        <v>772</v>
      </c>
      <c r="C447" s="663" t="s">
        <v>322</v>
      </c>
      <c r="D447" s="678" t="s">
        <v>1974</v>
      </c>
      <c r="E447" s="700" t="s">
        <v>407</v>
      </c>
      <c r="F447" s="679">
        <v>2239</v>
      </c>
      <c r="G447" s="811" t="s">
        <v>1339</v>
      </c>
      <c r="H447" s="660"/>
      <c r="I447" s="660">
        <v>0</v>
      </c>
      <c r="J447" s="1494" t="s">
        <v>1134</v>
      </c>
      <c r="K447" s="667"/>
      <c r="L447" s="660"/>
      <c r="M447" s="660">
        <v>0</v>
      </c>
      <c r="N447" s="125"/>
      <c r="O447" s="7"/>
      <c r="P447" s="7"/>
      <c r="Q447" s="7"/>
      <c r="R447" s="7"/>
      <c r="S447" s="7"/>
      <c r="T447" s="7"/>
      <c r="U447" s="7"/>
      <c r="V447" s="7"/>
      <c r="W447" s="7"/>
      <c r="X447" s="7"/>
      <c r="Y447" s="7"/>
      <c r="Z447" s="7"/>
      <c r="AA447" s="7"/>
      <c r="AB447" s="7"/>
      <c r="AC447" s="7"/>
      <c r="AD447" s="7"/>
      <c r="AE447" s="7"/>
      <c r="AF447" s="7"/>
    </row>
    <row r="448" spans="1:32">
      <c r="A448" s="760"/>
      <c r="B448" s="700" t="s">
        <v>772</v>
      </c>
      <c r="C448" s="663" t="s">
        <v>322</v>
      </c>
      <c r="D448" s="678" t="s">
        <v>1974</v>
      </c>
      <c r="E448" s="700" t="s">
        <v>407</v>
      </c>
      <c r="F448" s="679">
        <v>2239</v>
      </c>
      <c r="G448" s="811" t="s">
        <v>1340</v>
      </c>
      <c r="H448" s="660"/>
      <c r="I448" s="660">
        <v>0</v>
      </c>
      <c r="J448" s="1494" t="s">
        <v>1134</v>
      </c>
      <c r="K448" s="667"/>
      <c r="L448" s="660"/>
      <c r="M448" s="660">
        <v>0</v>
      </c>
      <c r="N448" s="125"/>
      <c r="O448" s="7"/>
      <c r="P448" s="7"/>
      <c r="Q448" s="7"/>
      <c r="R448" s="7"/>
      <c r="S448" s="7"/>
      <c r="T448" s="7"/>
      <c r="U448" s="7"/>
      <c r="V448" s="7"/>
      <c r="W448" s="7"/>
      <c r="X448" s="7"/>
      <c r="Y448" s="7"/>
      <c r="Z448" s="7"/>
      <c r="AA448" s="7"/>
      <c r="AB448" s="7"/>
      <c r="AC448" s="7"/>
      <c r="AD448" s="7"/>
      <c r="AE448" s="7"/>
      <c r="AF448" s="7"/>
    </row>
    <row r="449" spans="1:32">
      <c r="A449" s="760"/>
      <c r="B449" s="700" t="s">
        <v>772</v>
      </c>
      <c r="C449" s="663" t="s">
        <v>322</v>
      </c>
      <c r="D449" s="678" t="s">
        <v>1974</v>
      </c>
      <c r="E449" s="700" t="s">
        <v>407</v>
      </c>
      <c r="F449" s="679">
        <v>2239</v>
      </c>
      <c r="G449" s="811" t="s">
        <v>1341</v>
      </c>
      <c r="H449" s="660"/>
      <c r="I449" s="660">
        <v>600</v>
      </c>
      <c r="J449" s="1494">
        <v>500</v>
      </c>
      <c r="K449" s="667"/>
      <c r="L449" s="660"/>
      <c r="M449" s="660">
        <v>600</v>
      </c>
      <c r="N449" s="125"/>
      <c r="O449" s="4"/>
      <c r="P449" s="4"/>
      <c r="Q449" s="4"/>
      <c r="R449" s="4"/>
      <c r="S449" s="4"/>
      <c r="T449" s="4"/>
      <c r="U449" s="4"/>
      <c r="V449" s="4"/>
      <c r="W449" s="4"/>
      <c r="X449" s="4"/>
      <c r="Y449" s="4"/>
      <c r="Z449" s="4"/>
      <c r="AA449" s="4"/>
      <c r="AB449" s="4"/>
    </row>
    <row r="450" spans="1:32" ht="20.399999999999999">
      <c r="A450" s="760"/>
      <c r="B450" s="700" t="s">
        <v>772</v>
      </c>
      <c r="C450" s="663" t="s">
        <v>322</v>
      </c>
      <c r="D450" s="678" t="s">
        <v>1974</v>
      </c>
      <c r="E450" s="700" t="s">
        <v>407</v>
      </c>
      <c r="F450" s="679">
        <v>2239</v>
      </c>
      <c r="G450" s="811" t="s">
        <v>593</v>
      </c>
      <c r="H450" s="660"/>
      <c r="I450" s="660">
        <v>200</v>
      </c>
      <c r="J450" s="1494" t="s">
        <v>1134</v>
      </c>
      <c r="K450" s="667"/>
      <c r="L450" s="660"/>
      <c r="M450" s="660">
        <v>200</v>
      </c>
      <c r="N450" s="125"/>
      <c r="O450" s="7"/>
      <c r="P450" s="7"/>
      <c r="Q450" s="7"/>
      <c r="R450" s="7"/>
      <c r="S450" s="7"/>
      <c r="T450" s="7"/>
      <c r="U450" s="7"/>
      <c r="V450" s="7"/>
      <c r="W450" s="7"/>
      <c r="X450" s="7"/>
      <c r="Y450" s="7"/>
      <c r="Z450" s="7"/>
      <c r="AA450" s="7"/>
      <c r="AB450" s="7"/>
    </row>
    <row r="451" spans="1:32">
      <c r="A451" s="760"/>
      <c r="B451" s="700" t="s">
        <v>772</v>
      </c>
      <c r="C451" s="663" t="s">
        <v>322</v>
      </c>
      <c r="D451" s="678" t="s">
        <v>1974</v>
      </c>
      <c r="E451" s="700" t="s">
        <v>407</v>
      </c>
      <c r="F451" s="679">
        <v>2239</v>
      </c>
      <c r="G451" s="811" t="s">
        <v>523</v>
      </c>
      <c r="H451" s="660"/>
      <c r="I451" s="660">
        <v>250</v>
      </c>
      <c r="J451" s="1494" t="s">
        <v>1134</v>
      </c>
      <c r="K451" s="667"/>
      <c r="L451" s="660"/>
      <c r="M451" s="660">
        <v>250</v>
      </c>
      <c r="N451" s="125"/>
      <c r="O451" s="187"/>
      <c r="P451" s="187"/>
      <c r="Q451" s="187"/>
      <c r="R451" s="187"/>
      <c r="S451" s="187"/>
      <c r="T451" s="187"/>
      <c r="U451" s="187"/>
      <c r="V451" s="187"/>
      <c r="W451" s="187"/>
      <c r="X451" s="187"/>
      <c r="Y451" s="187"/>
      <c r="Z451" s="187"/>
      <c r="AA451" s="187"/>
      <c r="AB451" s="187"/>
      <c r="AC451" s="187"/>
      <c r="AD451" s="187"/>
      <c r="AE451" s="187"/>
      <c r="AF451" s="187"/>
    </row>
    <row r="452" spans="1:32" ht="20.399999999999999" customHeight="1">
      <c r="A452" s="760"/>
      <c r="B452" s="700" t="s">
        <v>772</v>
      </c>
      <c r="C452" s="663" t="s">
        <v>322</v>
      </c>
      <c r="D452" s="678" t="s">
        <v>1974</v>
      </c>
      <c r="E452" s="700" t="s">
        <v>407</v>
      </c>
      <c r="F452" s="725">
        <v>2239</v>
      </c>
      <c r="G452" s="665" t="s">
        <v>1179</v>
      </c>
      <c r="H452" s="660"/>
      <c r="I452" s="660">
        <v>0</v>
      </c>
      <c r="J452" s="1494" t="s">
        <v>1134</v>
      </c>
      <c r="K452" s="667"/>
      <c r="L452" s="660"/>
      <c r="M452" s="660">
        <v>0</v>
      </c>
      <c r="N452" s="125"/>
      <c r="O452" s="187"/>
      <c r="P452" s="187"/>
      <c r="Q452" s="187"/>
      <c r="R452" s="187"/>
      <c r="S452" s="187"/>
      <c r="T452" s="187"/>
      <c r="U452" s="187"/>
      <c r="V452" s="187"/>
      <c r="W452" s="187"/>
      <c r="X452" s="187"/>
      <c r="Y452" s="187"/>
      <c r="Z452" s="187"/>
      <c r="AA452" s="187"/>
      <c r="AB452" s="187"/>
      <c r="AC452" s="187"/>
      <c r="AD452" s="187"/>
      <c r="AE452" s="187"/>
      <c r="AF452" s="187"/>
    </row>
    <row r="453" spans="1:32" ht="20.399999999999999">
      <c r="A453" s="1145"/>
      <c r="B453" s="700" t="s">
        <v>772</v>
      </c>
      <c r="C453" s="663" t="s">
        <v>322</v>
      </c>
      <c r="D453" s="678" t="s">
        <v>1974</v>
      </c>
      <c r="E453" s="700" t="s">
        <v>407</v>
      </c>
      <c r="F453" s="725">
        <v>2239</v>
      </c>
      <c r="G453" s="1129" t="s">
        <v>3198</v>
      </c>
      <c r="H453" s="1130"/>
      <c r="I453" s="1130">
        <v>0</v>
      </c>
      <c r="J453" s="1494" t="s">
        <v>1134</v>
      </c>
      <c r="K453" s="1132"/>
      <c r="L453" s="1130"/>
      <c r="M453" s="1130">
        <v>0</v>
      </c>
      <c r="N453" s="125"/>
      <c r="O453" s="187"/>
      <c r="P453" s="187"/>
      <c r="Q453" s="187"/>
      <c r="R453" s="187"/>
      <c r="S453" s="187"/>
      <c r="T453" s="187"/>
      <c r="U453" s="187"/>
      <c r="V453" s="187"/>
      <c r="W453" s="187"/>
      <c r="X453" s="187"/>
      <c r="Y453" s="187"/>
      <c r="Z453" s="187"/>
      <c r="AA453" s="187"/>
      <c r="AB453" s="187"/>
      <c r="AC453" s="187"/>
      <c r="AD453" s="187"/>
      <c r="AE453" s="187"/>
      <c r="AF453" s="187"/>
    </row>
    <row r="454" spans="1:32">
      <c r="A454" s="760"/>
      <c r="B454" s="700" t="s">
        <v>772</v>
      </c>
      <c r="C454" s="663" t="s">
        <v>322</v>
      </c>
      <c r="D454" s="678" t="s">
        <v>1974</v>
      </c>
      <c r="E454" s="700" t="s">
        <v>407</v>
      </c>
      <c r="F454" s="725">
        <v>2239</v>
      </c>
      <c r="G454" s="665" t="s">
        <v>408</v>
      </c>
      <c r="H454" s="660"/>
      <c r="I454" s="660">
        <v>2800</v>
      </c>
      <c r="J454" s="1494" t="s">
        <v>1134</v>
      </c>
      <c r="K454" s="667"/>
      <c r="L454" s="660"/>
      <c r="M454" s="660">
        <v>2800</v>
      </c>
      <c r="N454" s="125"/>
      <c r="O454" s="187"/>
      <c r="P454" s="187"/>
      <c r="Q454" s="187"/>
      <c r="R454" s="187"/>
      <c r="S454" s="187"/>
      <c r="T454" s="187"/>
      <c r="U454" s="187"/>
      <c r="V454" s="187"/>
      <c r="W454" s="187"/>
      <c r="X454" s="187"/>
      <c r="Y454" s="187"/>
      <c r="Z454" s="187"/>
      <c r="AA454" s="187"/>
      <c r="AB454" s="187"/>
      <c r="AC454" s="187"/>
      <c r="AD454" s="187"/>
      <c r="AE454" s="187"/>
      <c r="AF454" s="187"/>
    </row>
    <row r="455" spans="1:32" ht="30.6">
      <c r="A455" s="760"/>
      <c r="B455" s="700" t="s">
        <v>772</v>
      </c>
      <c r="C455" s="663" t="s">
        <v>322</v>
      </c>
      <c r="D455" s="678" t="s">
        <v>1974</v>
      </c>
      <c r="E455" s="700" t="s">
        <v>407</v>
      </c>
      <c r="F455" s="725">
        <v>2239</v>
      </c>
      <c r="G455" s="665" t="s">
        <v>2051</v>
      </c>
      <c r="H455" s="660"/>
      <c r="I455" s="660">
        <v>23050.5</v>
      </c>
      <c r="J455" s="1494">
        <v>21271</v>
      </c>
      <c r="K455" s="667"/>
      <c r="L455" s="659"/>
      <c r="M455" s="660">
        <v>23050.5</v>
      </c>
      <c r="N455" s="125"/>
      <c r="O455" s="187"/>
      <c r="P455" s="187"/>
      <c r="Q455" s="187"/>
      <c r="R455" s="187"/>
      <c r="S455" s="187"/>
      <c r="T455" s="187"/>
      <c r="U455" s="187"/>
      <c r="V455" s="187"/>
      <c r="W455" s="187"/>
      <c r="X455" s="187"/>
      <c r="Y455" s="187"/>
      <c r="Z455" s="187"/>
      <c r="AA455" s="187"/>
      <c r="AB455" s="187"/>
      <c r="AC455" s="187"/>
      <c r="AD455" s="187"/>
      <c r="AE455" s="187"/>
      <c r="AF455" s="187"/>
    </row>
    <row r="456" spans="1:32" ht="20.399999999999999">
      <c r="A456" s="760"/>
      <c r="B456" s="700" t="s">
        <v>772</v>
      </c>
      <c r="C456" s="663" t="s">
        <v>322</v>
      </c>
      <c r="D456" s="678" t="s">
        <v>1974</v>
      </c>
      <c r="E456" s="700" t="s">
        <v>407</v>
      </c>
      <c r="F456" s="725">
        <v>2239</v>
      </c>
      <c r="G456" s="665" t="s">
        <v>3505</v>
      </c>
      <c r="H456" s="660"/>
      <c r="I456" s="660">
        <v>5000</v>
      </c>
      <c r="J456" s="1494">
        <v>10177</v>
      </c>
      <c r="K456" s="667"/>
      <c r="L456" s="659"/>
      <c r="M456" s="660">
        <v>5000</v>
      </c>
      <c r="N456" s="125"/>
    </row>
    <row r="457" spans="1:32" ht="30.6">
      <c r="A457" s="760"/>
      <c r="B457" s="700" t="s">
        <v>772</v>
      </c>
      <c r="C457" s="663" t="s">
        <v>322</v>
      </c>
      <c r="D457" s="678" t="s">
        <v>1974</v>
      </c>
      <c r="E457" s="700" t="s">
        <v>407</v>
      </c>
      <c r="F457" s="725">
        <v>2239</v>
      </c>
      <c r="G457" s="665" t="s">
        <v>3506</v>
      </c>
      <c r="H457" s="660"/>
      <c r="I457" s="660">
        <v>3000</v>
      </c>
      <c r="J457" s="1494">
        <v>1394</v>
      </c>
      <c r="K457" s="667"/>
      <c r="L457" s="659"/>
      <c r="M457" s="660">
        <v>3000</v>
      </c>
      <c r="N457" s="125"/>
      <c r="O457" s="7"/>
      <c r="P457" s="7"/>
      <c r="Q457" s="7"/>
      <c r="R457" s="187"/>
      <c r="S457" s="187"/>
      <c r="T457" s="187"/>
      <c r="U457" s="187"/>
      <c r="V457" s="187"/>
      <c r="W457" s="187"/>
      <c r="X457" s="187"/>
      <c r="Y457" s="187"/>
      <c r="Z457" s="187"/>
      <c r="AA457" s="187"/>
      <c r="AB457" s="187"/>
      <c r="AC457" s="187"/>
      <c r="AD457" s="187"/>
      <c r="AE457" s="187"/>
      <c r="AF457" s="187"/>
    </row>
    <row r="458" spans="1:32" ht="20.399999999999999">
      <c r="A458" s="760"/>
      <c r="B458" s="700" t="s">
        <v>772</v>
      </c>
      <c r="C458" s="663" t="s">
        <v>322</v>
      </c>
      <c r="D458" s="678" t="s">
        <v>1974</v>
      </c>
      <c r="E458" s="700" t="s">
        <v>407</v>
      </c>
      <c r="F458" s="725">
        <v>2239</v>
      </c>
      <c r="G458" s="665" t="s">
        <v>1343</v>
      </c>
      <c r="H458" s="660"/>
      <c r="I458" s="660">
        <v>400</v>
      </c>
      <c r="J458" s="1494" t="s">
        <v>1134</v>
      </c>
      <c r="K458" s="667"/>
      <c r="L458" s="659"/>
      <c r="M458" s="660">
        <v>500</v>
      </c>
      <c r="N458" s="125"/>
      <c r="O458" s="4"/>
      <c r="P458" s="4"/>
      <c r="Q458" s="4"/>
      <c r="R458" s="4"/>
      <c r="S458" s="4"/>
      <c r="T458" s="4"/>
      <c r="U458" s="4"/>
      <c r="V458" s="4"/>
      <c r="W458" s="4"/>
      <c r="X458" s="4"/>
      <c r="Y458" s="4"/>
      <c r="Z458" s="4"/>
      <c r="AA458" s="4"/>
      <c r="AB458" s="4"/>
      <c r="AC458" s="4"/>
      <c r="AD458" s="4"/>
      <c r="AE458" s="4"/>
      <c r="AF458" s="4"/>
    </row>
    <row r="459" spans="1:32" ht="40.799999999999997">
      <c r="A459" s="760"/>
      <c r="B459" s="700" t="s">
        <v>772</v>
      </c>
      <c r="C459" s="663" t="s">
        <v>322</v>
      </c>
      <c r="D459" s="678" t="s">
        <v>1974</v>
      </c>
      <c r="E459" s="700" t="s">
        <v>407</v>
      </c>
      <c r="F459" s="725">
        <v>2239</v>
      </c>
      <c r="G459" s="665" t="s">
        <v>3507</v>
      </c>
      <c r="H459" s="660"/>
      <c r="I459" s="660">
        <v>800</v>
      </c>
      <c r="J459" s="1494">
        <v>575</v>
      </c>
      <c r="K459" s="667"/>
      <c r="L459" s="659"/>
      <c r="M459" s="660">
        <v>800</v>
      </c>
      <c r="N459" s="125"/>
      <c r="O459" s="4"/>
      <c r="P459" s="4"/>
      <c r="Q459" s="4"/>
      <c r="R459" s="4"/>
      <c r="S459" s="4"/>
      <c r="T459" s="4"/>
      <c r="U459" s="4"/>
      <c r="V459" s="4"/>
      <c r="W459" s="4"/>
      <c r="X459" s="4"/>
      <c r="Y459" s="4"/>
      <c r="Z459" s="4"/>
      <c r="AA459" s="4"/>
      <c r="AB459" s="4"/>
      <c r="AC459" s="4"/>
      <c r="AD459" s="4"/>
      <c r="AE459" s="4"/>
      <c r="AF459" s="4"/>
    </row>
    <row r="460" spans="1:32">
      <c r="A460" s="728"/>
      <c r="B460" s="735" t="s">
        <v>772</v>
      </c>
      <c r="C460" s="728" t="s">
        <v>320</v>
      </c>
      <c r="D460" s="719" t="s">
        <v>1974</v>
      </c>
      <c r="E460" s="720" t="s">
        <v>407</v>
      </c>
      <c r="F460" s="736">
        <v>2241</v>
      </c>
      <c r="G460" s="850" t="s">
        <v>156</v>
      </c>
      <c r="H460" s="689">
        <v>83</v>
      </c>
      <c r="I460" s="689"/>
      <c r="J460" s="1494">
        <v>0</v>
      </c>
      <c r="K460" s="727"/>
      <c r="L460" s="689">
        <v>0</v>
      </c>
      <c r="M460" s="689"/>
      <c r="N460" s="17"/>
      <c r="O460" s="4"/>
      <c r="P460" s="4"/>
      <c r="Q460" s="4"/>
      <c r="R460" s="4"/>
      <c r="S460" s="4"/>
      <c r="T460" s="4"/>
      <c r="U460" s="4"/>
      <c r="V460" s="4"/>
      <c r="W460" s="4"/>
      <c r="X460" s="4"/>
      <c r="Y460" s="4"/>
      <c r="Z460" s="4"/>
      <c r="AA460" s="4"/>
      <c r="AB460" s="4"/>
      <c r="AC460" s="4"/>
      <c r="AD460" s="4"/>
      <c r="AE460" s="4"/>
      <c r="AF460" s="4"/>
    </row>
    <row r="461" spans="1:32">
      <c r="A461" s="774" t="s">
        <v>709</v>
      </c>
      <c r="B461" s="841" t="s">
        <v>772</v>
      </c>
      <c r="C461" s="774" t="s">
        <v>320</v>
      </c>
      <c r="D461" s="678" t="s">
        <v>1974</v>
      </c>
      <c r="E461" s="700" t="s">
        <v>407</v>
      </c>
      <c r="F461" s="679">
        <v>2241</v>
      </c>
      <c r="G461" s="682" t="s">
        <v>2052</v>
      </c>
      <c r="H461" s="660"/>
      <c r="I461" s="660">
        <v>300</v>
      </c>
      <c r="J461" s="1494" t="s">
        <v>1134</v>
      </c>
      <c r="K461" s="848"/>
      <c r="L461" s="660"/>
      <c r="M461" s="660"/>
      <c r="N461" s="125"/>
      <c r="O461" s="7"/>
      <c r="P461" s="7"/>
      <c r="Q461" s="7"/>
      <c r="R461" s="187"/>
      <c r="S461" s="187"/>
      <c r="T461" s="187"/>
      <c r="U461" s="187"/>
      <c r="V461" s="187"/>
      <c r="W461" s="187"/>
      <c r="X461" s="187"/>
      <c r="Y461" s="187"/>
      <c r="Z461" s="187"/>
      <c r="AA461" s="187"/>
      <c r="AB461" s="187"/>
      <c r="AC461" s="187"/>
      <c r="AD461" s="187"/>
      <c r="AE461" s="187"/>
    </row>
    <row r="462" spans="1:32" ht="20.399999999999999">
      <c r="A462" s="1135"/>
      <c r="B462" s="841" t="s">
        <v>772</v>
      </c>
      <c r="C462" s="774" t="s">
        <v>320</v>
      </c>
      <c r="D462" s="678" t="s">
        <v>1974</v>
      </c>
      <c r="E462" s="700" t="s">
        <v>407</v>
      </c>
      <c r="F462" s="679">
        <v>2241</v>
      </c>
      <c r="G462" s="1154" t="s">
        <v>3199</v>
      </c>
      <c r="H462" s="1130"/>
      <c r="I462" s="1130">
        <v>-177</v>
      </c>
      <c r="J462" s="1494" t="s">
        <v>1134</v>
      </c>
      <c r="K462" s="1463"/>
      <c r="L462" s="1130"/>
      <c r="M462" s="1130"/>
      <c r="N462" s="125"/>
      <c r="O462" s="7"/>
      <c r="P462" s="7"/>
      <c r="Q462" s="7"/>
      <c r="R462" s="187"/>
      <c r="S462" s="187"/>
      <c r="T462" s="187"/>
      <c r="U462" s="187"/>
      <c r="V462" s="187"/>
      <c r="W462" s="187"/>
      <c r="X462" s="187"/>
      <c r="Y462" s="187"/>
      <c r="Z462" s="187"/>
      <c r="AA462" s="187"/>
      <c r="AB462" s="187"/>
      <c r="AC462" s="187"/>
      <c r="AD462" s="187"/>
      <c r="AE462" s="187"/>
    </row>
    <row r="463" spans="1:32" ht="20.399999999999999">
      <c r="A463" s="774" t="s">
        <v>709</v>
      </c>
      <c r="B463" s="841" t="s">
        <v>772</v>
      </c>
      <c r="C463" s="774" t="s">
        <v>320</v>
      </c>
      <c r="D463" s="678" t="s">
        <v>1974</v>
      </c>
      <c r="E463" s="700" t="s">
        <v>407</v>
      </c>
      <c r="F463" s="679">
        <v>2241</v>
      </c>
      <c r="G463" s="682" t="s">
        <v>3386</v>
      </c>
      <c r="H463" s="660"/>
      <c r="I463" s="660">
        <v>-40</v>
      </c>
      <c r="J463" s="1494" t="s">
        <v>1134</v>
      </c>
      <c r="K463" s="848"/>
      <c r="L463" s="660"/>
      <c r="M463" s="660"/>
      <c r="N463" s="125"/>
      <c r="O463" s="7"/>
      <c r="P463" s="7"/>
      <c r="Q463" s="7"/>
      <c r="R463" s="7"/>
      <c r="S463" s="7"/>
      <c r="T463" s="7"/>
      <c r="U463" s="7"/>
      <c r="V463" s="7"/>
      <c r="W463" s="7"/>
      <c r="X463" s="7"/>
      <c r="Y463" s="7"/>
      <c r="Z463" s="7"/>
      <c r="AA463" s="7"/>
      <c r="AB463" s="7"/>
      <c r="AC463" s="7"/>
      <c r="AD463" s="7"/>
      <c r="AE463" s="7"/>
      <c r="AF463" s="7"/>
    </row>
    <row r="464" spans="1:32" ht="20.399999999999999">
      <c r="A464" s="683"/>
      <c r="B464" s="720" t="s">
        <v>772</v>
      </c>
      <c r="C464" s="683" t="s">
        <v>322</v>
      </c>
      <c r="D464" s="719" t="s">
        <v>1974</v>
      </c>
      <c r="E464" s="720" t="s">
        <v>407</v>
      </c>
      <c r="F464" s="685">
        <v>2242</v>
      </c>
      <c r="G464" s="686" t="s">
        <v>573</v>
      </c>
      <c r="H464" s="689">
        <v>26260</v>
      </c>
      <c r="I464" s="851"/>
      <c r="J464" s="1494">
        <v>18785</v>
      </c>
      <c r="K464" s="852"/>
      <c r="L464" s="689">
        <v>26260</v>
      </c>
      <c r="M464" s="1468"/>
      <c r="N464" s="125"/>
      <c r="O464" s="7"/>
      <c r="P464" s="7"/>
      <c r="Q464" s="7"/>
      <c r="R464" s="7"/>
      <c r="S464" s="7"/>
      <c r="T464" s="7"/>
      <c r="U464" s="7"/>
      <c r="V464" s="7"/>
      <c r="W464" s="7"/>
      <c r="X464" s="7"/>
      <c r="Y464" s="7"/>
      <c r="Z464" s="7"/>
      <c r="AA464" s="7"/>
      <c r="AB464" s="7"/>
      <c r="AC464" s="7"/>
      <c r="AD464" s="7"/>
      <c r="AE464" s="7"/>
      <c r="AF464" s="7"/>
    </row>
    <row r="465" spans="1:32">
      <c r="A465" s="760"/>
      <c r="B465" s="700" t="s">
        <v>772</v>
      </c>
      <c r="C465" s="663" t="s">
        <v>322</v>
      </c>
      <c r="D465" s="678" t="s">
        <v>1974</v>
      </c>
      <c r="E465" s="700" t="s">
        <v>407</v>
      </c>
      <c r="F465" s="679">
        <v>2242</v>
      </c>
      <c r="G465" s="811" t="s">
        <v>157</v>
      </c>
      <c r="H465" s="660"/>
      <c r="I465" s="660">
        <v>400</v>
      </c>
      <c r="J465" s="1494">
        <v>145</v>
      </c>
      <c r="K465" s="667"/>
      <c r="L465" s="659"/>
      <c r="M465" s="660">
        <v>400</v>
      </c>
      <c r="N465" s="125"/>
      <c r="O465" s="4"/>
      <c r="P465" s="4"/>
      <c r="Q465" s="4"/>
      <c r="R465" s="4"/>
      <c r="S465" s="4"/>
      <c r="T465" s="4"/>
      <c r="U465" s="4"/>
      <c r="V465" s="4"/>
      <c r="W465" s="4"/>
      <c r="X465" s="4"/>
      <c r="Y465" s="4"/>
      <c r="Z465" s="4"/>
      <c r="AA465" s="4"/>
      <c r="AB465" s="4"/>
      <c r="AC465" s="4"/>
      <c r="AD465" s="4"/>
      <c r="AE465" s="4"/>
      <c r="AF465" s="4"/>
    </row>
    <row r="466" spans="1:32">
      <c r="A466" s="760"/>
      <c r="B466" s="700" t="s">
        <v>772</v>
      </c>
      <c r="C466" s="663" t="s">
        <v>322</v>
      </c>
      <c r="D466" s="678" t="s">
        <v>1974</v>
      </c>
      <c r="E466" s="700" t="s">
        <v>407</v>
      </c>
      <c r="F466" s="679">
        <v>2242</v>
      </c>
      <c r="G466" s="811" t="s">
        <v>158</v>
      </c>
      <c r="H466" s="660"/>
      <c r="I466" s="660">
        <v>900</v>
      </c>
      <c r="J466" s="1494">
        <v>275</v>
      </c>
      <c r="K466" s="667"/>
      <c r="L466" s="659"/>
      <c r="M466" s="660">
        <v>900</v>
      </c>
      <c r="N466" s="125"/>
      <c r="O466" s="4"/>
      <c r="P466" s="4"/>
      <c r="Q466" s="4"/>
      <c r="R466" s="4"/>
      <c r="S466" s="4"/>
      <c r="T466" s="4"/>
      <c r="U466" s="4"/>
      <c r="V466" s="4"/>
      <c r="W466" s="4"/>
      <c r="X466" s="4"/>
      <c r="Y466" s="4"/>
      <c r="Z466" s="4"/>
      <c r="AA466" s="4"/>
      <c r="AB466" s="4"/>
      <c r="AC466" s="4"/>
      <c r="AD466" s="4"/>
      <c r="AE466" s="4"/>
      <c r="AF466" s="4"/>
    </row>
    <row r="467" spans="1:32" s="189" customFormat="1">
      <c r="A467" s="760"/>
      <c r="B467" s="700" t="s">
        <v>772</v>
      </c>
      <c r="C467" s="663" t="s">
        <v>322</v>
      </c>
      <c r="D467" s="678" t="s">
        <v>1974</v>
      </c>
      <c r="E467" s="700" t="s">
        <v>407</v>
      </c>
      <c r="F467" s="679">
        <v>2242</v>
      </c>
      <c r="G467" s="811" t="s">
        <v>1344</v>
      </c>
      <c r="H467" s="660"/>
      <c r="I467" s="660">
        <v>500</v>
      </c>
      <c r="J467" s="2647" t="s">
        <v>1134</v>
      </c>
      <c r="K467" s="667"/>
      <c r="L467" s="659"/>
      <c r="M467" s="660">
        <v>500</v>
      </c>
      <c r="N467" s="125"/>
      <c r="O467" s="188"/>
      <c r="P467" s="188"/>
      <c r="Q467" s="188"/>
      <c r="R467" s="188"/>
      <c r="S467" s="188"/>
      <c r="T467" s="188"/>
      <c r="U467" s="188"/>
      <c r="V467" s="188"/>
      <c r="W467" s="188"/>
      <c r="X467" s="188"/>
      <c r="Y467" s="188"/>
      <c r="Z467" s="188"/>
      <c r="AA467" s="188"/>
      <c r="AB467" s="188"/>
      <c r="AC467" s="188"/>
      <c r="AD467" s="188"/>
      <c r="AE467" s="188"/>
      <c r="AF467" s="188"/>
    </row>
    <row r="468" spans="1:32">
      <c r="A468" s="760"/>
      <c r="B468" s="700" t="s">
        <v>772</v>
      </c>
      <c r="C468" s="663" t="s">
        <v>322</v>
      </c>
      <c r="D468" s="678" t="s">
        <v>1974</v>
      </c>
      <c r="E468" s="700" t="s">
        <v>407</v>
      </c>
      <c r="F468" s="679">
        <v>2242</v>
      </c>
      <c r="G468" s="811" t="s">
        <v>814</v>
      </c>
      <c r="H468" s="660"/>
      <c r="I468" s="660">
        <v>14000</v>
      </c>
      <c r="J468" s="1494">
        <v>13620</v>
      </c>
      <c r="K468" s="667"/>
      <c r="L468" s="659"/>
      <c r="M468" s="660">
        <v>14000</v>
      </c>
      <c r="N468" s="125"/>
      <c r="O468" s="4"/>
      <c r="P468" s="4"/>
      <c r="Q468" s="4"/>
      <c r="R468" s="4"/>
      <c r="S468" s="4"/>
      <c r="T468" s="4"/>
      <c r="U468" s="4"/>
      <c r="V468" s="4"/>
      <c r="W468" s="4"/>
      <c r="X468" s="4"/>
      <c r="Y468" s="4"/>
      <c r="Z468" s="4"/>
      <c r="AA468" s="4"/>
      <c r="AB468" s="4"/>
      <c r="AC468" s="4"/>
      <c r="AD468" s="4"/>
      <c r="AE468" s="4"/>
      <c r="AF468" s="4"/>
    </row>
    <row r="469" spans="1:32" ht="30.6">
      <c r="A469" s="760"/>
      <c r="B469" s="700" t="s">
        <v>772</v>
      </c>
      <c r="C469" s="663" t="s">
        <v>322</v>
      </c>
      <c r="D469" s="678" t="s">
        <v>1974</v>
      </c>
      <c r="E469" s="700" t="s">
        <v>407</v>
      </c>
      <c r="F469" s="679">
        <v>2242</v>
      </c>
      <c r="G469" s="811" t="s">
        <v>2053</v>
      </c>
      <c r="H469" s="660"/>
      <c r="I469" s="660">
        <v>1000</v>
      </c>
      <c r="J469" s="2647" t="s">
        <v>1134</v>
      </c>
      <c r="K469" s="667"/>
      <c r="L469" s="659"/>
      <c r="M469" s="660">
        <v>1000</v>
      </c>
      <c r="N469" s="375"/>
      <c r="O469" s="4"/>
      <c r="P469" s="4"/>
      <c r="Q469" s="4"/>
      <c r="R469" s="4"/>
      <c r="S469" s="4"/>
      <c r="T469" s="4"/>
      <c r="U469" s="4"/>
      <c r="V469" s="4"/>
      <c r="W469" s="4"/>
      <c r="X469" s="4"/>
      <c r="Y469" s="4"/>
      <c r="Z469" s="4"/>
      <c r="AA469" s="4"/>
      <c r="AB469" s="4"/>
      <c r="AC469" s="4"/>
      <c r="AD469" s="4"/>
      <c r="AE469" s="4"/>
      <c r="AF469" s="4"/>
    </row>
    <row r="470" spans="1:32">
      <c r="A470" s="760"/>
      <c r="B470" s="700" t="s">
        <v>772</v>
      </c>
      <c r="C470" s="663" t="s">
        <v>322</v>
      </c>
      <c r="D470" s="678" t="s">
        <v>1974</v>
      </c>
      <c r="E470" s="700" t="s">
        <v>407</v>
      </c>
      <c r="F470" s="679">
        <v>2242</v>
      </c>
      <c r="G470" s="811" t="s">
        <v>1345</v>
      </c>
      <c r="H470" s="660"/>
      <c r="I470" s="660">
        <v>1500</v>
      </c>
      <c r="J470" s="1494">
        <v>1505</v>
      </c>
      <c r="K470" s="667"/>
      <c r="L470" s="659"/>
      <c r="M470" s="660">
        <v>1500</v>
      </c>
      <c r="N470" s="125"/>
      <c r="O470" s="4"/>
      <c r="P470" s="4"/>
      <c r="Q470" s="4"/>
      <c r="R470" s="4"/>
      <c r="S470" s="4"/>
      <c r="T470" s="4"/>
      <c r="U470" s="4"/>
      <c r="V470" s="4"/>
      <c r="W470" s="4"/>
      <c r="X470" s="4"/>
      <c r="Y470" s="4"/>
      <c r="Z470" s="4"/>
      <c r="AA470" s="4"/>
      <c r="AB470" s="4"/>
      <c r="AC470" s="4"/>
      <c r="AD470" s="4"/>
      <c r="AE470" s="4"/>
      <c r="AF470" s="4"/>
    </row>
    <row r="471" spans="1:32">
      <c r="A471" s="760"/>
      <c r="B471" s="700" t="s">
        <v>772</v>
      </c>
      <c r="C471" s="663" t="s">
        <v>322</v>
      </c>
      <c r="D471" s="678" t="s">
        <v>1974</v>
      </c>
      <c r="E471" s="700" t="s">
        <v>407</v>
      </c>
      <c r="F471" s="679">
        <v>2242</v>
      </c>
      <c r="G471" s="811" t="s">
        <v>349</v>
      </c>
      <c r="H471" s="660"/>
      <c r="I471" s="660">
        <v>150</v>
      </c>
      <c r="J471" s="2647" t="s">
        <v>1134</v>
      </c>
      <c r="K471" s="667"/>
      <c r="L471" s="659"/>
      <c r="M471" s="660">
        <v>150</v>
      </c>
      <c r="N471" s="1055"/>
      <c r="O471" s="187"/>
      <c r="P471" s="187"/>
      <c r="Q471" s="187"/>
      <c r="R471" s="187"/>
      <c r="S471" s="187"/>
      <c r="T471" s="187"/>
      <c r="U471" s="187"/>
      <c r="V471" s="187"/>
      <c r="W471" s="187"/>
      <c r="X471" s="187"/>
      <c r="Y471" s="187"/>
      <c r="Z471" s="187"/>
      <c r="AA471" s="187"/>
      <c r="AB471" s="187"/>
      <c r="AC471" s="187"/>
      <c r="AD471" s="187"/>
      <c r="AE471" s="187"/>
      <c r="AF471" s="187"/>
    </row>
    <row r="472" spans="1:32">
      <c r="A472" s="760"/>
      <c r="B472" s="700" t="s">
        <v>772</v>
      </c>
      <c r="C472" s="663" t="s">
        <v>322</v>
      </c>
      <c r="D472" s="678" t="s">
        <v>1974</v>
      </c>
      <c r="E472" s="700" t="s">
        <v>407</v>
      </c>
      <c r="F472" s="679">
        <v>2242</v>
      </c>
      <c r="G472" s="751" t="s">
        <v>2055</v>
      </c>
      <c r="H472" s="660"/>
      <c r="I472" s="660">
        <v>800</v>
      </c>
      <c r="J472" s="1494">
        <v>209</v>
      </c>
      <c r="K472" s="667"/>
      <c r="L472" s="659"/>
      <c r="M472" s="660">
        <v>800</v>
      </c>
      <c r="N472" s="125"/>
      <c r="O472" s="187"/>
      <c r="P472" s="187"/>
      <c r="Q472" s="187"/>
      <c r="R472" s="187"/>
      <c r="S472" s="187"/>
      <c r="T472" s="187"/>
      <c r="U472" s="187"/>
      <c r="V472" s="187"/>
      <c r="W472" s="187"/>
      <c r="X472" s="187"/>
      <c r="Y472" s="187"/>
      <c r="Z472" s="187"/>
      <c r="AA472" s="187"/>
      <c r="AB472" s="187"/>
      <c r="AC472" s="187"/>
      <c r="AD472" s="187"/>
      <c r="AE472" s="187"/>
      <c r="AF472" s="187"/>
    </row>
    <row r="473" spans="1:32">
      <c r="A473" s="760"/>
      <c r="B473" s="700" t="s">
        <v>772</v>
      </c>
      <c r="C473" s="663" t="s">
        <v>322</v>
      </c>
      <c r="D473" s="678" t="s">
        <v>1974</v>
      </c>
      <c r="E473" s="700" t="s">
        <v>407</v>
      </c>
      <c r="F473" s="679">
        <v>2242</v>
      </c>
      <c r="G473" s="751" t="s">
        <v>2054</v>
      </c>
      <c r="H473" s="660"/>
      <c r="I473" s="660">
        <v>800</v>
      </c>
      <c r="J473" s="1494">
        <v>595</v>
      </c>
      <c r="K473" s="667"/>
      <c r="L473" s="659"/>
      <c r="M473" s="660">
        <v>800</v>
      </c>
      <c r="N473" s="125"/>
      <c r="O473" s="187"/>
      <c r="P473" s="187"/>
      <c r="Q473" s="187"/>
      <c r="R473" s="187"/>
      <c r="S473" s="187"/>
      <c r="T473" s="187"/>
      <c r="U473" s="187"/>
      <c r="V473" s="187"/>
      <c r="W473" s="187"/>
      <c r="X473" s="187"/>
      <c r="Y473" s="187"/>
      <c r="Z473" s="187"/>
      <c r="AA473" s="187"/>
      <c r="AB473" s="187"/>
      <c r="AC473" s="187"/>
      <c r="AD473" s="187"/>
      <c r="AE473" s="187"/>
      <c r="AF473" s="187"/>
    </row>
    <row r="474" spans="1:32">
      <c r="A474" s="760"/>
      <c r="B474" s="700" t="s">
        <v>772</v>
      </c>
      <c r="C474" s="663" t="s">
        <v>322</v>
      </c>
      <c r="D474" s="678" t="s">
        <v>1974</v>
      </c>
      <c r="E474" s="700" t="s">
        <v>407</v>
      </c>
      <c r="F474" s="679">
        <v>2242</v>
      </c>
      <c r="G474" s="811" t="s">
        <v>1346</v>
      </c>
      <c r="H474" s="660"/>
      <c r="I474" s="660">
        <v>400</v>
      </c>
      <c r="J474" s="1494">
        <v>47</v>
      </c>
      <c r="K474" s="667"/>
      <c r="L474" s="659"/>
      <c r="M474" s="660">
        <v>400</v>
      </c>
      <c r="N474" s="7" t="s">
        <v>3504</v>
      </c>
      <c r="O474" s="187"/>
      <c r="P474" s="187"/>
      <c r="Q474" s="187"/>
      <c r="R474" s="187"/>
      <c r="S474" s="187"/>
      <c r="T474" s="187"/>
      <c r="U474" s="187"/>
      <c r="V474" s="187"/>
      <c r="W474" s="187"/>
      <c r="X474" s="187"/>
      <c r="Y474" s="187"/>
      <c r="Z474" s="187"/>
      <c r="AA474" s="187"/>
      <c r="AB474" s="187"/>
      <c r="AC474" s="187"/>
      <c r="AD474" s="187"/>
      <c r="AE474" s="187"/>
      <c r="AF474" s="187"/>
    </row>
    <row r="475" spans="1:32">
      <c r="A475" s="760"/>
      <c r="B475" s="700" t="s">
        <v>772</v>
      </c>
      <c r="C475" s="663" t="s">
        <v>320</v>
      </c>
      <c r="D475" s="678" t="s">
        <v>1974</v>
      </c>
      <c r="E475" s="700" t="s">
        <v>407</v>
      </c>
      <c r="F475" s="679">
        <v>2242</v>
      </c>
      <c r="G475" s="665" t="s">
        <v>162</v>
      </c>
      <c r="H475" s="660"/>
      <c r="I475" s="660">
        <v>5000</v>
      </c>
      <c r="J475" s="1494">
        <v>1783</v>
      </c>
      <c r="K475" s="667"/>
      <c r="L475" s="659"/>
      <c r="M475" s="660">
        <v>5000</v>
      </c>
      <c r="N475" s="1505" t="s">
        <v>3504</v>
      </c>
      <c r="O475" s="187"/>
      <c r="P475" s="187"/>
      <c r="Q475" s="187"/>
      <c r="R475" s="187"/>
      <c r="S475" s="187"/>
      <c r="T475" s="187"/>
      <c r="U475" s="187"/>
      <c r="V475" s="187"/>
      <c r="W475" s="187"/>
      <c r="X475" s="187"/>
      <c r="Y475" s="187"/>
      <c r="Z475" s="187"/>
      <c r="AA475" s="187"/>
      <c r="AB475" s="187"/>
      <c r="AC475" s="187"/>
      <c r="AD475" s="187"/>
      <c r="AE475" s="187"/>
      <c r="AF475" s="187"/>
    </row>
    <row r="476" spans="1:32" ht="56.25" customHeight="1">
      <c r="A476" s="760"/>
      <c r="B476" s="700" t="s">
        <v>772</v>
      </c>
      <c r="C476" s="663" t="s">
        <v>320</v>
      </c>
      <c r="D476" s="678" t="s">
        <v>1974</v>
      </c>
      <c r="E476" s="700" t="s">
        <v>407</v>
      </c>
      <c r="F476" s="679">
        <v>2242</v>
      </c>
      <c r="G476" s="665" t="s">
        <v>350</v>
      </c>
      <c r="H476" s="660"/>
      <c r="I476" s="660">
        <v>500</v>
      </c>
      <c r="J476" s="1494">
        <v>546</v>
      </c>
      <c r="K476" s="667"/>
      <c r="L476" s="659"/>
      <c r="M476" s="660">
        <v>500</v>
      </c>
      <c r="N476" s="381" t="s">
        <v>3493</v>
      </c>
      <c r="O476" s="4"/>
      <c r="P476" s="4"/>
      <c r="Q476" s="4"/>
      <c r="R476" s="4"/>
      <c r="S476" s="4"/>
      <c r="T476" s="4"/>
      <c r="U476" s="4"/>
      <c r="V476" s="4"/>
      <c r="W476" s="4"/>
      <c r="X476" s="4"/>
      <c r="Y476" s="4"/>
      <c r="Z476" s="4"/>
      <c r="AA476" s="4"/>
      <c r="AB476" s="4"/>
      <c r="AC476" s="4"/>
      <c r="AD476" s="4"/>
      <c r="AE476" s="4"/>
      <c r="AF476" s="4"/>
    </row>
    <row r="477" spans="1:32" ht="56.25" customHeight="1">
      <c r="A477" s="760"/>
      <c r="B477" s="700" t="s">
        <v>772</v>
      </c>
      <c r="C477" s="663" t="s">
        <v>320</v>
      </c>
      <c r="D477" s="678" t="s">
        <v>1974</v>
      </c>
      <c r="E477" s="700" t="s">
        <v>407</v>
      </c>
      <c r="F477" s="679">
        <v>2242</v>
      </c>
      <c r="G477" s="665" t="s">
        <v>1072</v>
      </c>
      <c r="H477" s="660"/>
      <c r="I477" s="660">
        <v>100</v>
      </c>
      <c r="J477" s="1494">
        <v>60</v>
      </c>
      <c r="K477" s="667"/>
      <c r="L477" s="659"/>
      <c r="M477" s="660">
        <v>100</v>
      </c>
      <c r="N477" s="359" t="s">
        <v>3500</v>
      </c>
      <c r="O477" s="4"/>
      <c r="P477" s="4"/>
      <c r="Q477" s="4"/>
      <c r="R477" s="4"/>
      <c r="S477" s="4"/>
      <c r="T477" s="4"/>
      <c r="U477" s="4"/>
      <c r="V477" s="4"/>
      <c r="W477" s="4"/>
      <c r="X477" s="4"/>
      <c r="Y477" s="4"/>
      <c r="Z477" s="4"/>
      <c r="AA477" s="4"/>
      <c r="AB477" s="4"/>
      <c r="AC477" s="4"/>
      <c r="AD477" s="4"/>
      <c r="AE477" s="4"/>
      <c r="AF477" s="4"/>
    </row>
    <row r="478" spans="1:32">
      <c r="A478" s="760"/>
      <c r="B478" s="700" t="s">
        <v>772</v>
      </c>
      <c r="C478" s="663" t="s">
        <v>320</v>
      </c>
      <c r="D478" s="678" t="s">
        <v>1974</v>
      </c>
      <c r="E478" s="700" t="s">
        <v>407</v>
      </c>
      <c r="F478" s="679">
        <v>2242</v>
      </c>
      <c r="G478" s="854" t="s">
        <v>820</v>
      </c>
      <c r="H478" s="660"/>
      <c r="I478" s="660">
        <v>210</v>
      </c>
      <c r="J478" s="2647" t="s">
        <v>1134</v>
      </c>
      <c r="K478" s="667"/>
      <c r="L478" s="659"/>
      <c r="M478" s="660">
        <v>210</v>
      </c>
      <c r="N478" s="125"/>
      <c r="O478" s="4"/>
      <c r="P478" s="4"/>
      <c r="Q478" s="4"/>
      <c r="R478" s="4"/>
      <c r="S478" s="4"/>
      <c r="T478" s="4"/>
      <c r="U478" s="4"/>
      <c r="V478" s="4"/>
      <c r="W478" s="4"/>
      <c r="X478" s="4"/>
      <c r="Y478" s="4"/>
      <c r="Z478" s="4"/>
      <c r="AA478" s="4"/>
      <c r="AB478" s="4"/>
      <c r="AC478" s="4"/>
      <c r="AD478" s="4"/>
      <c r="AE478" s="4"/>
      <c r="AF478" s="4"/>
    </row>
    <row r="479" spans="1:32">
      <c r="A479" s="683"/>
      <c r="B479" s="720" t="s">
        <v>772</v>
      </c>
      <c r="C479" s="683" t="s">
        <v>322</v>
      </c>
      <c r="D479" s="719" t="s">
        <v>1974</v>
      </c>
      <c r="E479" s="720" t="s">
        <v>407</v>
      </c>
      <c r="F479" s="685">
        <v>2243</v>
      </c>
      <c r="G479" s="686" t="s">
        <v>159</v>
      </c>
      <c r="H479" s="689">
        <v>3308</v>
      </c>
      <c r="I479" s="689"/>
      <c r="J479" s="1654">
        <v>1088.7</v>
      </c>
      <c r="K479" s="727"/>
      <c r="L479" s="689">
        <v>3006</v>
      </c>
      <c r="M479" s="687"/>
      <c r="N479" s="176"/>
      <c r="O479" s="7"/>
      <c r="P479" s="7"/>
      <c r="Q479" s="7"/>
      <c r="R479" s="7"/>
      <c r="S479" s="7"/>
      <c r="T479" s="7"/>
      <c r="U479" s="7"/>
      <c r="V479" s="7"/>
      <c r="W479" s="7"/>
      <c r="X479" s="7"/>
      <c r="Y479" s="7"/>
      <c r="Z479" s="7"/>
      <c r="AA479" s="7"/>
      <c r="AB479" s="7"/>
      <c r="AC479" s="7"/>
      <c r="AD479" s="7"/>
      <c r="AE479" s="7"/>
      <c r="AF479" s="7"/>
    </row>
    <row r="480" spans="1:32">
      <c r="A480" s="760"/>
      <c r="B480" s="700" t="s">
        <v>772</v>
      </c>
      <c r="C480" s="663" t="s">
        <v>322</v>
      </c>
      <c r="D480" s="678" t="s">
        <v>1974</v>
      </c>
      <c r="E480" s="700" t="s">
        <v>407</v>
      </c>
      <c r="F480" s="679">
        <v>2243</v>
      </c>
      <c r="G480" s="665" t="s">
        <v>1348</v>
      </c>
      <c r="H480" s="660"/>
      <c r="I480" s="660">
        <v>315</v>
      </c>
      <c r="J480" s="1654">
        <v>119</v>
      </c>
      <c r="K480" s="667"/>
      <c r="L480" s="659"/>
      <c r="M480" s="660">
        <v>315</v>
      </c>
      <c r="N480" s="176"/>
      <c r="O480" s="7"/>
      <c r="P480" s="7"/>
      <c r="Q480" s="7"/>
      <c r="R480" s="7"/>
      <c r="S480" s="7"/>
      <c r="T480" s="7"/>
      <c r="U480" s="7"/>
      <c r="V480" s="7"/>
      <c r="W480" s="7"/>
      <c r="X480" s="7"/>
      <c r="Y480" s="7"/>
      <c r="Z480" s="7"/>
      <c r="AA480" s="7"/>
      <c r="AB480" s="7"/>
      <c r="AC480" s="7"/>
      <c r="AD480" s="7"/>
      <c r="AE480" s="7"/>
      <c r="AF480" s="7"/>
    </row>
    <row r="481" spans="1:32" ht="56.25" customHeight="1">
      <c r="A481" s="760"/>
      <c r="B481" s="700" t="s">
        <v>772</v>
      </c>
      <c r="C481" s="663" t="s">
        <v>322</v>
      </c>
      <c r="D481" s="678" t="s">
        <v>1974</v>
      </c>
      <c r="E481" s="700" t="s">
        <v>407</v>
      </c>
      <c r="F481" s="679">
        <v>2243</v>
      </c>
      <c r="G481" s="811" t="s">
        <v>1347</v>
      </c>
      <c r="H481" s="660"/>
      <c r="I481" s="660">
        <v>3630</v>
      </c>
      <c r="J481" s="1654">
        <v>303</v>
      </c>
      <c r="K481" s="667"/>
      <c r="L481" s="659"/>
      <c r="M481" s="660">
        <v>0</v>
      </c>
      <c r="N481" s="176"/>
      <c r="O481" s="7"/>
      <c r="P481" s="7"/>
      <c r="Q481" s="7"/>
      <c r="R481" s="7"/>
      <c r="S481" s="7"/>
      <c r="T481" s="7"/>
      <c r="U481" s="7"/>
      <c r="V481" s="7"/>
      <c r="W481" s="7"/>
      <c r="X481" s="7"/>
      <c r="Y481" s="7"/>
      <c r="Z481" s="7"/>
      <c r="AA481" s="7"/>
      <c r="AB481" s="7"/>
      <c r="AC481" s="7"/>
      <c r="AD481" s="7"/>
      <c r="AE481" s="7"/>
      <c r="AF481" s="7"/>
    </row>
    <row r="482" spans="1:32">
      <c r="A482" s="760"/>
      <c r="B482" s="700" t="s">
        <v>772</v>
      </c>
      <c r="C482" s="663" t="s">
        <v>322</v>
      </c>
      <c r="D482" s="678" t="s">
        <v>1974</v>
      </c>
      <c r="E482" s="700" t="s">
        <v>407</v>
      </c>
      <c r="F482" s="679">
        <v>2243</v>
      </c>
      <c r="G482" s="811" t="s">
        <v>3508</v>
      </c>
      <c r="H482" s="660"/>
      <c r="I482" s="660">
        <v>2000</v>
      </c>
      <c r="J482" s="1654">
        <v>191</v>
      </c>
      <c r="K482" s="667"/>
      <c r="L482" s="659"/>
      <c r="M482" s="660">
        <v>2000</v>
      </c>
      <c r="N482" s="125"/>
    </row>
    <row r="483" spans="1:32" ht="20.399999999999999">
      <c r="A483" s="760"/>
      <c r="B483" s="700" t="s">
        <v>772</v>
      </c>
      <c r="C483" s="663" t="s">
        <v>322</v>
      </c>
      <c r="D483" s="678" t="s">
        <v>1974</v>
      </c>
      <c r="E483" s="700" t="s">
        <v>407</v>
      </c>
      <c r="F483" s="679">
        <v>2243</v>
      </c>
      <c r="G483" s="811" t="s">
        <v>2056</v>
      </c>
      <c r="H483" s="660"/>
      <c r="I483" s="660">
        <v>8000</v>
      </c>
      <c r="J483" s="2648" t="s">
        <v>1134</v>
      </c>
      <c r="K483" s="667"/>
      <c r="L483" s="659"/>
      <c r="M483" s="659"/>
      <c r="N483" s="176"/>
    </row>
    <row r="484" spans="1:32" ht="51">
      <c r="A484" s="1145"/>
      <c r="B484" s="700" t="s">
        <v>772</v>
      </c>
      <c r="C484" s="663" t="s">
        <v>322</v>
      </c>
      <c r="D484" s="678" t="s">
        <v>1974</v>
      </c>
      <c r="E484" s="700" t="s">
        <v>407</v>
      </c>
      <c r="F484" s="679">
        <v>2243</v>
      </c>
      <c r="G484" s="1453" t="s">
        <v>3196</v>
      </c>
      <c r="H484" s="1130"/>
      <c r="I484" s="1130">
        <v>-11328</v>
      </c>
      <c r="J484" s="2648" t="s">
        <v>1134</v>
      </c>
      <c r="K484" s="1132"/>
      <c r="L484" s="1115"/>
      <c r="M484" s="1115"/>
      <c r="N484" s="125"/>
    </row>
    <row r="485" spans="1:32" ht="20.399999999999999" customHeight="1">
      <c r="A485" s="760"/>
      <c r="B485" s="700" t="s">
        <v>772</v>
      </c>
      <c r="C485" s="663" t="s">
        <v>322</v>
      </c>
      <c r="D485" s="678" t="s">
        <v>1974</v>
      </c>
      <c r="E485" s="700" t="s">
        <v>407</v>
      </c>
      <c r="F485" s="679">
        <v>2243</v>
      </c>
      <c r="G485" s="811" t="s">
        <v>1354</v>
      </c>
      <c r="H485" s="660"/>
      <c r="I485" s="660">
        <v>560</v>
      </c>
      <c r="J485" s="1654">
        <v>399.70000000000005</v>
      </c>
      <c r="K485" s="667"/>
      <c r="L485" s="659"/>
      <c r="M485" s="660">
        <v>560</v>
      </c>
      <c r="N485" s="176"/>
    </row>
    <row r="486" spans="1:32">
      <c r="A486" s="760"/>
      <c r="B486" s="700" t="s">
        <v>772</v>
      </c>
      <c r="C486" s="663" t="s">
        <v>322</v>
      </c>
      <c r="D486" s="678" t="s">
        <v>1974</v>
      </c>
      <c r="E486" s="700" t="s">
        <v>407</v>
      </c>
      <c r="F486" s="679">
        <v>2243</v>
      </c>
      <c r="G486" s="811" t="s">
        <v>1339</v>
      </c>
      <c r="H486" s="660"/>
      <c r="I486" s="660">
        <v>48</v>
      </c>
      <c r="J486" s="1654">
        <v>35</v>
      </c>
      <c r="K486" s="667"/>
      <c r="L486" s="659"/>
      <c r="M486" s="660">
        <v>48</v>
      </c>
      <c r="N486" s="125"/>
    </row>
    <row r="487" spans="1:32">
      <c r="A487" s="760"/>
      <c r="B487" s="700" t="s">
        <v>772</v>
      </c>
      <c r="C487" s="663" t="s">
        <v>322</v>
      </c>
      <c r="D487" s="678" t="s">
        <v>1974</v>
      </c>
      <c r="E487" s="700" t="s">
        <v>407</v>
      </c>
      <c r="F487" s="679">
        <v>2243</v>
      </c>
      <c r="G487" s="811" t="s">
        <v>1340</v>
      </c>
      <c r="H487" s="660"/>
      <c r="I487" s="660">
        <v>83</v>
      </c>
      <c r="J487" s="1654">
        <v>41</v>
      </c>
      <c r="K487" s="667"/>
      <c r="L487" s="659"/>
      <c r="M487" s="660">
        <v>83</v>
      </c>
      <c r="N487" s="125"/>
    </row>
    <row r="488" spans="1:32">
      <c r="A488" s="683"/>
      <c r="B488" s="720" t="s">
        <v>772</v>
      </c>
      <c r="C488" s="683" t="s">
        <v>320</v>
      </c>
      <c r="D488" s="719" t="s">
        <v>1974</v>
      </c>
      <c r="E488" s="720" t="s">
        <v>407</v>
      </c>
      <c r="F488" s="824">
        <v>2247</v>
      </c>
      <c r="G488" s="800" t="s">
        <v>161</v>
      </c>
      <c r="H488" s="706">
        <v>12555</v>
      </c>
      <c r="I488" s="706"/>
      <c r="J488" s="1654">
        <v>9482</v>
      </c>
      <c r="K488" s="802"/>
      <c r="L488" s="706">
        <v>12555</v>
      </c>
      <c r="M488" s="706"/>
      <c r="N488" s="17"/>
    </row>
    <row r="489" spans="1:32" ht="20.399999999999999">
      <c r="A489" s="663"/>
      <c r="B489" s="700" t="s">
        <v>772</v>
      </c>
      <c r="C489" s="663" t="s">
        <v>320</v>
      </c>
      <c r="D489" s="678" t="s">
        <v>1974</v>
      </c>
      <c r="E489" s="700" t="s">
        <v>407</v>
      </c>
      <c r="F489" s="795">
        <v>2247</v>
      </c>
      <c r="G489" s="750" t="s">
        <v>2057</v>
      </c>
      <c r="H489" s="701"/>
      <c r="I489" s="701">
        <v>12555</v>
      </c>
      <c r="J489" s="1654" t="s">
        <v>1134</v>
      </c>
      <c r="K489" s="792"/>
      <c r="L489" s="701"/>
      <c r="M489" s="701">
        <v>12555</v>
      </c>
      <c r="N489" s="17"/>
      <c r="O489" s="7"/>
      <c r="P489" s="7"/>
      <c r="Q489" s="7"/>
      <c r="R489" s="187"/>
      <c r="S489" s="187"/>
      <c r="T489" s="187"/>
      <c r="U489" s="187"/>
      <c r="V489" s="187"/>
      <c r="W489" s="187"/>
      <c r="X489" s="187"/>
      <c r="Y489" s="187"/>
      <c r="Z489" s="187"/>
      <c r="AA489" s="187"/>
      <c r="AB489" s="187"/>
      <c r="AC489" s="187"/>
      <c r="AD489" s="187"/>
      <c r="AE489" s="187"/>
      <c r="AF489" s="187"/>
    </row>
    <row r="490" spans="1:32">
      <c r="A490" s="683"/>
      <c r="B490" s="720" t="s">
        <v>772</v>
      </c>
      <c r="C490" s="683" t="s">
        <v>320</v>
      </c>
      <c r="D490" s="719" t="s">
        <v>1974</v>
      </c>
      <c r="E490" s="1406" t="s">
        <v>407</v>
      </c>
      <c r="F490" s="721">
        <v>2250</v>
      </c>
      <c r="G490" s="686" t="s">
        <v>1142</v>
      </c>
      <c r="H490" s="689">
        <v>13143</v>
      </c>
      <c r="I490" s="689"/>
      <c r="J490" s="1654">
        <v>5727.99</v>
      </c>
      <c r="K490" s="727"/>
      <c r="L490" s="1692">
        <v>32134</v>
      </c>
      <c r="M490" s="1692"/>
      <c r="O490" s="7"/>
      <c r="P490" s="7"/>
      <c r="Q490" s="7"/>
      <c r="R490" s="187"/>
      <c r="S490" s="187"/>
      <c r="T490" s="187"/>
      <c r="U490" s="187"/>
      <c r="V490" s="187"/>
      <c r="W490" s="187"/>
      <c r="X490" s="187"/>
      <c r="Y490" s="187"/>
      <c r="Z490" s="187"/>
      <c r="AA490" s="187"/>
      <c r="AB490" s="187"/>
      <c r="AC490" s="187"/>
      <c r="AD490" s="187"/>
      <c r="AE490" s="187"/>
      <c r="AF490" s="187"/>
    </row>
    <row r="491" spans="1:32">
      <c r="A491" s="760"/>
      <c r="B491" s="700" t="s">
        <v>772</v>
      </c>
      <c r="C491" s="663" t="s">
        <v>320</v>
      </c>
      <c r="D491" s="678" t="s">
        <v>1974</v>
      </c>
      <c r="E491" s="700" t="s">
        <v>407</v>
      </c>
      <c r="F491" s="725">
        <v>2250</v>
      </c>
      <c r="G491" s="811" t="s">
        <v>2058</v>
      </c>
      <c r="H491" s="660"/>
      <c r="I491" s="660">
        <v>733</v>
      </c>
      <c r="J491" s="2648" t="s">
        <v>1134</v>
      </c>
      <c r="K491" s="667"/>
      <c r="L491" s="1683"/>
      <c r="M491" s="1683">
        <v>733</v>
      </c>
      <c r="N491" s="125"/>
    </row>
    <row r="492" spans="1:32" ht="40.799999999999997">
      <c r="A492" s="663"/>
      <c r="B492" s="700" t="s">
        <v>772</v>
      </c>
      <c r="C492" s="663" t="s">
        <v>322</v>
      </c>
      <c r="D492" s="678" t="s">
        <v>1974</v>
      </c>
      <c r="E492" s="700" t="s">
        <v>407</v>
      </c>
      <c r="F492" s="679">
        <v>2250</v>
      </c>
      <c r="G492" s="682" t="s">
        <v>3489</v>
      </c>
      <c r="H492" s="660"/>
      <c r="I492" s="660">
        <v>360</v>
      </c>
      <c r="J492" s="1654">
        <v>150.99</v>
      </c>
      <c r="K492" s="667"/>
      <c r="L492" s="1683"/>
      <c r="M492" s="1683">
        <v>192</v>
      </c>
      <c r="N492" s="654"/>
    </row>
    <row r="493" spans="1:32" ht="20.399999999999999" customHeight="1">
      <c r="A493" s="760"/>
      <c r="B493" s="700" t="s">
        <v>772</v>
      </c>
      <c r="C493" s="663" t="s">
        <v>322</v>
      </c>
      <c r="D493" s="678" t="s">
        <v>1974</v>
      </c>
      <c r="E493" s="700" t="s">
        <v>407</v>
      </c>
      <c r="F493" s="679">
        <v>2250</v>
      </c>
      <c r="G493" s="665" t="s">
        <v>1179</v>
      </c>
      <c r="H493" s="660"/>
      <c r="I493" s="660">
        <v>5000</v>
      </c>
      <c r="J493" s="1654">
        <v>2822</v>
      </c>
      <c r="K493" s="667"/>
      <c r="L493" s="1683"/>
      <c r="M493" s="1683">
        <v>6000</v>
      </c>
      <c r="N493" s="125"/>
      <c r="O493" s="187"/>
      <c r="P493" s="187"/>
      <c r="Q493" s="187"/>
      <c r="R493" s="187"/>
      <c r="S493" s="187"/>
      <c r="T493" s="187"/>
      <c r="U493" s="187"/>
      <c r="V493" s="187"/>
      <c r="W493" s="187"/>
      <c r="X493" s="187"/>
      <c r="Y493" s="187"/>
      <c r="Z493" s="187"/>
      <c r="AA493" s="187"/>
      <c r="AB493" s="187"/>
      <c r="AC493" s="187"/>
      <c r="AD493" s="187"/>
      <c r="AE493" s="187"/>
      <c r="AF493" s="187"/>
    </row>
    <row r="494" spans="1:32" ht="20.399999999999999">
      <c r="A494" s="1145"/>
      <c r="B494" s="700" t="s">
        <v>772</v>
      </c>
      <c r="C494" s="663" t="s">
        <v>322</v>
      </c>
      <c r="D494" s="678" t="s">
        <v>1974</v>
      </c>
      <c r="E494" s="700" t="s">
        <v>407</v>
      </c>
      <c r="F494" s="679">
        <v>2250</v>
      </c>
      <c r="G494" s="1129" t="s">
        <v>3198</v>
      </c>
      <c r="H494" s="1130"/>
      <c r="I494" s="1130">
        <v>510</v>
      </c>
      <c r="J494" s="2648" t="s">
        <v>1134</v>
      </c>
      <c r="K494" s="1132"/>
      <c r="L494" s="1713"/>
      <c r="M494" s="1713">
        <v>2040</v>
      </c>
      <c r="N494" s="125"/>
      <c r="O494" s="187"/>
      <c r="P494" s="187"/>
      <c r="Q494" s="187"/>
      <c r="R494" s="187"/>
      <c r="S494" s="187"/>
      <c r="T494" s="187"/>
      <c r="U494" s="187"/>
      <c r="V494" s="187"/>
      <c r="W494" s="187"/>
      <c r="X494" s="187"/>
      <c r="Y494" s="187"/>
      <c r="Z494" s="187"/>
      <c r="AA494" s="187"/>
      <c r="AB494" s="187"/>
      <c r="AC494" s="187"/>
      <c r="AD494" s="187"/>
      <c r="AE494" s="187"/>
      <c r="AF494" s="187"/>
    </row>
    <row r="495" spans="1:32" ht="61.2">
      <c r="A495" s="663"/>
      <c r="B495" s="700" t="s">
        <v>772</v>
      </c>
      <c r="C495" s="663" t="s">
        <v>322</v>
      </c>
      <c r="D495" s="678" t="s">
        <v>1974</v>
      </c>
      <c r="E495" s="700" t="s">
        <v>407</v>
      </c>
      <c r="F495" s="679">
        <v>2250</v>
      </c>
      <c r="G495" s="750" t="s">
        <v>3492</v>
      </c>
      <c r="H495" s="701"/>
      <c r="I495" s="701">
        <v>3470.4</v>
      </c>
      <c r="J495" s="1654">
        <v>2755</v>
      </c>
      <c r="K495" s="792"/>
      <c r="L495" s="1683"/>
      <c r="M495" s="1683">
        <v>10890</v>
      </c>
      <c r="N495" s="125"/>
      <c r="O495" s="187"/>
      <c r="P495" s="187"/>
      <c r="Q495" s="187"/>
      <c r="R495" s="187"/>
      <c r="S495" s="187"/>
      <c r="T495" s="187"/>
      <c r="U495" s="187"/>
      <c r="V495" s="187"/>
      <c r="W495" s="187"/>
      <c r="X495" s="187"/>
      <c r="Y495" s="187"/>
      <c r="Z495" s="187"/>
      <c r="AA495" s="187"/>
      <c r="AB495" s="187"/>
      <c r="AC495" s="187"/>
      <c r="AD495" s="187"/>
      <c r="AE495" s="187"/>
      <c r="AF495" s="187"/>
    </row>
    <row r="496" spans="1:32" ht="30.6">
      <c r="A496" s="603"/>
      <c r="B496" s="700" t="s">
        <v>772</v>
      </c>
      <c r="C496" s="663" t="s">
        <v>322</v>
      </c>
      <c r="D496" s="678" t="s">
        <v>1974</v>
      </c>
      <c r="E496" s="700" t="s">
        <v>407</v>
      </c>
      <c r="F496" s="679">
        <v>2250</v>
      </c>
      <c r="G496" s="1129" t="s">
        <v>3499</v>
      </c>
      <c r="H496" s="1130"/>
      <c r="I496" s="1130">
        <v>3070</v>
      </c>
      <c r="J496" s="1654" t="s">
        <v>1134</v>
      </c>
      <c r="K496" s="1132"/>
      <c r="L496" s="1713"/>
      <c r="M496" s="1713">
        <v>12279</v>
      </c>
      <c r="N496" s="125"/>
      <c r="O496" s="187"/>
      <c r="P496" s="187"/>
      <c r="Q496" s="187"/>
      <c r="R496" s="187"/>
      <c r="S496" s="187"/>
      <c r="T496" s="187"/>
      <c r="U496" s="187"/>
      <c r="V496" s="187"/>
      <c r="W496" s="187"/>
      <c r="X496" s="187"/>
      <c r="Y496" s="187"/>
      <c r="Z496" s="187"/>
      <c r="AA496" s="187"/>
      <c r="AB496" s="187"/>
      <c r="AC496" s="187"/>
      <c r="AD496" s="187"/>
      <c r="AE496" s="187"/>
      <c r="AF496" s="187"/>
    </row>
    <row r="497" spans="1:32">
      <c r="A497" s="683"/>
      <c r="B497" s="720" t="s">
        <v>774</v>
      </c>
      <c r="C497" s="683" t="s">
        <v>324</v>
      </c>
      <c r="D497" s="719" t="s">
        <v>1974</v>
      </c>
      <c r="E497" s="720" t="s">
        <v>407</v>
      </c>
      <c r="F497" s="721">
        <v>2262</v>
      </c>
      <c r="G497" s="686" t="s">
        <v>400</v>
      </c>
      <c r="H497" s="689">
        <v>28869.97</v>
      </c>
      <c r="I497" s="689"/>
      <c r="J497" s="1654">
        <v>25288</v>
      </c>
      <c r="K497" s="727"/>
      <c r="L497" s="689">
        <v>37782</v>
      </c>
      <c r="M497" s="687"/>
      <c r="N497" s="125"/>
      <c r="O497" s="187"/>
      <c r="P497" s="187"/>
      <c r="Q497" s="187"/>
      <c r="R497" s="187"/>
      <c r="S497" s="187"/>
      <c r="T497" s="187"/>
      <c r="U497" s="187"/>
      <c r="V497" s="187"/>
      <c r="W497" s="187"/>
      <c r="X497" s="187"/>
      <c r="Y497" s="187"/>
      <c r="Z497" s="187"/>
      <c r="AA497" s="187"/>
      <c r="AB497" s="187"/>
      <c r="AC497" s="187"/>
      <c r="AD497" s="187"/>
      <c r="AE497" s="187"/>
      <c r="AF497" s="187"/>
    </row>
    <row r="498" spans="1:32" ht="40.799999999999997">
      <c r="A498" s="663"/>
      <c r="B498" s="700" t="s">
        <v>774</v>
      </c>
      <c r="C498" s="663" t="s">
        <v>324</v>
      </c>
      <c r="D498" s="678" t="s">
        <v>1974</v>
      </c>
      <c r="E498" s="700" t="s">
        <v>407</v>
      </c>
      <c r="F498" s="725">
        <v>2262</v>
      </c>
      <c r="G498" s="811" t="s">
        <v>3509</v>
      </c>
      <c r="H498" s="660"/>
      <c r="I498" s="660">
        <v>7620</v>
      </c>
      <c r="J498" s="1654">
        <v>6984</v>
      </c>
      <c r="K498" s="667"/>
      <c r="L498" s="659"/>
      <c r="M498" s="693">
        <v>7620</v>
      </c>
      <c r="N498" s="125"/>
      <c r="O498" s="187"/>
      <c r="P498" s="187"/>
      <c r="Q498" s="187"/>
      <c r="R498" s="187"/>
      <c r="S498" s="187"/>
      <c r="T498" s="187"/>
      <c r="U498" s="187"/>
      <c r="V498" s="187"/>
      <c r="W498" s="187"/>
      <c r="X498" s="187"/>
      <c r="Y498" s="187"/>
      <c r="Z498" s="187"/>
      <c r="AA498" s="187"/>
      <c r="AB498" s="187"/>
      <c r="AC498" s="187"/>
      <c r="AD498" s="187"/>
      <c r="AE498" s="187"/>
      <c r="AF498" s="187"/>
    </row>
    <row r="499" spans="1:32" ht="51">
      <c r="A499" s="663"/>
      <c r="B499" s="700" t="s">
        <v>774</v>
      </c>
      <c r="C499" s="663" t="s">
        <v>324</v>
      </c>
      <c r="D499" s="678" t="s">
        <v>1974</v>
      </c>
      <c r="E499" s="700" t="s">
        <v>407</v>
      </c>
      <c r="F499" s="725">
        <v>2262</v>
      </c>
      <c r="G499" s="811" t="s">
        <v>3510</v>
      </c>
      <c r="H499" s="693"/>
      <c r="I499" s="693">
        <v>21249.97</v>
      </c>
      <c r="J499" s="1654">
        <v>18304</v>
      </c>
      <c r="K499" s="848"/>
      <c r="L499" s="691"/>
      <c r="M499" s="693">
        <v>15147</v>
      </c>
      <c r="N499" s="125"/>
      <c r="O499" s="187"/>
      <c r="P499" s="187"/>
      <c r="Q499" s="187"/>
      <c r="R499" s="187"/>
      <c r="S499" s="187"/>
      <c r="T499" s="187"/>
      <c r="U499" s="187"/>
      <c r="V499" s="187"/>
      <c r="W499" s="187"/>
      <c r="X499" s="187"/>
      <c r="Y499" s="187"/>
      <c r="Z499" s="187"/>
      <c r="AA499" s="187"/>
      <c r="AB499" s="187"/>
      <c r="AC499" s="187"/>
      <c r="AD499" s="187"/>
      <c r="AE499" s="187"/>
      <c r="AF499" s="187"/>
    </row>
    <row r="500" spans="1:32" ht="51">
      <c r="A500" s="663"/>
      <c r="B500" s="700" t="s">
        <v>774</v>
      </c>
      <c r="C500" s="663" t="s">
        <v>324</v>
      </c>
      <c r="D500" s="678" t="s">
        <v>1974</v>
      </c>
      <c r="E500" s="700" t="s">
        <v>407</v>
      </c>
      <c r="F500" s="725">
        <v>2262</v>
      </c>
      <c r="G500" s="811" t="s">
        <v>5016</v>
      </c>
      <c r="H500" s="660"/>
      <c r="I500" s="660"/>
      <c r="J500" s="1654" t="s">
        <v>1134</v>
      </c>
      <c r="K500" s="667"/>
      <c r="L500" s="2804"/>
      <c r="M500" s="693">
        <v>15015</v>
      </c>
      <c r="N500" s="125"/>
      <c r="O500" s="187"/>
      <c r="P500" s="187"/>
      <c r="Q500" s="187"/>
      <c r="R500" s="187"/>
      <c r="S500" s="187"/>
      <c r="T500" s="187"/>
      <c r="U500" s="187"/>
      <c r="V500" s="187"/>
      <c r="W500" s="187"/>
      <c r="X500" s="187"/>
      <c r="Y500" s="187"/>
      <c r="Z500" s="187"/>
      <c r="AA500" s="187"/>
      <c r="AB500" s="187"/>
      <c r="AC500" s="187"/>
      <c r="AD500" s="187"/>
      <c r="AE500" s="187"/>
      <c r="AF500" s="187"/>
    </row>
    <row r="501" spans="1:32">
      <c r="A501" s="683"/>
      <c r="B501" s="3129" t="s">
        <v>773</v>
      </c>
      <c r="C501" s="683" t="s">
        <v>324</v>
      </c>
      <c r="D501" s="719" t="s">
        <v>1974</v>
      </c>
      <c r="E501" s="720" t="s">
        <v>407</v>
      </c>
      <c r="F501" s="721">
        <v>2262</v>
      </c>
      <c r="G501" s="686" t="s">
        <v>400</v>
      </c>
      <c r="H501" s="689">
        <v>8183</v>
      </c>
      <c r="I501" s="689"/>
      <c r="J501" s="1654"/>
      <c r="K501" s="727"/>
      <c r="L501" s="689">
        <v>0</v>
      </c>
      <c r="M501" s="689"/>
      <c r="N501" s="125"/>
      <c r="O501" s="187"/>
      <c r="P501" s="187"/>
      <c r="Q501" s="187"/>
      <c r="R501" s="187"/>
      <c r="S501" s="187"/>
      <c r="T501" s="187"/>
      <c r="U501" s="187"/>
      <c r="V501" s="187"/>
      <c r="W501" s="187"/>
      <c r="X501" s="187"/>
      <c r="Y501" s="187"/>
      <c r="Z501" s="187"/>
      <c r="AA501" s="187"/>
      <c r="AB501" s="187"/>
      <c r="AC501" s="187"/>
      <c r="AD501" s="187"/>
      <c r="AE501" s="187"/>
      <c r="AF501" s="187"/>
    </row>
    <row r="502" spans="1:32" ht="20.399999999999999" customHeight="1">
      <c r="A502" s="663"/>
      <c r="B502" s="3130" t="s">
        <v>773</v>
      </c>
      <c r="C502" s="663" t="s">
        <v>324</v>
      </c>
      <c r="D502" s="678" t="s">
        <v>1974</v>
      </c>
      <c r="E502" s="700" t="s">
        <v>407</v>
      </c>
      <c r="F502" s="725">
        <v>2262</v>
      </c>
      <c r="G502" s="811" t="s">
        <v>3511</v>
      </c>
      <c r="H502" s="660"/>
      <c r="I502" s="660">
        <v>8183</v>
      </c>
      <c r="J502" s="1654" t="s">
        <v>1134</v>
      </c>
      <c r="K502" s="667"/>
      <c r="L502" s="660"/>
      <c r="M502" s="693"/>
      <c r="N502" s="125"/>
      <c r="O502" s="187"/>
      <c r="P502" s="187"/>
      <c r="Q502" s="187"/>
      <c r="R502" s="187"/>
      <c r="S502" s="187"/>
      <c r="T502" s="187"/>
      <c r="U502" s="187"/>
      <c r="V502" s="187"/>
      <c r="W502" s="187"/>
      <c r="X502" s="187"/>
      <c r="Y502" s="187"/>
      <c r="Z502" s="187"/>
      <c r="AA502" s="187"/>
      <c r="AB502" s="187"/>
      <c r="AC502" s="187"/>
      <c r="AD502" s="187"/>
      <c r="AE502" s="187"/>
      <c r="AF502" s="187"/>
    </row>
    <row r="503" spans="1:32">
      <c r="A503" s="683"/>
      <c r="B503" s="720" t="s">
        <v>772</v>
      </c>
      <c r="C503" s="683" t="s">
        <v>320</v>
      </c>
      <c r="D503" s="719" t="s">
        <v>1974</v>
      </c>
      <c r="E503" s="720" t="s">
        <v>407</v>
      </c>
      <c r="F503" s="721">
        <v>2264</v>
      </c>
      <c r="G503" s="686" t="s">
        <v>125</v>
      </c>
      <c r="H503" s="689">
        <v>180</v>
      </c>
      <c r="I503" s="689"/>
      <c r="J503" s="1654">
        <v>164</v>
      </c>
      <c r="K503" s="727"/>
      <c r="L503" s="689">
        <v>180</v>
      </c>
      <c r="M503" s="689"/>
      <c r="N503" s="125"/>
      <c r="O503" s="187"/>
      <c r="P503" s="187"/>
      <c r="Q503" s="187"/>
      <c r="R503" s="187"/>
      <c r="S503" s="187"/>
      <c r="T503" s="187"/>
      <c r="U503" s="187"/>
      <c r="V503" s="187"/>
      <c r="W503" s="187"/>
      <c r="X503" s="187"/>
      <c r="Y503" s="187"/>
      <c r="Z503" s="187"/>
      <c r="AA503" s="187"/>
      <c r="AB503" s="187"/>
      <c r="AC503" s="187"/>
      <c r="AD503" s="187"/>
      <c r="AE503" s="187"/>
      <c r="AF503" s="187"/>
    </row>
    <row r="504" spans="1:32" ht="33.75" customHeight="1">
      <c r="A504" s="663"/>
      <c r="B504" s="700" t="s">
        <v>772</v>
      </c>
      <c r="C504" s="663" t="s">
        <v>320</v>
      </c>
      <c r="D504" s="678" t="s">
        <v>1974</v>
      </c>
      <c r="E504" s="700" t="s">
        <v>407</v>
      </c>
      <c r="F504" s="725">
        <v>2264</v>
      </c>
      <c r="G504" s="811" t="s">
        <v>164</v>
      </c>
      <c r="H504" s="660"/>
      <c r="I504" s="660">
        <v>180</v>
      </c>
      <c r="J504" s="1654" t="s">
        <v>1134</v>
      </c>
      <c r="K504" s="667"/>
      <c r="L504" s="660"/>
      <c r="M504" s="660">
        <v>180</v>
      </c>
      <c r="N504" s="125"/>
      <c r="O504" s="187"/>
      <c r="P504" s="187"/>
      <c r="Q504" s="187"/>
      <c r="R504" s="187"/>
      <c r="S504" s="187"/>
      <c r="T504" s="187"/>
      <c r="U504" s="187"/>
      <c r="V504" s="187"/>
      <c r="W504" s="187"/>
      <c r="X504" s="187"/>
      <c r="Y504" s="187"/>
      <c r="Z504" s="187"/>
      <c r="AA504" s="187"/>
      <c r="AB504" s="187"/>
      <c r="AC504" s="187"/>
      <c r="AD504" s="187"/>
      <c r="AE504" s="187"/>
      <c r="AF504" s="187"/>
    </row>
    <row r="505" spans="1:32" ht="20.399999999999999">
      <c r="A505" s="683"/>
      <c r="B505" s="720" t="s">
        <v>772</v>
      </c>
      <c r="C505" s="683" t="s">
        <v>322</v>
      </c>
      <c r="D505" s="719" t="s">
        <v>1974</v>
      </c>
      <c r="E505" s="720" t="s">
        <v>407</v>
      </c>
      <c r="F505" s="685">
        <v>2276</v>
      </c>
      <c r="G505" s="686" t="s">
        <v>1887</v>
      </c>
      <c r="H505" s="689">
        <v>500</v>
      </c>
      <c r="I505" s="689"/>
      <c r="J505" s="1654">
        <v>460</v>
      </c>
      <c r="K505" s="727"/>
      <c r="L505" s="689">
        <v>500</v>
      </c>
      <c r="M505" s="689"/>
      <c r="N505" s="125"/>
      <c r="O505" s="4"/>
      <c r="P505" s="4"/>
      <c r="Q505" s="4"/>
      <c r="R505" s="4"/>
      <c r="S505" s="4"/>
      <c r="T505" s="4"/>
      <c r="V505" s="187"/>
      <c r="W505" s="187"/>
      <c r="X505" s="187"/>
      <c r="Y505" s="187"/>
      <c r="Z505" s="187"/>
      <c r="AA505" s="187"/>
      <c r="AB505" s="187"/>
      <c r="AC505" s="187"/>
      <c r="AD505" s="187"/>
      <c r="AE505" s="187"/>
      <c r="AF505" s="187"/>
    </row>
    <row r="506" spans="1:32">
      <c r="A506" s="760"/>
      <c r="B506" s="700" t="s">
        <v>772</v>
      </c>
      <c r="C506" s="663" t="s">
        <v>322</v>
      </c>
      <c r="D506" s="678" t="s">
        <v>1974</v>
      </c>
      <c r="E506" s="700" t="s">
        <v>407</v>
      </c>
      <c r="F506" s="679">
        <v>2276</v>
      </c>
      <c r="G506" s="811" t="s">
        <v>5340</v>
      </c>
      <c r="H506" s="660"/>
      <c r="I506" s="660">
        <v>500</v>
      </c>
      <c r="J506" s="1654" t="s">
        <v>1134</v>
      </c>
      <c r="K506" s="667"/>
      <c r="L506" s="660"/>
      <c r="M506" s="660">
        <v>500</v>
      </c>
      <c r="N506" s="125"/>
      <c r="O506" s="187"/>
      <c r="P506" s="187"/>
      <c r="Q506" s="187"/>
      <c r="R506" s="187"/>
      <c r="S506" s="187"/>
      <c r="T506" s="187"/>
      <c r="U506" s="187"/>
      <c r="V506" s="187"/>
      <c r="W506" s="187"/>
      <c r="X506" s="187"/>
      <c r="Y506" s="187"/>
      <c r="Z506" s="187"/>
      <c r="AA506" s="187"/>
      <c r="AB506" s="187"/>
      <c r="AC506" s="187"/>
      <c r="AD506" s="187"/>
      <c r="AE506" s="187"/>
      <c r="AF506" s="187"/>
    </row>
    <row r="507" spans="1:32" ht="20.399999999999999" customHeight="1">
      <c r="A507" s="683"/>
      <c r="B507" s="720" t="s">
        <v>772</v>
      </c>
      <c r="C507" s="683" t="s">
        <v>322</v>
      </c>
      <c r="D507" s="719" t="s">
        <v>1974</v>
      </c>
      <c r="E507" s="720" t="s">
        <v>407</v>
      </c>
      <c r="F507" s="685">
        <v>2311</v>
      </c>
      <c r="G507" s="686" t="s">
        <v>129</v>
      </c>
      <c r="H507" s="689">
        <v>2835</v>
      </c>
      <c r="I507" s="689"/>
      <c r="J507" s="1654">
        <v>834</v>
      </c>
      <c r="K507" s="727"/>
      <c r="L507" s="689">
        <v>2835</v>
      </c>
      <c r="M507" s="689"/>
      <c r="N507" s="125"/>
      <c r="O507" s="187"/>
      <c r="P507" s="187"/>
      <c r="Q507" s="187"/>
      <c r="R507" s="187"/>
      <c r="S507" s="187"/>
      <c r="T507" s="187"/>
      <c r="U507" s="187"/>
      <c r="V507" s="187"/>
      <c r="W507" s="187"/>
      <c r="X507" s="187"/>
      <c r="Y507" s="187"/>
      <c r="Z507" s="187"/>
      <c r="AA507" s="187"/>
      <c r="AB507" s="187"/>
      <c r="AC507" s="187"/>
      <c r="AD507" s="187"/>
      <c r="AE507" s="187"/>
      <c r="AF507" s="187"/>
    </row>
    <row r="508" spans="1:32">
      <c r="A508" s="760"/>
      <c r="B508" s="700" t="s">
        <v>772</v>
      </c>
      <c r="C508" s="663" t="s">
        <v>322</v>
      </c>
      <c r="D508" s="678" t="s">
        <v>1974</v>
      </c>
      <c r="E508" s="700" t="s">
        <v>407</v>
      </c>
      <c r="F508" s="679">
        <v>2311</v>
      </c>
      <c r="G508" s="665" t="s">
        <v>165</v>
      </c>
      <c r="H508" s="660"/>
      <c r="I508" s="660">
        <v>970</v>
      </c>
      <c r="J508" s="1654" t="s">
        <v>1134</v>
      </c>
      <c r="K508" s="667"/>
      <c r="L508" s="660"/>
      <c r="M508" s="660">
        <v>970</v>
      </c>
      <c r="N508" s="125"/>
      <c r="O508" s="187"/>
      <c r="P508" s="187"/>
      <c r="Q508" s="187"/>
      <c r="R508" s="187"/>
      <c r="S508" s="187"/>
      <c r="T508" s="187"/>
      <c r="U508" s="187"/>
      <c r="V508" s="187"/>
      <c r="W508" s="187"/>
      <c r="X508" s="187"/>
      <c r="Y508" s="187"/>
      <c r="Z508" s="187"/>
      <c r="AA508" s="187"/>
      <c r="AB508" s="187"/>
      <c r="AC508" s="187"/>
      <c r="AD508" s="187"/>
      <c r="AE508" s="187"/>
      <c r="AF508" s="187"/>
    </row>
    <row r="509" spans="1:32">
      <c r="A509" s="760"/>
      <c r="B509" s="700" t="s">
        <v>772</v>
      </c>
      <c r="C509" s="663" t="s">
        <v>322</v>
      </c>
      <c r="D509" s="678" t="s">
        <v>1974</v>
      </c>
      <c r="E509" s="700" t="s">
        <v>407</v>
      </c>
      <c r="F509" s="679">
        <v>2311</v>
      </c>
      <c r="G509" s="665" t="s">
        <v>656</v>
      </c>
      <c r="H509" s="660"/>
      <c r="I509" s="660">
        <v>480</v>
      </c>
      <c r="J509" s="1654" t="s">
        <v>1134</v>
      </c>
      <c r="K509" s="667"/>
      <c r="L509" s="660"/>
      <c r="M509" s="660">
        <v>480</v>
      </c>
      <c r="N509" s="125"/>
      <c r="O509" s="3"/>
      <c r="P509" s="3"/>
      <c r="Q509" s="3"/>
      <c r="R509" s="3"/>
      <c r="S509" s="3"/>
      <c r="T509" s="3"/>
      <c r="U509" s="3"/>
      <c r="V509" s="3"/>
      <c r="W509" s="3"/>
      <c r="X509" s="3"/>
      <c r="Y509" s="3"/>
      <c r="Z509" s="3"/>
      <c r="AA509" s="3"/>
      <c r="AB509" s="3"/>
      <c r="AC509" s="3"/>
      <c r="AD509" s="3"/>
      <c r="AE509" s="3"/>
      <c r="AF509" s="3"/>
    </row>
    <row r="510" spans="1:32">
      <c r="A510" s="760"/>
      <c r="B510" s="700" t="s">
        <v>772</v>
      </c>
      <c r="C510" s="663" t="s">
        <v>322</v>
      </c>
      <c r="D510" s="678" t="s">
        <v>1974</v>
      </c>
      <c r="E510" s="700" t="s">
        <v>407</v>
      </c>
      <c r="F510" s="679">
        <v>2311</v>
      </c>
      <c r="G510" s="665" t="s">
        <v>166</v>
      </c>
      <c r="H510" s="660"/>
      <c r="I510" s="660">
        <v>100</v>
      </c>
      <c r="J510" s="1654" t="s">
        <v>1134</v>
      </c>
      <c r="K510" s="667"/>
      <c r="L510" s="660"/>
      <c r="M510" s="660">
        <v>100</v>
      </c>
      <c r="N510" s="125"/>
      <c r="O510" s="3"/>
      <c r="P510" s="3"/>
      <c r="Q510" s="3"/>
      <c r="R510" s="3"/>
      <c r="S510" s="3"/>
      <c r="T510" s="3"/>
      <c r="U510" s="3"/>
      <c r="V510" s="3"/>
      <c r="W510" s="3"/>
      <c r="X510" s="3"/>
      <c r="Y510" s="3"/>
      <c r="Z510" s="3"/>
      <c r="AA510" s="3"/>
      <c r="AB510" s="3"/>
      <c r="AC510" s="3"/>
      <c r="AD510" s="3"/>
      <c r="AE510" s="3"/>
      <c r="AF510" s="3"/>
    </row>
    <row r="511" spans="1:32">
      <c r="A511" s="760"/>
      <c r="B511" s="700" t="s">
        <v>772</v>
      </c>
      <c r="C511" s="663" t="s">
        <v>322</v>
      </c>
      <c r="D511" s="678" t="s">
        <v>1974</v>
      </c>
      <c r="E511" s="700" t="s">
        <v>407</v>
      </c>
      <c r="F511" s="679">
        <v>2311</v>
      </c>
      <c r="G511" s="665" t="s">
        <v>167</v>
      </c>
      <c r="H511" s="660"/>
      <c r="I511" s="660">
        <v>1185</v>
      </c>
      <c r="J511" s="1654" t="s">
        <v>1134</v>
      </c>
      <c r="K511" s="667"/>
      <c r="L511" s="660"/>
      <c r="M511" s="660">
        <v>1185</v>
      </c>
      <c r="N511" s="125"/>
      <c r="O511" s="3"/>
      <c r="P511" s="3"/>
      <c r="Q511" s="3"/>
      <c r="R511" s="3"/>
      <c r="S511" s="3"/>
      <c r="T511" s="3"/>
      <c r="U511" s="3"/>
      <c r="V511" s="3"/>
      <c r="W511" s="3"/>
      <c r="X511" s="3"/>
      <c r="Y511" s="3"/>
      <c r="Z511" s="3"/>
      <c r="AA511" s="3"/>
      <c r="AB511" s="3"/>
      <c r="AC511" s="3"/>
      <c r="AD511" s="3"/>
      <c r="AE511" s="3"/>
      <c r="AF511" s="3"/>
    </row>
    <row r="512" spans="1:32" s="16" customFormat="1">
      <c r="A512" s="760"/>
      <c r="B512" s="700" t="s">
        <v>772</v>
      </c>
      <c r="C512" s="663" t="s">
        <v>322</v>
      </c>
      <c r="D512" s="678" t="s">
        <v>1974</v>
      </c>
      <c r="E512" s="700" t="s">
        <v>407</v>
      </c>
      <c r="F512" s="679">
        <v>2311</v>
      </c>
      <c r="G512" s="665" t="s">
        <v>1349</v>
      </c>
      <c r="H512" s="660"/>
      <c r="I512" s="660">
        <v>100</v>
      </c>
      <c r="J512" s="1654" t="s">
        <v>1134</v>
      </c>
      <c r="K512" s="667"/>
      <c r="L512" s="660"/>
      <c r="M512" s="660">
        <v>100</v>
      </c>
      <c r="N512" s="125"/>
      <c r="O512" s="7"/>
      <c r="P512" s="7"/>
      <c r="Q512" s="7"/>
      <c r="R512" s="7"/>
      <c r="S512" s="7"/>
      <c r="T512" s="7"/>
      <c r="U512" s="7"/>
      <c r="V512" s="7"/>
      <c r="W512" s="7"/>
      <c r="X512" s="7"/>
      <c r="Y512" s="7"/>
      <c r="Z512" s="7"/>
      <c r="AA512" s="7"/>
      <c r="AB512" s="7"/>
      <c r="AC512" s="7"/>
      <c r="AD512" s="7"/>
      <c r="AE512" s="7"/>
      <c r="AF512" s="7"/>
    </row>
    <row r="513" spans="1:32" s="16" customFormat="1">
      <c r="A513" s="683"/>
      <c r="B513" s="720" t="s">
        <v>772</v>
      </c>
      <c r="C513" s="683" t="s">
        <v>322</v>
      </c>
      <c r="D513" s="719" t="s">
        <v>1974</v>
      </c>
      <c r="E513" s="1406" t="s">
        <v>407</v>
      </c>
      <c r="F513" s="685">
        <v>2312</v>
      </c>
      <c r="G513" s="686" t="s">
        <v>131</v>
      </c>
      <c r="H513" s="689">
        <v>2063</v>
      </c>
      <c r="I513" s="689"/>
      <c r="J513" s="1654">
        <v>1851</v>
      </c>
      <c r="K513" s="727"/>
      <c r="L513" s="1661">
        <v>1300</v>
      </c>
      <c r="M513" s="687"/>
      <c r="N513" s="125"/>
      <c r="O513" s="7"/>
      <c r="P513" s="7"/>
      <c r="Q513" s="7"/>
      <c r="R513" s="7"/>
      <c r="S513" s="7"/>
      <c r="T513" s="7"/>
      <c r="U513" s="7"/>
      <c r="V513" s="7"/>
      <c r="W513" s="7"/>
      <c r="X513" s="7"/>
      <c r="Y513" s="7"/>
      <c r="Z513" s="7"/>
      <c r="AA513" s="7"/>
      <c r="AB513" s="7"/>
      <c r="AC513" s="7"/>
      <c r="AD513" s="7"/>
      <c r="AE513" s="7"/>
      <c r="AF513" s="7"/>
    </row>
    <row r="514" spans="1:32" s="16" customFormat="1" ht="20.399999999999999">
      <c r="A514" s="760"/>
      <c r="B514" s="700" t="s">
        <v>772</v>
      </c>
      <c r="C514" s="663" t="s">
        <v>322</v>
      </c>
      <c r="D514" s="678" t="s">
        <v>1974</v>
      </c>
      <c r="E514" s="1407" t="s">
        <v>407</v>
      </c>
      <c r="F514" s="679">
        <v>2312</v>
      </c>
      <c r="G514" s="811" t="s">
        <v>409</v>
      </c>
      <c r="H514" s="660"/>
      <c r="I514" s="660">
        <v>300</v>
      </c>
      <c r="J514" s="1654" t="s">
        <v>1134</v>
      </c>
      <c r="K514" s="667"/>
      <c r="L514" s="659"/>
      <c r="M514" s="660">
        <v>300</v>
      </c>
      <c r="N514" s="125"/>
      <c r="O514" s="7"/>
      <c r="P514" s="7"/>
      <c r="Q514" s="7"/>
      <c r="R514" s="7"/>
      <c r="S514" s="7"/>
      <c r="T514" s="7"/>
      <c r="U514" s="7"/>
      <c r="V514" s="7"/>
      <c r="W514" s="7"/>
      <c r="X514" s="7"/>
      <c r="Y514" s="7"/>
      <c r="Z514" s="7"/>
      <c r="AA514" s="7"/>
      <c r="AB514" s="7"/>
      <c r="AC514" s="7"/>
      <c r="AD514" s="7"/>
      <c r="AE514" s="7"/>
      <c r="AF514" s="7"/>
    </row>
    <row r="515" spans="1:32" s="16" customFormat="1" ht="180" customHeight="1">
      <c r="A515" s="760"/>
      <c r="B515" s="700" t="s">
        <v>772</v>
      </c>
      <c r="C515" s="663" t="s">
        <v>322</v>
      </c>
      <c r="D515" s="678" t="s">
        <v>1974</v>
      </c>
      <c r="E515" s="1407" t="s">
        <v>407</v>
      </c>
      <c r="F515" s="679">
        <v>2312</v>
      </c>
      <c r="G515" s="811" t="s">
        <v>555</v>
      </c>
      <c r="H515" s="660"/>
      <c r="I515" s="855">
        <v>500</v>
      </c>
      <c r="J515" s="1654" t="s">
        <v>1134</v>
      </c>
      <c r="K515" s="667"/>
      <c r="L515" s="659"/>
      <c r="M515" s="1710">
        <v>500</v>
      </c>
      <c r="N515" s="125"/>
      <c r="O515" s="7"/>
      <c r="P515" s="7"/>
      <c r="Q515" s="7"/>
      <c r="R515" s="7"/>
      <c r="S515" s="7"/>
      <c r="T515" s="7"/>
      <c r="U515" s="7"/>
      <c r="V515" s="7"/>
      <c r="W515" s="7"/>
      <c r="X515" s="7"/>
      <c r="Y515" s="7"/>
      <c r="Z515" s="7"/>
      <c r="AA515" s="7"/>
      <c r="AB515" s="7"/>
      <c r="AC515" s="7"/>
      <c r="AD515" s="7"/>
      <c r="AE515" s="7"/>
      <c r="AF515" s="7"/>
    </row>
    <row r="516" spans="1:32" s="16" customFormat="1">
      <c r="A516" s="760"/>
      <c r="B516" s="700" t="s">
        <v>772</v>
      </c>
      <c r="C516" s="663" t="s">
        <v>322</v>
      </c>
      <c r="D516" s="678" t="s">
        <v>1974</v>
      </c>
      <c r="E516" s="1407" t="s">
        <v>407</v>
      </c>
      <c r="F516" s="679">
        <v>2312</v>
      </c>
      <c r="G516" s="811" t="s">
        <v>5341</v>
      </c>
      <c r="H516" s="660"/>
      <c r="I516" s="855">
        <v>500</v>
      </c>
      <c r="J516" s="1654" t="s">
        <v>1134</v>
      </c>
      <c r="K516" s="667"/>
      <c r="L516" s="659"/>
      <c r="M516" s="1710">
        <v>500</v>
      </c>
      <c r="N516" s="176"/>
      <c r="O516" s="7"/>
      <c r="P516" s="7"/>
      <c r="Q516" s="7"/>
      <c r="R516" s="7"/>
      <c r="S516" s="7"/>
      <c r="T516" s="7"/>
      <c r="U516" s="7"/>
      <c r="V516" s="7"/>
      <c r="W516" s="7"/>
      <c r="X516" s="7"/>
      <c r="Y516" s="7"/>
      <c r="Z516" s="7"/>
      <c r="AA516" s="7"/>
      <c r="AB516" s="7"/>
      <c r="AC516" s="7"/>
      <c r="AD516" s="7"/>
      <c r="AE516" s="7"/>
      <c r="AF516" s="7"/>
    </row>
    <row r="517" spans="1:32" s="16" customFormat="1" ht="20.399999999999999">
      <c r="A517" s="760"/>
      <c r="B517" s="700" t="s">
        <v>772</v>
      </c>
      <c r="C517" s="663" t="s">
        <v>322</v>
      </c>
      <c r="D517" s="678" t="s">
        <v>1974</v>
      </c>
      <c r="E517" s="1407" t="s">
        <v>407</v>
      </c>
      <c r="F517" s="679">
        <v>2312</v>
      </c>
      <c r="G517" s="811" t="s">
        <v>3089</v>
      </c>
      <c r="H517" s="660"/>
      <c r="I517" s="660">
        <v>299</v>
      </c>
      <c r="J517" s="1654" t="s">
        <v>1134</v>
      </c>
      <c r="K517" s="667"/>
      <c r="L517" s="659"/>
      <c r="M517" s="659"/>
      <c r="N517" s="125"/>
      <c r="O517" s="7"/>
      <c r="P517" s="7"/>
      <c r="Q517" s="7"/>
      <c r="R517" s="7"/>
      <c r="S517" s="7"/>
      <c r="T517" s="7"/>
      <c r="U517" s="7"/>
      <c r="V517" s="7"/>
      <c r="W517" s="7"/>
      <c r="X517" s="7"/>
      <c r="Y517" s="7"/>
      <c r="Z517" s="7"/>
      <c r="AA517" s="7"/>
      <c r="AB517" s="7"/>
      <c r="AC517" s="7"/>
      <c r="AD517" s="7"/>
      <c r="AE517" s="7"/>
      <c r="AF517" s="7"/>
    </row>
    <row r="518" spans="1:32" s="16" customFormat="1" ht="20.399999999999999">
      <c r="A518" s="1145"/>
      <c r="B518" s="700" t="s">
        <v>772</v>
      </c>
      <c r="C518" s="663" t="s">
        <v>322</v>
      </c>
      <c r="D518" s="678" t="s">
        <v>1974</v>
      </c>
      <c r="E518" s="1407" t="s">
        <v>407</v>
      </c>
      <c r="F518" s="679">
        <v>2312</v>
      </c>
      <c r="G518" s="1453" t="s">
        <v>3088</v>
      </c>
      <c r="H518" s="1130"/>
      <c r="I518" s="1130">
        <v>464</v>
      </c>
      <c r="J518" s="1654" t="s">
        <v>1134</v>
      </c>
      <c r="K518" s="1132"/>
      <c r="L518" s="1115"/>
      <c r="M518" s="1115"/>
      <c r="N518" s="125" t="s">
        <v>3512</v>
      </c>
      <c r="O518" s="7"/>
      <c r="P518" s="7"/>
      <c r="Q518" s="7"/>
      <c r="R518" s="7"/>
      <c r="S518" s="7"/>
      <c r="T518" s="7"/>
      <c r="U518" s="7"/>
      <c r="V518" s="7"/>
      <c r="W518" s="7"/>
      <c r="X518" s="7"/>
      <c r="Y518" s="7"/>
      <c r="Z518" s="7"/>
      <c r="AA518" s="7"/>
      <c r="AB518" s="7"/>
      <c r="AC518" s="7"/>
      <c r="AD518" s="7"/>
      <c r="AE518" s="7"/>
      <c r="AF518" s="7"/>
    </row>
    <row r="519" spans="1:32" s="16" customFormat="1" ht="20.399999999999999">
      <c r="A519" s="683"/>
      <c r="B519" s="720" t="s">
        <v>772</v>
      </c>
      <c r="C519" s="683" t="s">
        <v>322</v>
      </c>
      <c r="D519" s="719" t="s">
        <v>1974</v>
      </c>
      <c r="E519" s="1406" t="s">
        <v>407</v>
      </c>
      <c r="F519" s="685">
        <v>2314</v>
      </c>
      <c r="G519" s="686" t="s">
        <v>1435</v>
      </c>
      <c r="H519" s="689">
        <v>1350</v>
      </c>
      <c r="I519" s="689"/>
      <c r="J519" s="1654">
        <v>871</v>
      </c>
      <c r="K519" s="727"/>
      <c r="L519" s="1661">
        <v>1350</v>
      </c>
      <c r="M519" s="1661"/>
      <c r="N519" s="125"/>
      <c r="O519" s="7"/>
      <c r="P519" s="7"/>
      <c r="Q519" s="7"/>
      <c r="R519" s="7"/>
      <c r="S519" s="7"/>
      <c r="T519" s="7"/>
      <c r="U519" s="7"/>
      <c r="V519" s="7"/>
      <c r="W519" s="7"/>
      <c r="X519" s="7"/>
      <c r="Y519" s="7"/>
      <c r="Z519" s="7"/>
      <c r="AA519" s="7"/>
      <c r="AB519" s="7"/>
      <c r="AC519" s="7"/>
      <c r="AD519" s="7"/>
      <c r="AE519" s="7"/>
    </row>
    <row r="520" spans="1:32" s="16" customFormat="1">
      <c r="A520" s="663"/>
      <c r="B520" s="700" t="s">
        <v>772</v>
      </c>
      <c r="C520" s="663" t="s">
        <v>322</v>
      </c>
      <c r="D520" s="678" t="s">
        <v>1974</v>
      </c>
      <c r="E520" s="1407" t="s">
        <v>407</v>
      </c>
      <c r="F520" s="679">
        <v>2314</v>
      </c>
      <c r="G520" s="665" t="s">
        <v>196</v>
      </c>
      <c r="H520" s="660"/>
      <c r="I520" s="660">
        <v>150</v>
      </c>
      <c r="J520" s="1654" t="s">
        <v>1134</v>
      </c>
      <c r="K520" s="667"/>
      <c r="L520" s="1662"/>
      <c r="M520" s="1662">
        <v>150</v>
      </c>
      <c r="N520" s="177" t="s">
        <v>1073</v>
      </c>
      <c r="O520" s="7"/>
      <c r="P520" s="7"/>
      <c r="Q520" s="7"/>
      <c r="R520" s="7"/>
      <c r="S520" s="7"/>
      <c r="T520" s="7"/>
      <c r="U520" s="7"/>
      <c r="V520" s="7"/>
      <c r="W520" s="7"/>
      <c r="X520" s="7"/>
      <c r="Y520" s="7"/>
      <c r="Z520" s="7"/>
      <c r="AA520" s="7"/>
      <c r="AB520" s="7"/>
      <c r="AC520" s="7"/>
      <c r="AD520" s="7"/>
      <c r="AE520" s="7"/>
    </row>
    <row r="521" spans="1:32" s="16" customFormat="1" ht="30.6">
      <c r="A521" s="663" t="s">
        <v>495</v>
      </c>
      <c r="B521" s="700" t="s">
        <v>772</v>
      </c>
      <c r="C521" s="663" t="s">
        <v>320</v>
      </c>
      <c r="D521" s="678" t="s">
        <v>1974</v>
      </c>
      <c r="E521" s="1407" t="s">
        <v>407</v>
      </c>
      <c r="F521" s="679">
        <v>2314</v>
      </c>
      <c r="G521" s="665" t="s">
        <v>1351</v>
      </c>
      <c r="H521" s="660"/>
      <c r="I521" s="660">
        <v>1200</v>
      </c>
      <c r="J521" s="1654" t="s">
        <v>1134</v>
      </c>
      <c r="K521" s="667"/>
      <c r="L521" s="1662"/>
      <c r="M521" s="1662">
        <v>1200</v>
      </c>
      <c r="N521" s="125"/>
      <c r="O521" s="7"/>
      <c r="P521" s="7"/>
      <c r="Q521" s="7"/>
      <c r="R521" s="7"/>
      <c r="S521" s="7"/>
      <c r="T521" s="7"/>
      <c r="U521" s="7"/>
      <c r="V521" s="7"/>
      <c r="W521" s="7"/>
      <c r="X521" s="7"/>
      <c r="Y521" s="7"/>
      <c r="Z521" s="7"/>
      <c r="AA521" s="7"/>
      <c r="AB521" s="7"/>
      <c r="AC521" s="7"/>
      <c r="AD521" s="7"/>
      <c r="AE521" s="7"/>
    </row>
    <row r="522" spans="1:32" s="16" customFormat="1">
      <c r="A522" s="683"/>
      <c r="B522" s="720" t="s">
        <v>772</v>
      </c>
      <c r="C522" s="683" t="s">
        <v>320</v>
      </c>
      <c r="D522" s="719" t="s">
        <v>1974</v>
      </c>
      <c r="E522" s="1406" t="s">
        <v>407</v>
      </c>
      <c r="F522" s="685">
        <v>2321</v>
      </c>
      <c r="G522" s="686" t="s">
        <v>168</v>
      </c>
      <c r="H522" s="689">
        <v>5000</v>
      </c>
      <c r="I522" s="689"/>
      <c r="J522" s="1654">
        <v>0</v>
      </c>
      <c r="K522" s="727"/>
      <c r="L522" s="1661">
        <v>0</v>
      </c>
      <c r="M522" s="1661"/>
      <c r="N522" s="125"/>
      <c r="O522" s="7"/>
      <c r="P522" s="7"/>
      <c r="Q522" s="7"/>
      <c r="R522" s="7"/>
      <c r="S522" s="7"/>
      <c r="T522" s="7"/>
      <c r="U522" s="7"/>
      <c r="V522" s="7"/>
      <c r="W522" s="7"/>
      <c r="X522" s="7"/>
      <c r="Y522" s="7"/>
      <c r="Z522" s="7"/>
      <c r="AA522" s="7"/>
      <c r="AB522" s="7"/>
      <c r="AC522" s="7"/>
      <c r="AD522" s="7"/>
      <c r="AE522" s="7"/>
      <c r="AF522" s="7"/>
    </row>
    <row r="523" spans="1:32" s="16" customFormat="1">
      <c r="A523" s="663"/>
      <c r="B523" s="700" t="s">
        <v>772</v>
      </c>
      <c r="C523" s="663" t="s">
        <v>320</v>
      </c>
      <c r="D523" s="678" t="s">
        <v>1974</v>
      </c>
      <c r="E523" s="1407" t="s">
        <v>407</v>
      </c>
      <c r="F523" s="679">
        <v>2321</v>
      </c>
      <c r="G523" s="854" t="s">
        <v>815</v>
      </c>
      <c r="H523" s="660"/>
      <c r="I523" s="660">
        <v>5000</v>
      </c>
      <c r="J523" s="1654" t="s">
        <v>1134</v>
      </c>
      <c r="K523" s="667"/>
      <c r="L523" s="1662"/>
      <c r="M523" s="1711"/>
      <c r="N523" s="652"/>
      <c r="O523" s="7"/>
      <c r="P523" s="7"/>
      <c r="Q523" s="7"/>
      <c r="R523" s="7"/>
      <c r="S523" s="7"/>
      <c r="T523" s="7"/>
      <c r="U523" s="7"/>
      <c r="V523" s="7"/>
      <c r="W523" s="7"/>
      <c r="X523" s="7"/>
      <c r="Y523" s="7"/>
      <c r="Z523" s="7"/>
      <c r="AA523" s="7"/>
      <c r="AB523" s="7"/>
      <c r="AC523" s="7"/>
      <c r="AD523" s="7"/>
      <c r="AE523" s="7"/>
    </row>
    <row r="524" spans="1:32" s="16" customFormat="1">
      <c r="A524" s="683"/>
      <c r="B524" s="720" t="s">
        <v>772</v>
      </c>
      <c r="C524" s="683" t="s">
        <v>322</v>
      </c>
      <c r="D524" s="719" t="s">
        <v>1974</v>
      </c>
      <c r="E524" s="1406" t="s">
        <v>407</v>
      </c>
      <c r="F524" s="685">
        <v>2322</v>
      </c>
      <c r="G524" s="686" t="s">
        <v>169</v>
      </c>
      <c r="H524" s="689">
        <v>20000</v>
      </c>
      <c r="I524" s="689"/>
      <c r="J524" s="1654">
        <v>13591</v>
      </c>
      <c r="K524" s="727"/>
      <c r="L524" s="1661">
        <v>20000</v>
      </c>
      <c r="M524" s="1661"/>
      <c r="N524" s="125"/>
      <c r="O524" s="7"/>
      <c r="P524" s="7"/>
      <c r="Q524" s="7"/>
      <c r="R524" s="7"/>
      <c r="S524" s="7"/>
      <c r="T524" s="7"/>
      <c r="U524" s="7"/>
      <c r="V524" s="7"/>
      <c r="W524" s="7"/>
      <c r="X524" s="7"/>
      <c r="Y524" s="7"/>
      <c r="Z524" s="7"/>
      <c r="AA524" s="7"/>
      <c r="AB524" s="7"/>
      <c r="AC524" s="7"/>
      <c r="AD524" s="7"/>
      <c r="AE524" s="7"/>
      <c r="AF524" s="7"/>
    </row>
    <row r="525" spans="1:32" s="16" customFormat="1">
      <c r="A525" s="663"/>
      <c r="B525" s="700" t="s">
        <v>772</v>
      </c>
      <c r="C525" s="663" t="s">
        <v>322</v>
      </c>
      <c r="D525" s="678" t="s">
        <v>1974</v>
      </c>
      <c r="E525" s="1407" t="s">
        <v>407</v>
      </c>
      <c r="F525" s="679">
        <v>2322</v>
      </c>
      <c r="G525" s="665" t="s">
        <v>2059</v>
      </c>
      <c r="H525" s="660"/>
      <c r="I525" s="660">
        <v>20000</v>
      </c>
      <c r="J525" s="1654" t="s">
        <v>1134</v>
      </c>
      <c r="K525" s="667"/>
      <c r="L525" s="1662"/>
      <c r="M525" s="1711">
        <v>20000</v>
      </c>
      <c r="N525" s="125"/>
      <c r="O525" s="7"/>
      <c r="P525" s="7"/>
      <c r="Q525" s="7"/>
      <c r="R525" s="7"/>
      <c r="S525" s="7"/>
      <c r="T525" s="7"/>
      <c r="U525" s="7"/>
      <c r="V525" s="7"/>
      <c r="W525" s="7"/>
      <c r="X525" s="7"/>
      <c r="Y525" s="7"/>
      <c r="Z525" s="7"/>
      <c r="AA525" s="7"/>
      <c r="AB525" s="7"/>
      <c r="AC525" s="7"/>
      <c r="AD525" s="7"/>
      <c r="AE525" s="7"/>
      <c r="AF525" s="7"/>
    </row>
    <row r="526" spans="1:32" s="16" customFormat="1">
      <c r="A526" s="683"/>
      <c r="B526" s="720" t="s">
        <v>772</v>
      </c>
      <c r="C526" s="683" t="s">
        <v>322</v>
      </c>
      <c r="D526" s="719" t="s">
        <v>1974</v>
      </c>
      <c r="E526" s="1406" t="s">
        <v>407</v>
      </c>
      <c r="F526" s="685">
        <v>2341</v>
      </c>
      <c r="G526" s="686" t="s">
        <v>192</v>
      </c>
      <c r="H526" s="689">
        <v>100</v>
      </c>
      <c r="I526" s="689"/>
      <c r="J526" s="1654">
        <v>0</v>
      </c>
      <c r="K526" s="727"/>
      <c r="L526" s="1661">
        <v>100</v>
      </c>
      <c r="M526" s="1661"/>
      <c r="N526" s="176"/>
      <c r="O526" s="7"/>
      <c r="P526" s="7"/>
      <c r="Q526" s="7"/>
      <c r="R526" s="7"/>
      <c r="S526" s="7"/>
      <c r="T526" s="7"/>
      <c r="U526" s="7"/>
      <c r="V526" s="7"/>
      <c r="W526" s="7"/>
      <c r="X526" s="7"/>
      <c r="Y526" s="7"/>
      <c r="Z526" s="7"/>
      <c r="AA526" s="7"/>
      <c r="AB526" s="7"/>
      <c r="AC526" s="7"/>
      <c r="AD526" s="7"/>
      <c r="AE526" s="7"/>
      <c r="AF526" s="7"/>
    </row>
    <row r="527" spans="1:32" s="16" customFormat="1">
      <c r="A527" s="663"/>
      <c r="B527" s="700" t="s">
        <v>772</v>
      </c>
      <c r="C527" s="663" t="s">
        <v>322</v>
      </c>
      <c r="D527" s="678" t="s">
        <v>1974</v>
      </c>
      <c r="E527" s="1407" t="s">
        <v>407</v>
      </c>
      <c r="F527" s="679">
        <v>2341</v>
      </c>
      <c r="G527" s="665" t="s">
        <v>1350</v>
      </c>
      <c r="H527" s="660"/>
      <c r="I527" s="660">
        <v>100</v>
      </c>
      <c r="J527" s="1654" t="s">
        <v>1134</v>
      </c>
      <c r="K527" s="667"/>
      <c r="L527" s="1662"/>
      <c r="M527" s="1662">
        <v>100</v>
      </c>
      <c r="N527" s="125"/>
      <c r="O527" s="7"/>
      <c r="P527" s="7"/>
      <c r="Q527" s="7"/>
      <c r="R527" s="7"/>
      <c r="S527" s="7"/>
      <c r="T527" s="7"/>
      <c r="U527" s="7"/>
      <c r="V527" s="7"/>
      <c r="W527" s="7"/>
      <c r="X527" s="7"/>
      <c r="Y527" s="7"/>
      <c r="Z527" s="7"/>
      <c r="AA527" s="7"/>
      <c r="AB527" s="7"/>
      <c r="AC527" s="7"/>
      <c r="AD527" s="7"/>
      <c r="AE527" s="7"/>
      <c r="AF527" s="7"/>
    </row>
    <row r="528" spans="1:32" s="16" customFormat="1">
      <c r="A528" s="683"/>
      <c r="B528" s="720" t="s">
        <v>772</v>
      </c>
      <c r="C528" s="683" t="s">
        <v>320</v>
      </c>
      <c r="D528" s="719" t="s">
        <v>1974</v>
      </c>
      <c r="E528" s="1406" t="s">
        <v>407</v>
      </c>
      <c r="F528" s="685">
        <v>2350</v>
      </c>
      <c r="G528" s="686" t="s">
        <v>170</v>
      </c>
      <c r="H528" s="689">
        <v>4950</v>
      </c>
      <c r="I528" s="689"/>
      <c r="J528" s="1654">
        <v>1490</v>
      </c>
      <c r="K528" s="727"/>
      <c r="L528" s="1661">
        <v>4884</v>
      </c>
      <c r="M528" s="687"/>
      <c r="N528" s="125"/>
      <c r="O528" s="3"/>
      <c r="P528" s="3"/>
      <c r="Q528" s="3"/>
      <c r="R528" s="3"/>
      <c r="S528" s="3"/>
      <c r="T528" s="3"/>
      <c r="U528" s="3"/>
      <c r="V528" s="3"/>
      <c r="W528" s="3"/>
      <c r="X528" s="3"/>
      <c r="Y528" s="3"/>
      <c r="Z528" s="3"/>
      <c r="AA528" s="3"/>
      <c r="AB528" s="3"/>
      <c r="AC528" s="3"/>
      <c r="AD528" s="3"/>
      <c r="AE528" s="3"/>
      <c r="AF528" s="3"/>
    </row>
    <row r="529" spans="1:32" s="16" customFormat="1" ht="168.75" customHeight="1">
      <c r="A529" s="760"/>
      <c r="B529" s="700" t="s">
        <v>772</v>
      </c>
      <c r="C529" s="663" t="s">
        <v>320</v>
      </c>
      <c r="D529" s="678" t="s">
        <v>1974</v>
      </c>
      <c r="E529" s="1407" t="s">
        <v>407</v>
      </c>
      <c r="F529" s="679">
        <v>2350</v>
      </c>
      <c r="G529" s="665" t="s">
        <v>352</v>
      </c>
      <c r="H529" s="660"/>
      <c r="I529" s="660">
        <v>400</v>
      </c>
      <c r="J529" s="1654" t="s">
        <v>1134</v>
      </c>
      <c r="K529" s="667"/>
      <c r="L529" s="659"/>
      <c r="M529" s="1662">
        <v>400</v>
      </c>
      <c r="N529" s="177" t="s">
        <v>3517</v>
      </c>
      <c r="O529" s="3"/>
      <c r="P529" s="3"/>
      <c r="Q529" s="3"/>
      <c r="R529" s="3"/>
      <c r="S529" s="3"/>
      <c r="T529" s="3"/>
      <c r="U529" s="3"/>
      <c r="V529" s="3"/>
      <c r="W529" s="3"/>
      <c r="X529" s="3"/>
      <c r="Y529" s="3"/>
      <c r="Z529" s="3"/>
      <c r="AA529" s="3"/>
      <c r="AB529" s="3"/>
      <c r="AC529" s="3"/>
      <c r="AD529" s="3"/>
      <c r="AE529" s="3"/>
      <c r="AF529" s="3"/>
    </row>
    <row r="530" spans="1:32" s="16" customFormat="1">
      <c r="A530" s="760"/>
      <c r="B530" s="700" t="s">
        <v>772</v>
      </c>
      <c r="C530" s="663" t="s">
        <v>320</v>
      </c>
      <c r="D530" s="678" t="s">
        <v>1974</v>
      </c>
      <c r="E530" s="1407" t="s">
        <v>407</v>
      </c>
      <c r="F530" s="679">
        <v>2350</v>
      </c>
      <c r="G530" s="1548" t="s">
        <v>351</v>
      </c>
      <c r="H530" s="1549"/>
      <c r="I530" s="1549">
        <v>3200</v>
      </c>
      <c r="J530" s="1655" t="s">
        <v>1134</v>
      </c>
      <c r="K530" s="1551"/>
      <c r="L530" s="1552"/>
      <c r="M530" s="1709">
        <v>3200</v>
      </c>
      <c r="N530" s="305"/>
      <c r="O530" s="3"/>
      <c r="P530" s="3"/>
      <c r="Q530" s="3"/>
      <c r="R530" s="3"/>
      <c r="S530" s="3"/>
      <c r="T530" s="3"/>
      <c r="U530" s="3"/>
      <c r="V530" s="3"/>
      <c r="W530" s="3"/>
      <c r="X530" s="3"/>
      <c r="Y530" s="3"/>
      <c r="Z530" s="3"/>
      <c r="AA530" s="3"/>
      <c r="AB530" s="3"/>
      <c r="AC530" s="3"/>
      <c r="AD530" s="3"/>
      <c r="AE530" s="3"/>
      <c r="AF530" s="3"/>
    </row>
    <row r="531" spans="1:32">
      <c r="A531" s="760"/>
      <c r="B531" s="700" t="s">
        <v>772</v>
      </c>
      <c r="C531" s="663" t="s">
        <v>320</v>
      </c>
      <c r="D531" s="678" t="s">
        <v>1974</v>
      </c>
      <c r="E531" s="1407" t="s">
        <v>407</v>
      </c>
      <c r="F531" s="679">
        <v>2350</v>
      </c>
      <c r="G531" s="665" t="s">
        <v>171</v>
      </c>
      <c r="H531" s="660"/>
      <c r="I531" s="660">
        <v>500</v>
      </c>
      <c r="J531" s="1654" t="s">
        <v>1134</v>
      </c>
      <c r="K531" s="667"/>
      <c r="L531" s="659"/>
      <c r="M531" s="1662">
        <v>500</v>
      </c>
      <c r="N531" s="305"/>
      <c r="O531" s="3"/>
      <c r="P531" s="3"/>
      <c r="Q531" s="3"/>
      <c r="R531" s="3"/>
      <c r="S531" s="3"/>
      <c r="T531" s="3"/>
      <c r="U531" s="3"/>
      <c r="V531" s="3"/>
      <c r="W531" s="3"/>
      <c r="X531" s="3"/>
      <c r="Y531" s="3"/>
      <c r="Z531" s="3"/>
      <c r="AA531" s="3"/>
      <c r="AB531" s="3"/>
      <c r="AC531" s="3"/>
      <c r="AD531" s="3"/>
      <c r="AE531" s="3"/>
      <c r="AF531" s="3"/>
    </row>
    <row r="532" spans="1:32" ht="40.799999999999997">
      <c r="A532" s="760"/>
      <c r="B532" s="700" t="s">
        <v>772</v>
      </c>
      <c r="C532" s="663" t="s">
        <v>322</v>
      </c>
      <c r="D532" s="678" t="s">
        <v>1974</v>
      </c>
      <c r="E532" s="1407" t="s">
        <v>407</v>
      </c>
      <c r="F532" s="679">
        <v>2350</v>
      </c>
      <c r="G532" s="811" t="s">
        <v>3513</v>
      </c>
      <c r="H532" s="660"/>
      <c r="I532" s="660">
        <v>850</v>
      </c>
      <c r="J532" s="1654" t="s">
        <v>1134</v>
      </c>
      <c r="K532" s="667"/>
      <c r="L532" s="659"/>
      <c r="M532" s="1662">
        <v>784</v>
      </c>
      <c r="N532" s="305"/>
      <c r="O532" s="7"/>
      <c r="P532" s="7"/>
      <c r="Q532" s="7"/>
      <c r="R532" s="7"/>
      <c r="S532" s="7"/>
      <c r="T532" s="7"/>
      <c r="U532" s="7"/>
      <c r="V532" s="7"/>
      <c r="W532" s="7"/>
      <c r="X532" s="7"/>
      <c r="Y532" s="7"/>
      <c r="Z532" s="7"/>
      <c r="AA532" s="7"/>
      <c r="AB532" s="7"/>
      <c r="AC532" s="7"/>
      <c r="AD532" s="7"/>
      <c r="AE532" s="7"/>
      <c r="AF532" s="7"/>
    </row>
    <row r="533" spans="1:32" ht="168.75" customHeight="1">
      <c r="A533" s="683"/>
      <c r="B533" s="720" t="s">
        <v>772</v>
      </c>
      <c r="C533" s="683" t="s">
        <v>322</v>
      </c>
      <c r="D533" s="719" t="s">
        <v>1974</v>
      </c>
      <c r="E533" s="720" t="s">
        <v>407</v>
      </c>
      <c r="F533" s="685">
        <v>2364</v>
      </c>
      <c r="G533" s="686" t="s">
        <v>172</v>
      </c>
      <c r="H533" s="689">
        <v>11000</v>
      </c>
      <c r="I533" s="689"/>
      <c r="J533" s="1654">
        <v>10999</v>
      </c>
      <c r="K533" s="727"/>
      <c r="L533" s="689">
        <v>10960</v>
      </c>
      <c r="M533" s="689"/>
      <c r="N533" s="305"/>
      <c r="O533" s="3"/>
      <c r="P533" s="3"/>
      <c r="Q533" s="3"/>
      <c r="R533" s="3"/>
      <c r="S533" s="3"/>
      <c r="T533" s="3"/>
      <c r="U533" s="3"/>
      <c r="V533" s="3"/>
      <c r="W533" s="3"/>
      <c r="X533" s="3"/>
      <c r="Y533" s="3"/>
      <c r="Z533" s="3"/>
      <c r="AA533" s="3"/>
      <c r="AB533" s="3"/>
      <c r="AC533" s="3"/>
      <c r="AD533" s="3"/>
      <c r="AE533" s="3"/>
      <c r="AF533" s="3"/>
    </row>
    <row r="534" spans="1:32" ht="163.19999999999999">
      <c r="A534" s="760"/>
      <c r="B534" s="700" t="s">
        <v>772</v>
      </c>
      <c r="C534" s="663" t="s">
        <v>322</v>
      </c>
      <c r="D534" s="678" t="s">
        <v>1974</v>
      </c>
      <c r="E534" s="700" t="s">
        <v>407</v>
      </c>
      <c r="F534" s="679">
        <v>2364</v>
      </c>
      <c r="G534" s="1766" t="s">
        <v>3555</v>
      </c>
      <c r="H534" s="660"/>
      <c r="I534" s="660">
        <v>10960</v>
      </c>
      <c r="J534" s="1654" t="s">
        <v>1134</v>
      </c>
      <c r="K534" s="667"/>
      <c r="L534" s="660"/>
      <c r="M534" s="660">
        <v>10960</v>
      </c>
      <c r="N534" s="305"/>
      <c r="O534" s="7"/>
      <c r="P534" s="7"/>
      <c r="Q534" s="7"/>
      <c r="R534" s="7"/>
      <c r="S534" s="7"/>
      <c r="T534" s="7"/>
      <c r="U534" s="7"/>
      <c r="V534" s="7"/>
      <c r="W534" s="7"/>
      <c r="X534" s="7"/>
      <c r="Y534" s="7"/>
      <c r="Z534" s="7"/>
      <c r="AA534" s="7"/>
      <c r="AB534" s="7"/>
      <c r="AC534" s="7"/>
      <c r="AD534" s="7"/>
      <c r="AE534" s="7"/>
      <c r="AF534" s="7"/>
    </row>
    <row r="535" spans="1:32" ht="20.399999999999999">
      <c r="A535" s="760"/>
      <c r="B535" s="700" t="s">
        <v>772</v>
      </c>
      <c r="C535" s="663" t="s">
        <v>322</v>
      </c>
      <c r="D535" s="678" t="s">
        <v>1974</v>
      </c>
      <c r="E535" s="700" t="s">
        <v>407</v>
      </c>
      <c r="F535" s="679">
        <v>2364</v>
      </c>
      <c r="G535" s="682" t="s">
        <v>3386</v>
      </c>
      <c r="H535" s="660"/>
      <c r="I535" s="660">
        <v>40</v>
      </c>
      <c r="J535" s="1654" t="s">
        <v>1134</v>
      </c>
      <c r="K535" s="848"/>
      <c r="L535" s="659"/>
      <c r="M535" s="659"/>
      <c r="N535" s="305"/>
      <c r="O535" s="187"/>
      <c r="P535" s="187"/>
      <c r="Q535" s="187"/>
      <c r="R535" s="187"/>
      <c r="S535" s="187"/>
      <c r="T535" s="187"/>
      <c r="U535" s="187"/>
      <c r="V535" s="187"/>
      <c r="W535" s="187"/>
      <c r="X535" s="187"/>
      <c r="Y535" s="187"/>
      <c r="Z535" s="187"/>
      <c r="AA535" s="187"/>
      <c r="AB535" s="187"/>
      <c r="AC535" s="187"/>
      <c r="AD535" s="187"/>
      <c r="AE535" s="187"/>
      <c r="AF535" s="187"/>
    </row>
    <row r="536" spans="1:32" ht="20.399999999999999">
      <c r="A536" s="683"/>
      <c r="B536" s="720" t="s">
        <v>772</v>
      </c>
      <c r="C536" s="683" t="s">
        <v>322</v>
      </c>
      <c r="D536" s="719" t="s">
        <v>1974</v>
      </c>
      <c r="E536" s="720" t="s">
        <v>407</v>
      </c>
      <c r="F536" s="685">
        <v>2519</v>
      </c>
      <c r="G536" s="686" t="s">
        <v>588</v>
      </c>
      <c r="H536" s="689">
        <v>1500</v>
      </c>
      <c r="I536" s="689"/>
      <c r="J536" s="1654">
        <v>1248</v>
      </c>
      <c r="K536" s="727"/>
      <c r="L536" s="689">
        <v>1700</v>
      </c>
      <c r="M536" s="689"/>
      <c r="N536" s="305"/>
      <c r="O536" s="7"/>
      <c r="P536" s="7"/>
      <c r="Q536" s="7"/>
      <c r="R536" s="7"/>
      <c r="S536" s="7"/>
      <c r="T536" s="7"/>
      <c r="U536" s="7"/>
      <c r="V536" s="7"/>
      <c r="W536" s="7"/>
      <c r="X536" s="7"/>
      <c r="Y536" s="7"/>
      <c r="Z536" s="7"/>
      <c r="AA536" s="7"/>
      <c r="AB536" s="7"/>
      <c r="AC536" s="7"/>
      <c r="AD536" s="7"/>
      <c r="AE536" s="7"/>
      <c r="AF536" s="7"/>
    </row>
    <row r="537" spans="1:32" ht="20.399999999999999">
      <c r="A537" s="760"/>
      <c r="B537" s="700" t="s">
        <v>772</v>
      </c>
      <c r="C537" s="663" t="s">
        <v>322</v>
      </c>
      <c r="D537" s="678" t="s">
        <v>1974</v>
      </c>
      <c r="E537" s="700" t="s">
        <v>407</v>
      </c>
      <c r="F537" s="679">
        <v>2519</v>
      </c>
      <c r="G537" s="811" t="s">
        <v>1352</v>
      </c>
      <c r="H537" s="660"/>
      <c r="I537" s="660">
        <v>2000</v>
      </c>
      <c r="J537" s="1654" t="s">
        <v>1134</v>
      </c>
      <c r="K537" s="667"/>
      <c r="L537" s="660"/>
      <c r="M537" s="660">
        <v>1700</v>
      </c>
      <c r="N537" s="305"/>
      <c r="O537" s="7"/>
      <c r="P537" s="7"/>
      <c r="Q537" s="7"/>
      <c r="R537" s="7"/>
      <c r="S537" s="7"/>
      <c r="T537" s="7"/>
      <c r="U537" s="7"/>
      <c r="V537" s="7"/>
      <c r="W537" s="7"/>
      <c r="X537" s="7"/>
      <c r="Y537" s="7"/>
      <c r="Z537" s="7"/>
      <c r="AA537" s="7"/>
      <c r="AB537" s="7"/>
      <c r="AC537" s="7"/>
      <c r="AD537" s="7"/>
      <c r="AE537" s="7"/>
      <c r="AF537" s="7"/>
    </row>
    <row r="538" spans="1:32" ht="11.4" customHeight="1">
      <c r="A538" s="1704"/>
      <c r="B538" s="700" t="s">
        <v>772</v>
      </c>
      <c r="C538" s="663" t="s">
        <v>322</v>
      </c>
      <c r="D538" s="678" t="s">
        <v>1974</v>
      </c>
      <c r="E538" s="700" t="s">
        <v>407</v>
      </c>
      <c r="F538" s="679">
        <v>2519</v>
      </c>
      <c r="G538" s="1705" t="s">
        <v>3488</v>
      </c>
      <c r="H538" s="1676"/>
      <c r="I538" s="1676">
        <v>-500</v>
      </c>
      <c r="J538" s="1739"/>
      <c r="K538" s="1706"/>
      <c r="L538" s="1676"/>
      <c r="M538" s="1676"/>
      <c r="N538" s="305"/>
      <c r="O538" s="3"/>
      <c r="P538" s="3"/>
      <c r="Q538" s="3"/>
      <c r="R538" s="3"/>
      <c r="S538" s="3"/>
      <c r="T538" s="3"/>
      <c r="U538" s="3"/>
      <c r="V538" s="3"/>
      <c r="W538" s="3"/>
      <c r="X538" s="3"/>
      <c r="Y538" s="3"/>
      <c r="Z538" s="3"/>
      <c r="AA538" s="3"/>
      <c r="AB538" s="3"/>
      <c r="AC538" s="3"/>
      <c r="AD538" s="3"/>
      <c r="AE538" s="3"/>
      <c r="AF538" s="3"/>
    </row>
    <row r="539" spans="1:32" ht="11.4" customHeight="1">
      <c r="A539" s="683"/>
      <c r="B539" s="720" t="s">
        <v>774</v>
      </c>
      <c r="C539" s="683" t="s">
        <v>324</v>
      </c>
      <c r="D539" s="719" t="s">
        <v>1974</v>
      </c>
      <c r="E539" s="1406" t="s">
        <v>407</v>
      </c>
      <c r="F539" s="685">
        <v>5238</v>
      </c>
      <c r="G539" s="694" t="s">
        <v>139</v>
      </c>
      <c r="H539" s="856">
        <v>6687</v>
      </c>
      <c r="I539" s="856"/>
      <c r="J539" s="1654">
        <v>561</v>
      </c>
      <c r="K539" s="667"/>
      <c r="L539" s="1712">
        <v>9050</v>
      </c>
      <c r="M539" s="1712"/>
      <c r="N539" s="305"/>
      <c r="O539" s="4"/>
      <c r="P539" s="4"/>
      <c r="Q539" s="4"/>
      <c r="R539" s="4"/>
      <c r="S539" s="4"/>
      <c r="T539" s="4"/>
      <c r="U539" s="4"/>
      <c r="V539" s="4"/>
      <c r="W539" s="4"/>
      <c r="X539" s="4"/>
      <c r="Y539" s="4"/>
      <c r="Z539" s="4"/>
      <c r="AA539" s="4"/>
      <c r="AB539" s="4"/>
      <c r="AC539" s="4"/>
      <c r="AD539" s="4"/>
      <c r="AE539" s="4"/>
      <c r="AF539" s="4"/>
    </row>
    <row r="540" spans="1:32">
      <c r="A540" s="683"/>
      <c r="B540" s="700" t="s">
        <v>774</v>
      </c>
      <c r="C540" s="663" t="s">
        <v>324</v>
      </c>
      <c r="D540" s="678" t="s">
        <v>1974</v>
      </c>
      <c r="E540" s="1407" t="s">
        <v>407</v>
      </c>
      <c r="F540" s="857">
        <v>5238</v>
      </c>
      <c r="G540" s="665" t="s">
        <v>3514</v>
      </c>
      <c r="H540" s="660"/>
      <c r="I540" s="855">
        <v>1600</v>
      </c>
      <c r="J540" s="1654" t="s">
        <v>1134</v>
      </c>
      <c r="K540" s="667"/>
      <c r="L540" s="1662"/>
      <c r="M540" s="1710">
        <v>4800</v>
      </c>
      <c r="N540" s="305"/>
      <c r="O540" s="187"/>
      <c r="P540" s="187"/>
      <c r="Q540" s="187"/>
      <c r="R540" s="187"/>
      <c r="S540" s="187"/>
      <c r="T540" s="187"/>
      <c r="U540" s="187"/>
      <c r="V540" s="187"/>
      <c r="W540" s="187"/>
      <c r="X540" s="187"/>
      <c r="Y540" s="187"/>
      <c r="Z540" s="187"/>
      <c r="AA540" s="187"/>
      <c r="AB540" s="187"/>
      <c r="AC540" s="187"/>
      <c r="AD540" s="187"/>
      <c r="AE540" s="187"/>
      <c r="AF540" s="187"/>
    </row>
    <row r="541" spans="1:32" ht="30.6">
      <c r="A541" s="760"/>
      <c r="B541" s="700" t="s">
        <v>774</v>
      </c>
      <c r="C541" s="663" t="s">
        <v>324</v>
      </c>
      <c r="D541" s="678" t="s">
        <v>1974</v>
      </c>
      <c r="E541" s="1407" t="s">
        <v>407</v>
      </c>
      <c r="F541" s="857">
        <v>5238</v>
      </c>
      <c r="G541" s="665" t="s">
        <v>3515</v>
      </c>
      <c r="H541" s="660"/>
      <c r="I541" s="855">
        <v>4800</v>
      </c>
      <c r="J541" s="1654" t="s">
        <v>1134</v>
      </c>
      <c r="K541" s="667"/>
      <c r="L541" s="1662"/>
      <c r="M541" s="1710">
        <v>3200</v>
      </c>
      <c r="N541" s="305"/>
      <c r="O541" s="4"/>
      <c r="P541" s="4"/>
      <c r="Q541" s="4"/>
      <c r="R541" s="4"/>
      <c r="S541" s="4"/>
      <c r="T541" s="4"/>
      <c r="U541" s="4"/>
      <c r="V541" s="4"/>
      <c r="W541" s="4"/>
      <c r="X541" s="4"/>
      <c r="Y541" s="4"/>
      <c r="Z541" s="4"/>
      <c r="AA541" s="4"/>
      <c r="AB541" s="4"/>
      <c r="AC541" s="4"/>
      <c r="AD541" s="4"/>
      <c r="AE541" s="4"/>
      <c r="AF541" s="4"/>
    </row>
    <row r="542" spans="1:32">
      <c r="A542" s="760"/>
      <c r="B542" s="700" t="s">
        <v>774</v>
      </c>
      <c r="C542" s="663" t="s">
        <v>324</v>
      </c>
      <c r="D542" s="678" t="s">
        <v>1974</v>
      </c>
      <c r="E542" s="1407" t="s">
        <v>407</v>
      </c>
      <c r="F542" s="857">
        <v>5238</v>
      </c>
      <c r="G542" s="811" t="s">
        <v>1353</v>
      </c>
      <c r="H542" s="660"/>
      <c r="I542" s="855">
        <v>1050</v>
      </c>
      <c r="J542" s="1654" t="s">
        <v>1134</v>
      </c>
      <c r="K542" s="667"/>
      <c r="L542" s="1662"/>
      <c r="M542" s="1662">
        <v>1050</v>
      </c>
      <c r="N542" s="305"/>
      <c r="O542" s="7"/>
      <c r="P542" s="7"/>
      <c r="Q542" s="7"/>
      <c r="R542" s="182"/>
      <c r="S542" s="126"/>
      <c r="T542" s="126"/>
      <c r="U542" s="7"/>
      <c r="V542" s="7"/>
      <c r="W542" s="7"/>
      <c r="X542" s="7"/>
      <c r="Y542" s="7"/>
      <c r="Z542" s="7"/>
      <c r="AA542" s="7"/>
      <c r="AB542" s="7"/>
      <c r="AC542" s="7"/>
      <c r="AD542" s="7"/>
      <c r="AE542" s="7"/>
      <c r="AF542" s="7"/>
    </row>
    <row r="543" spans="1:32" ht="11.4" customHeight="1">
      <c r="A543" s="760"/>
      <c r="B543" s="700" t="s">
        <v>774</v>
      </c>
      <c r="C543" s="663" t="s">
        <v>324</v>
      </c>
      <c r="D543" s="678" t="s">
        <v>1974</v>
      </c>
      <c r="E543" s="1407" t="s">
        <v>407</v>
      </c>
      <c r="F543" s="857">
        <v>5238</v>
      </c>
      <c r="G543" s="811" t="s">
        <v>3089</v>
      </c>
      <c r="H543" s="660"/>
      <c r="I543" s="660">
        <v>-299</v>
      </c>
      <c r="J543" s="1654" t="s">
        <v>1134</v>
      </c>
      <c r="K543" s="667"/>
      <c r="L543" s="1662"/>
      <c r="M543" s="1662"/>
      <c r="N543" s="305"/>
      <c r="O543" s="7"/>
      <c r="P543" s="7"/>
      <c r="Q543" s="7"/>
      <c r="R543" s="7"/>
      <c r="S543" s="7"/>
      <c r="T543" s="7"/>
      <c r="U543" s="7"/>
      <c r="V543" s="7"/>
      <c r="W543" s="7"/>
      <c r="X543" s="7"/>
      <c r="Y543" s="7"/>
      <c r="Z543" s="7"/>
      <c r="AA543" s="7"/>
      <c r="AB543" s="7"/>
      <c r="AC543" s="7"/>
      <c r="AD543" s="7"/>
      <c r="AE543" s="7"/>
      <c r="AF543" s="7"/>
    </row>
    <row r="544" spans="1:32" ht="11.4" customHeight="1">
      <c r="A544" s="1145"/>
      <c r="B544" s="700" t="s">
        <v>774</v>
      </c>
      <c r="C544" s="663" t="s">
        <v>324</v>
      </c>
      <c r="D544" s="678" t="s">
        <v>1974</v>
      </c>
      <c r="E544" s="1407" t="s">
        <v>407</v>
      </c>
      <c r="F544" s="857">
        <v>5238</v>
      </c>
      <c r="G544" s="1453" t="s">
        <v>3088</v>
      </c>
      <c r="H544" s="1130"/>
      <c r="I544" s="1130">
        <v>-464</v>
      </c>
      <c r="J544" s="1654" t="s">
        <v>1134</v>
      </c>
      <c r="K544" s="1132"/>
      <c r="L544" s="1680"/>
      <c r="M544" s="1680"/>
      <c r="N544" s="305"/>
      <c r="O544" s="7"/>
      <c r="P544" s="7"/>
      <c r="Q544" s="7"/>
      <c r="R544" s="7"/>
      <c r="S544" s="7"/>
      <c r="T544" s="7"/>
      <c r="U544" s="7"/>
      <c r="V544" s="7"/>
      <c r="W544" s="7"/>
      <c r="X544" s="7"/>
      <c r="Y544" s="7"/>
      <c r="Z544" s="7"/>
      <c r="AA544" s="7"/>
      <c r="AB544" s="7"/>
      <c r="AC544" s="7"/>
      <c r="AD544" s="7"/>
      <c r="AE544" s="7"/>
    </row>
    <row r="545" spans="1:32" ht="11.4" customHeight="1">
      <c r="A545" s="683"/>
      <c r="B545" s="3129" t="s">
        <v>773</v>
      </c>
      <c r="C545" s="683" t="s">
        <v>325</v>
      </c>
      <c r="D545" s="719" t="s">
        <v>1974</v>
      </c>
      <c r="E545" s="1406" t="s">
        <v>407</v>
      </c>
      <c r="F545" s="685">
        <v>5239</v>
      </c>
      <c r="G545" s="686" t="s">
        <v>138</v>
      </c>
      <c r="H545" s="689">
        <v>17586</v>
      </c>
      <c r="I545" s="689"/>
      <c r="J545" s="1654">
        <v>14542.369999999999</v>
      </c>
      <c r="K545" s="727"/>
      <c r="L545" s="1661">
        <v>6000</v>
      </c>
      <c r="M545" s="1661"/>
      <c r="N545" s="305"/>
      <c r="O545" s="7"/>
      <c r="P545" s="7"/>
      <c r="Q545" s="7"/>
      <c r="R545" s="7"/>
      <c r="S545" s="7"/>
      <c r="T545" s="7"/>
      <c r="U545" s="7"/>
      <c r="V545" s="7"/>
      <c r="W545" s="7"/>
      <c r="X545" s="7"/>
      <c r="Y545" s="7"/>
      <c r="Z545" s="7"/>
      <c r="AA545" s="7"/>
      <c r="AB545" s="7"/>
      <c r="AC545" s="7"/>
      <c r="AD545" s="7"/>
      <c r="AE545" s="7"/>
    </row>
    <row r="546" spans="1:32" ht="20.399999999999999">
      <c r="A546" s="760"/>
      <c r="B546" s="3130" t="s">
        <v>773</v>
      </c>
      <c r="C546" s="663" t="s">
        <v>325</v>
      </c>
      <c r="D546" s="678" t="s">
        <v>1974</v>
      </c>
      <c r="E546" s="1407" t="s">
        <v>407</v>
      </c>
      <c r="F546" s="857">
        <v>5239</v>
      </c>
      <c r="G546" s="811" t="s">
        <v>4839</v>
      </c>
      <c r="H546" s="660"/>
      <c r="I546" s="660">
        <v>2000</v>
      </c>
      <c r="J546" s="1654" t="s">
        <v>1134</v>
      </c>
      <c r="K546" s="667"/>
      <c r="L546" s="1662"/>
      <c r="M546" s="1662">
        <v>2000</v>
      </c>
      <c r="N546" s="305"/>
      <c r="O546" s="7"/>
      <c r="P546" s="7"/>
      <c r="Q546" s="7"/>
      <c r="R546" s="7"/>
      <c r="S546" s="7"/>
      <c r="T546" s="7"/>
      <c r="U546" s="7"/>
      <c r="V546" s="7"/>
      <c r="W546" s="7"/>
      <c r="X546" s="7"/>
      <c r="Y546" s="7"/>
      <c r="Z546" s="7"/>
      <c r="AA546" s="7"/>
      <c r="AB546" s="7"/>
      <c r="AC546" s="7"/>
      <c r="AD546" s="7"/>
      <c r="AE546" s="7"/>
    </row>
    <row r="547" spans="1:32" ht="20.399999999999999">
      <c r="A547" s="760"/>
      <c r="B547" s="3130" t="s">
        <v>773</v>
      </c>
      <c r="C547" s="663" t="s">
        <v>325</v>
      </c>
      <c r="D547" s="678" t="s">
        <v>1974</v>
      </c>
      <c r="E547" s="1407" t="s">
        <v>407</v>
      </c>
      <c r="F547" s="857">
        <v>5239</v>
      </c>
      <c r="G547" s="811" t="s">
        <v>3044</v>
      </c>
      <c r="H547" s="660"/>
      <c r="I547" s="660">
        <v>15586</v>
      </c>
      <c r="J547" s="1654" t="s">
        <v>1134</v>
      </c>
      <c r="K547" s="667"/>
      <c r="L547" s="1662"/>
      <c r="M547" s="1662"/>
      <c r="N547" s="305"/>
      <c r="O547" s="7"/>
      <c r="P547" s="7"/>
      <c r="Q547" s="7"/>
      <c r="R547" s="7"/>
      <c r="S547" s="7"/>
      <c r="T547" s="7"/>
      <c r="U547" s="7"/>
      <c r="V547" s="7"/>
      <c r="W547" s="7"/>
      <c r="X547" s="7"/>
      <c r="Y547" s="7"/>
      <c r="Z547" s="7"/>
      <c r="AA547" s="7"/>
      <c r="AB547" s="7"/>
      <c r="AC547" s="7"/>
      <c r="AD547" s="7"/>
      <c r="AE547" s="7"/>
    </row>
    <row r="548" spans="1:32">
      <c r="A548" s="760"/>
      <c r="B548" s="3130" t="s">
        <v>773</v>
      </c>
      <c r="C548" s="663" t="s">
        <v>325</v>
      </c>
      <c r="D548" s="678" t="s">
        <v>1974</v>
      </c>
      <c r="E548" s="1407" t="s">
        <v>407</v>
      </c>
      <c r="F548" s="857">
        <v>5239</v>
      </c>
      <c r="G548" s="811" t="s">
        <v>3516</v>
      </c>
      <c r="H548" s="660"/>
      <c r="I548" s="660"/>
      <c r="J548" s="1654" t="s">
        <v>1134</v>
      </c>
      <c r="K548" s="667"/>
      <c r="L548" s="1662"/>
      <c r="M548" s="1662">
        <v>4000</v>
      </c>
      <c r="N548" s="305"/>
      <c r="O548" s="7"/>
      <c r="P548" s="7"/>
      <c r="Q548" s="7"/>
      <c r="R548" s="7"/>
      <c r="S548" s="7"/>
      <c r="T548" s="7"/>
      <c r="U548" s="7"/>
      <c r="V548" s="7"/>
      <c r="W548" s="7"/>
      <c r="X548" s="7"/>
      <c r="Y548" s="7"/>
      <c r="Z548" s="7"/>
      <c r="AA548" s="7"/>
      <c r="AB548" s="7"/>
      <c r="AC548" s="7"/>
      <c r="AD548" s="7"/>
      <c r="AE548" s="7"/>
    </row>
    <row r="549" spans="1:32" ht="11.4" customHeight="1">
      <c r="A549" s="683"/>
      <c r="B549" s="720" t="s">
        <v>436</v>
      </c>
      <c r="C549" s="683" t="s">
        <v>427</v>
      </c>
      <c r="D549" s="719" t="s">
        <v>1975</v>
      </c>
      <c r="E549" s="742" t="s">
        <v>1899</v>
      </c>
      <c r="F549" s="824">
        <v>1119</v>
      </c>
      <c r="G549" s="800" t="s">
        <v>109</v>
      </c>
      <c r="H549" s="706">
        <v>82606.320000000007</v>
      </c>
      <c r="I549" s="706"/>
      <c r="J549" s="1654">
        <v>70087</v>
      </c>
      <c r="K549" s="802"/>
      <c r="L549" s="706">
        <v>86681.04</v>
      </c>
      <c r="M549" s="706"/>
      <c r="N549" s="305"/>
      <c r="O549" s="7"/>
      <c r="P549" s="7"/>
      <c r="Q549" s="7"/>
      <c r="R549" s="7"/>
      <c r="S549" s="7"/>
      <c r="T549" s="7"/>
      <c r="U549" s="7"/>
      <c r="V549" s="7"/>
      <c r="W549" s="7"/>
      <c r="X549" s="7"/>
      <c r="Y549" s="7"/>
      <c r="Z549" s="7"/>
      <c r="AA549" s="7"/>
      <c r="AB549" s="7"/>
      <c r="AC549" s="7"/>
      <c r="AD549" s="7"/>
      <c r="AE549" s="7"/>
    </row>
    <row r="550" spans="1:32">
      <c r="A550" s="663"/>
      <c r="B550" s="700" t="s">
        <v>436</v>
      </c>
      <c r="C550" s="663" t="s">
        <v>427</v>
      </c>
      <c r="D550" s="678" t="s">
        <v>1975</v>
      </c>
      <c r="E550" s="700" t="s">
        <v>1899</v>
      </c>
      <c r="F550" s="795">
        <v>1119</v>
      </c>
      <c r="G550" s="750" t="s">
        <v>436</v>
      </c>
      <c r="H550" s="701"/>
      <c r="I550" s="701">
        <v>82606.320000000007</v>
      </c>
      <c r="J550" s="1654" t="s">
        <v>1134</v>
      </c>
      <c r="K550" s="802"/>
      <c r="L550" s="701"/>
      <c r="M550" s="701">
        <v>86681.04</v>
      </c>
      <c r="N550" s="305"/>
      <c r="O550" s="7"/>
      <c r="P550" s="7"/>
      <c r="Q550" s="7"/>
      <c r="R550" s="182"/>
      <c r="S550" s="126"/>
      <c r="T550" s="126"/>
      <c r="U550" s="7"/>
      <c r="V550" s="7"/>
      <c r="W550" s="7"/>
      <c r="X550" s="7"/>
      <c r="Y550" s="7"/>
      <c r="Z550" s="7"/>
      <c r="AA550" s="7"/>
      <c r="AB550" s="7"/>
      <c r="AC550" s="7"/>
      <c r="AD550" s="7"/>
      <c r="AE550" s="7"/>
      <c r="AF550" s="7"/>
    </row>
    <row r="551" spans="1:32" ht="30.6">
      <c r="A551" s="663"/>
      <c r="B551" s="700" t="s">
        <v>436</v>
      </c>
      <c r="C551" s="663" t="s">
        <v>427</v>
      </c>
      <c r="D551" s="678" t="s">
        <v>1975</v>
      </c>
      <c r="E551" s="700" t="s">
        <v>1899</v>
      </c>
      <c r="F551" s="795">
        <v>1119</v>
      </c>
      <c r="G551" s="750" t="s">
        <v>1307</v>
      </c>
      <c r="H551" s="701"/>
      <c r="I551" s="701"/>
      <c r="J551" s="1654" t="s">
        <v>1134</v>
      </c>
      <c r="K551" s="802"/>
      <c r="L551" s="701"/>
      <c r="M551" s="701"/>
      <c r="N551" s="1056" t="s">
        <v>3538</v>
      </c>
      <c r="O551" s="7"/>
      <c r="P551" s="7"/>
      <c r="Q551" s="7"/>
      <c r="R551" s="182"/>
      <c r="S551" s="126"/>
      <c r="T551" s="126"/>
      <c r="U551" s="7"/>
      <c r="V551" s="7"/>
      <c r="W551" s="7"/>
      <c r="X551" s="7"/>
      <c r="Y551" s="7"/>
      <c r="Z551" s="7"/>
      <c r="AA551" s="7"/>
      <c r="AB551" s="7"/>
      <c r="AC551" s="7"/>
      <c r="AD551" s="7"/>
      <c r="AE551" s="7"/>
      <c r="AF551" s="7"/>
    </row>
    <row r="552" spans="1:32" ht="20.399999999999999">
      <c r="A552" s="683"/>
      <c r="B552" s="720" t="s">
        <v>436</v>
      </c>
      <c r="C552" s="683" t="s">
        <v>427</v>
      </c>
      <c r="D552" s="719" t="s">
        <v>1975</v>
      </c>
      <c r="E552" s="720" t="s">
        <v>1899</v>
      </c>
      <c r="F552" s="824">
        <v>1141</v>
      </c>
      <c r="G552" s="800" t="s">
        <v>600</v>
      </c>
      <c r="H552" s="893">
        <v>28</v>
      </c>
      <c r="I552" s="893"/>
      <c r="J552" s="1654">
        <v>27.98</v>
      </c>
      <c r="K552" s="1251"/>
      <c r="L552" s="893">
        <v>28</v>
      </c>
      <c r="M552" s="893"/>
      <c r="N552" s="305"/>
      <c r="O552" s="7"/>
      <c r="P552" s="7"/>
      <c r="Q552" s="7"/>
      <c r="R552" s="182"/>
      <c r="S552" s="126"/>
      <c r="T552" s="126"/>
      <c r="U552" s="7"/>
      <c r="V552" s="7"/>
      <c r="W552" s="7"/>
      <c r="X552" s="7"/>
      <c r="Y552" s="7"/>
      <c r="Z552" s="7"/>
      <c r="AA552" s="7"/>
      <c r="AB552" s="7"/>
      <c r="AC552" s="7"/>
      <c r="AD552" s="7"/>
      <c r="AE552" s="7"/>
      <c r="AF552" s="7"/>
    </row>
    <row r="553" spans="1:32" ht="20.399999999999999">
      <c r="A553" s="663"/>
      <c r="B553" s="700" t="s">
        <v>436</v>
      </c>
      <c r="C553" s="663" t="s">
        <v>427</v>
      </c>
      <c r="D553" s="678" t="s">
        <v>1975</v>
      </c>
      <c r="E553" s="700" t="s">
        <v>1899</v>
      </c>
      <c r="F553" s="795">
        <v>1141</v>
      </c>
      <c r="G553" s="812" t="s">
        <v>3200</v>
      </c>
      <c r="H553" s="748"/>
      <c r="I553" s="748">
        <v>28</v>
      </c>
      <c r="J553" s="1654" t="s">
        <v>1134</v>
      </c>
      <c r="K553" s="1251"/>
      <c r="L553" s="748"/>
      <c r="M553" s="748">
        <v>28</v>
      </c>
      <c r="N553" s="305"/>
      <c r="O553" s="7"/>
      <c r="P553" s="7"/>
      <c r="Q553" s="7"/>
      <c r="R553" s="182"/>
      <c r="S553" s="126"/>
      <c r="T553" s="126"/>
      <c r="U553" s="7"/>
      <c r="V553" s="7"/>
      <c r="W553" s="7"/>
      <c r="X553" s="7"/>
      <c r="Y553" s="7"/>
      <c r="Z553" s="7"/>
      <c r="AA553" s="7"/>
      <c r="AB553" s="7"/>
      <c r="AC553" s="7"/>
      <c r="AD553" s="7"/>
      <c r="AE553" s="7"/>
      <c r="AF553" s="7"/>
    </row>
    <row r="554" spans="1:32">
      <c r="A554" s="683"/>
      <c r="B554" s="720" t="s">
        <v>436</v>
      </c>
      <c r="C554" s="683" t="s">
        <v>427</v>
      </c>
      <c r="D554" s="719" t="s">
        <v>1975</v>
      </c>
      <c r="E554" s="720" t="s">
        <v>1899</v>
      </c>
      <c r="F554" s="824">
        <v>1142</v>
      </c>
      <c r="G554" s="800" t="s">
        <v>737</v>
      </c>
      <c r="H554" s="893">
        <v>3972</v>
      </c>
      <c r="I554" s="893"/>
      <c r="J554" s="1654">
        <v>2523</v>
      </c>
      <c r="K554" s="1251"/>
      <c r="L554" s="893">
        <v>3000</v>
      </c>
      <c r="M554" s="893"/>
      <c r="N554" s="305"/>
      <c r="O554" s="7"/>
      <c r="P554" s="7"/>
      <c r="Q554" s="7"/>
      <c r="R554" s="7"/>
      <c r="S554" s="7"/>
      <c r="T554" s="7"/>
      <c r="U554" s="7"/>
      <c r="V554" s="7"/>
      <c r="W554" s="7"/>
      <c r="X554" s="7"/>
      <c r="Y554" s="7"/>
      <c r="Z554" s="7"/>
      <c r="AA554" s="7"/>
      <c r="AB554" s="7"/>
      <c r="AC554" s="7"/>
      <c r="AD554" s="7"/>
      <c r="AE554" s="7"/>
      <c r="AF554" s="7"/>
    </row>
    <row r="555" spans="1:32">
      <c r="A555" s="663"/>
      <c r="B555" s="700" t="s">
        <v>436</v>
      </c>
      <c r="C555" s="663" t="s">
        <v>427</v>
      </c>
      <c r="D555" s="678" t="s">
        <v>1975</v>
      </c>
      <c r="E555" s="700" t="s">
        <v>1899</v>
      </c>
      <c r="F555" s="795">
        <v>1142</v>
      </c>
      <c r="G555" s="812" t="s">
        <v>737</v>
      </c>
      <c r="H555" s="748"/>
      <c r="I555" s="748">
        <v>1000</v>
      </c>
      <c r="J555" s="1654" t="s">
        <v>1134</v>
      </c>
      <c r="K555" s="1251"/>
      <c r="L555" s="748"/>
      <c r="M555" s="748">
        <v>3000</v>
      </c>
      <c r="N555" s="305"/>
      <c r="O555" s="7"/>
      <c r="P555" s="7"/>
      <c r="Q555" s="7"/>
      <c r="R555" s="7"/>
      <c r="S555" s="7"/>
      <c r="T555" s="7"/>
      <c r="U555" s="7"/>
      <c r="V555" s="7"/>
      <c r="W555" s="7"/>
      <c r="X555" s="7"/>
      <c r="Y555" s="7"/>
      <c r="Z555" s="7"/>
      <c r="AA555" s="7"/>
      <c r="AB555" s="7"/>
      <c r="AC555" s="7"/>
      <c r="AD555" s="7"/>
      <c r="AE555" s="7"/>
    </row>
    <row r="556" spans="1:32" ht="20.399999999999999">
      <c r="A556" s="603"/>
      <c r="B556" s="700" t="s">
        <v>436</v>
      </c>
      <c r="C556" s="663" t="s">
        <v>427</v>
      </c>
      <c r="D556" s="678" t="s">
        <v>1975</v>
      </c>
      <c r="E556" s="700" t="s">
        <v>1899</v>
      </c>
      <c r="F556" s="795">
        <v>1142</v>
      </c>
      <c r="G556" s="812" t="s">
        <v>3200</v>
      </c>
      <c r="H556" s="2002"/>
      <c r="I556" s="2002">
        <v>-28</v>
      </c>
      <c r="J556" s="1654" t="s">
        <v>1134</v>
      </c>
      <c r="K556" s="2005"/>
      <c r="L556" s="2002"/>
      <c r="M556" s="2002"/>
      <c r="N556" s="305"/>
      <c r="O556" s="7"/>
      <c r="P556" s="7"/>
      <c r="Q556" s="7"/>
      <c r="R556" s="182"/>
      <c r="S556" s="126"/>
      <c r="T556" s="126"/>
      <c r="U556" s="7"/>
      <c r="V556" s="7"/>
      <c r="W556" s="7"/>
      <c r="X556" s="7"/>
      <c r="Y556" s="7"/>
      <c r="Z556" s="7"/>
      <c r="AA556" s="7"/>
      <c r="AB556" s="7"/>
      <c r="AC556" s="7"/>
      <c r="AD556" s="7"/>
      <c r="AE556" s="7"/>
      <c r="AF556" s="7"/>
    </row>
    <row r="557" spans="1:32" ht="20.399999999999999">
      <c r="A557" s="603"/>
      <c r="B557" s="700" t="s">
        <v>436</v>
      </c>
      <c r="C557" s="663" t="s">
        <v>427</v>
      </c>
      <c r="D557" s="678" t="s">
        <v>1975</v>
      </c>
      <c r="E557" s="700" t="s">
        <v>1899</v>
      </c>
      <c r="F557" s="795">
        <v>1142</v>
      </c>
      <c r="G557" s="812" t="s">
        <v>1994</v>
      </c>
      <c r="H557" s="2002"/>
      <c r="I557" s="2002">
        <v>1000</v>
      </c>
      <c r="J557" s="1654" t="s">
        <v>1134</v>
      </c>
      <c r="K557" s="2005"/>
      <c r="L557" s="2002"/>
      <c r="M557" s="2002"/>
      <c r="N557" s="305"/>
      <c r="O557" s="7"/>
      <c r="P557" s="7"/>
      <c r="Q557" s="7"/>
      <c r="R557" s="182"/>
      <c r="S557" s="126"/>
      <c r="T557" s="126"/>
      <c r="U557" s="7"/>
      <c r="V557" s="7"/>
      <c r="W557" s="7"/>
      <c r="X557" s="7"/>
      <c r="Y557" s="7"/>
      <c r="Z557" s="7"/>
      <c r="AA557" s="7"/>
      <c r="AB557" s="7"/>
      <c r="AC557" s="7"/>
      <c r="AD557" s="7"/>
      <c r="AE557" s="7"/>
      <c r="AF557" s="7"/>
    </row>
    <row r="558" spans="1:32" ht="20.399999999999999">
      <c r="A558" s="1495"/>
      <c r="B558" s="700" t="s">
        <v>436</v>
      </c>
      <c r="C558" s="663" t="s">
        <v>427</v>
      </c>
      <c r="D558" s="678" t="s">
        <v>1975</v>
      </c>
      <c r="E558" s="700" t="s">
        <v>1899</v>
      </c>
      <c r="F558" s="795">
        <v>1142</v>
      </c>
      <c r="G558" s="1553" t="s">
        <v>1999</v>
      </c>
      <c r="H558" s="1573"/>
      <c r="I558" s="1573">
        <v>2000</v>
      </c>
      <c r="J558" s="1573"/>
      <c r="K558" s="2484"/>
      <c r="L558" s="1573"/>
      <c r="M558" s="1573"/>
      <c r="N558" s="305"/>
      <c r="O558" s="7"/>
      <c r="P558" s="7"/>
      <c r="Q558" s="7"/>
      <c r="R558" s="182"/>
      <c r="S558" s="126"/>
      <c r="T558" s="126"/>
      <c r="U558" s="7"/>
      <c r="V558" s="7"/>
      <c r="W558" s="7"/>
      <c r="X558" s="7"/>
      <c r="Y558" s="7"/>
      <c r="Z558" s="7"/>
      <c r="AA558" s="7"/>
      <c r="AB558" s="7"/>
      <c r="AC558" s="7"/>
      <c r="AD558" s="7"/>
      <c r="AE558" s="7"/>
      <c r="AF558" s="7"/>
    </row>
    <row r="559" spans="1:32" ht="20.399999999999999">
      <c r="A559" s="683"/>
      <c r="B559" s="720" t="s">
        <v>436</v>
      </c>
      <c r="C559" s="683" t="s">
        <v>427</v>
      </c>
      <c r="D559" s="719" t="s">
        <v>1975</v>
      </c>
      <c r="E559" s="720" t="s">
        <v>1899</v>
      </c>
      <c r="F559" s="824">
        <v>1146</v>
      </c>
      <c r="G559" s="800" t="s">
        <v>600</v>
      </c>
      <c r="H559" s="893">
        <v>0</v>
      </c>
      <c r="I559" s="893"/>
      <c r="J559" s="1654" t="s">
        <v>1134</v>
      </c>
      <c r="K559" s="1251"/>
      <c r="L559" s="893">
        <v>0</v>
      </c>
      <c r="M559" s="893"/>
      <c r="N559" s="305"/>
      <c r="O559" s="7"/>
      <c r="P559" s="7"/>
      <c r="Q559" s="7"/>
      <c r="R559" s="182"/>
      <c r="S559" s="126"/>
      <c r="T559" s="126"/>
      <c r="U559" s="7"/>
      <c r="V559" s="7"/>
      <c r="W559" s="7"/>
      <c r="X559" s="7"/>
      <c r="Y559" s="7"/>
      <c r="Z559" s="7"/>
      <c r="AA559" s="7"/>
      <c r="AB559" s="7"/>
      <c r="AC559" s="7"/>
      <c r="AD559" s="7"/>
      <c r="AE559" s="7"/>
      <c r="AF559" s="7"/>
    </row>
    <row r="560" spans="1:32">
      <c r="A560" s="663"/>
      <c r="B560" s="700" t="s">
        <v>436</v>
      </c>
      <c r="C560" s="663" t="s">
        <v>427</v>
      </c>
      <c r="D560" s="678" t="s">
        <v>1975</v>
      </c>
      <c r="E560" s="700" t="s">
        <v>1899</v>
      </c>
      <c r="F560" s="795">
        <v>1146</v>
      </c>
      <c r="G560" s="812"/>
      <c r="H560" s="748"/>
      <c r="I560" s="748"/>
      <c r="J560" s="1654" t="s">
        <v>1134</v>
      </c>
      <c r="K560" s="1251"/>
      <c r="L560" s="748"/>
      <c r="M560" s="748"/>
      <c r="N560" s="125"/>
      <c r="O560" s="7"/>
      <c r="P560" s="7"/>
      <c r="Q560" s="7"/>
      <c r="R560" s="182"/>
      <c r="S560" s="126"/>
      <c r="T560" s="126"/>
      <c r="U560" s="7"/>
      <c r="V560" s="7"/>
      <c r="W560" s="7"/>
      <c r="X560" s="7"/>
      <c r="Y560" s="7"/>
      <c r="Z560" s="7"/>
      <c r="AA560" s="7"/>
      <c r="AB560" s="7"/>
      <c r="AC560" s="7"/>
      <c r="AD560" s="7"/>
      <c r="AE560" s="7"/>
      <c r="AF560" s="7"/>
    </row>
    <row r="561" spans="1:32">
      <c r="A561" s="683"/>
      <c r="B561" s="720" t="s">
        <v>436</v>
      </c>
      <c r="C561" s="683" t="s">
        <v>427</v>
      </c>
      <c r="D561" s="719" t="s">
        <v>1975</v>
      </c>
      <c r="E561" s="720" t="s">
        <v>1899</v>
      </c>
      <c r="F561" s="824">
        <v>1147</v>
      </c>
      <c r="G561" s="800" t="s">
        <v>507</v>
      </c>
      <c r="H561" s="893">
        <v>3045</v>
      </c>
      <c r="I561" s="893"/>
      <c r="J561" s="1654">
        <v>1889</v>
      </c>
      <c r="K561" s="1251"/>
      <c r="L561" s="893">
        <v>2185.4070000000011</v>
      </c>
      <c r="M561" s="893"/>
      <c r="N561" s="125"/>
      <c r="O561" s="7"/>
      <c r="P561" s="7"/>
      <c r="Q561" s="7"/>
      <c r="R561" s="7"/>
      <c r="S561" s="7"/>
      <c r="U561" s="7"/>
      <c r="V561" s="7"/>
      <c r="W561" s="7"/>
      <c r="X561" s="7"/>
      <c r="Y561" s="7"/>
      <c r="Z561" s="7"/>
      <c r="AA561" s="7"/>
      <c r="AB561" s="7"/>
      <c r="AC561" s="7"/>
      <c r="AD561" s="7"/>
      <c r="AE561" s="7"/>
    </row>
    <row r="562" spans="1:32">
      <c r="A562" s="663"/>
      <c r="B562" s="700" t="s">
        <v>436</v>
      </c>
      <c r="C562" s="663" t="s">
        <v>427</v>
      </c>
      <c r="D562" s="678" t="s">
        <v>1975</v>
      </c>
      <c r="E562" s="700" t="s">
        <v>1899</v>
      </c>
      <c r="F562" s="795">
        <v>1147</v>
      </c>
      <c r="G562" s="812"/>
      <c r="H562" s="748"/>
      <c r="I562" s="748">
        <v>6195.4739999999993</v>
      </c>
      <c r="J562" s="1654" t="s">
        <v>1134</v>
      </c>
      <c r="K562" s="1251"/>
      <c r="L562" s="748"/>
      <c r="M562" s="748">
        <v>2185.4070000000011</v>
      </c>
      <c r="N562" s="125"/>
      <c r="O562" s="7"/>
      <c r="P562" s="7"/>
      <c r="Q562" s="184"/>
      <c r="R562" s="185"/>
      <c r="S562" s="191"/>
      <c r="T562" s="191"/>
      <c r="U562" s="192"/>
      <c r="V562" s="7"/>
      <c r="W562" s="7"/>
      <c r="X562" s="7"/>
      <c r="Y562" s="7"/>
      <c r="Z562" s="7"/>
      <c r="AA562" s="7"/>
      <c r="AB562" s="7"/>
      <c r="AC562" s="7"/>
      <c r="AD562" s="7"/>
      <c r="AE562" s="7"/>
      <c r="AF562" s="7"/>
    </row>
    <row r="563" spans="1:32" ht="20.399999999999999">
      <c r="A563" s="663"/>
      <c r="B563" s="700" t="s">
        <v>436</v>
      </c>
      <c r="C563" s="663" t="s">
        <v>427</v>
      </c>
      <c r="D563" s="678" t="s">
        <v>1975</v>
      </c>
      <c r="E563" s="700" t="s">
        <v>1899</v>
      </c>
      <c r="F563" s="795">
        <v>1147</v>
      </c>
      <c r="G563" s="812" t="s">
        <v>1994</v>
      </c>
      <c r="H563" s="748"/>
      <c r="I563" s="748">
        <v>-1000</v>
      </c>
      <c r="J563" s="1654" t="s">
        <v>1134</v>
      </c>
      <c r="K563" s="1251"/>
      <c r="L563" s="748"/>
      <c r="M563" s="748"/>
      <c r="N563" s="125"/>
      <c r="O563" s="7"/>
      <c r="P563" s="7"/>
      <c r="Q563" s="7"/>
      <c r="R563" s="182"/>
      <c r="S563" s="126"/>
      <c r="T563" s="126"/>
      <c r="U563" s="7"/>
      <c r="V563" s="7"/>
      <c r="W563" s="7"/>
      <c r="X563" s="7"/>
      <c r="Y563" s="7"/>
      <c r="Z563" s="7"/>
      <c r="AA563" s="7"/>
      <c r="AB563" s="7"/>
      <c r="AC563" s="7"/>
      <c r="AD563" s="7"/>
      <c r="AE563" s="7"/>
      <c r="AF563" s="7"/>
    </row>
    <row r="564" spans="1:32" ht="20.399999999999999">
      <c r="A564" s="1495"/>
      <c r="B564" s="1590" t="s">
        <v>436</v>
      </c>
      <c r="C564" s="1495" t="s">
        <v>427</v>
      </c>
      <c r="D564" s="1561" t="s">
        <v>1975</v>
      </c>
      <c r="E564" s="1590" t="s">
        <v>1899</v>
      </c>
      <c r="F564" s="1562">
        <v>1147</v>
      </c>
      <c r="G564" s="1553" t="s">
        <v>1999</v>
      </c>
      <c r="H564" s="1573"/>
      <c r="I564" s="1573">
        <v>-2000</v>
      </c>
      <c r="J564" s="1573"/>
      <c r="K564" s="2484"/>
      <c r="L564" s="1573"/>
      <c r="M564" s="1573"/>
      <c r="N564" s="125"/>
      <c r="O564" s="7"/>
      <c r="P564" s="7"/>
      <c r="Q564" s="7"/>
      <c r="R564" s="182"/>
      <c r="S564" s="126"/>
      <c r="T564" s="126"/>
      <c r="U564" s="7"/>
      <c r="V564" s="7"/>
      <c r="W564" s="7"/>
      <c r="X564" s="7"/>
      <c r="Y564" s="7"/>
      <c r="Z564" s="7"/>
      <c r="AA564" s="7"/>
      <c r="AB564" s="7"/>
      <c r="AC564" s="7"/>
      <c r="AD564" s="7"/>
      <c r="AE564" s="7"/>
      <c r="AF564" s="7"/>
    </row>
    <row r="565" spans="1:32" ht="20.399999999999999">
      <c r="A565" s="2679"/>
      <c r="B565" s="1590" t="s">
        <v>436</v>
      </c>
      <c r="C565" s="1495" t="s">
        <v>427</v>
      </c>
      <c r="D565" s="1561" t="s">
        <v>1975</v>
      </c>
      <c r="E565" s="1590" t="s">
        <v>1899</v>
      </c>
      <c r="F565" s="1562">
        <v>1147</v>
      </c>
      <c r="G565" s="2783" t="s">
        <v>5014</v>
      </c>
      <c r="H565" s="2802"/>
      <c r="I565" s="2802">
        <v>-150</v>
      </c>
      <c r="J565" s="2802"/>
      <c r="K565" s="2803"/>
      <c r="L565" s="2802"/>
      <c r="M565" s="2802"/>
      <c r="N565" s="125"/>
      <c r="O565" s="7"/>
      <c r="P565" s="7"/>
      <c r="Q565" s="7"/>
      <c r="R565" s="182"/>
      <c r="S565" s="126"/>
      <c r="T565" s="126"/>
      <c r="U565" s="7"/>
      <c r="V565" s="7"/>
      <c r="W565" s="7"/>
      <c r="X565" s="7"/>
      <c r="Y565" s="7"/>
      <c r="Z565" s="7"/>
      <c r="AA565" s="7"/>
      <c r="AB565" s="7"/>
      <c r="AC565" s="7"/>
      <c r="AD565" s="7"/>
      <c r="AE565" s="7"/>
      <c r="AF565" s="7"/>
    </row>
    <row r="566" spans="1:32">
      <c r="A566" s="683"/>
      <c r="B566" s="720" t="s">
        <v>436</v>
      </c>
      <c r="C566" s="683" t="s">
        <v>427</v>
      </c>
      <c r="D566" s="719" t="s">
        <v>1975</v>
      </c>
      <c r="E566" s="720" t="s">
        <v>1899</v>
      </c>
      <c r="F566" s="824">
        <v>1148</v>
      </c>
      <c r="G566" s="800" t="s">
        <v>594</v>
      </c>
      <c r="H566" s="893">
        <v>4289</v>
      </c>
      <c r="I566" s="893"/>
      <c r="J566" s="1654">
        <v>3604</v>
      </c>
      <c r="K566" s="1251"/>
      <c r="L566" s="893">
        <v>4139</v>
      </c>
      <c r="M566" s="893"/>
      <c r="N566" s="125" t="s">
        <v>3539</v>
      </c>
      <c r="O566" s="7"/>
      <c r="P566" s="7"/>
      <c r="Q566" s="184"/>
      <c r="R566" s="185"/>
      <c r="S566" s="191"/>
      <c r="T566" s="191"/>
      <c r="U566" s="192"/>
      <c r="V566" s="7"/>
      <c r="W566" s="7"/>
      <c r="X566" s="7"/>
      <c r="Y566" s="7"/>
      <c r="Z566" s="7"/>
      <c r="AA566" s="7"/>
      <c r="AB566" s="7"/>
      <c r="AC566" s="7"/>
      <c r="AD566" s="7"/>
      <c r="AE566" s="7"/>
      <c r="AF566" s="7"/>
    </row>
    <row r="567" spans="1:32" ht="20.399999999999999">
      <c r="A567" s="663"/>
      <c r="B567" s="700" t="s">
        <v>436</v>
      </c>
      <c r="C567" s="663" t="s">
        <v>427</v>
      </c>
      <c r="D567" s="678" t="s">
        <v>1975</v>
      </c>
      <c r="E567" s="700" t="s">
        <v>1899</v>
      </c>
      <c r="F567" s="795">
        <v>1148</v>
      </c>
      <c r="G567" s="750" t="s">
        <v>1069</v>
      </c>
      <c r="H567" s="748"/>
      <c r="I567" s="748">
        <v>4139</v>
      </c>
      <c r="J567" s="1654" t="s">
        <v>1134</v>
      </c>
      <c r="K567" s="1251"/>
      <c r="L567" s="748"/>
      <c r="M567" s="748">
        <v>4139</v>
      </c>
      <c r="N567" s="125"/>
      <c r="O567" s="7"/>
      <c r="P567" s="7"/>
      <c r="Q567" s="184"/>
      <c r="R567" s="185"/>
      <c r="S567" s="191"/>
      <c r="T567" s="191"/>
      <c r="U567" s="192"/>
      <c r="V567" s="7"/>
      <c r="W567" s="7"/>
      <c r="X567" s="7"/>
      <c r="Y567" s="7"/>
      <c r="Z567" s="7"/>
      <c r="AA567" s="7"/>
      <c r="AB567" s="7"/>
      <c r="AC567" s="7"/>
      <c r="AD567" s="7"/>
      <c r="AE567" s="7"/>
      <c r="AF567" s="7"/>
    </row>
    <row r="568" spans="1:32" ht="20.399999999999999">
      <c r="A568" s="663"/>
      <c r="B568" s="700" t="s">
        <v>436</v>
      </c>
      <c r="C568" s="663" t="s">
        <v>427</v>
      </c>
      <c r="D568" s="678" t="s">
        <v>1975</v>
      </c>
      <c r="E568" s="700" t="s">
        <v>1899</v>
      </c>
      <c r="F568" s="795">
        <v>1148</v>
      </c>
      <c r="G568" s="2783" t="s">
        <v>5014</v>
      </c>
      <c r="H568" s="748"/>
      <c r="I568" s="748">
        <v>150</v>
      </c>
      <c r="J568" s="1654" t="s">
        <v>1134</v>
      </c>
      <c r="K568" s="1251"/>
      <c r="L568" s="748"/>
      <c r="M568" s="748"/>
      <c r="N568" s="305"/>
      <c r="O568" s="7"/>
      <c r="P568" s="7"/>
      <c r="Q568" s="7"/>
      <c r="R568" s="182"/>
      <c r="S568" s="126"/>
      <c r="T568" s="126"/>
      <c r="U568" s="7"/>
      <c r="V568" s="7"/>
      <c r="W568" s="7"/>
      <c r="X568" s="7"/>
      <c r="Y568" s="7"/>
      <c r="Z568" s="7"/>
      <c r="AA568" s="7"/>
      <c r="AB568" s="7"/>
      <c r="AC568" s="7"/>
      <c r="AD568" s="7"/>
      <c r="AE568" s="7"/>
      <c r="AF568" s="7"/>
    </row>
    <row r="569" spans="1:32">
      <c r="A569" s="663"/>
      <c r="B569" s="700" t="s">
        <v>436</v>
      </c>
      <c r="C569" s="663" t="s">
        <v>427</v>
      </c>
      <c r="D569" s="678" t="s">
        <v>1975</v>
      </c>
      <c r="E569" s="700" t="s">
        <v>1899</v>
      </c>
      <c r="F569" s="795">
        <v>1148</v>
      </c>
      <c r="G569" s="812"/>
      <c r="H569" s="748"/>
      <c r="I569" s="748"/>
      <c r="J569" s="1654" t="s">
        <v>1134</v>
      </c>
      <c r="K569" s="1251"/>
      <c r="L569" s="748"/>
      <c r="M569" s="748"/>
      <c r="N569" s="305"/>
      <c r="O569" s="7"/>
      <c r="P569" s="7"/>
      <c r="Q569" s="7"/>
      <c r="R569" s="182"/>
      <c r="S569" s="126"/>
      <c r="T569" s="126"/>
      <c r="U569" s="7"/>
      <c r="V569" s="7"/>
      <c r="W569" s="7"/>
      <c r="X569" s="7"/>
      <c r="Y569" s="7"/>
      <c r="Z569" s="7"/>
      <c r="AA569" s="7"/>
      <c r="AB569" s="7"/>
      <c r="AC569" s="7"/>
      <c r="AD569" s="7"/>
      <c r="AE569" s="7"/>
      <c r="AF569" s="7"/>
    </row>
    <row r="570" spans="1:32" ht="20.399999999999999">
      <c r="A570" s="683"/>
      <c r="B570" s="720" t="s">
        <v>772</v>
      </c>
      <c r="C570" s="683" t="s">
        <v>427</v>
      </c>
      <c r="D570" s="719" t="s">
        <v>1975</v>
      </c>
      <c r="E570" s="720" t="s">
        <v>1899</v>
      </c>
      <c r="F570" s="824">
        <v>1150</v>
      </c>
      <c r="G570" s="800" t="s">
        <v>734</v>
      </c>
      <c r="H570" s="893">
        <v>2000</v>
      </c>
      <c r="I570" s="893"/>
      <c r="J570" s="1654">
        <v>0</v>
      </c>
      <c r="K570" s="1251"/>
      <c r="L570" s="893">
        <v>600</v>
      </c>
      <c r="M570" s="893"/>
      <c r="N570" s="125"/>
    </row>
    <row r="571" spans="1:32">
      <c r="A571" s="663"/>
      <c r="B571" s="700" t="s">
        <v>772</v>
      </c>
      <c r="C571" s="663" t="s">
        <v>427</v>
      </c>
      <c r="D571" s="678" t="s">
        <v>1975</v>
      </c>
      <c r="E571" s="700" t="s">
        <v>1899</v>
      </c>
      <c r="F571" s="795">
        <v>1150</v>
      </c>
      <c r="G571" s="750" t="s">
        <v>2107</v>
      </c>
      <c r="H571" s="748"/>
      <c r="I571" s="748">
        <v>2000</v>
      </c>
      <c r="J571" s="1654" t="s">
        <v>1134</v>
      </c>
      <c r="K571" s="1251"/>
      <c r="L571" s="748"/>
      <c r="M571" s="748">
        <v>600</v>
      </c>
      <c r="N571" s="125"/>
    </row>
    <row r="572" spans="1:32">
      <c r="A572" s="683"/>
      <c r="B572" s="720" t="s">
        <v>436</v>
      </c>
      <c r="C572" s="683" t="s">
        <v>427</v>
      </c>
      <c r="D572" s="719" t="s">
        <v>1975</v>
      </c>
      <c r="E572" s="720" t="s">
        <v>1899</v>
      </c>
      <c r="F572" s="824">
        <v>1170</v>
      </c>
      <c r="G572" s="800" t="s">
        <v>475</v>
      </c>
      <c r="H572" s="893">
        <v>75</v>
      </c>
      <c r="I572" s="893"/>
      <c r="J572" s="1654">
        <v>60</v>
      </c>
      <c r="K572" s="1251"/>
      <c r="L572" s="893">
        <v>60</v>
      </c>
      <c r="M572" s="893"/>
      <c r="N572" s="125"/>
    </row>
    <row r="573" spans="1:32">
      <c r="A573" s="663"/>
      <c r="B573" s="700" t="s">
        <v>436</v>
      </c>
      <c r="C573" s="663" t="s">
        <v>427</v>
      </c>
      <c r="D573" s="678" t="s">
        <v>1975</v>
      </c>
      <c r="E573" s="700" t="s">
        <v>1899</v>
      </c>
      <c r="F573" s="795">
        <v>1170</v>
      </c>
      <c r="G573" s="812" t="s">
        <v>474</v>
      </c>
      <c r="H573" s="748"/>
      <c r="I573" s="748">
        <v>75</v>
      </c>
      <c r="J573" s="1654" t="s">
        <v>1134</v>
      </c>
      <c r="K573" s="1251"/>
      <c r="L573" s="748"/>
      <c r="M573" s="748">
        <v>60</v>
      </c>
      <c r="N573" s="7" t="s">
        <v>3541</v>
      </c>
    </row>
    <row r="574" spans="1:32">
      <c r="A574" s="683"/>
      <c r="B574" s="720" t="s">
        <v>436</v>
      </c>
      <c r="C574" s="683" t="s">
        <v>427</v>
      </c>
      <c r="D574" s="719" t="s">
        <v>1975</v>
      </c>
      <c r="E574" s="720" t="s">
        <v>1899</v>
      </c>
      <c r="F574" s="824">
        <v>1210</v>
      </c>
      <c r="G574" s="800" t="s">
        <v>113</v>
      </c>
      <c r="H574" s="706">
        <v>22372</v>
      </c>
      <c r="I574" s="706"/>
      <c r="J574" s="1654">
        <v>18240</v>
      </c>
      <c r="K574" s="802"/>
      <c r="L574" s="706">
        <v>22358.991034485</v>
      </c>
      <c r="M574" s="706"/>
      <c r="N574" s="125"/>
      <c r="O574" s="3"/>
      <c r="P574" s="3"/>
      <c r="Q574" s="3"/>
      <c r="R574" s="3"/>
      <c r="S574" s="3"/>
      <c r="T574" s="3"/>
      <c r="U574" s="3"/>
      <c r="V574" s="3"/>
      <c r="W574" s="3"/>
      <c r="X574" s="3"/>
      <c r="Y574" s="3"/>
      <c r="Z574" s="3"/>
      <c r="AA574" s="3"/>
      <c r="AB574" s="3"/>
      <c r="AC574" s="3"/>
      <c r="AD574" s="3"/>
      <c r="AE574" s="3"/>
      <c r="AF574" s="3"/>
    </row>
    <row r="575" spans="1:32">
      <c r="A575" s="663"/>
      <c r="B575" s="700" t="s">
        <v>436</v>
      </c>
      <c r="C575" s="663" t="s">
        <v>427</v>
      </c>
      <c r="D575" s="678" t="s">
        <v>1975</v>
      </c>
      <c r="E575" s="700" t="s">
        <v>1899</v>
      </c>
      <c r="F575" s="795">
        <v>1210</v>
      </c>
      <c r="G575" s="750" t="s">
        <v>436</v>
      </c>
      <c r="H575" s="701"/>
      <c r="I575" s="701">
        <v>20672.279767020002</v>
      </c>
      <c r="J575" s="1654"/>
      <c r="K575" s="802"/>
      <c r="L575" s="701"/>
      <c r="M575" s="701">
        <v>22358.991034485</v>
      </c>
      <c r="N575" s="125" t="s">
        <v>3543</v>
      </c>
      <c r="O575" s="7"/>
      <c r="P575" s="7"/>
      <c r="Q575" s="7"/>
      <c r="R575" s="182"/>
      <c r="S575" s="126"/>
      <c r="T575" s="126"/>
      <c r="U575" s="7"/>
      <c r="V575" s="7"/>
      <c r="W575" s="7"/>
      <c r="X575" s="7"/>
      <c r="Y575" s="7"/>
      <c r="Z575" s="7"/>
      <c r="AA575" s="7"/>
      <c r="AB575" s="7"/>
      <c r="AC575" s="7"/>
      <c r="AD575" s="7"/>
      <c r="AE575" s="7"/>
      <c r="AF575" s="7"/>
    </row>
    <row r="576" spans="1:32" ht="20.399999999999999">
      <c r="A576" s="663"/>
      <c r="B576" s="700" t="s">
        <v>436</v>
      </c>
      <c r="C576" s="663" t="s">
        <v>427</v>
      </c>
      <c r="D576" s="678" t="s">
        <v>1975</v>
      </c>
      <c r="E576" s="700" t="s">
        <v>1899</v>
      </c>
      <c r="F576" s="795">
        <v>1210</v>
      </c>
      <c r="G576" s="750" t="s">
        <v>5015</v>
      </c>
      <c r="H576" s="701"/>
      <c r="I576" s="701">
        <v>1700</v>
      </c>
      <c r="J576" s="1654" t="s">
        <v>1134</v>
      </c>
      <c r="K576" s="802"/>
      <c r="L576" s="701"/>
      <c r="M576" s="701"/>
      <c r="N576" s="125"/>
      <c r="O576" s="3"/>
      <c r="P576" s="3"/>
      <c r="Q576" s="3"/>
      <c r="R576" s="3"/>
      <c r="S576" s="3"/>
      <c r="T576" s="3"/>
      <c r="U576" s="3"/>
      <c r="V576" s="3"/>
      <c r="W576" s="3"/>
      <c r="X576" s="3"/>
      <c r="Y576" s="3"/>
      <c r="Z576" s="3"/>
      <c r="AA576" s="3"/>
      <c r="AB576" s="3"/>
      <c r="AC576" s="3"/>
      <c r="AD576" s="3"/>
      <c r="AE576" s="3"/>
      <c r="AF576" s="3"/>
    </row>
    <row r="577" spans="1:32">
      <c r="A577" s="683"/>
      <c r="B577" s="720" t="s">
        <v>436</v>
      </c>
      <c r="C577" s="683" t="s">
        <v>427</v>
      </c>
      <c r="D577" s="719" t="s">
        <v>1975</v>
      </c>
      <c r="E577" s="720" t="s">
        <v>1899</v>
      </c>
      <c r="F577" s="824">
        <v>1221</v>
      </c>
      <c r="G577" s="800" t="s">
        <v>120</v>
      </c>
      <c r="H577" s="706">
        <v>2830</v>
      </c>
      <c r="I577" s="706"/>
      <c r="J577" s="1654">
        <v>2305.9</v>
      </c>
      <c r="K577" s="802"/>
      <c r="L577" s="706">
        <v>4913.4990018150002</v>
      </c>
      <c r="M577" s="706"/>
      <c r="N577" s="125"/>
      <c r="O577" s="3"/>
      <c r="P577" s="3"/>
      <c r="Q577" s="3"/>
      <c r="R577" s="3"/>
      <c r="S577" s="3"/>
      <c r="T577" s="3"/>
      <c r="U577" s="3"/>
      <c r="V577" s="3"/>
      <c r="W577" s="3"/>
      <c r="X577" s="3"/>
      <c r="Y577" s="3"/>
      <c r="Z577" s="3"/>
      <c r="AA577" s="3"/>
      <c r="AB577" s="3"/>
      <c r="AC577" s="3"/>
      <c r="AD577" s="3"/>
      <c r="AE577" s="3"/>
      <c r="AF577" s="3"/>
    </row>
    <row r="578" spans="1:32">
      <c r="A578" s="663"/>
      <c r="B578" s="700" t="s">
        <v>436</v>
      </c>
      <c r="C578" s="663" t="s">
        <v>427</v>
      </c>
      <c r="D578" s="678" t="s">
        <v>1975</v>
      </c>
      <c r="E578" s="700" t="s">
        <v>1899</v>
      </c>
      <c r="F578" s="795">
        <v>1221</v>
      </c>
      <c r="G578" s="750" t="s">
        <v>1046</v>
      </c>
      <c r="H578" s="701"/>
      <c r="I578" s="701">
        <v>4529.9447245800002</v>
      </c>
      <c r="J578" s="1654" t="s">
        <v>1134</v>
      </c>
      <c r="K578" s="802"/>
      <c r="L578" s="701"/>
      <c r="M578" s="701">
        <v>4913.4990018150002</v>
      </c>
      <c r="N578" s="125"/>
      <c r="O578" s="3"/>
      <c r="P578" s="3"/>
      <c r="Q578" s="3"/>
      <c r="R578" s="3"/>
      <c r="S578" s="3"/>
      <c r="T578" s="3"/>
      <c r="U578" s="3"/>
      <c r="V578" s="3"/>
      <c r="W578" s="3"/>
      <c r="X578" s="3"/>
      <c r="Y578" s="3"/>
      <c r="Z578" s="3"/>
      <c r="AA578" s="3"/>
      <c r="AB578" s="3"/>
      <c r="AC578" s="3"/>
      <c r="AD578" s="3"/>
      <c r="AE578" s="3"/>
      <c r="AF578" s="3"/>
    </row>
    <row r="579" spans="1:32" ht="20.399999999999999">
      <c r="A579" s="663"/>
      <c r="B579" s="700" t="s">
        <v>436</v>
      </c>
      <c r="C579" s="663" t="s">
        <v>427</v>
      </c>
      <c r="D579" s="678" t="s">
        <v>1975</v>
      </c>
      <c r="E579" s="700" t="s">
        <v>1899</v>
      </c>
      <c r="F579" s="795">
        <v>1221</v>
      </c>
      <c r="G579" s="812" t="s">
        <v>5015</v>
      </c>
      <c r="H579" s="701"/>
      <c r="I579" s="701">
        <v>-1700</v>
      </c>
      <c r="J579" s="1654" t="s">
        <v>1134</v>
      </c>
      <c r="K579" s="802"/>
      <c r="L579" s="701"/>
      <c r="M579" s="701"/>
      <c r="N579" s="654"/>
      <c r="O579" s="4"/>
      <c r="P579" s="4"/>
      <c r="Q579" s="4"/>
      <c r="R579" s="4"/>
      <c r="S579" s="4"/>
      <c r="T579" s="4"/>
      <c r="U579" s="4"/>
      <c r="V579" s="4"/>
      <c r="W579" s="4"/>
      <c r="X579" s="4"/>
      <c r="Y579" s="4"/>
      <c r="Z579" s="4"/>
      <c r="AA579" s="4"/>
      <c r="AB579" s="4"/>
      <c r="AC579" s="4"/>
      <c r="AD579" s="4"/>
      <c r="AE579" s="4"/>
      <c r="AF579" s="4"/>
    </row>
    <row r="580" spans="1:32" ht="20.399999999999999">
      <c r="A580" s="683"/>
      <c r="B580" s="720" t="s">
        <v>772</v>
      </c>
      <c r="C580" s="683" t="s">
        <v>427</v>
      </c>
      <c r="D580" s="719" t="s">
        <v>1975</v>
      </c>
      <c r="E580" s="720" t="s">
        <v>1899</v>
      </c>
      <c r="F580" s="685">
        <v>1227</v>
      </c>
      <c r="G580" s="686" t="s">
        <v>781</v>
      </c>
      <c r="H580" s="689">
        <v>0</v>
      </c>
      <c r="I580" s="689"/>
      <c r="J580" s="1494" t="s">
        <v>1134</v>
      </c>
      <c r="K580" s="690"/>
      <c r="L580" s="689">
        <v>0</v>
      </c>
      <c r="M580" s="689"/>
      <c r="N580" s="125"/>
      <c r="O580" s="7"/>
      <c r="P580" s="7"/>
      <c r="Q580" s="7"/>
      <c r="R580" s="7"/>
      <c r="S580" s="7"/>
      <c r="T580" s="7"/>
      <c r="U580" s="7"/>
      <c r="V580" s="7"/>
      <c r="W580" s="7"/>
      <c r="X580" s="7"/>
      <c r="Y580" s="7"/>
      <c r="Z580" s="7"/>
      <c r="AA580" s="7"/>
      <c r="AB580" s="7"/>
      <c r="AC580" s="7"/>
      <c r="AD580" s="7"/>
      <c r="AE580" s="7"/>
    </row>
    <row r="581" spans="1:32">
      <c r="A581" s="663"/>
      <c r="B581" s="700" t="s">
        <v>772</v>
      </c>
      <c r="C581" s="663" t="s">
        <v>427</v>
      </c>
      <c r="D581" s="678" t="s">
        <v>1975</v>
      </c>
      <c r="E581" s="700" t="s">
        <v>1899</v>
      </c>
      <c r="F581" s="679">
        <v>1227</v>
      </c>
      <c r="G581" s="763"/>
      <c r="H581" s="660"/>
      <c r="I581" s="660"/>
      <c r="J581" s="1494" t="s">
        <v>1134</v>
      </c>
      <c r="K581" s="690"/>
      <c r="L581" s="660"/>
      <c r="M581" s="660"/>
      <c r="N581" s="7"/>
      <c r="O581" s="3"/>
      <c r="P581" s="3"/>
      <c r="Q581" s="3"/>
      <c r="R581" s="3"/>
      <c r="S581" s="3"/>
      <c r="T581" s="3"/>
      <c r="U581" s="3"/>
      <c r="V581" s="3"/>
      <c r="W581" s="3"/>
      <c r="X581" s="3"/>
      <c r="Y581" s="3"/>
      <c r="Z581" s="3"/>
      <c r="AA581" s="3"/>
      <c r="AB581" s="3"/>
      <c r="AC581" s="3"/>
      <c r="AD581" s="3"/>
      <c r="AE581" s="3"/>
      <c r="AF581" s="3"/>
    </row>
    <row r="582" spans="1:32" ht="30.6">
      <c r="A582" s="683"/>
      <c r="B582" s="720" t="s">
        <v>772</v>
      </c>
      <c r="C582" s="683" t="s">
        <v>427</v>
      </c>
      <c r="D582" s="719" t="s">
        <v>1975</v>
      </c>
      <c r="E582" s="720" t="s">
        <v>1899</v>
      </c>
      <c r="F582" s="685">
        <v>1228</v>
      </c>
      <c r="G582" s="686" t="s">
        <v>657</v>
      </c>
      <c r="H582" s="689">
        <v>250</v>
      </c>
      <c r="I582" s="689"/>
      <c r="J582" s="1494">
        <v>0</v>
      </c>
      <c r="K582" s="690"/>
      <c r="L582" s="689">
        <v>200</v>
      </c>
      <c r="M582" s="689"/>
      <c r="N582" s="125"/>
      <c r="O582" s="7"/>
      <c r="P582" s="7"/>
      <c r="Q582" s="7"/>
      <c r="R582" s="182"/>
      <c r="S582" s="126"/>
      <c r="T582" s="126"/>
      <c r="U582" s="7"/>
      <c r="V582" s="7"/>
      <c r="W582" s="7"/>
      <c r="X582" s="7"/>
      <c r="Y582" s="7"/>
      <c r="Z582" s="7"/>
      <c r="AA582" s="7"/>
      <c r="AB582" s="7"/>
      <c r="AC582" s="7"/>
      <c r="AD582" s="7"/>
      <c r="AE582" s="7"/>
      <c r="AF582" s="7"/>
    </row>
    <row r="583" spans="1:32">
      <c r="A583" s="663"/>
      <c r="B583" s="700" t="s">
        <v>772</v>
      </c>
      <c r="C583" s="663" t="s">
        <v>427</v>
      </c>
      <c r="D583" s="678" t="s">
        <v>1975</v>
      </c>
      <c r="E583" s="700" t="s">
        <v>1899</v>
      </c>
      <c r="F583" s="679">
        <v>1228</v>
      </c>
      <c r="G583" s="665" t="s">
        <v>2108</v>
      </c>
      <c r="H583" s="660"/>
      <c r="I583" s="660">
        <v>250</v>
      </c>
      <c r="J583" s="1494" t="s">
        <v>1134</v>
      </c>
      <c r="K583" s="661"/>
      <c r="L583" s="660"/>
      <c r="M583" s="660">
        <v>200</v>
      </c>
      <c r="N583" s="125"/>
      <c r="O583" s="3"/>
      <c r="P583" s="3"/>
      <c r="Q583" s="3"/>
      <c r="R583" s="3"/>
      <c r="S583" s="3"/>
      <c r="T583" s="3"/>
      <c r="U583" s="3"/>
      <c r="V583" s="3"/>
      <c r="W583" s="3"/>
      <c r="X583" s="3"/>
      <c r="Y583" s="3"/>
      <c r="Z583" s="3"/>
      <c r="AA583" s="3"/>
      <c r="AB583" s="3"/>
      <c r="AC583" s="3"/>
      <c r="AD583" s="3"/>
      <c r="AE583" s="3"/>
      <c r="AF583" s="3"/>
    </row>
    <row r="584" spans="1:32" ht="20.399999999999999">
      <c r="A584" s="663"/>
      <c r="B584" s="700" t="s">
        <v>772</v>
      </c>
      <c r="C584" s="663" t="s">
        <v>427</v>
      </c>
      <c r="D584" s="678" t="s">
        <v>1975</v>
      </c>
      <c r="E584" s="700" t="s">
        <v>1899</v>
      </c>
      <c r="F584" s="679">
        <v>1228</v>
      </c>
      <c r="G584" s="681" t="s">
        <v>2002</v>
      </c>
      <c r="H584" s="660"/>
      <c r="I584" s="660"/>
      <c r="J584" s="1494" t="s">
        <v>1134</v>
      </c>
      <c r="K584" s="690"/>
      <c r="L584" s="660"/>
      <c r="M584" s="660"/>
      <c r="N584" s="125"/>
      <c r="O584" s="7"/>
      <c r="P584" s="7"/>
      <c r="Q584" s="7"/>
      <c r="R584" s="182"/>
      <c r="S584" s="126"/>
      <c r="T584" s="126"/>
      <c r="U584" s="7"/>
      <c r="V584" s="7"/>
      <c r="W584" s="7"/>
      <c r="X584" s="7"/>
      <c r="Y584" s="7"/>
      <c r="Z584" s="7"/>
      <c r="AA584" s="7"/>
      <c r="AB584" s="7"/>
      <c r="AC584" s="7"/>
      <c r="AD584" s="7"/>
      <c r="AE584" s="7"/>
      <c r="AF584" s="7"/>
    </row>
    <row r="585" spans="1:32">
      <c r="A585" s="1727"/>
      <c r="B585" s="1729" t="s">
        <v>772</v>
      </c>
      <c r="C585" s="1727" t="s">
        <v>322</v>
      </c>
      <c r="D585" s="1728" t="s">
        <v>1975</v>
      </c>
      <c r="E585" s="1729" t="s">
        <v>1899</v>
      </c>
      <c r="F585" s="1730">
        <v>2210</v>
      </c>
      <c r="G585" s="1731" t="s">
        <v>572</v>
      </c>
      <c r="H585" s="1732">
        <v>640</v>
      </c>
      <c r="I585" s="1732"/>
      <c r="J585" s="1673">
        <v>579</v>
      </c>
      <c r="K585" s="1726"/>
      <c r="L585" s="1732">
        <v>660</v>
      </c>
      <c r="M585" s="1732"/>
      <c r="N585" s="125"/>
      <c r="O585" s="7"/>
      <c r="P585" s="7"/>
      <c r="Q585" s="7"/>
      <c r="R585" s="182"/>
      <c r="S585" s="126"/>
      <c r="T585" s="126"/>
      <c r="U585" s="7"/>
      <c r="V585" s="7"/>
      <c r="W585" s="7"/>
      <c r="X585" s="7"/>
      <c r="Y585" s="7"/>
      <c r="Z585" s="7"/>
      <c r="AA585" s="7"/>
      <c r="AB585" s="7"/>
      <c r="AC585" s="7"/>
      <c r="AD585" s="7"/>
      <c r="AE585" s="7"/>
      <c r="AF585" s="7"/>
    </row>
    <row r="586" spans="1:32" ht="30.6">
      <c r="A586" s="1669" t="s">
        <v>557</v>
      </c>
      <c r="B586" s="1724" t="s">
        <v>772</v>
      </c>
      <c r="C586" s="1669" t="s">
        <v>322</v>
      </c>
      <c r="D586" s="1723" t="s">
        <v>1975</v>
      </c>
      <c r="E586" s="1724" t="s">
        <v>1899</v>
      </c>
      <c r="F586" s="1725">
        <v>2210</v>
      </c>
      <c r="G586" s="1733" t="s">
        <v>1515</v>
      </c>
      <c r="H586" s="1676"/>
      <c r="I586" s="1676">
        <v>0</v>
      </c>
      <c r="J586" s="1673" t="s">
        <v>1134</v>
      </c>
      <c r="K586" s="1674"/>
      <c r="L586" s="1676"/>
      <c r="M586" s="1676">
        <v>0</v>
      </c>
      <c r="N586" s="125"/>
      <c r="O586" s="7"/>
      <c r="P586" s="7"/>
      <c r="Q586" s="7"/>
      <c r="R586" s="182"/>
      <c r="S586" s="126"/>
      <c r="T586" s="126"/>
      <c r="U586" s="7"/>
      <c r="V586" s="7"/>
      <c r="W586" s="7"/>
      <c r="X586" s="7"/>
      <c r="Y586" s="7"/>
      <c r="Z586" s="7"/>
      <c r="AA586" s="7"/>
      <c r="AB586" s="7"/>
      <c r="AC586" s="7"/>
      <c r="AD586" s="7"/>
      <c r="AE586" s="7"/>
      <c r="AF586" s="7"/>
    </row>
    <row r="587" spans="1:32">
      <c r="A587" s="1669"/>
      <c r="B587" s="1724" t="s">
        <v>772</v>
      </c>
      <c r="C587" s="1669" t="s">
        <v>322</v>
      </c>
      <c r="D587" s="1723" t="s">
        <v>1975</v>
      </c>
      <c r="E587" s="1724" t="s">
        <v>1899</v>
      </c>
      <c r="F587" s="1725">
        <v>2210</v>
      </c>
      <c r="G587" s="1734" t="s">
        <v>2109</v>
      </c>
      <c r="H587" s="1676"/>
      <c r="I587" s="1676">
        <v>640</v>
      </c>
      <c r="J587" s="1673" t="s">
        <v>1134</v>
      </c>
      <c r="K587" s="1726"/>
      <c r="L587" s="1676"/>
      <c r="M587" s="1676">
        <v>660</v>
      </c>
      <c r="N587" s="125"/>
      <c r="O587" s="7"/>
      <c r="P587" s="7"/>
      <c r="Q587" s="7"/>
      <c r="R587" s="7"/>
      <c r="S587" s="7"/>
      <c r="T587" s="7"/>
      <c r="U587" s="7"/>
      <c r="V587" s="7"/>
      <c r="W587" s="7"/>
      <c r="X587" s="7"/>
      <c r="Y587" s="7"/>
      <c r="Z587" s="7"/>
      <c r="AA587" s="7"/>
      <c r="AB587" s="7"/>
      <c r="AC587" s="7"/>
      <c r="AD587" s="7"/>
      <c r="AE587" s="7"/>
    </row>
    <row r="588" spans="1:32">
      <c r="A588" s="1729"/>
      <c r="B588" s="1729" t="s">
        <v>772</v>
      </c>
      <c r="C588" s="1729" t="s">
        <v>320</v>
      </c>
      <c r="D588" s="1735" t="s">
        <v>1975</v>
      </c>
      <c r="E588" s="1729" t="s">
        <v>1899</v>
      </c>
      <c r="F588" s="1736">
        <v>2234</v>
      </c>
      <c r="G588" s="1737" t="s">
        <v>120</v>
      </c>
      <c r="H588" s="1738">
        <v>90</v>
      </c>
      <c r="I588" s="1738"/>
      <c r="J588" s="1739">
        <v>0</v>
      </c>
      <c r="K588" s="1740"/>
      <c r="L588" s="1738">
        <v>90</v>
      </c>
      <c r="M588" s="1738"/>
      <c r="N588" s="125"/>
      <c r="O588" s="7"/>
      <c r="P588" s="7"/>
      <c r="Q588" s="7"/>
      <c r="R588" s="7"/>
      <c r="S588" s="7"/>
      <c r="T588" s="7"/>
      <c r="U588" s="7"/>
      <c r="V588" s="7"/>
      <c r="W588" s="7"/>
      <c r="X588" s="7"/>
      <c r="Y588" s="7"/>
      <c r="Z588" s="7"/>
      <c r="AA588" s="7"/>
      <c r="AB588" s="7"/>
      <c r="AC588" s="7"/>
      <c r="AD588" s="7"/>
      <c r="AE588" s="7"/>
    </row>
    <row r="589" spans="1:32">
      <c r="A589" s="1724"/>
      <c r="B589" s="1724" t="s">
        <v>772</v>
      </c>
      <c r="C589" s="1724" t="s">
        <v>320</v>
      </c>
      <c r="D589" s="1741" t="s">
        <v>1975</v>
      </c>
      <c r="E589" s="1724" t="s">
        <v>1899</v>
      </c>
      <c r="F589" s="1742">
        <v>2234</v>
      </c>
      <c r="G589" s="1703" t="s">
        <v>2110</v>
      </c>
      <c r="H589" s="1672"/>
      <c r="I589" s="1672">
        <v>90</v>
      </c>
      <c r="J589" s="1739" t="s">
        <v>1134</v>
      </c>
      <c r="K589" s="1688"/>
      <c r="L589" s="1672"/>
      <c r="M589" s="1672">
        <v>90</v>
      </c>
      <c r="N589" s="125" t="s">
        <v>3546</v>
      </c>
      <c r="O589" s="7"/>
      <c r="P589" s="7"/>
      <c r="Q589" s="7"/>
      <c r="R589" s="7"/>
      <c r="S589" s="7"/>
      <c r="T589" s="7"/>
      <c r="U589" s="7"/>
      <c r="V589" s="7"/>
      <c r="W589" s="7"/>
      <c r="X589" s="7"/>
      <c r="Y589" s="7"/>
      <c r="Z589" s="7"/>
      <c r="AA589" s="7"/>
      <c r="AB589" s="7"/>
      <c r="AC589" s="7"/>
      <c r="AD589" s="7"/>
      <c r="AE589" s="7"/>
    </row>
    <row r="590" spans="1:32" ht="11.4" customHeight="1">
      <c r="A590" s="1727"/>
      <c r="B590" s="1729" t="s">
        <v>772</v>
      </c>
      <c r="C590" s="1727" t="s">
        <v>320</v>
      </c>
      <c r="D590" s="1728" t="s">
        <v>1975</v>
      </c>
      <c r="E590" s="1729" t="s">
        <v>1899</v>
      </c>
      <c r="F590" s="1736">
        <v>2235</v>
      </c>
      <c r="G590" s="1737" t="s">
        <v>1139</v>
      </c>
      <c r="H590" s="1738">
        <v>340</v>
      </c>
      <c r="I590" s="1738"/>
      <c r="J590" s="1739">
        <v>160</v>
      </c>
      <c r="K590" s="1740"/>
      <c r="L590" s="1738">
        <v>340</v>
      </c>
      <c r="M590" s="1738"/>
      <c r="N590" s="125"/>
      <c r="O590" s="7"/>
      <c r="P590" s="7"/>
      <c r="Q590" s="7"/>
      <c r="R590" s="7"/>
      <c r="S590" s="7"/>
      <c r="T590" s="7"/>
      <c r="U590" s="7"/>
      <c r="V590" s="7"/>
      <c r="W590" s="7"/>
      <c r="X590" s="7"/>
      <c r="Y590" s="7"/>
      <c r="Z590" s="7"/>
      <c r="AA590" s="7"/>
      <c r="AB590" s="7"/>
      <c r="AC590" s="7"/>
      <c r="AD590" s="7"/>
      <c r="AE590" s="7"/>
    </row>
    <row r="591" spans="1:32">
      <c r="A591" s="1669"/>
      <c r="B591" s="1724" t="s">
        <v>772</v>
      </c>
      <c r="C591" s="1669" t="s">
        <v>322</v>
      </c>
      <c r="D591" s="1723" t="s">
        <v>1975</v>
      </c>
      <c r="E591" s="1724" t="s">
        <v>1899</v>
      </c>
      <c r="F591" s="1742">
        <v>2235</v>
      </c>
      <c r="G591" s="1703" t="s">
        <v>3540</v>
      </c>
      <c r="H591" s="1672"/>
      <c r="I591" s="1672">
        <v>340</v>
      </c>
      <c r="J591" s="1739" t="s">
        <v>1134</v>
      </c>
      <c r="K591" s="1688"/>
      <c r="L591" s="1672"/>
      <c r="M591" s="1743">
        <v>340</v>
      </c>
      <c r="N591" s="125" t="s">
        <v>4844</v>
      </c>
      <c r="O591" s="7"/>
      <c r="P591" s="7"/>
      <c r="Q591" s="7"/>
      <c r="R591" s="7"/>
      <c r="S591" s="7"/>
      <c r="T591" s="7"/>
      <c r="U591" s="7"/>
      <c r="V591" s="7"/>
      <c r="W591" s="7"/>
      <c r="X591" s="7"/>
      <c r="Y591" s="7"/>
      <c r="Z591" s="7"/>
      <c r="AA591" s="7"/>
      <c r="AB591" s="7"/>
      <c r="AC591" s="7"/>
      <c r="AD591" s="7"/>
      <c r="AE591" s="7"/>
    </row>
    <row r="592" spans="1:32" ht="30.6">
      <c r="A592" s="1727"/>
      <c r="B592" s="1729" t="s">
        <v>772</v>
      </c>
      <c r="C592" s="1727" t="s">
        <v>322</v>
      </c>
      <c r="D592" s="1728" t="s">
        <v>1975</v>
      </c>
      <c r="E592" s="1729" t="s">
        <v>1899</v>
      </c>
      <c r="F592" s="1730">
        <v>2239</v>
      </c>
      <c r="G592" s="1731" t="s">
        <v>122</v>
      </c>
      <c r="H592" s="1732">
        <v>8848.4</v>
      </c>
      <c r="I592" s="1732"/>
      <c r="J592" s="1673">
        <v>5549</v>
      </c>
      <c r="K592" s="1726"/>
      <c r="L592" s="1732">
        <v>10228</v>
      </c>
      <c r="M592" s="1732"/>
      <c r="N592" s="125" t="s">
        <v>3548</v>
      </c>
      <c r="O592" s="7"/>
      <c r="P592" s="7"/>
      <c r="Q592" s="7"/>
      <c r="R592" s="7"/>
      <c r="S592" s="7"/>
      <c r="T592" s="7"/>
      <c r="U592" s="7"/>
      <c r="V592" s="7"/>
      <c r="W592" s="7"/>
      <c r="X592" s="7"/>
      <c r="Y592" s="7"/>
      <c r="Z592" s="7"/>
      <c r="AA592" s="7"/>
      <c r="AB592" s="7"/>
      <c r="AC592" s="7"/>
      <c r="AD592" s="7"/>
      <c r="AE592" s="7"/>
    </row>
    <row r="593" spans="1:32">
      <c r="A593" s="1669" t="s">
        <v>559</v>
      </c>
      <c r="B593" s="1724" t="s">
        <v>772</v>
      </c>
      <c r="C593" s="1669" t="s">
        <v>322</v>
      </c>
      <c r="D593" s="1723" t="s">
        <v>1975</v>
      </c>
      <c r="E593" s="1724" t="s">
        <v>1899</v>
      </c>
      <c r="F593" s="1725">
        <v>2239</v>
      </c>
      <c r="G593" s="1671" t="s">
        <v>2111</v>
      </c>
      <c r="H593" s="1744"/>
      <c r="I593" s="1744">
        <v>650</v>
      </c>
      <c r="J593" s="1673"/>
      <c r="K593" s="1745"/>
      <c r="L593" s="1744"/>
      <c r="M593" s="1744">
        <v>750</v>
      </c>
      <c r="N593" s="125"/>
      <c r="O593" s="7"/>
      <c r="P593" s="7"/>
      <c r="Q593" s="7"/>
      <c r="R593" s="7"/>
      <c r="S593" s="7"/>
      <c r="T593" s="7"/>
      <c r="U593" s="7"/>
      <c r="V593" s="7"/>
      <c r="W593" s="7"/>
      <c r="X593" s="7"/>
      <c r="Y593" s="7"/>
      <c r="Z593" s="7"/>
      <c r="AA593" s="7"/>
      <c r="AB593" s="7"/>
      <c r="AC593" s="7"/>
      <c r="AD593" s="7"/>
      <c r="AE593" s="7"/>
    </row>
    <row r="594" spans="1:32" ht="20.399999999999999">
      <c r="A594" s="1669" t="s">
        <v>558</v>
      </c>
      <c r="B594" s="1724" t="s">
        <v>772</v>
      </c>
      <c r="C594" s="1669" t="s">
        <v>322</v>
      </c>
      <c r="D594" s="1723" t="s">
        <v>1975</v>
      </c>
      <c r="E594" s="1724" t="s">
        <v>1899</v>
      </c>
      <c r="F594" s="1725">
        <v>2239</v>
      </c>
      <c r="G594" s="1671" t="s">
        <v>1516</v>
      </c>
      <c r="H594" s="1744"/>
      <c r="I594" s="1746">
        <v>2030</v>
      </c>
      <c r="J594" s="1673">
        <v>2118.34</v>
      </c>
      <c r="K594" s="1745"/>
      <c r="L594" s="1744"/>
      <c r="M594" s="1746">
        <v>2030</v>
      </c>
      <c r="N594" s="125"/>
      <c r="O594" s="7"/>
      <c r="P594" s="7"/>
      <c r="Q594" s="7"/>
      <c r="R594" s="7"/>
      <c r="S594" s="7"/>
      <c r="T594" s="7"/>
      <c r="U594" s="7"/>
      <c r="V594" s="7"/>
      <c r="W594" s="7"/>
      <c r="X594" s="7"/>
      <c r="Y594" s="7"/>
      <c r="Z594" s="7"/>
      <c r="AA594" s="7"/>
      <c r="AB594" s="7"/>
      <c r="AC594" s="7"/>
      <c r="AD594" s="7"/>
      <c r="AE594" s="7"/>
    </row>
    <row r="595" spans="1:32" ht="20.399999999999999">
      <c r="A595" s="1669" t="s">
        <v>558</v>
      </c>
      <c r="B595" s="1724" t="s">
        <v>772</v>
      </c>
      <c r="C595" s="1669" t="s">
        <v>322</v>
      </c>
      <c r="D595" s="1723" t="s">
        <v>1975</v>
      </c>
      <c r="E595" s="1724" t="s">
        <v>1899</v>
      </c>
      <c r="F595" s="1725">
        <v>2239</v>
      </c>
      <c r="G595" s="1671" t="s">
        <v>3542</v>
      </c>
      <c r="H595" s="1744"/>
      <c r="I595" s="1746">
        <v>3194.4</v>
      </c>
      <c r="J595" s="1673">
        <v>2262.66</v>
      </c>
      <c r="K595" s="1745"/>
      <c r="L595" s="1744"/>
      <c r="M595" s="1746">
        <v>4400</v>
      </c>
      <c r="N595" s="125"/>
    </row>
    <row r="596" spans="1:32">
      <c r="A596" s="1747" t="s">
        <v>561</v>
      </c>
      <c r="B596" s="1750" t="s">
        <v>772</v>
      </c>
      <c r="C596" s="1748" t="s">
        <v>322</v>
      </c>
      <c r="D596" s="1749" t="s">
        <v>1975</v>
      </c>
      <c r="E596" s="1750" t="s">
        <v>1899</v>
      </c>
      <c r="F596" s="1751">
        <v>2239</v>
      </c>
      <c r="G596" s="1752" t="s">
        <v>410</v>
      </c>
      <c r="H596" s="1753"/>
      <c r="I596" s="1754">
        <v>400</v>
      </c>
      <c r="J596" s="1673">
        <v>394</v>
      </c>
      <c r="K596" s="1745"/>
      <c r="L596" s="1753"/>
      <c r="M596" s="1746">
        <v>400</v>
      </c>
      <c r="N596" s="125"/>
      <c r="O596" s="7"/>
      <c r="P596" s="7"/>
      <c r="Q596" s="7"/>
      <c r="R596" s="7"/>
      <c r="S596" s="7"/>
      <c r="T596" s="7"/>
      <c r="U596" s="7"/>
      <c r="V596" s="7"/>
      <c r="W596" s="7"/>
      <c r="X596" s="7"/>
      <c r="Y596" s="7"/>
      <c r="Z596" s="7"/>
      <c r="AA596" s="7"/>
      <c r="AB596" s="7"/>
      <c r="AC596" s="7"/>
      <c r="AD596" s="7"/>
      <c r="AE596" s="7"/>
      <c r="AF596" s="7"/>
    </row>
    <row r="597" spans="1:32" ht="20.399999999999999">
      <c r="A597" s="1669"/>
      <c r="B597" s="1750" t="s">
        <v>772</v>
      </c>
      <c r="C597" s="1748" t="s">
        <v>322</v>
      </c>
      <c r="D597" s="1749" t="s">
        <v>1975</v>
      </c>
      <c r="E597" s="1750" t="s">
        <v>1899</v>
      </c>
      <c r="F597" s="1751">
        <v>2239</v>
      </c>
      <c r="G597" s="1671" t="s">
        <v>3388</v>
      </c>
      <c r="H597" s="1744"/>
      <c r="I597" s="1755">
        <v>-74</v>
      </c>
      <c r="J597" s="1673" t="s">
        <v>1134</v>
      </c>
      <c r="K597" s="1756"/>
      <c r="L597" s="1755"/>
      <c r="M597" s="1746"/>
      <c r="N597" s="125"/>
      <c r="O597" s="7"/>
      <c r="P597" s="7"/>
      <c r="Q597" s="7"/>
      <c r="R597" s="7"/>
      <c r="S597" s="7"/>
      <c r="T597" s="7"/>
      <c r="U597" s="7"/>
      <c r="V597" s="7"/>
      <c r="W597" s="7"/>
      <c r="X597" s="7"/>
      <c r="Y597" s="7"/>
      <c r="Z597" s="7"/>
      <c r="AA597" s="7"/>
      <c r="AB597" s="7"/>
      <c r="AC597" s="7"/>
      <c r="AD597" s="7"/>
      <c r="AE597" s="7"/>
      <c r="AF597" s="7"/>
    </row>
    <row r="598" spans="1:32" ht="20.399999999999999">
      <c r="A598" s="1747"/>
      <c r="B598" s="1750" t="s">
        <v>772</v>
      </c>
      <c r="C598" s="1748" t="s">
        <v>322</v>
      </c>
      <c r="D598" s="1749" t="s">
        <v>1975</v>
      </c>
      <c r="E598" s="1750" t="s">
        <v>1899</v>
      </c>
      <c r="F598" s="1751">
        <v>2239</v>
      </c>
      <c r="G598" s="1752" t="s">
        <v>1086</v>
      </c>
      <c r="H598" s="1753"/>
      <c r="I598" s="1754">
        <v>470</v>
      </c>
      <c r="J598" s="1673">
        <v>774</v>
      </c>
      <c r="K598" s="1745"/>
      <c r="L598" s="1753"/>
      <c r="M598" s="1746">
        <v>470</v>
      </c>
      <c r="N598" s="125"/>
      <c r="O598" s="7"/>
      <c r="P598" s="7"/>
      <c r="Q598" s="7"/>
      <c r="R598" s="7"/>
      <c r="S598" s="7"/>
      <c r="T598" s="7"/>
      <c r="U598" s="7"/>
      <c r="V598" s="7"/>
      <c r="W598" s="7"/>
      <c r="X598" s="7"/>
      <c r="Y598" s="7"/>
      <c r="Z598" s="7"/>
      <c r="AA598" s="7"/>
      <c r="AB598" s="7"/>
      <c r="AC598" s="7"/>
      <c r="AD598" s="7"/>
      <c r="AE598" s="7"/>
    </row>
    <row r="599" spans="1:32" ht="20.399999999999999">
      <c r="A599" s="1747"/>
      <c r="B599" s="1750" t="s">
        <v>772</v>
      </c>
      <c r="C599" s="1748" t="s">
        <v>322</v>
      </c>
      <c r="D599" s="1749" t="s">
        <v>1975</v>
      </c>
      <c r="E599" s="1750" t="s">
        <v>1899</v>
      </c>
      <c r="F599" s="1751">
        <v>2239</v>
      </c>
      <c r="G599" s="1671" t="s">
        <v>2105</v>
      </c>
      <c r="H599" s="1676"/>
      <c r="I599" s="1676">
        <v>2178</v>
      </c>
      <c r="J599" s="1673" t="s">
        <v>1134</v>
      </c>
      <c r="K599" s="1674"/>
      <c r="L599" s="1676"/>
      <c r="M599" s="1757">
        <v>2178</v>
      </c>
      <c r="N599" s="125"/>
      <c r="O599" s="3"/>
      <c r="P599" s="3"/>
      <c r="Q599" s="3"/>
      <c r="R599" s="3"/>
      <c r="S599" s="3"/>
      <c r="T599" s="3"/>
      <c r="U599" s="3"/>
      <c r="V599" s="3"/>
      <c r="W599" s="3"/>
      <c r="X599" s="3"/>
      <c r="Y599" s="3"/>
      <c r="Z599" s="3"/>
      <c r="AA599" s="3"/>
      <c r="AB599" s="3"/>
      <c r="AC599" s="3"/>
      <c r="AD599" s="3"/>
      <c r="AE599" s="3"/>
      <c r="AF599" s="3"/>
    </row>
    <row r="600" spans="1:32" ht="30.6">
      <c r="A600" s="1727"/>
      <c r="B600" s="3139" t="s">
        <v>773</v>
      </c>
      <c r="C600" s="1727" t="s">
        <v>322</v>
      </c>
      <c r="D600" s="1728" t="s">
        <v>1975</v>
      </c>
      <c r="E600" s="1729" t="s">
        <v>1899</v>
      </c>
      <c r="F600" s="1730">
        <v>2239</v>
      </c>
      <c r="G600" s="1731" t="s">
        <v>122</v>
      </c>
      <c r="H600" s="1732"/>
      <c r="I600" s="1732"/>
      <c r="J600" s="1673"/>
      <c r="K600" s="1726"/>
      <c r="L600" s="1732">
        <v>0</v>
      </c>
      <c r="M600" s="1732"/>
      <c r="N600" s="125"/>
      <c r="O600" s="7"/>
      <c r="P600" s="7"/>
      <c r="Q600" s="7"/>
      <c r="R600" s="3"/>
      <c r="S600" s="3"/>
      <c r="T600" s="3"/>
      <c r="U600" s="3"/>
      <c r="V600" s="3"/>
      <c r="W600" s="3"/>
      <c r="X600" s="3"/>
      <c r="Y600" s="3"/>
      <c r="Z600" s="3"/>
      <c r="AA600" s="3"/>
      <c r="AB600" s="3"/>
      <c r="AC600" s="3"/>
      <c r="AD600" s="3"/>
      <c r="AE600" s="3"/>
      <c r="AF600" s="3"/>
    </row>
    <row r="601" spans="1:32">
      <c r="A601" s="1669"/>
      <c r="B601" s="3140" t="s">
        <v>773</v>
      </c>
      <c r="C601" s="1669" t="s">
        <v>322</v>
      </c>
      <c r="D601" s="1723" t="s">
        <v>1975</v>
      </c>
      <c r="E601" s="1724" t="s">
        <v>1899</v>
      </c>
      <c r="F601" s="1725">
        <v>2239</v>
      </c>
      <c r="G601" s="1671" t="s">
        <v>3544</v>
      </c>
      <c r="H601" s="1744"/>
      <c r="I601" s="1744"/>
      <c r="J601" s="1673"/>
      <c r="K601" s="1745"/>
      <c r="L601" s="1744"/>
      <c r="M601" s="3234">
        <v>0</v>
      </c>
      <c r="N601" s="125"/>
      <c r="O601" s="3"/>
      <c r="P601" s="3"/>
      <c r="Q601" s="3"/>
      <c r="R601" s="3"/>
      <c r="S601" s="3"/>
      <c r="T601" s="3"/>
      <c r="U601" s="3"/>
      <c r="V601" s="3"/>
      <c r="W601" s="3"/>
      <c r="X601" s="3"/>
      <c r="Y601" s="3"/>
      <c r="Z601" s="3"/>
      <c r="AA601" s="3"/>
      <c r="AB601" s="3"/>
      <c r="AC601" s="3"/>
      <c r="AD601" s="3"/>
      <c r="AE601" s="3"/>
      <c r="AF601" s="3"/>
    </row>
    <row r="602" spans="1:32">
      <c r="A602" s="1727"/>
      <c r="B602" s="1729" t="s">
        <v>772</v>
      </c>
      <c r="C602" s="1727" t="s">
        <v>320</v>
      </c>
      <c r="D602" s="1728" t="s">
        <v>1975</v>
      </c>
      <c r="E602" s="1729" t="s">
        <v>1899</v>
      </c>
      <c r="F602" s="1730">
        <v>2247</v>
      </c>
      <c r="G602" s="1731" t="s">
        <v>161</v>
      </c>
      <c r="H602" s="1732">
        <v>824</v>
      </c>
      <c r="I602" s="1732"/>
      <c r="J602" s="1673">
        <v>674</v>
      </c>
      <c r="K602" s="1726"/>
      <c r="L602" s="1732">
        <v>800</v>
      </c>
      <c r="M602" s="1732"/>
      <c r="N602" s="125"/>
      <c r="O602" s="7"/>
      <c r="P602" s="7"/>
      <c r="Q602" s="7"/>
      <c r="R602" s="3"/>
      <c r="S602" s="3"/>
      <c r="T602" s="3"/>
      <c r="U602" s="3"/>
      <c r="V602" s="3"/>
      <c r="W602" s="3"/>
      <c r="X602" s="3"/>
      <c r="Y602" s="3"/>
      <c r="Z602" s="3"/>
      <c r="AA602" s="3"/>
      <c r="AB602" s="3"/>
      <c r="AC602" s="3"/>
      <c r="AD602" s="3"/>
      <c r="AE602" s="3"/>
      <c r="AF602" s="3"/>
    </row>
    <row r="603" spans="1:32">
      <c r="A603" s="1747"/>
      <c r="B603" s="1724" t="s">
        <v>772</v>
      </c>
      <c r="C603" s="1669" t="s">
        <v>320</v>
      </c>
      <c r="D603" s="1723" t="s">
        <v>1975</v>
      </c>
      <c r="E603" s="1724" t="s">
        <v>1899</v>
      </c>
      <c r="F603" s="1725">
        <v>2247</v>
      </c>
      <c r="G603" s="1671" t="s">
        <v>3545</v>
      </c>
      <c r="H603" s="1676"/>
      <c r="I603" s="1676">
        <v>750</v>
      </c>
      <c r="J603" s="1673" t="s">
        <v>1134</v>
      </c>
      <c r="K603" s="1674"/>
      <c r="L603" s="1676"/>
      <c r="M603" s="1676">
        <v>800</v>
      </c>
      <c r="N603" s="125"/>
      <c r="O603" s="3"/>
      <c r="P603" s="3"/>
      <c r="Q603" s="3"/>
      <c r="R603" s="3"/>
      <c r="S603" s="3"/>
      <c r="T603" s="3"/>
      <c r="U603" s="3"/>
      <c r="V603" s="3"/>
      <c r="W603" s="3"/>
      <c r="X603" s="3"/>
      <c r="Y603" s="3"/>
      <c r="Z603" s="3"/>
      <c r="AA603" s="3"/>
      <c r="AB603" s="3"/>
      <c r="AC603" s="3"/>
      <c r="AD603" s="3"/>
      <c r="AE603" s="3"/>
      <c r="AF603" s="3"/>
    </row>
    <row r="604" spans="1:32" ht="20.399999999999999">
      <c r="A604" s="1669"/>
      <c r="B604" s="1724" t="s">
        <v>772</v>
      </c>
      <c r="C604" s="1669" t="s">
        <v>320</v>
      </c>
      <c r="D604" s="1723" t="s">
        <v>1975</v>
      </c>
      <c r="E604" s="1724" t="s">
        <v>1899</v>
      </c>
      <c r="F604" s="1725">
        <v>2247</v>
      </c>
      <c r="G604" s="1671" t="s">
        <v>3388</v>
      </c>
      <c r="H604" s="1744"/>
      <c r="I604" s="1755">
        <v>74</v>
      </c>
      <c r="J604" s="1673" t="s">
        <v>1134</v>
      </c>
      <c r="K604" s="1756"/>
      <c r="L604" s="1755"/>
      <c r="M604" s="1746"/>
      <c r="N604" s="125"/>
      <c r="O604" s="7"/>
      <c r="P604" s="7"/>
      <c r="Q604" s="7"/>
      <c r="R604" s="3"/>
      <c r="S604" s="3"/>
      <c r="T604" s="3"/>
      <c r="U604" s="3"/>
      <c r="V604" s="3"/>
      <c r="W604" s="3"/>
      <c r="X604" s="3"/>
      <c r="Y604" s="3"/>
      <c r="Z604" s="3"/>
      <c r="AA604" s="3"/>
      <c r="AB604" s="3"/>
      <c r="AC604" s="3"/>
      <c r="AD604" s="3"/>
      <c r="AE604" s="3"/>
      <c r="AF604" s="3"/>
    </row>
    <row r="605" spans="1:32">
      <c r="A605" s="1727"/>
      <c r="B605" s="1729" t="s">
        <v>772</v>
      </c>
      <c r="C605" s="1727" t="s">
        <v>320</v>
      </c>
      <c r="D605" s="1728" t="s">
        <v>1975</v>
      </c>
      <c r="E605" s="1729" t="s">
        <v>1899</v>
      </c>
      <c r="F605" s="1730">
        <v>2250</v>
      </c>
      <c r="G605" s="1731" t="s">
        <v>778</v>
      </c>
      <c r="H605" s="1732">
        <v>3472</v>
      </c>
      <c r="I605" s="1732"/>
      <c r="J605" s="1673"/>
      <c r="K605" s="1726"/>
      <c r="L605" s="1732">
        <v>1722</v>
      </c>
      <c r="M605" s="1732"/>
      <c r="N605" s="125"/>
      <c r="O605" s="3"/>
      <c r="P605" s="3"/>
      <c r="Q605" s="3"/>
      <c r="R605" s="3"/>
      <c r="S605" s="3"/>
      <c r="T605" s="3"/>
      <c r="U605" s="3"/>
      <c r="V605" s="3"/>
      <c r="W605" s="3"/>
      <c r="X605" s="3"/>
      <c r="Y605" s="3"/>
      <c r="Z605" s="3"/>
      <c r="AA605" s="3"/>
      <c r="AB605" s="3"/>
      <c r="AC605" s="3"/>
      <c r="AD605" s="3"/>
      <c r="AE605" s="3"/>
      <c r="AF605" s="3"/>
    </row>
    <row r="606" spans="1:32" ht="71.400000000000006">
      <c r="A606" s="1747"/>
      <c r="B606" s="1724" t="s">
        <v>772</v>
      </c>
      <c r="C606" s="1669" t="s">
        <v>322</v>
      </c>
      <c r="D606" s="1723" t="s">
        <v>1975</v>
      </c>
      <c r="E606" s="1724" t="s">
        <v>1899</v>
      </c>
      <c r="F606" s="1725">
        <v>2250</v>
      </c>
      <c r="G606" s="1671" t="s">
        <v>2773</v>
      </c>
      <c r="H606" s="1676"/>
      <c r="I606" s="1676">
        <v>884</v>
      </c>
      <c r="J606" s="1673">
        <v>549</v>
      </c>
      <c r="K606" s="1674"/>
      <c r="L606" s="1676"/>
      <c r="M606" s="1758">
        <v>884</v>
      </c>
      <c r="N606" s="125"/>
      <c r="O606" s="7"/>
      <c r="P606" s="7"/>
      <c r="Q606" s="7"/>
      <c r="R606" s="3"/>
      <c r="S606" s="3"/>
      <c r="T606" s="3"/>
      <c r="U606" s="3"/>
      <c r="V606" s="3"/>
      <c r="W606" s="3"/>
      <c r="X606" s="3"/>
      <c r="Y606" s="3"/>
      <c r="Z606" s="3"/>
      <c r="AA606" s="3"/>
      <c r="AB606" s="3"/>
      <c r="AC606" s="3"/>
      <c r="AD606" s="3"/>
      <c r="AE606" s="3"/>
      <c r="AF606" s="3"/>
    </row>
    <row r="607" spans="1:32" ht="20.399999999999999">
      <c r="A607" s="1747"/>
      <c r="B607" s="1724" t="s">
        <v>772</v>
      </c>
      <c r="C607" s="1669" t="s">
        <v>322</v>
      </c>
      <c r="D607" s="1723" t="s">
        <v>1975</v>
      </c>
      <c r="E607" s="1724" t="s">
        <v>1899</v>
      </c>
      <c r="F607" s="1725">
        <v>2250</v>
      </c>
      <c r="G607" s="1671" t="s">
        <v>2112</v>
      </c>
      <c r="H607" s="1676"/>
      <c r="I607" s="1676">
        <v>120</v>
      </c>
      <c r="J607" s="1673" t="s">
        <v>1134</v>
      </c>
      <c r="K607" s="1674"/>
      <c r="L607" s="1676"/>
      <c r="M607" s="1758">
        <v>120</v>
      </c>
      <c r="N607" s="125"/>
      <c r="O607" s="7"/>
      <c r="P607" s="7"/>
      <c r="Q607" s="7"/>
      <c r="R607" s="3"/>
      <c r="S607" s="3"/>
      <c r="T607" s="3"/>
      <c r="U607" s="3"/>
      <c r="V607" s="3"/>
      <c r="W607" s="3"/>
      <c r="X607" s="3"/>
      <c r="Y607" s="3"/>
      <c r="Z607" s="3"/>
      <c r="AA607" s="3"/>
      <c r="AB607" s="3"/>
      <c r="AC607" s="3"/>
      <c r="AD607" s="3"/>
      <c r="AE607" s="3"/>
      <c r="AF607" s="3"/>
    </row>
    <row r="608" spans="1:32" ht="20.399999999999999">
      <c r="A608" s="1747"/>
      <c r="B608" s="1724" t="s">
        <v>772</v>
      </c>
      <c r="C608" s="1669" t="s">
        <v>322</v>
      </c>
      <c r="D608" s="1723" t="s">
        <v>1975</v>
      </c>
      <c r="E608" s="1724" t="s">
        <v>1899</v>
      </c>
      <c r="F608" s="1725">
        <v>2250</v>
      </c>
      <c r="G608" s="1671" t="s">
        <v>816</v>
      </c>
      <c r="H608" s="1676"/>
      <c r="I608" s="1676">
        <v>500</v>
      </c>
      <c r="J608" s="1673" t="s">
        <v>1134</v>
      </c>
      <c r="K608" s="1674"/>
      <c r="L608" s="1676"/>
      <c r="M608" s="1758">
        <v>500</v>
      </c>
      <c r="N608" s="7" t="s">
        <v>3541</v>
      </c>
      <c r="O608" s="7"/>
      <c r="P608" s="7"/>
      <c r="Q608" s="7"/>
      <c r="R608" s="7"/>
      <c r="S608" s="7"/>
      <c r="T608" s="7"/>
      <c r="U608" s="7"/>
      <c r="V608" s="7"/>
      <c r="W608" s="7"/>
      <c r="X608" s="7"/>
      <c r="Y608" s="7"/>
      <c r="Z608" s="7"/>
      <c r="AA608" s="7"/>
      <c r="AB608" s="7"/>
      <c r="AC608" s="7"/>
      <c r="AD608" s="7"/>
      <c r="AE608" s="7"/>
      <c r="AF608" s="7"/>
    </row>
    <row r="609" spans="1:32" ht="20.399999999999999">
      <c r="A609" s="1669"/>
      <c r="B609" s="1724" t="s">
        <v>772</v>
      </c>
      <c r="C609" s="1669" t="s">
        <v>322</v>
      </c>
      <c r="D609" s="1723" t="s">
        <v>1975</v>
      </c>
      <c r="E609" s="1724" t="s">
        <v>1899</v>
      </c>
      <c r="F609" s="1725">
        <v>2250</v>
      </c>
      <c r="G609" s="1671" t="s">
        <v>1517</v>
      </c>
      <c r="H609" s="1676"/>
      <c r="I609" s="1676">
        <v>1750</v>
      </c>
      <c r="J609" s="1673" t="s">
        <v>1134</v>
      </c>
      <c r="K609" s="1674"/>
      <c r="L609" s="1676"/>
      <c r="M609" s="1676"/>
      <c r="N609" s="125"/>
      <c r="O609" s="7"/>
      <c r="P609" s="7"/>
      <c r="Q609" s="7"/>
      <c r="R609" s="3"/>
      <c r="S609" s="3"/>
      <c r="T609" s="3"/>
      <c r="U609" s="3"/>
      <c r="V609" s="3"/>
      <c r="W609" s="3"/>
      <c r="X609" s="3"/>
      <c r="Y609" s="3"/>
      <c r="Z609" s="3"/>
      <c r="AA609" s="3"/>
      <c r="AB609" s="3"/>
      <c r="AC609" s="3"/>
      <c r="AD609" s="3"/>
      <c r="AE609" s="3"/>
      <c r="AF609" s="3"/>
    </row>
    <row r="610" spans="1:32" ht="30.6">
      <c r="A610" s="1669" t="s">
        <v>557</v>
      </c>
      <c r="B610" s="1724" t="s">
        <v>772</v>
      </c>
      <c r="C610" s="1669" t="s">
        <v>322</v>
      </c>
      <c r="D610" s="1723" t="s">
        <v>1975</v>
      </c>
      <c r="E610" s="1724" t="s">
        <v>1899</v>
      </c>
      <c r="F610" s="1725">
        <v>2250</v>
      </c>
      <c r="G610" s="1671" t="s">
        <v>1515</v>
      </c>
      <c r="H610" s="1744"/>
      <c r="I610" s="1755">
        <v>218</v>
      </c>
      <c r="J610" s="1673">
        <v>218</v>
      </c>
      <c r="K610" s="1756"/>
      <c r="L610" s="1755"/>
      <c r="M610" s="1755">
        <v>218</v>
      </c>
      <c r="N610" s="125"/>
      <c r="O610" s="7"/>
      <c r="P610" s="7"/>
      <c r="Q610" s="7"/>
      <c r="R610" s="7"/>
      <c r="S610" s="7"/>
      <c r="T610" s="7"/>
      <c r="U610" s="7"/>
      <c r="V610" s="7"/>
      <c r="W610" s="7"/>
      <c r="X610" s="7"/>
      <c r="Y610" s="7"/>
      <c r="Z610" s="7"/>
      <c r="AA610" s="7"/>
      <c r="AB610" s="7"/>
      <c r="AC610" s="7"/>
      <c r="AD610" s="7"/>
      <c r="AE610" s="7"/>
      <c r="AF610" s="7"/>
    </row>
    <row r="611" spans="1:32">
      <c r="A611" s="1727"/>
      <c r="B611" s="3139" t="s">
        <v>773</v>
      </c>
      <c r="C611" s="1727" t="s">
        <v>320</v>
      </c>
      <c r="D611" s="1728" t="s">
        <v>1975</v>
      </c>
      <c r="E611" s="1729" t="s">
        <v>1899</v>
      </c>
      <c r="F611" s="1730">
        <v>2250</v>
      </c>
      <c r="G611" s="1731" t="s">
        <v>778</v>
      </c>
      <c r="H611" s="1732"/>
      <c r="I611" s="1732"/>
      <c r="J611" s="1673"/>
      <c r="K611" s="1726"/>
      <c r="L611" s="1732">
        <v>250000</v>
      </c>
      <c r="M611" s="1732"/>
      <c r="N611" s="125"/>
      <c r="O611" s="7"/>
      <c r="P611" s="7"/>
      <c r="Q611" s="7"/>
      <c r="R611" s="3"/>
      <c r="S611" s="3"/>
      <c r="T611" s="3"/>
      <c r="U611" s="3"/>
      <c r="V611" s="3"/>
      <c r="W611" s="3"/>
      <c r="X611" s="3"/>
      <c r="Y611" s="3"/>
      <c r="Z611" s="3"/>
      <c r="AA611" s="3"/>
      <c r="AB611" s="3"/>
      <c r="AC611" s="3"/>
      <c r="AD611" s="3"/>
      <c r="AE611" s="3"/>
    </row>
    <row r="612" spans="1:32" ht="61.2">
      <c r="A612" s="1747"/>
      <c r="B612" s="3140" t="s">
        <v>773</v>
      </c>
      <c r="C612" s="1669" t="s">
        <v>322</v>
      </c>
      <c r="D612" s="1723" t="s">
        <v>1975</v>
      </c>
      <c r="E612" s="1724" t="s">
        <v>1899</v>
      </c>
      <c r="F612" s="1725">
        <v>2250</v>
      </c>
      <c r="G612" s="1671" t="s">
        <v>3547</v>
      </c>
      <c r="H612" s="1676"/>
      <c r="I612" s="1676"/>
      <c r="J612" s="1673"/>
      <c r="K612" s="1674"/>
      <c r="L612" s="1676"/>
      <c r="M612" s="3232">
        <v>0</v>
      </c>
      <c r="N612" s="125"/>
      <c r="O612" s="7"/>
      <c r="P612" s="7"/>
      <c r="Q612" s="7"/>
      <c r="R612" s="7"/>
      <c r="S612" s="7"/>
      <c r="T612" s="7"/>
      <c r="U612" s="7"/>
      <c r="V612" s="7"/>
      <c r="W612" s="7"/>
      <c r="X612" s="7"/>
      <c r="Y612" s="7"/>
      <c r="Z612" s="7"/>
      <c r="AA612" s="7"/>
      <c r="AB612" s="7"/>
      <c r="AC612" s="7"/>
      <c r="AD612" s="7"/>
      <c r="AE612" s="7"/>
      <c r="AF612" s="7"/>
    </row>
    <row r="613" spans="1:32">
      <c r="A613" s="1747"/>
      <c r="B613" s="3140" t="s">
        <v>773</v>
      </c>
      <c r="C613" s="1669" t="s">
        <v>322</v>
      </c>
      <c r="D613" s="1723" t="s">
        <v>1975</v>
      </c>
      <c r="E613" s="1724" t="s">
        <v>1899</v>
      </c>
      <c r="F613" s="1725">
        <v>2250</v>
      </c>
      <c r="G613" s="2694" t="s">
        <v>5245</v>
      </c>
      <c r="H613" s="2606"/>
      <c r="I613" s="2606"/>
      <c r="J613" s="2607"/>
      <c r="K613" s="2608"/>
      <c r="L613" s="2606"/>
      <c r="M613" s="3235">
        <v>250000</v>
      </c>
      <c r="N613" s="125"/>
      <c r="O613" s="7"/>
      <c r="P613" s="7"/>
      <c r="Q613" s="7"/>
      <c r="R613" s="3"/>
      <c r="S613" s="3"/>
      <c r="T613" s="3"/>
      <c r="U613" s="3"/>
      <c r="V613" s="3"/>
      <c r="W613" s="3"/>
      <c r="X613" s="3"/>
      <c r="Y613" s="3"/>
      <c r="Z613" s="3"/>
      <c r="AA613" s="3"/>
      <c r="AB613" s="3"/>
      <c r="AC613" s="3"/>
      <c r="AD613" s="3"/>
      <c r="AE613" s="3"/>
      <c r="AF613" s="3"/>
    </row>
    <row r="614" spans="1:32">
      <c r="A614" s="1727"/>
      <c r="B614" s="1729" t="s">
        <v>772</v>
      </c>
      <c r="C614" s="1727" t="s">
        <v>322</v>
      </c>
      <c r="D614" s="1728" t="s">
        <v>1975</v>
      </c>
      <c r="E614" s="1729" t="s">
        <v>1899</v>
      </c>
      <c r="F614" s="1730">
        <v>2311</v>
      </c>
      <c r="G614" s="1731" t="s">
        <v>129</v>
      </c>
      <c r="H614" s="1732">
        <v>174</v>
      </c>
      <c r="I614" s="1732"/>
      <c r="J614" s="1673">
        <v>0</v>
      </c>
      <c r="K614" s="1726"/>
      <c r="L614" s="1732">
        <v>174</v>
      </c>
      <c r="M614" s="1732"/>
      <c r="N614" s="125"/>
      <c r="O614" s="7"/>
      <c r="P614" s="7"/>
      <c r="Q614" s="7"/>
      <c r="R614" s="7"/>
      <c r="S614" s="7"/>
      <c r="T614" s="7"/>
      <c r="U614" s="7"/>
      <c r="V614" s="7"/>
      <c r="W614" s="7"/>
      <c r="X614" s="7"/>
      <c r="Y614" s="7"/>
      <c r="Z614" s="7"/>
      <c r="AA614" s="7"/>
      <c r="AB614" s="7"/>
      <c r="AC614" s="7"/>
      <c r="AD614" s="7"/>
      <c r="AE614" s="7"/>
      <c r="AF614" s="7"/>
    </row>
    <row r="615" spans="1:32">
      <c r="A615" s="1704"/>
      <c r="B615" s="1724" t="s">
        <v>772</v>
      </c>
      <c r="C615" s="1669" t="s">
        <v>322</v>
      </c>
      <c r="D615" s="1723" t="s">
        <v>1975</v>
      </c>
      <c r="E615" s="1724" t="s">
        <v>1899</v>
      </c>
      <c r="F615" s="1725">
        <v>2311</v>
      </c>
      <c r="G615" s="1671" t="s">
        <v>493</v>
      </c>
      <c r="H615" s="1676"/>
      <c r="I615" s="1676">
        <v>54</v>
      </c>
      <c r="J615" s="1673" t="s">
        <v>1134</v>
      </c>
      <c r="K615" s="1674"/>
      <c r="L615" s="1676"/>
      <c r="M615" s="1758">
        <v>54</v>
      </c>
      <c r="N615" s="125"/>
      <c r="O615" s="7"/>
      <c r="P615" s="7"/>
      <c r="Q615" s="7"/>
      <c r="R615" s="3"/>
      <c r="S615" s="3"/>
      <c r="T615" s="3"/>
      <c r="U615" s="3"/>
      <c r="V615" s="3"/>
      <c r="W615" s="3"/>
      <c r="X615" s="3"/>
      <c r="Y615" s="3"/>
      <c r="Z615" s="3"/>
      <c r="AA615" s="3"/>
      <c r="AB615" s="3"/>
      <c r="AC615" s="3"/>
      <c r="AD615" s="3"/>
      <c r="AE615" s="3"/>
      <c r="AF615" s="3"/>
    </row>
    <row r="616" spans="1:32">
      <c r="A616" s="1704"/>
      <c r="B616" s="1724" t="s">
        <v>772</v>
      </c>
      <c r="C616" s="1669" t="s">
        <v>322</v>
      </c>
      <c r="D616" s="1723" t="s">
        <v>1975</v>
      </c>
      <c r="E616" s="1724" t="s">
        <v>1899</v>
      </c>
      <c r="F616" s="1725">
        <v>2311</v>
      </c>
      <c r="G616" s="1760" t="s">
        <v>167</v>
      </c>
      <c r="H616" s="1676"/>
      <c r="I616" s="1676">
        <v>120</v>
      </c>
      <c r="J616" s="1673" t="s">
        <v>1134</v>
      </c>
      <c r="K616" s="1674"/>
      <c r="L616" s="1676"/>
      <c r="M616" s="1758">
        <v>120</v>
      </c>
      <c r="N616" s="125"/>
    </row>
    <row r="617" spans="1:32">
      <c r="A617" s="1727">
        <v>171</v>
      </c>
      <c r="B617" s="1729" t="s">
        <v>772</v>
      </c>
      <c r="C617" s="1727" t="s">
        <v>320</v>
      </c>
      <c r="D617" s="1728" t="s">
        <v>1975</v>
      </c>
      <c r="E617" s="1729" t="s">
        <v>1899</v>
      </c>
      <c r="F617" s="1730">
        <v>2312</v>
      </c>
      <c r="G617" s="1731" t="s">
        <v>131</v>
      </c>
      <c r="H617" s="1732">
        <v>1402.84</v>
      </c>
      <c r="I617" s="1732"/>
      <c r="J617" s="1673">
        <v>1078</v>
      </c>
      <c r="K617" s="1726"/>
      <c r="L617" s="1732">
        <v>285</v>
      </c>
      <c r="M617" s="1732"/>
      <c r="N617" s="125"/>
      <c r="O617" s="187"/>
      <c r="P617" s="187"/>
      <c r="Q617" s="187"/>
      <c r="R617" s="187"/>
      <c r="S617" s="187"/>
      <c r="T617" s="187"/>
      <c r="U617" s="187"/>
      <c r="V617" s="187"/>
      <c r="W617" s="187"/>
      <c r="X617" s="187"/>
      <c r="Y617" s="187"/>
      <c r="Z617" s="187"/>
      <c r="AA617" s="187"/>
      <c r="AB617" s="187"/>
      <c r="AC617" s="187"/>
      <c r="AD617" s="187"/>
      <c r="AE617" s="187"/>
      <c r="AF617" s="187"/>
    </row>
    <row r="618" spans="1:32" ht="40.799999999999997">
      <c r="A618" s="1704"/>
      <c r="B618" s="1724" t="s">
        <v>772</v>
      </c>
      <c r="C618" s="1669" t="s">
        <v>320</v>
      </c>
      <c r="D618" s="1723" t="s">
        <v>1975</v>
      </c>
      <c r="E618" s="1724" t="s">
        <v>1899</v>
      </c>
      <c r="F618" s="1725">
        <v>2312</v>
      </c>
      <c r="G618" s="1760" t="s">
        <v>3549</v>
      </c>
      <c r="H618" s="1676"/>
      <c r="I618" s="1676"/>
      <c r="J618" s="1673" t="s">
        <v>1134</v>
      </c>
      <c r="K618" s="1674"/>
      <c r="L618" s="1676"/>
      <c r="M618" s="1757">
        <v>75</v>
      </c>
      <c r="N618" s="125"/>
      <c r="O618" s="187"/>
      <c r="P618" s="187"/>
      <c r="Q618" s="187"/>
      <c r="R618" s="187"/>
      <c r="S618" s="187"/>
      <c r="T618" s="187"/>
      <c r="U618" s="187"/>
      <c r="V618" s="187"/>
      <c r="W618" s="187"/>
      <c r="X618" s="187"/>
      <c r="Y618" s="187"/>
      <c r="Z618" s="187"/>
      <c r="AA618" s="187"/>
      <c r="AB618" s="187"/>
      <c r="AC618" s="187"/>
      <c r="AD618" s="187"/>
      <c r="AE618" s="187"/>
      <c r="AF618" s="187"/>
    </row>
    <row r="619" spans="1:32" ht="40.799999999999997">
      <c r="A619" s="1704"/>
      <c r="B619" s="1724" t="s">
        <v>772</v>
      </c>
      <c r="C619" s="1669" t="s">
        <v>320</v>
      </c>
      <c r="D619" s="1723" t="s">
        <v>1975</v>
      </c>
      <c r="E619" s="1724" t="s">
        <v>1899</v>
      </c>
      <c r="F619" s="1725">
        <v>2312</v>
      </c>
      <c r="G619" s="1760" t="s">
        <v>3550</v>
      </c>
      <c r="H619" s="1676"/>
      <c r="I619" s="1676"/>
      <c r="J619" s="1673" t="s">
        <v>1134</v>
      </c>
      <c r="K619" s="1674"/>
      <c r="L619" s="1676"/>
      <c r="M619" s="1757">
        <v>50</v>
      </c>
      <c r="N619" s="125"/>
      <c r="O619" s="7"/>
      <c r="P619" s="7"/>
      <c r="Q619" s="7"/>
      <c r="R619" s="7"/>
      <c r="S619" s="7"/>
      <c r="T619" s="7"/>
      <c r="U619" s="7"/>
      <c r="V619" s="7"/>
      <c r="W619" s="7"/>
      <c r="X619" s="7"/>
      <c r="Y619" s="7"/>
      <c r="Z619" s="7"/>
      <c r="AA619" s="7"/>
      <c r="AB619" s="7"/>
      <c r="AC619" s="7"/>
      <c r="AD619" s="7"/>
      <c r="AE619" s="7"/>
      <c r="AF619" s="7"/>
    </row>
    <row r="620" spans="1:32" ht="40.799999999999997">
      <c r="A620" s="1704"/>
      <c r="B620" s="1724" t="s">
        <v>772</v>
      </c>
      <c r="C620" s="1669" t="s">
        <v>320</v>
      </c>
      <c r="D620" s="1723" t="s">
        <v>1975</v>
      </c>
      <c r="E620" s="1724" t="s">
        <v>1899</v>
      </c>
      <c r="F620" s="1725">
        <v>2312</v>
      </c>
      <c r="G620" s="1760" t="s">
        <v>3551</v>
      </c>
      <c r="H620" s="1676"/>
      <c r="I620" s="1676"/>
      <c r="J620" s="1673"/>
      <c r="K620" s="1674"/>
      <c r="L620" s="1676"/>
      <c r="M620" s="1757">
        <v>55</v>
      </c>
      <c r="N620" s="125"/>
      <c r="O620" s="7"/>
      <c r="P620" s="7"/>
      <c r="Q620" s="7"/>
      <c r="R620" s="3"/>
      <c r="S620" s="3"/>
      <c r="T620" s="3"/>
      <c r="U620" s="3"/>
      <c r="V620" s="3"/>
      <c r="W620" s="3"/>
      <c r="X620" s="3"/>
      <c r="Y620" s="3"/>
      <c r="Z620" s="3"/>
      <c r="AA620" s="3"/>
      <c r="AB620" s="3"/>
      <c r="AC620" s="3"/>
      <c r="AD620" s="3"/>
      <c r="AE620" s="3"/>
      <c r="AF620" s="3"/>
    </row>
    <row r="621" spans="1:32" ht="30.6">
      <c r="A621" s="1704"/>
      <c r="B621" s="1724" t="s">
        <v>772</v>
      </c>
      <c r="C621" s="1669" t="s">
        <v>320</v>
      </c>
      <c r="D621" s="1723" t="s">
        <v>1975</v>
      </c>
      <c r="E621" s="1724" t="s">
        <v>1899</v>
      </c>
      <c r="F621" s="1725">
        <v>2312</v>
      </c>
      <c r="G621" s="1760" t="s">
        <v>3552</v>
      </c>
      <c r="H621" s="1676"/>
      <c r="I621" s="1676"/>
      <c r="J621" s="1673" t="s">
        <v>1134</v>
      </c>
      <c r="K621" s="1674"/>
      <c r="L621" s="1676"/>
      <c r="M621" s="1757">
        <v>35</v>
      </c>
      <c r="N621" s="125"/>
      <c r="O621" s="7"/>
      <c r="P621" s="7"/>
      <c r="Q621" s="7"/>
      <c r="R621" s="3"/>
      <c r="S621" s="3"/>
      <c r="T621" s="3"/>
      <c r="U621" s="3"/>
      <c r="V621" s="3"/>
      <c r="W621" s="3"/>
      <c r="X621" s="3"/>
      <c r="Y621" s="3"/>
      <c r="Z621" s="3"/>
      <c r="AA621" s="3"/>
      <c r="AB621" s="3"/>
      <c r="AC621" s="3"/>
      <c r="AD621" s="3"/>
      <c r="AE621" s="3"/>
      <c r="AF621" s="3"/>
    </row>
    <row r="622" spans="1:32" ht="51">
      <c r="A622" s="1704"/>
      <c r="B622" s="1724" t="s">
        <v>772</v>
      </c>
      <c r="C622" s="1669" t="s">
        <v>320</v>
      </c>
      <c r="D622" s="1723" t="s">
        <v>1975</v>
      </c>
      <c r="E622" s="1724" t="s">
        <v>1899</v>
      </c>
      <c r="F622" s="1725">
        <v>2312</v>
      </c>
      <c r="G622" s="1760" t="s">
        <v>3553</v>
      </c>
      <c r="H622" s="1676"/>
      <c r="I622" s="1676"/>
      <c r="J622" s="1673" t="s">
        <v>1134</v>
      </c>
      <c r="K622" s="1674"/>
      <c r="L622" s="1676"/>
      <c r="M622" s="1757">
        <v>70</v>
      </c>
      <c r="N622" s="125"/>
      <c r="O622" s="7"/>
      <c r="P622" s="7"/>
      <c r="Q622" s="7"/>
      <c r="R622" s="7"/>
      <c r="S622" s="7"/>
      <c r="T622" s="7"/>
      <c r="U622" s="7"/>
      <c r="V622" s="7"/>
      <c r="W622" s="7"/>
      <c r="X622" s="7"/>
      <c r="Y622" s="7"/>
      <c r="Z622" s="7"/>
      <c r="AA622" s="7"/>
      <c r="AB622" s="7"/>
      <c r="AC622" s="7"/>
      <c r="AD622" s="7"/>
      <c r="AE622" s="7"/>
      <c r="AF622" s="7"/>
    </row>
    <row r="623" spans="1:32" ht="30.6">
      <c r="A623" s="1704"/>
      <c r="B623" s="1724" t="s">
        <v>772</v>
      </c>
      <c r="C623" s="1669" t="s">
        <v>320</v>
      </c>
      <c r="D623" s="1723" t="s">
        <v>1975</v>
      </c>
      <c r="E623" s="1724" t="s">
        <v>1899</v>
      </c>
      <c r="F623" s="1725">
        <v>2312</v>
      </c>
      <c r="G623" s="1760" t="s">
        <v>2116</v>
      </c>
      <c r="H623" s="1676"/>
      <c r="I623" s="1676">
        <v>163.44999999999999</v>
      </c>
      <c r="J623" s="1673" t="s">
        <v>1134</v>
      </c>
      <c r="K623" s="1674"/>
      <c r="L623" s="1675"/>
      <c r="M623" s="1761"/>
      <c r="N623" s="125"/>
      <c r="O623" s="7"/>
      <c r="P623" s="7"/>
      <c r="Q623" s="7"/>
      <c r="R623" s="7"/>
      <c r="S623" s="7"/>
      <c r="T623" s="7"/>
      <c r="U623" s="7"/>
      <c r="V623" s="7"/>
      <c r="W623" s="7"/>
      <c r="X623" s="7"/>
      <c r="Y623" s="7"/>
      <c r="Z623" s="7"/>
      <c r="AA623" s="7"/>
      <c r="AB623" s="7"/>
      <c r="AC623" s="7"/>
      <c r="AD623" s="7"/>
      <c r="AE623" s="7"/>
      <c r="AF623" s="7"/>
    </row>
    <row r="624" spans="1:32" ht="40.799999999999997">
      <c r="A624" s="1704"/>
      <c r="B624" s="1724" t="s">
        <v>772</v>
      </c>
      <c r="C624" s="1669" t="s">
        <v>320</v>
      </c>
      <c r="D624" s="1723" t="s">
        <v>1975</v>
      </c>
      <c r="E624" s="1724" t="s">
        <v>1899</v>
      </c>
      <c r="F624" s="1725">
        <v>2312</v>
      </c>
      <c r="G624" s="1760" t="s">
        <v>2117</v>
      </c>
      <c r="H624" s="1676"/>
      <c r="I624" s="1676">
        <v>79.94</v>
      </c>
      <c r="J624" s="1673" t="s">
        <v>1134</v>
      </c>
      <c r="K624" s="1674"/>
      <c r="L624" s="1675"/>
      <c r="M624" s="1761"/>
      <c r="N624" s="176"/>
      <c r="O624" s="7"/>
      <c r="P624" s="7"/>
      <c r="Q624" s="7"/>
      <c r="R624" s="7"/>
      <c r="S624" s="7"/>
      <c r="T624" s="7"/>
      <c r="U624" s="7"/>
      <c r="V624" s="7"/>
      <c r="W624" s="7"/>
      <c r="X624" s="7"/>
      <c r="Y624" s="7"/>
      <c r="Z624" s="7"/>
      <c r="AA624" s="7"/>
      <c r="AB624" s="7"/>
      <c r="AC624" s="7"/>
      <c r="AD624" s="7"/>
      <c r="AE624" s="7"/>
      <c r="AF624" s="7"/>
    </row>
    <row r="625" spans="1:32" ht="40.799999999999997">
      <c r="A625" s="1704"/>
      <c r="B625" s="1724" t="s">
        <v>772</v>
      </c>
      <c r="C625" s="1669" t="s">
        <v>320</v>
      </c>
      <c r="D625" s="1723" t="s">
        <v>1975</v>
      </c>
      <c r="E625" s="1724" t="s">
        <v>1899</v>
      </c>
      <c r="F625" s="1725">
        <v>2312</v>
      </c>
      <c r="G625" s="1760" t="s">
        <v>2118</v>
      </c>
      <c r="H625" s="1676"/>
      <c r="I625" s="1676">
        <v>389.45</v>
      </c>
      <c r="J625" s="1673" t="s">
        <v>1134</v>
      </c>
      <c r="K625" s="1674"/>
      <c r="L625" s="1675"/>
      <c r="M625" s="1761"/>
      <c r="N625" s="125"/>
      <c r="O625" s="7"/>
      <c r="P625" s="7"/>
      <c r="Q625" s="7"/>
      <c r="R625" s="7"/>
      <c r="S625" s="7"/>
      <c r="T625" s="7"/>
      <c r="U625" s="7"/>
      <c r="V625" s="7"/>
      <c r="W625" s="7"/>
      <c r="X625" s="7"/>
      <c r="Y625" s="7"/>
      <c r="Z625" s="7"/>
      <c r="AA625" s="7"/>
      <c r="AB625" s="7"/>
      <c r="AC625" s="7"/>
      <c r="AD625" s="7"/>
      <c r="AE625" s="7"/>
      <c r="AF625" s="7"/>
    </row>
    <row r="626" spans="1:32">
      <c r="A626" s="1704"/>
      <c r="B626" s="1724" t="s">
        <v>772</v>
      </c>
      <c r="C626" s="1669" t="s">
        <v>320</v>
      </c>
      <c r="D626" s="1723" t="s">
        <v>1975</v>
      </c>
      <c r="E626" s="1724" t="s">
        <v>1899</v>
      </c>
      <c r="F626" s="1725">
        <v>2312</v>
      </c>
      <c r="G626" s="1760" t="s">
        <v>2119</v>
      </c>
      <c r="H626" s="1676"/>
      <c r="I626" s="1676">
        <v>130</v>
      </c>
      <c r="J626" s="1673" t="s">
        <v>1134</v>
      </c>
      <c r="K626" s="1674"/>
      <c r="L626" s="1675"/>
      <c r="M626" s="1761"/>
      <c r="N626" s="125"/>
      <c r="O626" s="7"/>
      <c r="P626" s="7"/>
      <c r="Q626" s="7"/>
      <c r="R626" s="7"/>
      <c r="S626" s="7"/>
      <c r="T626" s="7"/>
      <c r="U626" s="7"/>
      <c r="V626" s="7"/>
      <c r="W626" s="7"/>
      <c r="X626" s="7"/>
      <c r="Y626" s="7"/>
      <c r="Z626" s="7"/>
      <c r="AA626" s="7"/>
      <c r="AB626" s="7"/>
      <c r="AC626" s="7"/>
      <c r="AD626" s="7"/>
      <c r="AE626" s="7"/>
      <c r="AF626" s="7"/>
    </row>
    <row r="627" spans="1:32">
      <c r="A627" s="1704"/>
      <c r="B627" s="1724" t="s">
        <v>772</v>
      </c>
      <c r="C627" s="1669" t="s">
        <v>320</v>
      </c>
      <c r="D627" s="1723" t="s">
        <v>1975</v>
      </c>
      <c r="E627" s="1724" t="s">
        <v>1899</v>
      </c>
      <c r="F627" s="1725">
        <v>2312</v>
      </c>
      <c r="G627" s="1760" t="s">
        <v>2793</v>
      </c>
      <c r="H627" s="1676"/>
      <c r="I627" s="1676">
        <v>640</v>
      </c>
      <c r="J627" s="1673" t="s">
        <v>1134</v>
      </c>
      <c r="K627" s="1674"/>
      <c r="L627" s="1675"/>
      <c r="M627" s="1761"/>
      <c r="N627" s="125"/>
      <c r="O627" s="7"/>
      <c r="P627" s="7"/>
      <c r="Q627" s="7"/>
      <c r="R627" s="7"/>
      <c r="S627" s="7"/>
      <c r="T627" s="7"/>
      <c r="U627" s="7"/>
      <c r="V627" s="7"/>
      <c r="W627" s="7"/>
      <c r="X627" s="7"/>
      <c r="Y627" s="7"/>
      <c r="Z627" s="7"/>
      <c r="AA627" s="7"/>
      <c r="AB627" s="7"/>
      <c r="AC627" s="7"/>
      <c r="AD627" s="7"/>
      <c r="AE627" s="7"/>
      <c r="AF627" s="7"/>
    </row>
    <row r="628" spans="1:32" ht="20.399999999999999">
      <c r="A628" s="1727"/>
      <c r="B628" s="1729" t="s">
        <v>772</v>
      </c>
      <c r="C628" s="1727" t="s">
        <v>322</v>
      </c>
      <c r="D628" s="1728" t="s">
        <v>1975</v>
      </c>
      <c r="E628" s="1729" t="s">
        <v>1899</v>
      </c>
      <c r="F628" s="1730">
        <v>2314</v>
      </c>
      <c r="G628" s="1731" t="s">
        <v>1435</v>
      </c>
      <c r="H628" s="1732">
        <v>18593</v>
      </c>
      <c r="I628" s="1732"/>
      <c r="J628" s="1673"/>
      <c r="K628" s="1726"/>
      <c r="L628" s="1732">
        <v>19730</v>
      </c>
      <c r="M628" s="1762"/>
      <c r="N628" s="176"/>
      <c r="O628" s="7"/>
      <c r="P628" s="7"/>
      <c r="Q628" s="7"/>
      <c r="R628" s="7"/>
      <c r="S628" s="7"/>
      <c r="T628" s="7"/>
      <c r="U628" s="7"/>
      <c r="V628" s="7"/>
      <c r="W628" s="7"/>
      <c r="X628" s="7"/>
      <c r="Y628" s="7"/>
      <c r="Z628" s="7"/>
      <c r="AA628" s="7"/>
      <c r="AB628" s="7"/>
      <c r="AC628" s="7"/>
      <c r="AD628" s="7"/>
      <c r="AE628" s="7"/>
      <c r="AF628" s="7"/>
    </row>
    <row r="629" spans="1:32">
      <c r="A629" s="1669" t="s">
        <v>562</v>
      </c>
      <c r="B629" s="1724" t="s">
        <v>772</v>
      </c>
      <c r="C629" s="1669" t="s">
        <v>322</v>
      </c>
      <c r="D629" s="1723" t="s">
        <v>1975</v>
      </c>
      <c r="E629" s="1724" t="s">
        <v>1899</v>
      </c>
      <c r="F629" s="1725">
        <v>2314</v>
      </c>
      <c r="G629" s="1671" t="s">
        <v>355</v>
      </c>
      <c r="H629" s="1744"/>
      <c r="I629" s="1746">
        <v>8990</v>
      </c>
      <c r="J629" s="1673" t="s">
        <v>1134</v>
      </c>
      <c r="K629" s="1745"/>
      <c r="L629" s="1763"/>
      <c r="M629" s="1755">
        <v>9500</v>
      </c>
      <c r="N629" s="125"/>
      <c r="O629" s="7"/>
      <c r="P629" s="7"/>
      <c r="Q629" s="7"/>
      <c r="R629" s="7"/>
      <c r="S629" s="7"/>
      <c r="T629" s="7"/>
      <c r="U629" s="7"/>
      <c r="V629" s="7"/>
      <c r="W629" s="7"/>
      <c r="X629" s="7"/>
      <c r="Y629" s="7"/>
      <c r="Z629" s="7"/>
      <c r="AA629" s="7"/>
      <c r="AB629" s="7"/>
      <c r="AC629" s="7"/>
      <c r="AD629" s="7"/>
      <c r="AE629" s="7"/>
      <c r="AF629" s="7"/>
    </row>
    <row r="630" spans="1:32" ht="20.399999999999999">
      <c r="A630" s="1669" t="s">
        <v>563</v>
      </c>
      <c r="B630" s="1724" t="s">
        <v>772</v>
      </c>
      <c r="C630" s="1669" t="s">
        <v>322</v>
      </c>
      <c r="D630" s="1723" t="s">
        <v>1975</v>
      </c>
      <c r="E630" s="1724" t="s">
        <v>1899</v>
      </c>
      <c r="F630" s="1725">
        <v>2314</v>
      </c>
      <c r="G630" s="1764" t="s">
        <v>356</v>
      </c>
      <c r="H630" s="1744"/>
      <c r="I630" s="1746">
        <v>7500</v>
      </c>
      <c r="J630" s="1673">
        <v>5696.47</v>
      </c>
      <c r="K630" s="1745"/>
      <c r="L630" s="1763"/>
      <c r="M630" s="1755">
        <v>7500</v>
      </c>
      <c r="N630" s="7" t="s">
        <v>3541</v>
      </c>
      <c r="O630" s="7"/>
      <c r="P630" s="7"/>
      <c r="Q630" s="7"/>
      <c r="R630" s="7"/>
      <c r="S630" s="7"/>
      <c r="T630" s="7"/>
      <c r="U630" s="7"/>
      <c r="V630" s="7"/>
      <c r="W630" s="7"/>
      <c r="X630" s="7"/>
      <c r="Y630" s="7"/>
      <c r="Z630" s="7"/>
      <c r="AA630" s="7"/>
      <c r="AB630" s="7"/>
      <c r="AC630" s="7"/>
      <c r="AD630" s="7"/>
      <c r="AE630" s="7"/>
      <c r="AF630" s="7"/>
    </row>
    <row r="631" spans="1:32">
      <c r="A631" s="1669"/>
      <c r="B631" s="1724" t="s">
        <v>772</v>
      </c>
      <c r="C631" s="1669" t="s">
        <v>322</v>
      </c>
      <c r="D631" s="1723" t="s">
        <v>1975</v>
      </c>
      <c r="E631" s="1724" t="s">
        <v>1899</v>
      </c>
      <c r="F631" s="1725">
        <v>2314</v>
      </c>
      <c r="G631" s="1764" t="s">
        <v>2766</v>
      </c>
      <c r="H631" s="1744"/>
      <c r="I631" s="1746">
        <v>2000</v>
      </c>
      <c r="J631" s="1673">
        <v>1737.4</v>
      </c>
      <c r="K631" s="1745"/>
      <c r="L631" s="1763"/>
      <c r="M631" s="1755">
        <v>2000</v>
      </c>
      <c r="N631" s="7" t="s">
        <v>3541</v>
      </c>
      <c r="O631" s="7"/>
      <c r="P631" s="7"/>
      <c r="Q631" s="7"/>
      <c r="R631" s="7"/>
      <c r="S631" s="7"/>
      <c r="T631" s="7"/>
      <c r="U631" s="7"/>
      <c r="V631" s="7"/>
      <c r="W631" s="7"/>
      <c r="X631" s="7"/>
      <c r="Y631" s="7"/>
      <c r="Z631" s="7"/>
      <c r="AA631" s="7"/>
      <c r="AB631" s="7"/>
      <c r="AC631" s="7"/>
      <c r="AD631" s="7"/>
      <c r="AE631" s="7"/>
      <c r="AF631" s="7"/>
    </row>
    <row r="632" spans="1:32" ht="20.399999999999999">
      <c r="A632" s="1669" t="s">
        <v>563</v>
      </c>
      <c r="B632" s="1724" t="s">
        <v>772</v>
      </c>
      <c r="C632" s="1669" t="s">
        <v>322</v>
      </c>
      <c r="D632" s="1723" t="s">
        <v>1975</v>
      </c>
      <c r="E632" s="1724" t="s">
        <v>1899</v>
      </c>
      <c r="F632" s="1725">
        <v>2314</v>
      </c>
      <c r="G632" s="1764" t="s">
        <v>444</v>
      </c>
      <c r="H632" s="1744"/>
      <c r="I632" s="1746">
        <v>330</v>
      </c>
      <c r="J632" s="1673" t="s">
        <v>1134</v>
      </c>
      <c r="K632" s="1745"/>
      <c r="L632" s="1763"/>
      <c r="M632" s="1755">
        <v>330</v>
      </c>
      <c r="N632" s="7" t="s">
        <v>3541</v>
      </c>
      <c r="O632" s="7"/>
      <c r="P632" s="7"/>
      <c r="Q632" s="7"/>
      <c r="R632" s="7"/>
      <c r="S632" s="7"/>
      <c r="T632" s="7"/>
      <c r="U632" s="7"/>
      <c r="V632" s="7"/>
      <c r="W632" s="7"/>
      <c r="X632" s="7"/>
      <c r="Y632" s="7"/>
      <c r="Z632" s="7"/>
      <c r="AA632" s="7"/>
      <c r="AB632" s="7"/>
      <c r="AC632" s="7"/>
      <c r="AD632" s="7"/>
      <c r="AE632" s="7"/>
      <c r="AF632" s="7"/>
    </row>
    <row r="633" spans="1:32">
      <c r="A633" s="1669"/>
      <c r="B633" s="1724" t="s">
        <v>772</v>
      </c>
      <c r="C633" s="1669" t="s">
        <v>322</v>
      </c>
      <c r="D633" s="1723" t="s">
        <v>1975</v>
      </c>
      <c r="E633" s="1724" t="s">
        <v>1899</v>
      </c>
      <c r="F633" s="1725">
        <v>2314</v>
      </c>
      <c r="G633" s="1764" t="s">
        <v>3554</v>
      </c>
      <c r="H633" s="1744"/>
      <c r="I633" s="1746"/>
      <c r="J633" s="1673"/>
      <c r="K633" s="1745"/>
      <c r="L633" s="1763"/>
      <c r="M633" s="1755">
        <v>400</v>
      </c>
      <c r="N633" s="1488"/>
      <c r="O633" s="7"/>
      <c r="P633" s="7"/>
      <c r="Q633" s="7"/>
      <c r="R633" s="7"/>
      <c r="S633" s="7"/>
      <c r="T633" s="7"/>
      <c r="U633" s="7"/>
      <c r="V633" s="7"/>
      <c r="W633" s="7"/>
      <c r="X633" s="7"/>
      <c r="Y633" s="7"/>
      <c r="Z633" s="7"/>
      <c r="AA633" s="7"/>
      <c r="AB633" s="7"/>
      <c r="AC633" s="7"/>
      <c r="AD633" s="7"/>
      <c r="AE633" s="7"/>
      <c r="AF633" s="7"/>
    </row>
    <row r="634" spans="1:32" ht="30.6" customHeight="1">
      <c r="A634" s="1669" t="s">
        <v>560</v>
      </c>
      <c r="B634" s="1724" t="s">
        <v>772</v>
      </c>
      <c r="C634" s="1669" t="s">
        <v>322</v>
      </c>
      <c r="D634" s="1723" t="s">
        <v>1975</v>
      </c>
      <c r="E634" s="1724" t="s">
        <v>1899</v>
      </c>
      <c r="F634" s="1725">
        <v>2314</v>
      </c>
      <c r="G634" s="1764" t="s">
        <v>1520</v>
      </c>
      <c r="H634" s="1744"/>
      <c r="I634" s="1746">
        <v>360</v>
      </c>
      <c r="J634" s="1673" t="s">
        <v>1134</v>
      </c>
      <c r="K634" s="1745"/>
      <c r="L634" s="1763"/>
      <c r="M634" s="1765"/>
      <c r="N634" s="11"/>
      <c r="O634" s="7"/>
      <c r="P634" s="7"/>
      <c r="Q634" s="7"/>
      <c r="R634" s="7"/>
      <c r="S634" s="7"/>
      <c r="T634" s="7"/>
      <c r="V634" s="7"/>
      <c r="W634" s="7"/>
      <c r="X634" s="7"/>
      <c r="Y634" s="7"/>
      <c r="Z634" s="7"/>
      <c r="AA634" s="7"/>
      <c r="AB634" s="7"/>
      <c r="AC634" s="7"/>
      <c r="AD634" s="7"/>
      <c r="AE634" s="7"/>
      <c r="AF634" s="7"/>
    </row>
    <row r="635" spans="1:32" ht="30.6" customHeight="1">
      <c r="A635" s="1669" t="s">
        <v>560</v>
      </c>
      <c r="B635" s="1724" t="s">
        <v>772</v>
      </c>
      <c r="C635" s="1669" t="s">
        <v>322</v>
      </c>
      <c r="D635" s="1723" t="s">
        <v>1975</v>
      </c>
      <c r="E635" s="1724" t="s">
        <v>1899</v>
      </c>
      <c r="F635" s="1725">
        <v>2314</v>
      </c>
      <c r="G635" s="1671" t="s">
        <v>3043</v>
      </c>
      <c r="H635" s="1744"/>
      <c r="I635" s="1755">
        <v>-587</v>
      </c>
      <c r="J635" s="1673" t="s">
        <v>1134</v>
      </c>
      <c r="K635" s="1756"/>
      <c r="L635" s="1765"/>
      <c r="M635" s="1765"/>
      <c r="N635" s="11"/>
      <c r="O635" s="7"/>
      <c r="P635" s="7"/>
      <c r="Q635" s="7"/>
      <c r="R635" s="7"/>
      <c r="S635" s="7"/>
      <c r="T635" s="7"/>
      <c r="U635" s="7"/>
      <c r="V635" s="7"/>
      <c r="W635" s="7"/>
      <c r="X635" s="7"/>
      <c r="Y635" s="7"/>
      <c r="Z635" s="7"/>
      <c r="AA635" s="7"/>
      <c r="AB635" s="7"/>
      <c r="AC635" s="7"/>
      <c r="AD635" s="7"/>
      <c r="AE635" s="7"/>
      <c r="AF635" s="7"/>
    </row>
    <row r="636" spans="1:32">
      <c r="A636" s="1727"/>
      <c r="B636" s="1729" t="s">
        <v>772</v>
      </c>
      <c r="C636" s="1727" t="s">
        <v>322</v>
      </c>
      <c r="D636" s="1728" t="s">
        <v>1975</v>
      </c>
      <c r="E636" s="1729" t="s">
        <v>1899</v>
      </c>
      <c r="F636" s="1730">
        <v>2322</v>
      </c>
      <c r="G636" s="1731" t="s">
        <v>1144</v>
      </c>
      <c r="H636" s="1732">
        <v>175</v>
      </c>
      <c r="I636" s="1732"/>
      <c r="J636" s="1673">
        <v>0</v>
      </c>
      <c r="K636" s="1726"/>
      <c r="L636" s="1732">
        <v>160</v>
      </c>
      <c r="M636" s="1732"/>
      <c r="N636" s="11"/>
      <c r="O636" s="7"/>
      <c r="P636" s="7"/>
      <c r="Q636" s="7"/>
      <c r="R636" s="7"/>
      <c r="S636" s="7"/>
      <c r="T636" s="7"/>
      <c r="U636" s="7"/>
      <c r="V636" s="7"/>
      <c r="W636" s="7"/>
      <c r="X636" s="7"/>
      <c r="Y636" s="7"/>
      <c r="Z636" s="7"/>
      <c r="AA636" s="7"/>
      <c r="AB636" s="7"/>
      <c r="AC636" s="7"/>
      <c r="AD636" s="7"/>
      <c r="AE636" s="7"/>
      <c r="AF636" s="7"/>
    </row>
    <row r="637" spans="1:32" ht="30.6">
      <c r="A637" s="1669" t="s">
        <v>562</v>
      </c>
      <c r="B637" s="1724" t="s">
        <v>772</v>
      </c>
      <c r="C637" s="1669" t="s">
        <v>322</v>
      </c>
      <c r="D637" s="1723" t="s">
        <v>1975</v>
      </c>
      <c r="E637" s="1724" t="s">
        <v>1899</v>
      </c>
      <c r="F637" s="1725">
        <v>2322</v>
      </c>
      <c r="G637" s="1760" t="s">
        <v>4814</v>
      </c>
      <c r="H637" s="1744"/>
      <c r="I637" s="1746">
        <v>175</v>
      </c>
      <c r="J637" s="1673" t="s">
        <v>1134</v>
      </c>
      <c r="K637" s="1745"/>
      <c r="L637" s="1744"/>
      <c r="M637" s="1755">
        <v>160</v>
      </c>
      <c r="N637" s="11"/>
      <c r="O637" s="7"/>
      <c r="P637" s="7"/>
      <c r="Q637" s="7"/>
      <c r="R637" s="7"/>
      <c r="S637" s="7"/>
      <c r="T637" s="7"/>
      <c r="U637" s="7"/>
      <c r="V637" s="7"/>
      <c r="W637" s="7"/>
      <c r="X637" s="7"/>
      <c r="Y637" s="7"/>
      <c r="Z637" s="7"/>
      <c r="AA637" s="7"/>
      <c r="AB637" s="7"/>
      <c r="AC637" s="7"/>
      <c r="AD637" s="7"/>
      <c r="AE637" s="7"/>
      <c r="AF637" s="7"/>
    </row>
    <row r="638" spans="1:32">
      <c r="A638" s="1727"/>
      <c r="B638" s="1729" t="s">
        <v>772</v>
      </c>
      <c r="C638" s="1727" t="s">
        <v>322</v>
      </c>
      <c r="D638" s="1728" t="s">
        <v>1975</v>
      </c>
      <c r="E638" s="1729" t="s">
        <v>1899</v>
      </c>
      <c r="F638" s="1730">
        <v>2350</v>
      </c>
      <c r="G638" s="1731" t="s">
        <v>1044</v>
      </c>
      <c r="H638" s="1732">
        <v>239.24999999999997</v>
      </c>
      <c r="I638" s="1732"/>
      <c r="J638" s="1673">
        <v>203</v>
      </c>
      <c r="K638" s="1726"/>
      <c r="L638" s="1732">
        <v>52.9</v>
      </c>
      <c r="M638" s="1732"/>
      <c r="N638" s="305"/>
      <c r="O638" s="7"/>
      <c r="P638" s="7"/>
      <c r="Q638" s="7"/>
      <c r="R638" s="7"/>
      <c r="S638" s="7"/>
      <c r="T638" s="7"/>
      <c r="U638" s="7"/>
      <c r="V638" s="7"/>
      <c r="W638" s="7"/>
      <c r="X638" s="7"/>
      <c r="Y638" s="7"/>
      <c r="Z638" s="7"/>
      <c r="AA638" s="7"/>
      <c r="AB638" s="7"/>
      <c r="AC638" s="7"/>
      <c r="AD638" s="7"/>
      <c r="AE638" s="7"/>
      <c r="AF638" s="7"/>
    </row>
    <row r="639" spans="1:32" ht="40.799999999999997">
      <c r="A639" s="1669"/>
      <c r="B639" s="1724" t="s">
        <v>772</v>
      </c>
      <c r="C639" s="1669" t="s">
        <v>322</v>
      </c>
      <c r="D639" s="1723" t="s">
        <v>1975</v>
      </c>
      <c r="E639" s="1724" t="s">
        <v>1899</v>
      </c>
      <c r="F639" s="1725">
        <v>2350</v>
      </c>
      <c r="G639" s="1760" t="s">
        <v>2114</v>
      </c>
      <c r="H639" s="1744"/>
      <c r="I639" s="1746">
        <v>139.44999999999999</v>
      </c>
      <c r="J639" s="1673" t="s">
        <v>1134</v>
      </c>
      <c r="K639" s="1745"/>
      <c r="L639" s="1744"/>
      <c r="M639" s="1755"/>
      <c r="N639" s="305"/>
      <c r="O639" s="7"/>
      <c r="P639" s="7"/>
      <c r="Q639" s="7"/>
      <c r="R639" s="7"/>
      <c r="S639" s="7"/>
      <c r="T639" s="7"/>
      <c r="U639" s="7"/>
      <c r="V639" s="7"/>
      <c r="W639" s="7"/>
      <c r="X639" s="7"/>
      <c r="Y639" s="7"/>
      <c r="Z639" s="7"/>
      <c r="AA639" s="7"/>
      <c r="AB639" s="7"/>
      <c r="AC639" s="7"/>
      <c r="AD639" s="7"/>
      <c r="AE639" s="7"/>
      <c r="AF639" s="7"/>
    </row>
    <row r="640" spans="1:32" ht="51" customHeight="1">
      <c r="A640" s="1669"/>
      <c r="B640" s="1724" t="s">
        <v>772</v>
      </c>
      <c r="C640" s="1669" t="s">
        <v>322</v>
      </c>
      <c r="D640" s="1723" t="s">
        <v>1975</v>
      </c>
      <c r="E640" s="1724" t="s">
        <v>1899</v>
      </c>
      <c r="F640" s="1725">
        <v>2350</v>
      </c>
      <c r="G640" s="1760" t="s">
        <v>2115</v>
      </c>
      <c r="H640" s="1744"/>
      <c r="I640" s="1746">
        <v>52.9</v>
      </c>
      <c r="J640" s="1673" t="s">
        <v>1134</v>
      </c>
      <c r="K640" s="1745"/>
      <c r="L640" s="1744"/>
      <c r="M640" s="1755">
        <v>52.9</v>
      </c>
      <c r="N640" s="305"/>
      <c r="O640" s="7"/>
      <c r="P640" s="7"/>
      <c r="Q640" s="7"/>
      <c r="R640" s="7"/>
      <c r="S640" s="7"/>
      <c r="T640" s="7"/>
      <c r="U640" s="7"/>
      <c r="V640" s="7"/>
      <c r="W640" s="7"/>
      <c r="X640" s="7"/>
      <c r="Y640" s="7"/>
      <c r="Z640" s="7"/>
      <c r="AA640" s="7"/>
      <c r="AB640" s="7"/>
      <c r="AC640" s="7"/>
      <c r="AD640" s="7"/>
      <c r="AE640" s="7"/>
      <c r="AF640" s="7"/>
    </row>
    <row r="641" spans="1:32" ht="51" customHeight="1">
      <c r="A641" s="1669"/>
      <c r="B641" s="1724" t="s">
        <v>772</v>
      </c>
      <c r="C641" s="1669" t="s">
        <v>322</v>
      </c>
      <c r="D641" s="1723" t="s">
        <v>1975</v>
      </c>
      <c r="E641" s="1724" t="s">
        <v>1899</v>
      </c>
      <c r="F641" s="1725">
        <v>2350</v>
      </c>
      <c r="G641" s="1760" t="s">
        <v>1518</v>
      </c>
      <c r="H641" s="1744"/>
      <c r="I641" s="1746">
        <v>24.45</v>
      </c>
      <c r="J641" s="1673" t="s">
        <v>1134</v>
      </c>
      <c r="K641" s="1745"/>
      <c r="L641" s="1744"/>
      <c r="M641" s="1755"/>
      <c r="N641" s="305"/>
      <c r="O641" s="7"/>
      <c r="P641" s="7"/>
      <c r="Q641" s="7"/>
      <c r="R641" s="7"/>
      <c r="S641" s="7"/>
      <c r="T641" s="7"/>
      <c r="U641" s="7"/>
      <c r="V641" s="7"/>
      <c r="W641" s="7"/>
      <c r="X641" s="7"/>
      <c r="Y641" s="7"/>
      <c r="Z641" s="7"/>
      <c r="AA641" s="7"/>
      <c r="AB641" s="7"/>
      <c r="AC641" s="7"/>
      <c r="AD641" s="7"/>
      <c r="AE641" s="7"/>
      <c r="AF641" s="7"/>
    </row>
    <row r="642" spans="1:32" ht="61.2">
      <c r="A642" s="1669"/>
      <c r="B642" s="1724" t="s">
        <v>772</v>
      </c>
      <c r="C642" s="1669" t="s">
        <v>322</v>
      </c>
      <c r="D642" s="1723" t="s">
        <v>1975</v>
      </c>
      <c r="E642" s="1724" t="s">
        <v>1899</v>
      </c>
      <c r="F642" s="1725">
        <v>2350</v>
      </c>
      <c r="G642" s="1760" t="s">
        <v>1519</v>
      </c>
      <c r="H642" s="1744"/>
      <c r="I642" s="1746">
        <v>22.45</v>
      </c>
      <c r="J642" s="1673" t="s">
        <v>1134</v>
      </c>
      <c r="K642" s="1745"/>
      <c r="L642" s="1744"/>
      <c r="M642" s="1755"/>
      <c r="N642" s="381" t="s">
        <v>4371</v>
      </c>
      <c r="O642" s="7"/>
      <c r="P642" s="7"/>
      <c r="Q642" s="7"/>
      <c r="R642" s="7"/>
      <c r="S642" s="7"/>
      <c r="T642" s="7"/>
      <c r="U642" s="7"/>
      <c r="V642" s="7"/>
      <c r="W642" s="7"/>
      <c r="X642" s="7"/>
      <c r="Y642" s="7"/>
      <c r="Z642" s="7"/>
      <c r="AA642" s="7"/>
      <c r="AB642" s="7"/>
      <c r="AC642" s="7"/>
      <c r="AD642" s="7"/>
      <c r="AE642" s="7"/>
      <c r="AF642" s="7"/>
    </row>
    <row r="643" spans="1:32">
      <c r="A643" s="1727"/>
      <c r="B643" s="1729" t="s">
        <v>774</v>
      </c>
      <c r="C643" s="1727" t="s">
        <v>340</v>
      </c>
      <c r="D643" s="1728" t="s">
        <v>1975</v>
      </c>
      <c r="E643" s="1729" t="s">
        <v>1899</v>
      </c>
      <c r="F643" s="1730">
        <v>5238</v>
      </c>
      <c r="G643" s="1731" t="s">
        <v>139</v>
      </c>
      <c r="H643" s="1732">
        <v>7620.4</v>
      </c>
      <c r="I643" s="1732"/>
      <c r="J643" s="1673">
        <v>6160</v>
      </c>
      <c r="K643" s="1726"/>
      <c r="L643" s="1732">
        <v>264</v>
      </c>
      <c r="M643" s="1732"/>
      <c r="N643" s="305"/>
      <c r="O643" s="7"/>
      <c r="P643" s="7"/>
      <c r="Q643" s="7"/>
      <c r="R643" s="7"/>
      <c r="S643" s="7"/>
      <c r="T643" s="7"/>
      <c r="U643" s="7"/>
      <c r="V643" s="7"/>
      <c r="W643" s="7"/>
      <c r="X643" s="7"/>
      <c r="Y643" s="7"/>
      <c r="Z643" s="7"/>
      <c r="AA643" s="7"/>
      <c r="AB643" s="7"/>
      <c r="AC643" s="7"/>
      <c r="AD643" s="7"/>
      <c r="AE643" s="7"/>
      <c r="AF643" s="7"/>
    </row>
    <row r="644" spans="1:32">
      <c r="A644" s="1669"/>
      <c r="B644" s="1724" t="s">
        <v>774</v>
      </c>
      <c r="C644" s="1669" t="s">
        <v>340</v>
      </c>
      <c r="D644" s="1723" t="s">
        <v>1975</v>
      </c>
      <c r="E644" s="1724" t="s">
        <v>1899</v>
      </c>
      <c r="F644" s="1725">
        <v>5238</v>
      </c>
      <c r="G644" s="1760" t="s">
        <v>2774</v>
      </c>
      <c r="H644" s="1676"/>
      <c r="I644" s="1676">
        <v>1600</v>
      </c>
      <c r="J644" s="1673" t="s">
        <v>1134</v>
      </c>
      <c r="K644" s="1674"/>
      <c r="L644" s="1676"/>
      <c r="M644" s="1755"/>
      <c r="N644" s="305"/>
      <c r="O644" s="7"/>
      <c r="P644" s="7"/>
      <c r="Q644" s="7"/>
      <c r="R644" s="7"/>
      <c r="S644" s="7"/>
      <c r="T644" s="7"/>
      <c r="V644" s="7"/>
      <c r="W644" s="7"/>
      <c r="X644" s="7"/>
      <c r="Y644" s="7"/>
      <c r="Z644" s="7"/>
      <c r="AA644" s="7"/>
      <c r="AB644" s="7"/>
      <c r="AC644" s="7"/>
      <c r="AD644" s="7"/>
      <c r="AE644" s="7"/>
      <c r="AF644" s="7"/>
    </row>
    <row r="645" spans="1:32">
      <c r="A645" s="2679"/>
      <c r="B645" s="1724" t="s">
        <v>774</v>
      </c>
      <c r="C645" s="1669" t="s">
        <v>340</v>
      </c>
      <c r="D645" s="1723" t="s">
        <v>1975</v>
      </c>
      <c r="E645" s="1724" t="s">
        <v>1899</v>
      </c>
      <c r="F645" s="1725">
        <v>5238</v>
      </c>
      <c r="G645" s="2724" t="s">
        <v>5343</v>
      </c>
      <c r="H645" s="2606"/>
      <c r="I645" s="2606"/>
      <c r="J645" s="2607"/>
      <c r="K645" s="2608"/>
      <c r="L645" s="2606"/>
      <c r="M645" s="3302">
        <v>264</v>
      </c>
      <c r="N645" s="381"/>
      <c r="O645" s="7"/>
      <c r="P645" s="7"/>
      <c r="Q645" s="7"/>
      <c r="R645" s="7"/>
      <c r="S645" s="7"/>
      <c r="T645" s="7"/>
      <c r="V645" s="7"/>
      <c r="W645" s="7"/>
      <c r="X645" s="7"/>
      <c r="Y645" s="7"/>
      <c r="Z645" s="7"/>
      <c r="AA645" s="7"/>
      <c r="AB645" s="7"/>
      <c r="AC645" s="7"/>
      <c r="AD645" s="7"/>
      <c r="AE645" s="7"/>
      <c r="AF645" s="7"/>
    </row>
    <row r="646" spans="1:32">
      <c r="A646" s="1669"/>
      <c r="B646" s="1724" t="s">
        <v>774</v>
      </c>
      <c r="C646" s="1669" t="s">
        <v>340</v>
      </c>
      <c r="D646" s="1723" t="s">
        <v>1975</v>
      </c>
      <c r="E646" s="1724" t="s">
        <v>1899</v>
      </c>
      <c r="F646" s="1725">
        <v>5238</v>
      </c>
      <c r="G646" s="1760" t="s">
        <v>2775</v>
      </c>
      <c r="H646" s="1676"/>
      <c r="I646" s="1676">
        <v>4500</v>
      </c>
      <c r="J646" s="1673" t="s">
        <v>1134</v>
      </c>
      <c r="K646" s="1674"/>
      <c r="L646" s="1676"/>
      <c r="M646" s="1755"/>
      <c r="N646" s="305"/>
      <c r="O646" s="7"/>
      <c r="P646" s="7"/>
      <c r="Q646" s="7"/>
      <c r="R646" s="7"/>
      <c r="S646" s="7"/>
      <c r="T646" s="7"/>
      <c r="V646" s="7"/>
      <c r="W646" s="7"/>
      <c r="X646" s="7"/>
      <c r="Y646" s="7"/>
      <c r="Z646" s="7"/>
      <c r="AA646" s="7"/>
      <c r="AB646" s="7"/>
      <c r="AC646" s="7"/>
      <c r="AD646" s="7"/>
      <c r="AE646" s="7"/>
      <c r="AF646" s="7"/>
    </row>
    <row r="647" spans="1:32" ht="11.4" customHeight="1">
      <c r="A647" s="1669"/>
      <c r="B647" s="1724" t="s">
        <v>774</v>
      </c>
      <c r="C647" s="1669" t="s">
        <v>340</v>
      </c>
      <c r="D647" s="1723" t="s">
        <v>1975</v>
      </c>
      <c r="E647" s="1724" t="s">
        <v>1899</v>
      </c>
      <c r="F647" s="1725">
        <v>5238</v>
      </c>
      <c r="G647" s="1671" t="s">
        <v>2113</v>
      </c>
      <c r="H647" s="1676"/>
      <c r="I647" s="1676">
        <v>989.45</v>
      </c>
      <c r="J647" s="1673" t="s">
        <v>1134</v>
      </c>
      <c r="K647" s="1674"/>
      <c r="L647" s="1676"/>
      <c r="M647" s="1755"/>
      <c r="N647" s="305"/>
      <c r="O647" s="7"/>
      <c r="P647" s="7"/>
      <c r="Q647" s="7"/>
      <c r="R647" s="7"/>
      <c r="S647" s="7"/>
      <c r="T647" s="7"/>
      <c r="V647" s="7"/>
      <c r="W647" s="7"/>
      <c r="X647" s="7"/>
      <c r="Y647" s="7"/>
      <c r="Z647" s="7"/>
      <c r="AA647" s="7"/>
      <c r="AB647" s="7"/>
      <c r="AC647" s="7"/>
      <c r="AD647" s="7"/>
      <c r="AE647" s="7"/>
      <c r="AF647" s="7"/>
    </row>
    <row r="648" spans="1:32" ht="11.4" customHeight="1">
      <c r="A648" s="1669"/>
      <c r="B648" s="1724" t="s">
        <v>774</v>
      </c>
      <c r="C648" s="1669" t="s">
        <v>340</v>
      </c>
      <c r="D648" s="1723" t="s">
        <v>1975</v>
      </c>
      <c r="E648" s="1724" t="s">
        <v>1899</v>
      </c>
      <c r="F648" s="1725">
        <v>5238</v>
      </c>
      <c r="G648" s="1671" t="s">
        <v>2120</v>
      </c>
      <c r="H648" s="1676"/>
      <c r="I648" s="1676">
        <v>530.95000000000005</v>
      </c>
      <c r="J648" s="1673" t="s">
        <v>1134</v>
      </c>
      <c r="K648" s="1674"/>
      <c r="L648" s="1676"/>
      <c r="M648" s="1755"/>
      <c r="N648" s="305"/>
      <c r="O648" s="7"/>
      <c r="P648" s="7"/>
      <c r="Q648" s="7"/>
      <c r="R648" s="7"/>
      <c r="S648" s="7"/>
      <c r="T648" s="7"/>
      <c r="V648" s="7"/>
      <c r="W648" s="7"/>
      <c r="X648" s="7"/>
      <c r="Y648" s="7"/>
      <c r="Z648" s="7"/>
      <c r="AA648" s="7"/>
      <c r="AB648" s="7"/>
      <c r="AC648" s="7"/>
      <c r="AD648" s="7"/>
      <c r="AE648" s="7"/>
      <c r="AF648" s="7"/>
    </row>
    <row r="649" spans="1:32" ht="20.399999999999999">
      <c r="A649" s="1727"/>
      <c r="B649" s="1729" t="s">
        <v>772</v>
      </c>
      <c r="C649" s="1727" t="s">
        <v>324</v>
      </c>
      <c r="D649" s="1728" t="s">
        <v>1975</v>
      </c>
      <c r="E649" s="1729" t="s">
        <v>1899</v>
      </c>
      <c r="F649" s="1730">
        <v>7247</v>
      </c>
      <c r="G649" s="1731" t="s">
        <v>497</v>
      </c>
      <c r="H649" s="1732">
        <v>1750</v>
      </c>
      <c r="I649" s="1732"/>
      <c r="J649" s="1673">
        <v>1750</v>
      </c>
      <c r="K649" s="1726"/>
      <c r="L649" s="1732">
        <v>1750</v>
      </c>
      <c r="M649" s="1732"/>
      <c r="N649" s="381"/>
      <c r="O649" s="7"/>
      <c r="P649" s="7"/>
      <c r="Q649" s="7"/>
      <c r="R649" s="7"/>
      <c r="S649" s="7"/>
      <c r="T649" s="7"/>
      <c r="U649" s="7"/>
      <c r="V649" s="7"/>
      <c r="W649" s="7"/>
      <c r="X649" s="7"/>
      <c r="Y649" s="7"/>
      <c r="Z649" s="7"/>
      <c r="AA649" s="7"/>
      <c r="AB649" s="7"/>
      <c r="AC649" s="7"/>
      <c r="AD649" s="7"/>
      <c r="AE649" s="7"/>
      <c r="AF649" s="7"/>
    </row>
    <row r="650" spans="1:32" ht="20.399999999999999">
      <c r="A650" s="1669" t="s">
        <v>562</v>
      </c>
      <c r="B650" s="1724" t="s">
        <v>772</v>
      </c>
      <c r="C650" s="1669" t="s">
        <v>324</v>
      </c>
      <c r="D650" s="1723" t="s">
        <v>1975</v>
      </c>
      <c r="E650" s="1724" t="s">
        <v>1899</v>
      </c>
      <c r="F650" s="1725">
        <v>7247</v>
      </c>
      <c r="G650" s="1671" t="s">
        <v>2106</v>
      </c>
      <c r="H650" s="1676"/>
      <c r="I650" s="1676">
        <v>1750</v>
      </c>
      <c r="J650" s="1673" t="s">
        <v>1134</v>
      </c>
      <c r="K650" s="1674"/>
      <c r="L650" s="1676"/>
      <c r="M650" s="1755">
        <v>1750</v>
      </c>
      <c r="N650" s="305"/>
      <c r="O650" s="7"/>
      <c r="P650" s="7"/>
      <c r="Q650" s="7"/>
      <c r="R650" s="7"/>
      <c r="S650" s="7"/>
      <c r="T650" s="7"/>
      <c r="V650" s="7"/>
      <c r="W650" s="7"/>
      <c r="X650" s="7"/>
      <c r="Y650" s="7"/>
      <c r="Z650" s="7"/>
      <c r="AA650" s="7"/>
      <c r="AB650" s="7"/>
      <c r="AC650" s="7"/>
      <c r="AD650" s="7"/>
      <c r="AE650" s="7"/>
      <c r="AF650" s="7"/>
    </row>
    <row r="651" spans="1:32" ht="30.6" customHeight="1">
      <c r="A651" s="683"/>
      <c r="B651" s="720" t="s">
        <v>772</v>
      </c>
      <c r="C651" s="683" t="s">
        <v>322</v>
      </c>
      <c r="D651" s="719" t="s">
        <v>1975</v>
      </c>
      <c r="E651" s="720" t="s">
        <v>1900</v>
      </c>
      <c r="F651" s="685">
        <v>2239</v>
      </c>
      <c r="G651" s="686" t="s">
        <v>122</v>
      </c>
      <c r="H651" s="689">
        <v>34894.520000000004</v>
      </c>
      <c r="I651" s="689"/>
      <c r="J651" s="1494">
        <v>22656.720000000001</v>
      </c>
      <c r="K651" s="690"/>
      <c r="L651" s="689">
        <v>35766.883000000002</v>
      </c>
      <c r="M651" s="687"/>
      <c r="N651" s="305"/>
      <c r="O651" s="7"/>
      <c r="P651" s="7"/>
      <c r="Q651" s="7"/>
      <c r="R651" s="7"/>
      <c r="S651" s="7"/>
      <c r="T651" s="7"/>
      <c r="V651" s="7"/>
      <c r="W651" s="7"/>
      <c r="X651" s="7"/>
      <c r="Y651" s="7"/>
      <c r="Z651" s="7"/>
      <c r="AA651" s="7"/>
      <c r="AB651" s="7"/>
      <c r="AC651" s="7"/>
      <c r="AD651" s="7"/>
      <c r="AE651" s="7"/>
      <c r="AF651" s="7"/>
    </row>
    <row r="652" spans="1:32" ht="11.4" customHeight="1">
      <c r="A652" s="1669" t="s">
        <v>558</v>
      </c>
      <c r="B652" s="1724" t="s">
        <v>772</v>
      </c>
      <c r="C652" s="1669" t="s">
        <v>322</v>
      </c>
      <c r="D652" s="1723" t="s">
        <v>1975</v>
      </c>
      <c r="E652" s="1724" t="s">
        <v>1900</v>
      </c>
      <c r="F652" s="1725">
        <v>2239</v>
      </c>
      <c r="G652" s="1705" t="s">
        <v>2103</v>
      </c>
      <c r="H652" s="1744"/>
      <c r="I652" s="1755">
        <v>26507.52</v>
      </c>
      <c r="J652" s="1673" t="s">
        <v>1134</v>
      </c>
      <c r="K652" s="1756"/>
      <c r="L652" s="1755"/>
      <c r="M652" s="1755">
        <v>27170.207999999999</v>
      </c>
      <c r="N652" s="305"/>
      <c r="O652" s="7"/>
      <c r="P652" s="7"/>
      <c r="Q652" s="7"/>
      <c r="R652" s="7"/>
      <c r="S652" s="7"/>
      <c r="T652" s="7"/>
      <c r="U652" s="7"/>
      <c r="V652" s="7"/>
      <c r="W652" s="7"/>
      <c r="X652" s="7"/>
      <c r="Y652" s="7"/>
      <c r="Z652" s="7"/>
      <c r="AA652" s="7"/>
      <c r="AB652" s="7"/>
      <c r="AC652" s="7"/>
      <c r="AD652" s="7"/>
      <c r="AE652" s="7"/>
      <c r="AF652" s="7"/>
    </row>
    <row r="653" spans="1:32" ht="11.4" customHeight="1">
      <c r="A653" s="1669" t="s">
        <v>560</v>
      </c>
      <c r="B653" s="1724" t="s">
        <v>772</v>
      </c>
      <c r="C653" s="1669" t="s">
        <v>322</v>
      </c>
      <c r="D653" s="1723" t="s">
        <v>1975</v>
      </c>
      <c r="E653" s="1724" t="s">
        <v>1900</v>
      </c>
      <c r="F653" s="1725">
        <v>2239</v>
      </c>
      <c r="G653" s="1671" t="s">
        <v>3043</v>
      </c>
      <c r="H653" s="1744"/>
      <c r="I653" s="1755">
        <v>587</v>
      </c>
      <c r="J653" s="1673" t="s">
        <v>1134</v>
      </c>
      <c r="K653" s="1756"/>
      <c r="L653" s="1755"/>
      <c r="M653" s="1755">
        <v>601.67499999999995</v>
      </c>
      <c r="N653" s="305"/>
      <c r="O653" s="7"/>
      <c r="P653" s="7"/>
      <c r="Q653" s="7"/>
      <c r="R653" s="7"/>
      <c r="S653" s="7"/>
      <c r="T653" s="7"/>
      <c r="U653" s="7"/>
      <c r="V653" s="7"/>
      <c r="W653" s="7"/>
      <c r="X653" s="7"/>
      <c r="Y653" s="7"/>
      <c r="Z653" s="7"/>
      <c r="AA653" s="7"/>
      <c r="AB653" s="7"/>
      <c r="AC653" s="7"/>
      <c r="AD653" s="7"/>
      <c r="AE653" s="7"/>
      <c r="AF653" s="7"/>
    </row>
    <row r="654" spans="1:32" ht="20.399999999999999">
      <c r="A654" s="1669" t="s">
        <v>560</v>
      </c>
      <c r="B654" s="1724" t="s">
        <v>772</v>
      </c>
      <c r="C654" s="1669" t="s">
        <v>322</v>
      </c>
      <c r="D654" s="1723" t="s">
        <v>1975</v>
      </c>
      <c r="E654" s="1724" t="s">
        <v>1900</v>
      </c>
      <c r="F654" s="1725">
        <v>2239</v>
      </c>
      <c r="G654" s="1671" t="s">
        <v>2104</v>
      </c>
      <c r="H654" s="1744"/>
      <c r="I654" s="1755">
        <v>7800</v>
      </c>
      <c r="J654" s="1673" t="s">
        <v>1134</v>
      </c>
      <c r="K654" s="1756"/>
      <c r="L654" s="1755"/>
      <c r="M654" s="1755">
        <v>7995</v>
      </c>
      <c r="N654" s="381"/>
      <c r="O654" s="7"/>
      <c r="P654" s="7"/>
      <c r="Q654" s="7"/>
      <c r="R654" s="7"/>
      <c r="S654" s="7"/>
      <c r="U654" s="7"/>
      <c r="V654" s="7"/>
      <c r="W654" s="7"/>
      <c r="X654" s="7"/>
      <c r="Y654" s="7"/>
      <c r="Z654" s="7"/>
      <c r="AA654" s="7"/>
      <c r="AB654" s="7"/>
      <c r="AC654" s="7"/>
      <c r="AD654" s="7"/>
      <c r="AE654" s="7"/>
    </row>
    <row r="655" spans="1:32">
      <c r="A655" s="1669" t="s">
        <v>560</v>
      </c>
      <c r="B655" s="1724" t="s">
        <v>772</v>
      </c>
      <c r="C655" s="1669" t="s">
        <v>322</v>
      </c>
      <c r="D655" s="1723" t="s">
        <v>1975</v>
      </c>
      <c r="E655" s="1724" t="s">
        <v>1900</v>
      </c>
      <c r="F655" s="1725">
        <v>2239</v>
      </c>
      <c r="G655" s="1671"/>
      <c r="H655" s="1676"/>
      <c r="I655" s="1676"/>
      <c r="J655" s="1673" t="s">
        <v>1134</v>
      </c>
      <c r="K655" s="1674"/>
      <c r="L655" s="1675"/>
      <c r="M655" s="1757"/>
      <c r="N655" s="305"/>
      <c r="O655" s="7"/>
      <c r="P655" s="7"/>
      <c r="Q655" s="7"/>
      <c r="R655" s="7"/>
      <c r="S655" s="7"/>
      <c r="T655" s="7"/>
      <c r="U655" s="7"/>
      <c r="V655" s="7"/>
      <c r="W655" s="7"/>
      <c r="X655" s="7"/>
      <c r="Y655" s="7"/>
      <c r="Z655" s="7"/>
      <c r="AA655" s="7"/>
      <c r="AB655" s="7"/>
      <c r="AC655" s="7"/>
      <c r="AD655" s="7"/>
      <c r="AE655" s="7"/>
    </row>
    <row r="656" spans="1:32">
      <c r="A656" s="849"/>
      <c r="B656" s="720" t="s">
        <v>772</v>
      </c>
      <c r="C656" s="683" t="s">
        <v>320</v>
      </c>
      <c r="D656" s="719" t="s">
        <v>1977</v>
      </c>
      <c r="E656" s="720" t="s">
        <v>1902</v>
      </c>
      <c r="F656" s="685">
        <v>2275</v>
      </c>
      <c r="G656" s="686" t="s">
        <v>520</v>
      </c>
      <c r="H656" s="689">
        <v>70000</v>
      </c>
      <c r="I656" s="689"/>
      <c r="J656" s="1494">
        <v>0</v>
      </c>
      <c r="K656" s="727"/>
      <c r="L656" s="689">
        <v>70000</v>
      </c>
      <c r="M656" s="689"/>
      <c r="N656" s="305"/>
      <c r="O656" s="7"/>
      <c r="P656" s="7"/>
      <c r="Q656" s="7"/>
      <c r="R656" s="7"/>
      <c r="S656" s="7"/>
      <c r="T656" s="7"/>
      <c r="V656" s="7"/>
      <c r="W656" s="7"/>
      <c r="X656" s="7"/>
      <c r="Y656" s="7"/>
      <c r="Z656" s="7"/>
      <c r="AA656" s="7"/>
      <c r="AB656" s="7"/>
      <c r="AC656" s="7"/>
      <c r="AD656" s="7"/>
      <c r="AE656" s="7"/>
      <c r="AF656" s="7"/>
    </row>
    <row r="657" spans="1:32">
      <c r="A657" s="760"/>
      <c r="B657" s="700" t="s">
        <v>772</v>
      </c>
      <c r="C657" s="663" t="s">
        <v>320</v>
      </c>
      <c r="D657" s="678" t="s">
        <v>1977</v>
      </c>
      <c r="E657" s="700" t="s">
        <v>1902</v>
      </c>
      <c r="F657" s="679">
        <v>2275</v>
      </c>
      <c r="G657" s="665" t="s">
        <v>520</v>
      </c>
      <c r="H657" s="660"/>
      <c r="I657" s="660">
        <v>70000</v>
      </c>
      <c r="J657" s="1494" t="s">
        <v>1134</v>
      </c>
      <c r="K657" s="727"/>
      <c r="L657" s="660"/>
      <c r="M657" s="660">
        <v>70000</v>
      </c>
      <c r="N657" s="305"/>
      <c r="O657" s="7"/>
      <c r="P657" s="7"/>
      <c r="Q657" s="7"/>
      <c r="R657" s="7"/>
      <c r="S657" s="7"/>
      <c r="T657" s="7"/>
      <c r="V657" s="7"/>
      <c r="W657" s="7"/>
      <c r="X657" s="7"/>
      <c r="Y657" s="7"/>
      <c r="Z657" s="7"/>
      <c r="AA657" s="7"/>
      <c r="AB657" s="7"/>
      <c r="AC657" s="7"/>
      <c r="AD657" s="7"/>
      <c r="AE657" s="7"/>
      <c r="AF657" s="7"/>
    </row>
    <row r="658" spans="1:32">
      <c r="A658" s="849"/>
      <c r="B658" s="720" t="s">
        <v>772</v>
      </c>
      <c r="C658" s="683" t="s">
        <v>320</v>
      </c>
      <c r="D658" s="719" t="s">
        <v>1977</v>
      </c>
      <c r="E658" s="720" t="s">
        <v>1902</v>
      </c>
      <c r="F658" s="685">
        <v>6254</v>
      </c>
      <c r="G658" s="686" t="s">
        <v>1018</v>
      </c>
      <c r="H658" s="689">
        <v>0</v>
      </c>
      <c r="I658" s="689"/>
      <c r="J658" s="1494" t="s">
        <v>1134</v>
      </c>
      <c r="K658" s="727"/>
      <c r="L658" s="689">
        <v>0</v>
      </c>
      <c r="M658" s="689"/>
      <c r="N658" s="305"/>
      <c r="O658" s="7"/>
      <c r="P658" s="7"/>
      <c r="Q658" s="7"/>
      <c r="R658" s="7"/>
      <c r="S658" s="7"/>
      <c r="T658" s="7"/>
      <c r="V658" s="7"/>
      <c r="W658" s="7"/>
      <c r="X658" s="7"/>
      <c r="Y658" s="7"/>
      <c r="Z658" s="7"/>
      <c r="AA658" s="7"/>
      <c r="AB658" s="7"/>
      <c r="AC658" s="7"/>
      <c r="AD658" s="7"/>
      <c r="AE658" s="7"/>
      <c r="AF658" s="7"/>
    </row>
    <row r="659" spans="1:32" ht="11.4" customHeight="1">
      <c r="A659" s="760"/>
      <c r="B659" s="700" t="s">
        <v>772</v>
      </c>
      <c r="C659" s="663" t="s">
        <v>320</v>
      </c>
      <c r="D659" s="678" t="s">
        <v>1977</v>
      </c>
      <c r="E659" s="700" t="s">
        <v>1902</v>
      </c>
      <c r="F659" s="679">
        <v>6254</v>
      </c>
      <c r="G659" s="665"/>
      <c r="H659" s="660"/>
      <c r="I659" s="660"/>
      <c r="J659" s="1494" t="s">
        <v>1134</v>
      </c>
      <c r="K659" s="727"/>
      <c r="L659" s="660"/>
      <c r="M659" s="660"/>
      <c r="N659" s="305"/>
      <c r="O659" s="7"/>
      <c r="P659" s="7"/>
      <c r="Q659" s="7"/>
      <c r="R659" s="7"/>
      <c r="S659" s="7"/>
      <c r="T659" s="7"/>
      <c r="V659" s="7"/>
      <c r="W659" s="7"/>
      <c r="X659" s="7"/>
      <c r="Y659" s="7"/>
      <c r="Z659" s="7"/>
      <c r="AA659" s="7"/>
      <c r="AB659" s="7"/>
      <c r="AC659" s="7"/>
      <c r="AD659" s="7"/>
      <c r="AE659" s="7"/>
      <c r="AF659" s="7"/>
    </row>
    <row r="660" spans="1:32" ht="11.4" customHeight="1">
      <c r="A660" s="849"/>
      <c r="B660" s="720" t="s">
        <v>436</v>
      </c>
      <c r="C660" s="683" t="s">
        <v>427</v>
      </c>
      <c r="D660" s="863" t="s">
        <v>1977</v>
      </c>
      <c r="E660" s="742" t="s">
        <v>421</v>
      </c>
      <c r="F660" s="824">
        <v>1119</v>
      </c>
      <c r="G660" s="800" t="s">
        <v>406</v>
      </c>
      <c r="H660" s="706">
        <v>213881.52</v>
      </c>
      <c r="I660" s="706"/>
      <c r="J660" s="1739">
        <v>159291</v>
      </c>
      <c r="K660" s="802"/>
      <c r="L660" s="706">
        <v>230260.80000000002</v>
      </c>
      <c r="M660" s="706"/>
      <c r="N660" s="305"/>
      <c r="O660" s="7"/>
      <c r="P660" s="7"/>
      <c r="Q660" s="7"/>
      <c r="R660" s="7"/>
      <c r="S660" s="7"/>
      <c r="T660" s="7"/>
      <c r="U660" s="7"/>
      <c r="V660" s="7"/>
      <c r="W660" s="7"/>
      <c r="X660" s="7"/>
      <c r="Y660" s="7"/>
      <c r="Z660" s="7"/>
      <c r="AA660" s="7"/>
      <c r="AB660" s="7"/>
      <c r="AC660" s="7"/>
      <c r="AD660" s="7"/>
      <c r="AE660" s="7"/>
      <c r="AF660" s="7"/>
    </row>
    <row r="661" spans="1:32">
      <c r="A661" s="760"/>
      <c r="B661" s="700" t="s">
        <v>436</v>
      </c>
      <c r="C661" s="663" t="s">
        <v>427</v>
      </c>
      <c r="D661" s="678" t="s">
        <v>1977</v>
      </c>
      <c r="E661" s="700" t="s">
        <v>421</v>
      </c>
      <c r="F661" s="795">
        <v>1119</v>
      </c>
      <c r="G661" s="750" t="s">
        <v>436</v>
      </c>
      <c r="H661" s="701"/>
      <c r="I661" s="701">
        <v>213881.52</v>
      </c>
      <c r="J661" s="1739" t="s">
        <v>1134</v>
      </c>
      <c r="K661" s="802"/>
      <c r="L661" s="701"/>
      <c r="M661" s="701">
        <v>230260.80000000002</v>
      </c>
      <c r="N661" s="125"/>
      <c r="O661" s="7"/>
      <c r="P661" s="7"/>
      <c r="Q661" s="7"/>
      <c r="R661" s="7"/>
      <c r="S661" s="7"/>
      <c r="T661" s="7"/>
      <c r="U661" s="7"/>
      <c r="V661" s="7"/>
      <c r="W661" s="7"/>
      <c r="X661" s="7"/>
      <c r="Y661" s="7"/>
      <c r="Z661" s="7"/>
      <c r="AA661" s="7"/>
      <c r="AB661" s="7"/>
      <c r="AC661" s="7"/>
      <c r="AD661" s="7"/>
      <c r="AE661" s="7"/>
      <c r="AF661" s="7"/>
    </row>
    <row r="662" spans="1:32">
      <c r="A662" s="760"/>
      <c r="B662" s="700" t="s">
        <v>436</v>
      </c>
      <c r="C662" s="663" t="s">
        <v>427</v>
      </c>
      <c r="D662" s="678" t="s">
        <v>1977</v>
      </c>
      <c r="E662" s="700" t="s">
        <v>421</v>
      </c>
      <c r="F662" s="795">
        <v>1119</v>
      </c>
      <c r="G662" s="750" t="s">
        <v>722</v>
      </c>
      <c r="H662" s="701"/>
      <c r="I662" s="701"/>
      <c r="J662" s="1739" t="s">
        <v>1134</v>
      </c>
      <c r="K662" s="802"/>
      <c r="L662" s="701"/>
      <c r="M662" s="701"/>
      <c r="N662" s="125"/>
      <c r="O662" s="7"/>
      <c r="P662" s="7"/>
      <c r="Q662" s="7"/>
      <c r="R662" s="7"/>
      <c r="S662" s="7"/>
      <c r="T662" s="7"/>
      <c r="U662" s="7"/>
      <c r="V662" s="7"/>
      <c r="W662" s="7"/>
      <c r="X662" s="7"/>
      <c r="Y662" s="7"/>
      <c r="Z662" s="7"/>
      <c r="AA662" s="7"/>
      <c r="AB662" s="7"/>
      <c r="AC662" s="7"/>
      <c r="AD662" s="7"/>
      <c r="AE662" s="7"/>
      <c r="AF662" s="7"/>
    </row>
    <row r="663" spans="1:32" ht="20.399999999999999">
      <c r="A663" s="849"/>
      <c r="B663" s="720" t="s">
        <v>436</v>
      </c>
      <c r="C663" s="683" t="s">
        <v>427</v>
      </c>
      <c r="D663" s="719" t="s">
        <v>1977</v>
      </c>
      <c r="E663" s="720" t="s">
        <v>421</v>
      </c>
      <c r="F663" s="824">
        <v>1142</v>
      </c>
      <c r="G663" s="800" t="s">
        <v>110</v>
      </c>
      <c r="H663" s="706">
        <v>1000</v>
      </c>
      <c r="I663" s="706"/>
      <c r="J663" s="1739">
        <v>645.65</v>
      </c>
      <c r="K663" s="802"/>
      <c r="L663" s="706">
        <v>3000</v>
      </c>
      <c r="M663" s="706"/>
      <c r="N663" s="125"/>
      <c r="O663" s="7"/>
      <c r="P663" s="7"/>
      <c r="Q663" s="7"/>
      <c r="R663" s="7"/>
      <c r="S663" s="7"/>
      <c r="T663" s="7"/>
      <c r="U663" s="7"/>
      <c r="V663" s="7"/>
      <c r="W663" s="7"/>
      <c r="X663" s="7"/>
      <c r="Y663" s="7"/>
      <c r="Z663" s="7"/>
      <c r="AA663" s="7"/>
      <c r="AB663" s="7"/>
      <c r="AC663" s="7"/>
      <c r="AD663" s="7"/>
      <c r="AE663" s="7"/>
      <c r="AF663" s="7"/>
    </row>
    <row r="664" spans="1:32" ht="11.4" customHeight="1">
      <c r="A664" s="760"/>
      <c r="B664" s="700" t="s">
        <v>436</v>
      </c>
      <c r="C664" s="663" t="s">
        <v>427</v>
      </c>
      <c r="D664" s="678" t="s">
        <v>1977</v>
      </c>
      <c r="E664" s="700" t="s">
        <v>421</v>
      </c>
      <c r="F664" s="795">
        <v>1142</v>
      </c>
      <c r="G664" s="750" t="s">
        <v>436</v>
      </c>
      <c r="H664" s="701"/>
      <c r="I664" s="701">
        <v>3000</v>
      </c>
      <c r="J664" s="1739" t="s">
        <v>1134</v>
      </c>
      <c r="K664" s="802"/>
      <c r="L664" s="701"/>
      <c r="M664" s="701">
        <v>3000</v>
      </c>
      <c r="N664" s="125"/>
      <c r="O664" s="7"/>
      <c r="P664" s="7"/>
      <c r="Q664" s="7"/>
      <c r="R664" s="7"/>
      <c r="S664" s="7"/>
      <c r="T664" s="7"/>
      <c r="U664" s="7"/>
      <c r="V664" s="7"/>
      <c r="W664" s="7"/>
      <c r="X664" s="7"/>
      <c r="Y664" s="7"/>
      <c r="Z664" s="7"/>
      <c r="AA664" s="7"/>
      <c r="AB664" s="7"/>
      <c r="AC664" s="7"/>
      <c r="AD664" s="7"/>
      <c r="AE664" s="7"/>
      <c r="AF664" s="7"/>
    </row>
    <row r="665" spans="1:32" ht="11.4" customHeight="1">
      <c r="A665" s="2604"/>
      <c r="B665" s="700" t="s">
        <v>436</v>
      </c>
      <c r="C665" s="663" t="s">
        <v>427</v>
      </c>
      <c r="D665" s="678" t="s">
        <v>1977</v>
      </c>
      <c r="E665" s="700" t="s">
        <v>421</v>
      </c>
      <c r="F665" s="795">
        <v>1142</v>
      </c>
      <c r="G665" s="2605" t="s">
        <v>5001</v>
      </c>
      <c r="H665" s="2615"/>
      <c r="I665" s="2615">
        <v>-2000</v>
      </c>
      <c r="J665" s="2621"/>
      <c r="K665" s="2786"/>
      <c r="L665" s="2615"/>
      <c r="M665" s="2615"/>
      <c r="N665" s="176"/>
      <c r="O665" s="7"/>
      <c r="P665" s="7"/>
      <c r="Q665" s="7"/>
      <c r="R665" s="7"/>
      <c r="S665" s="7"/>
      <c r="T665" s="7"/>
      <c r="U665" s="7"/>
      <c r="V665" s="7"/>
      <c r="W665" s="7"/>
      <c r="X665" s="7"/>
      <c r="Y665" s="7"/>
      <c r="Z665" s="7"/>
      <c r="AA665" s="7"/>
      <c r="AB665" s="7"/>
      <c r="AC665" s="7"/>
      <c r="AD665" s="7"/>
      <c r="AE665" s="7"/>
      <c r="AF665" s="7"/>
    </row>
    <row r="666" spans="1:32" ht="20.399999999999999">
      <c r="A666" s="849"/>
      <c r="B666" s="720" t="s">
        <v>436</v>
      </c>
      <c r="C666" s="683" t="s">
        <v>427</v>
      </c>
      <c r="D666" s="719" t="s">
        <v>1977</v>
      </c>
      <c r="E666" s="720" t="s">
        <v>421</v>
      </c>
      <c r="F666" s="824">
        <v>1146</v>
      </c>
      <c r="G666" s="800" t="s">
        <v>579</v>
      </c>
      <c r="H666" s="706">
        <v>500</v>
      </c>
      <c r="I666" s="706"/>
      <c r="J666" s="1739">
        <v>0</v>
      </c>
      <c r="K666" s="802"/>
      <c r="L666" s="706">
        <v>500</v>
      </c>
      <c r="M666" s="706"/>
      <c r="N666" s="176"/>
      <c r="O666" s="7"/>
      <c r="P666" s="7"/>
      <c r="Q666" s="7"/>
      <c r="R666" s="7"/>
      <c r="S666" s="7"/>
      <c r="T666" s="7"/>
      <c r="U666" s="7"/>
      <c r="V666" s="7"/>
      <c r="W666" s="7"/>
      <c r="X666" s="7"/>
      <c r="Y666" s="7"/>
      <c r="Z666" s="7"/>
      <c r="AA666" s="7"/>
      <c r="AB666" s="7"/>
      <c r="AC666" s="7"/>
      <c r="AD666" s="7"/>
      <c r="AE666" s="7"/>
      <c r="AF666" s="7"/>
    </row>
    <row r="667" spans="1:32">
      <c r="A667" s="760"/>
      <c r="B667" s="700" t="s">
        <v>436</v>
      </c>
      <c r="C667" s="663" t="s">
        <v>427</v>
      </c>
      <c r="D667" s="678" t="s">
        <v>1977</v>
      </c>
      <c r="E667" s="700" t="s">
        <v>421</v>
      </c>
      <c r="F667" s="795">
        <v>1146</v>
      </c>
      <c r="G667" s="750" t="s">
        <v>436</v>
      </c>
      <c r="H667" s="701"/>
      <c r="I667" s="701">
        <v>500</v>
      </c>
      <c r="J667" s="1739" t="s">
        <v>1134</v>
      </c>
      <c r="K667" s="802"/>
      <c r="L667" s="701"/>
      <c r="M667" s="701">
        <v>500</v>
      </c>
      <c r="N667" s="125"/>
      <c r="O667" s="7"/>
      <c r="P667" s="7"/>
      <c r="Q667" s="7"/>
      <c r="R667" s="7"/>
      <c r="S667" s="7"/>
      <c r="T667" s="7"/>
      <c r="U667" s="7"/>
      <c r="V667" s="7"/>
      <c r="W667" s="7"/>
      <c r="X667" s="7"/>
      <c r="Y667" s="7"/>
      <c r="Z667" s="7"/>
      <c r="AA667" s="7"/>
      <c r="AB667" s="7"/>
      <c r="AC667" s="7"/>
      <c r="AD667" s="7"/>
      <c r="AE667" s="7"/>
      <c r="AF667" s="7"/>
    </row>
    <row r="668" spans="1:32">
      <c r="A668" s="849"/>
      <c r="B668" s="720" t="s">
        <v>436</v>
      </c>
      <c r="C668" s="683" t="s">
        <v>427</v>
      </c>
      <c r="D668" s="719" t="s">
        <v>1977</v>
      </c>
      <c r="E668" s="720" t="s">
        <v>421</v>
      </c>
      <c r="F668" s="824">
        <v>1147</v>
      </c>
      <c r="G668" s="800" t="s">
        <v>428</v>
      </c>
      <c r="H668" s="706">
        <v>8395</v>
      </c>
      <c r="I668" s="706"/>
      <c r="J668" s="1739">
        <v>5206</v>
      </c>
      <c r="K668" s="802"/>
      <c r="L668" s="706">
        <v>6971.8551999999981</v>
      </c>
      <c r="M668" s="706"/>
      <c r="N668" s="176"/>
      <c r="O668" s="7"/>
      <c r="P668" s="7"/>
      <c r="Q668" s="7"/>
      <c r="R668" s="7"/>
      <c r="S668" s="7"/>
      <c r="T668" s="7"/>
      <c r="U668" s="7"/>
      <c r="V668" s="7"/>
      <c r="W668" s="7"/>
      <c r="X668" s="7"/>
      <c r="Y668" s="7"/>
      <c r="Z668" s="7"/>
      <c r="AA668" s="7"/>
      <c r="AB668" s="7"/>
      <c r="AC668" s="7"/>
      <c r="AD668" s="7"/>
      <c r="AE668" s="7"/>
      <c r="AF668" s="7"/>
    </row>
    <row r="669" spans="1:32">
      <c r="A669" s="760"/>
      <c r="B669" s="700" t="s">
        <v>436</v>
      </c>
      <c r="C669" s="663" t="s">
        <v>427</v>
      </c>
      <c r="D669" s="678" t="s">
        <v>1977</v>
      </c>
      <c r="E669" s="700" t="s">
        <v>421</v>
      </c>
      <c r="F669" s="795">
        <v>1147</v>
      </c>
      <c r="G669" s="750" t="s">
        <v>436</v>
      </c>
      <c r="H669" s="701"/>
      <c r="I669" s="701">
        <v>18395</v>
      </c>
      <c r="J669" s="1654" t="s">
        <v>1134</v>
      </c>
      <c r="K669" s="802"/>
      <c r="L669" s="701"/>
      <c r="M669" s="1672">
        <v>6971.8551999999981</v>
      </c>
      <c r="N669" s="176"/>
      <c r="O669" s="7"/>
      <c r="P669" s="7"/>
      <c r="Q669" s="7"/>
      <c r="R669" s="7"/>
      <c r="S669" s="7"/>
      <c r="T669" s="7"/>
      <c r="U669" s="7"/>
      <c r="V669" s="7"/>
      <c r="W669" s="7"/>
      <c r="X669" s="7"/>
      <c r="Y669" s="7"/>
      <c r="Z669" s="7"/>
      <c r="AA669" s="7"/>
      <c r="AB669" s="7"/>
      <c r="AC669" s="7"/>
      <c r="AD669" s="7"/>
      <c r="AE669" s="7"/>
      <c r="AF669" s="7"/>
    </row>
    <row r="670" spans="1:32" ht="20.399999999999999">
      <c r="A670" s="760"/>
      <c r="B670" s="700" t="s">
        <v>436</v>
      </c>
      <c r="C670" s="663" t="s">
        <v>427</v>
      </c>
      <c r="D670" s="678" t="s">
        <v>1977</v>
      </c>
      <c r="E670" s="700" t="s">
        <v>421</v>
      </c>
      <c r="F670" s="795">
        <v>1147</v>
      </c>
      <c r="G670" s="750" t="s">
        <v>3270</v>
      </c>
      <c r="H670" s="701"/>
      <c r="I670" s="701">
        <v>-3000</v>
      </c>
      <c r="J670" s="1654" t="s">
        <v>1134</v>
      </c>
      <c r="K670" s="802"/>
      <c r="L670" s="701"/>
      <c r="M670" s="701"/>
      <c r="N670" s="176"/>
      <c r="O670" s="7"/>
      <c r="P670" s="7"/>
      <c r="Q670" s="7"/>
      <c r="R670" s="7"/>
      <c r="S670" s="7"/>
      <c r="T670" s="7"/>
      <c r="U670" s="7"/>
      <c r="V670" s="7"/>
      <c r="W670" s="7"/>
      <c r="X670" s="7"/>
      <c r="Y670" s="7"/>
      <c r="Z670" s="7"/>
      <c r="AA670" s="7"/>
      <c r="AB670" s="7"/>
      <c r="AC670" s="7"/>
      <c r="AD670" s="7"/>
      <c r="AE670" s="7"/>
      <c r="AF670" s="7"/>
    </row>
    <row r="671" spans="1:32" ht="20.399999999999999">
      <c r="A671" s="1556"/>
      <c r="B671" s="1590" t="s">
        <v>436</v>
      </c>
      <c r="C671" s="1495" t="s">
        <v>427</v>
      </c>
      <c r="D671" s="1561" t="s">
        <v>1977</v>
      </c>
      <c r="E671" s="1590" t="s">
        <v>421</v>
      </c>
      <c r="F671" s="1562">
        <v>1147</v>
      </c>
      <c r="G671" s="1569" t="s">
        <v>3284</v>
      </c>
      <c r="H671" s="1557"/>
      <c r="I671" s="1557">
        <v>-2000</v>
      </c>
      <c r="J671" s="1557"/>
      <c r="K671" s="1621"/>
      <c r="L671" s="1557"/>
      <c r="M671" s="1557"/>
      <c r="N671" s="176"/>
      <c r="O671" s="7"/>
      <c r="P671" s="7"/>
      <c r="Q671" s="7"/>
      <c r="R671" s="7"/>
      <c r="S671" s="7"/>
      <c r="T671" s="7"/>
      <c r="U671" s="7"/>
      <c r="V671" s="7"/>
      <c r="W671" s="7"/>
      <c r="X671" s="7"/>
      <c r="Y671" s="7"/>
      <c r="Z671" s="7"/>
      <c r="AA671" s="7"/>
      <c r="AB671" s="7"/>
      <c r="AC671" s="7"/>
      <c r="AD671" s="7"/>
      <c r="AE671" s="7"/>
      <c r="AF671" s="7"/>
    </row>
    <row r="672" spans="1:32" ht="20.399999999999999">
      <c r="A672" s="2604"/>
      <c r="B672" s="1590" t="s">
        <v>436</v>
      </c>
      <c r="C672" s="1495" t="s">
        <v>427</v>
      </c>
      <c r="D672" s="1561" t="s">
        <v>1977</v>
      </c>
      <c r="E672" s="1590" t="s">
        <v>421</v>
      </c>
      <c r="F672" s="1562">
        <v>1147</v>
      </c>
      <c r="G672" s="2605" t="s">
        <v>5002</v>
      </c>
      <c r="H672" s="2615"/>
      <c r="I672" s="2615">
        <v>-7000</v>
      </c>
      <c r="J672" s="2615"/>
      <c r="K672" s="2786"/>
      <c r="L672" s="2615"/>
      <c r="M672" s="2615"/>
      <c r="N672" s="359" t="s">
        <v>3558</v>
      </c>
      <c r="O672" s="7"/>
      <c r="P672" s="7"/>
      <c r="Q672" s="7"/>
      <c r="R672" s="7"/>
      <c r="S672" s="7"/>
      <c r="T672" s="7"/>
      <c r="U672" s="7"/>
      <c r="V672" s="7"/>
      <c r="W672" s="7"/>
      <c r="X672" s="7"/>
      <c r="Y672" s="7"/>
      <c r="Z672" s="7"/>
      <c r="AA672" s="7"/>
      <c r="AB672" s="7"/>
      <c r="AC672" s="7"/>
      <c r="AD672" s="7"/>
      <c r="AE672" s="7"/>
      <c r="AF672" s="7"/>
    </row>
    <row r="673" spans="1:32">
      <c r="A673" s="849"/>
      <c r="B673" s="720" t="s">
        <v>436</v>
      </c>
      <c r="C673" s="683" t="s">
        <v>427</v>
      </c>
      <c r="D673" s="719" t="s">
        <v>1977</v>
      </c>
      <c r="E673" s="720" t="s">
        <v>421</v>
      </c>
      <c r="F673" s="824">
        <v>1148</v>
      </c>
      <c r="G673" s="800" t="s">
        <v>395</v>
      </c>
      <c r="H673" s="706">
        <v>8600</v>
      </c>
      <c r="I673" s="706"/>
      <c r="J673" s="1654">
        <v>600</v>
      </c>
      <c r="K673" s="802"/>
      <c r="L673" s="706">
        <v>10600</v>
      </c>
      <c r="M673" s="706"/>
      <c r="N673" s="125"/>
      <c r="O673" s="7"/>
      <c r="P673" s="7"/>
      <c r="Q673" s="7"/>
      <c r="R673" s="7"/>
      <c r="S673" s="7"/>
      <c r="T673" s="7"/>
      <c r="U673" s="7"/>
      <c r="V673" s="7"/>
      <c r="W673" s="7"/>
      <c r="X673" s="7"/>
      <c r="Y673" s="7"/>
      <c r="Z673" s="7"/>
      <c r="AA673" s="7"/>
      <c r="AB673" s="7"/>
      <c r="AC673" s="7"/>
      <c r="AD673" s="7"/>
      <c r="AE673" s="7"/>
      <c r="AF673" s="7"/>
    </row>
    <row r="674" spans="1:32">
      <c r="A674" s="760"/>
      <c r="B674" s="700" t="s">
        <v>436</v>
      </c>
      <c r="C674" s="663" t="s">
        <v>427</v>
      </c>
      <c r="D674" s="678" t="s">
        <v>1977</v>
      </c>
      <c r="E674" s="700" t="s">
        <v>421</v>
      </c>
      <c r="F674" s="795">
        <v>1148</v>
      </c>
      <c r="G674" s="750" t="s">
        <v>670</v>
      </c>
      <c r="H674" s="701"/>
      <c r="I674" s="701">
        <v>1000</v>
      </c>
      <c r="J674" s="1654" t="s">
        <v>1134</v>
      </c>
      <c r="K674" s="802"/>
      <c r="L674" s="701"/>
      <c r="M674" s="701">
        <v>10000</v>
      </c>
      <c r="N674" s="176"/>
      <c r="O674" s="7"/>
      <c r="P674" s="7"/>
      <c r="Q674" s="7"/>
      <c r="R674" s="7"/>
      <c r="S674" s="7"/>
      <c r="T674" s="7"/>
      <c r="U674" s="7"/>
      <c r="V674" s="7"/>
      <c r="W674" s="7"/>
      <c r="X674" s="7"/>
      <c r="Y674" s="7"/>
      <c r="Z674" s="7"/>
      <c r="AA674" s="7"/>
      <c r="AB674" s="7"/>
      <c r="AC674" s="7"/>
      <c r="AD674" s="7"/>
      <c r="AE674" s="7"/>
      <c r="AF674" s="7"/>
    </row>
    <row r="675" spans="1:32" ht="20.399999999999999">
      <c r="A675" s="663"/>
      <c r="B675" s="700" t="s">
        <v>436</v>
      </c>
      <c r="C675" s="663" t="s">
        <v>427</v>
      </c>
      <c r="D675" s="678" t="s">
        <v>1977</v>
      </c>
      <c r="E675" s="700" t="s">
        <v>421</v>
      </c>
      <c r="F675" s="795">
        <v>1148</v>
      </c>
      <c r="G675" s="750" t="s">
        <v>1625</v>
      </c>
      <c r="H675" s="752"/>
      <c r="I675" s="752">
        <v>600</v>
      </c>
      <c r="J675" s="1654" t="s">
        <v>1134</v>
      </c>
      <c r="K675" s="1252"/>
      <c r="L675" s="752"/>
      <c r="M675" s="752">
        <v>600</v>
      </c>
      <c r="N675" s="176" t="s">
        <v>4372</v>
      </c>
    </row>
    <row r="676" spans="1:32" ht="20.399999999999999">
      <c r="A676" s="2679"/>
      <c r="B676" s="700" t="s">
        <v>436</v>
      </c>
      <c r="C676" s="663" t="s">
        <v>427</v>
      </c>
      <c r="D676" s="678" t="s">
        <v>1977</v>
      </c>
      <c r="E676" s="700" t="s">
        <v>421</v>
      </c>
      <c r="F676" s="795">
        <v>1148</v>
      </c>
      <c r="G676" s="2605" t="s">
        <v>5001</v>
      </c>
      <c r="H676" s="2795"/>
      <c r="I676" s="2795">
        <v>2000</v>
      </c>
      <c r="J676" s="2621"/>
      <c r="K676" s="2796"/>
      <c r="L676" s="2795"/>
      <c r="M676" s="2795"/>
      <c r="N676" s="176" t="s">
        <v>3561</v>
      </c>
      <c r="O676" s="7"/>
      <c r="P676" s="7"/>
      <c r="Q676" s="7"/>
      <c r="R676" s="7"/>
      <c r="S676" s="7"/>
      <c r="T676" s="7"/>
      <c r="U676" s="7"/>
      <c r="V676" s="7"/>
      <c r="W676" s="7"/>
      <c r="X676" s="7"/>
      <c r="Y676" s="7"/>
      <c r="Z676" s="7"/>
      <c r="AA676" s="7"/>
      <c r="AB676" s="7"/>
      <c r="AC676" s="7"/>
      <c r="AD676" s="7"/>
      <c r="AE676" s="7"/>
      <c r="AF676" s="7"/>
    </row>
    <row r="677" spans="1:32" ht="20.399999999999999">
      <c r="A677" s="2679"/>
      <c r="B677" s="700" t="s">
        <v>436</v>
      </c>
      <c r="C677" s="663" t="s">
        <v>427</v>
      </c>
      <c r="D677" s="678" t="s">
        <v>1977</v>
      </c>
      <c r="E677" s="700" t="s">
        <v>421</v>
      </c>
      <c r="F677" s="795">
        <v>1148</v>
      </c>
      <c r="G677" s="2605" t="s">
        <v>5002</v>
      </c>
      <c r="H677" s="2795"/>
      <c r="I677" s="2795">
        <v>7000</v>
      </c>
      <c r="J677" s="2621"/>
      <c r="K677" s="2796"/>
      <c r="L677" s="2795"/>
      <c r="M677" s="2795"/>
      <c r="N677" s="125"/>
      <c r="O677" s="7"/>
      <c r="P677" s="7"/>
      <c r="Q677" s="7"/>
      <c r="R677" s="7"/>
      <c r="S677" s="7"/>
      <c r="T677" s="7"/>
      <c r="U677" s="7"/>
      <c r="V677" s="7"/>
      <c r="W677" s="7"/>
      <c r="X677" s="7"/>
      <c r="Y677" s="7"/>
      <c r="Z677" s="7"/>
      <c r="AA677" s="7"/>
      <c r="AB677" s="7"/>
      <c r="AC677" s="7"/>
      <c r="AD677" s="7"/>
      <c r="AE677" s="7"/>
      <c r="AF677" s="7"/>
    </row>
    <row r="678" spans="1:32">
      <c r="A678" s="683"/>
      <c r="B678" s="720" t="s">
        <v>436</v>
      </c>
      <c r="C678" s="683" t="s">
        <v>427</v>
      </c>
      <c r="D678" s="719" t="s">
        <v>1977</v>
      </c>
      <c r="E678" s="720" t="s">
        <v>421</v>
      </c>
      <c r="F678" s="824">
        <v>1170</v>
      </c>
      <c r="G678" s="800" t="s">
        <v>475</v>
      </c>
      <c r="H678" s="713">
        <v>135</v>
      </c>
      <c r="I678" s="713"/>
      <c r="J678" s="1654">
        <v>120</v>
      </c>
      <c r="K678" s="842"/>
      <c r="L678" s="713">
        <v>135</v>
      </c>
      <c r="M678" s="713"/>
      <c r="N678" s="125"/>
      <c r="O678" s="3"/>
      <c r="P678" s="3"/>
      <c r="Q678" s="3"/>
      <c r="R678" s="3"/>
      <c r="S678" s="3"/>
      <c r="T678" s="3"/>
      <c r="U678" s="3"/>
      <c r="V678" s="3"/>
      <c r="W678" s="3"/>
      <c r="X678" s="3"/>
      <c r="Y678" s="3"/>
      <c r="Z678" s="3"/>
      <c r="AA678" s="3"/>
      <c r="AB678" s="3"/>
      <c r="AC678" s="3"/>
      <c r="AD678" s="3"/>
      <c r="AE678" s="3"/>
      <c r="AF678" s="3"/>
    </row>
    <row r="679" spans="1:32" ht="20.399999999999999">
      <c r="A679" s="663"/>
      <c r="B679" s="700" t="s">
        <v>436</v>
      </c>
      <c r="C679" s="663" t="s">
        <v>427</v>
      </c>
      <c r="D679" s="678" t="s">
        <v>1977</v>
      </c>
      <c r="E679" s="700" t="s">
        <v>421</v>
      </c>
      <c r="F679" s="795">
        <v>1170</v>
      </c>
      <c r="G679" s="812" t="s">
        <v>724</v>
      </c>
      <c r="H679" s="714"/>
      <c r="I679" s="714">
        <v>135</v>
      </c>
      <c r="J679" s="1654" t="s">
        <v>1134</v>
      </c>
      <c r="K679" s="809"/>
      <c r="L679" s="714"/>
      <c r="M679" s="714">
        <v>135</v>
      </c>
      <c r="N679" s="125" t="s">
        <v>4373</v>
      </c>
      <c r="O679" s="3"/>
      <c r="P679" s="3"/>
      <c r="Q679" s="3"/>
      <c r="R679" s="3"/>
      <c r="S679" s="3"/>
      <c r="T679" s="3"/>
      <c r="U679" s="3"/>
      <c r="V679" s="3"/>
      <c r="W679" s="3"/>
      <c r="X679" s="3"/>
      <c r="Y679" s="3"/>
      <c r="Z679" s="3"/>
      <c r="AA679" s="3"/>
      <c r="AB679" s="3"/>
      <c r="AC679" s="3"/>
      <c r="AD679" s="3"/>
      <c r="AE679" s="3"/>
      <c r="AF679" s="3"/>
    </row>
    <row r="680" spans="1:32">
      <c r="A680" s="849"/>
      <c r="B680" s="720" t="s">
        <v>436</v>
      </c>
      <c r="C680" s="683" t="s">
        <v>427</v>
      </c>
      <c r="D680" s="719" t="s">
        <v>1977</v>
      </c>
      <c r="E680" s="720" t="s">
        <v>421</v>
      </c>
      <c r="F680" s="824">
        <v>1210</v>
      </c>
      <c r="G680" s="800" t="s">
        <v>113</v>
      </c>
      <c r="H680" s="706">
        <v>54387.627766107988</v>
      </c>
      <c r="I680" s="706"/>
      <c r="J680" s="1654">
        <v>38935</v>
      </c>
      <c r="K680" s="802"/>
      <c r="L680" s="706">
        <v>58340.549884596003</v>
      </c>
      <c r="M680" s="706"/>
      <c r="N680" s="125"/>
      <c r="O680" s="7"/>
      <c r="P680" s="7"/>
      <c r="Q680" s="7"/>
      <c r="R680" s="7"/>
      <c r="S680" s="7"/>
      <c r="T680" s="7"/>
      <c r="V680" s="7"/>
      <c r="W680" s="7"/>
      <c r="X680" s="7"/>
      <c r="Y680" s="7"/>
      <c r="Z680" s="7"/>
      <c r="AA680" s="7"/>
      <c r="AB680" s="7"/>
      <c r="AC680" s="7"/>
      <c r="AD680" s="7"/>
      <c r="AE680" s="7"/>
      <c r="AF680" s="7"/>
    </row>
    <row r="681" spans="1:32">
      <c r="A681" s="760"/>
      <c r="B681" s="700" t="s">
        <v>436</v>
      </c>
      <c r="C681" s="663" t="s">
        <v>427</v>
      </c>
      <c r="D681" s="678" t="s">
        <v>1977</v>
      </c>
      <c r="E681" s="700" t="s">
        <v>421</v>
      </c>
      <c r="F681" s="795">
        <v>1210</v>
      </c>
      <c r="G681" s="750" t="s">
        <v>436</v>
      </c>
      <c r="H681" s="701"/>
      <c r="I681" s="701">
        <v>54387.627766107988</v>
      </c>
      <c r="J681" s="1654" t="s">
        <v>1134</v>
      </c>
      <c r="K681" s="802"/>
      <c r="L681" s="701"/>
      <c r="M681" s="701">
        <v>58340.549884596003</v>
      </c>
      <c r="N681" s="125"/>
      <c r="O681" s="3"/>
      <c r="P681" s="3"/>
      <c r="Q681" s="3"/>
      <c r="R681" s="3"/>
      <c r="S681" s="3"/>
      <c r="T681" s="3"/>
      <c r="U681" s="3"/>
      <c r="V681" s="3"/>
      <c r="W681" s="3"/>
      <c r="X681" s="3"/>
      <c r="Y681" s="3"/>
      <c r="Z681" s="3"/>
      <c r="AA681" s="3"/>
      <c r="AB681" s="3"/>
      <c r="AC681" s="3"/>
      <c r="AD681" s="3"/>
      <c r="AE681" s="3"/>
      <c r="AF681" s="3"/>
    </row>
    <row r="682" spans="1:32">
      <c r="A682" s="760"/>
      <c r="B682" s="700" t="s">
        <v>436</v>
      </c>
      <c r="C682" s="663" t="s">
        <v>427</v>
      </c>
      <c r="D682" s="678" t="s">
        <v>1977</v>
      </c>
      <c r="E682" s="700" t="s">
        <v>421</v>
      </c>
      <c r="F682" s="795">
        <v>1210</v>
      </c>
      <c r="G682" s="750" t="s">
        <v>722</v>
      </c>
      <c r="H682" s="701"/>
      <c r="I682" s="701"/>
      <c r="J682" s="1654" t="s">
        <v>1134</v>
      </c>
      <c r="K682" s="802"/>
      <c r="L682" s="701"/>
      <c r="M682" s="701"/>
      <c r="N682" s="125"/>
      <c r="O682" s="7"/>
      <c r="P682" s="7"/>
      <c r="Q682" s="7"/>
      <c r="R682" s="7"/>
      <c r="S682" s="7"/>
      <c r="T682" s="7"/>
      <c r="U682" s="7"/>
      <c r="V682" s="7"/>
      <c r="W682" s="7"/>
      <c r="X682" s="7"/>
      <c r="Y682" s="7"/>
      <c r="Z682" s="7"/>
      <c r="AA682" s="7"/>
      <c r="AB682" s="7"/>
      <c r="AC682" s="7"/>
      <c r="AD682" s="7"/>
      <c r="AE682" s="7"/>
      <c r="AF682" s="7"/>
    </row>
    <row r="683" spans="1:32" ht="20.399999999999999">
      <c r="A683" s="849"/>
      <c r="B683" s="720" t="s">
        <v>436</v>
      </c>
      <c r="C683" s="683" t="s">
        <v>427</v>
      </c>
      <c r="D683" s="719" t="s">
        <v>1977</v>
      </c>
      <c r="E683" s="720" t="s">
        <v>421</v>
      </c>
      <c r="F683" s="824">
        <v>1221</v>
      </c>
      <c r="G683" s="800" t="s">
        <v>1227</v>
      </c>
      <c r="H683" s="706">
        <v>16774.236724531998</v>
      </c>
      <c r="I683" s="706"/>
      <c r="J683" s="1654">
        <v>14811</v>
      </c>
      <c r="K683" s="802"/>
      <c r="L683" s="706">
        <v>12664.755257084</v>
      </c>
      <c r="M683" s="706"/>
      <c r="N683" s="176" t="s">
        <v>3563</v>
      </c>
      <c r="O683" s="7"/>
      <c r="P683" s="7"/>
      <c r="Q683" s="7"/>
      <c r="R683" s="7"/>
      <c r="S683" s="7"/>
      <c r="T683" s="7"/>
      <c r="U683" s="7"/>
      <c r="V683" s="7"/>
      <c r="W683" s="7"/>
      <c r="X683" s="7"/>
      <c r="Y683" s="7"/>
      <c r="Z683" s="7"/>
      <c r="AA683" s="7"/>
      <c r="AB683" s="7"/>
      <c r="AC683" s="7"/>
      <c r="AD683" s="7"/>
      <c r="AE683" s="7"/>
      <c r="AF683" s="7"/>
    </row>
    <row r="684" spans="1:32" ht="20.399999999999999">
      <c r="A684" s="760"/>
      <c r="B684" s="700" t="s">
        <v>436</v>
      </c>
      <c r="C684" s="663" t="s">
        <v>427</v>
      </c>
      <c r="D684" s="678" t="s">
        <v>1977</v>
      </c>
      <c r="E684" s="700" t="s">
        <v>421</v>
      </c>
      <c r="F684" s="795">
        <v>1221</v>
      </c>
      <c r="G684" s="750" t="s">
        <v>436</v>
      </c>
      <c r="H684" s="701"/>
      <c r="I684" s="701">
        <v>11774.236724531998</v>
      </c>
      <c r="J684" s="1654" t="s">
        <v>1134</v>
      </c>
      <c r="K684" s="802"/>
      <c r="L684" s="701"/>
      <c r="M684" s="701">
        <v>12664.755257084</v>
      </c>
      <c r="N684" s="176" t="s">
        <v>4374</v>
      </c>
      <c r="O684" s="7"/>
      <c r="P684" s="7"/>
      <c r="Q684" s="7"/>
      <c r="R684" s="7"/>
      <c r="S684" s="7"/>
      <c r="T684" s="7"/>
      <c r="U684" s="7"/>
      <c r="V684" s="7"/>
      <c r="W684" s="7"/>
      <c r="X684" s="7"/>
      <c r="Y684" s="7"/>
      <c r="Z684" s="7"/>
      <c r="AA684" s="7"/>
      <c r="AB684" s="7"/>
      <c r="AC684" s="7"/>
      <c r="AD684" s="7"/>
      <c r="AE684" s="7"/>
      <c r="AF684" s="7"/>
    </row>
    <row r="685" spans="1:32" ht="20.399999999999999">
      <c r="A685" s="760"/>
      <c r="B685" s="700" t="s">
        <v>436</v>
      </c>
      <c r="C685" s="663" t="s">
        <v>427</v>
      </c>
      <c r="D685" s="678" t="s">
        <v>1977</v>
      </c>
      <c r="E685" s="700" t="s">
        <v>421</v>
      </c>
      <c r="F685" s="795">
        <v>1221</v>
      </c>
      <c r="G685" s="750" t="s">
        <v>3270</v>
      </c>
      <c r="H685" s="701"/>
      <c r="I685" s="701">
        <v>3000</v>
      </c>
      <c r="J685" s="1654" t="s">
        <v>1134</v>
      </c>
      <c r="K685" s="802"/>
      <c r="L685" s="701"/>
      <c r="M685" s="701"/>
      <c r="N685" s="176"/>
      <c r="O685" s="7"/>
      <c r="P685" s="7"/>
      <c r="Q685" s="7"/>
      <c r="R685" s="7"/>
      <c r="S685" s="7"/>
      <c r="T685" s="7"/>
      <c r="U685" s="7"/>
      <c r="V685" s="7"/>
      <c r="W685" s="7"/>
      <c r="X685" s="7"/>
      <c r="Y685" s="7"/>
      <c r="Z685" s="7"/>
      <c r="AA685" s="7"/>
      <c r="AB685" s="7"/>
      <c r="AC685" s="7"/>
      <c r="AD685" s="7"/>
      <c r="AE685" s="7"/>
      <c r="AF685" s="7"/>
    </row>
    <row r="686" spans="1:32" ht="71.400000000000006">
      <c r="A686" s="1556"/>
      <c r="B686" s="700" t="s">
        <v>436</v>
      </c>
      <c r="C686" s="663" t="s">
        <v>427</v>
      </c>
      <c r="D686" s="678" t="s">
        <v>1977</v>
      </c>
      <c r="E686" s="700" t="s">
        <v>421</v>
      </c>
      <c r="F686" s="795">
        <v>1221</v>
      </c>
      <c r="G686" s="1569" t="s">
        <v>3284</v>
      </c>
      <c r="H686" s="1557"/>
      <c r="I686" s="1557">
        <v>2000</v>
      </c>
      <c r="J686" s="1557"/>
      <c r="K686" s="1621"/>
      <c r="L686" s="1557"/>
      <c r="M686" s="1557"/>
      <c r="N686" s="176" t="s">
        <v>4375</v>
      </c>
      <c r="O686" s="7"/>
      <c r="P686" s="7"/>
      <c r="Q686" s="7"/>
      <c r="R686" s="193"/>
      <c r="S686" s="126"/>
      <c r="T686" s="126"/>
      <c r="U686" s="7"/>
      <c r="V686" s="7"/>
      <c r="W686" s="7"/>
      <c r="X686" s="7"/>
      <c r="Y686" s="7"/>
      <c r="Z686" s="7"/>
      <c r="AA686" s="7"/>
      <c r="AB686" s="7"/>
      <c r="AC686" s="7"/>
      <c r="AD686" s="7"/>
      <c r="AE686" s="7"/>
      <c r="AF686" s="7"/>
    </row>
    <row r="687" spans="1:32" ht="20.399999999999999">
      <c r="A687" s="1768"/>
      <c r="B687" s="1729" t="s">
        <v>772</v>
      </c>
      <c r="C687" s="1727" t="s">
        <v>427</v>
      </c>
      <c r="D687" s="1728" t="s">
        <v>1977</v>
      </c>
      <c r="E687" s="1729" t="s">
        <v>421</v>
      </c>
      <c r="F687" s="1730">
        <v>1227</v>
      </c>
      <c r="G687" s="1731" t="s">
        <v>781</v>
      </c>
      <c r="H687" s="1732">
        <v>400</v>
      </c>
      <c r="I687" s="1732"/>
      <c r="J687" s="1673">
        <v>600</v>
      </c>
      <c r="K687" s="1726"/>
      <c r="L687" s="1732">
        <v>600</v>
      </c>
      <c r="M687" s="1732"/>
      <c r="N687" s="176"/>
      <c r="O687" s="7"/>
      <c r="P687" s="7"/>
      <c r="Q687" s="7"/>
      <c r="R687" s="193"/>
      <c r="S687" s="126"/>
      <c r="T687" s="126"/>
      <c r="U687" s="7"/>
      <c r="V687" s="7"/>
      <c r="W687" s="7"/>
      <c r="X687" s="7"/>
      <c r="Y687" s="7"/>
      <c r="Z687" s="7"/>
      <c r="AA687" s="7"/>
      <c r="AB687" s="7"/>
      <c r="AC687" s="7"/>
      <c r="AD687" s="7"/>
      <c r="AE687" s="7"/>
      <c r="AF687" s="7"/>
    </row>
    <row r="688" spans="1:32" ht="20.399999999999999">
      <c r="A688" s="1704"/>
      <c r="B688" s="1724" t="s">
        <v>772</v>
      </c>
      <c r="C688" s="1669" t="s">
        <v>427</v>
      </c>
      <c r="D688" s="1723" t="s">
        <v>1977</v>
      </c>
      <c r="E688" s="1724" t="s">
        <v>421</v>
      </c>
      <c r="F688" s="1725">
        <v>1227</v>
      </c>
      <c r="G688" s="1767" t="s">
        <v>3556</v>
      </c>
      <c r="H688" s="1676"/>
      <c r="I688" s="1676">
        <v>400</v>
      </c>
      <c r="J688" s="1673"/>
      <c r="K688" s="1726"/>
      <c r="L688" s="1676"/>
      <c r="M688" s="1676">
        <v>600</v>
      </c>
      <c r="N688" s="125"/>
      <c r="O688" s="7"/>
      <c r="P688" s="7"/>
      <c r="Q688" s="7"/>
      <c r="R688" s="193"/>
      <c r="S688" s="126"/>
      <c r="T688" s="126"/>
      <c r="U688" s="7"/>
      <c r="V688" s="7"/>
      <c r="W688" s="7"/>
      <c r="X688" s="7"/>
      <c r="Y688" s="7"/>
      <c r="Z688" s="7"/>
      <c r="AA688" s="7"/>
      <c r="AB688" s="7"/>
      <c r="AC688" s="7"/>
      <c r="AD688" s="7"/>
      <c r="AE688" s="7"/>
      <c r="AF688" s="7"/>
    </row>
    <row r="689" spans="1:32">
      <c r="A689" s="1727"/>
      <c r="B689" s="1729" t="s">
        <v>772</v>
      </c>
      <c r="C689" s="1727" t="s">
        <v>427</v>
      </c>
      <c r="D689" s="1728" t="s">
        <v>1977</v>
      </c>
      <c r="E689" s="1729" t="s">
        <v>421</v>
      </c>
      <c r="F689" s="1730">
        <v>1228</v>
      </c>
      <c r="G689" s="1769" t="s">
        <v>115</v>
      </c>
      <c r="H689" s="1732">
        <v>4289.1499999999996</v>
      </c>
      <c r="I689" s="1732"/>
      <c r="J689" s="1673">
        <v>2728</v>
      </c>
      <c r="K689" s="1726"/>
      <c r="L689" s="1732">
        <v>4689.1499999999996</v>
      </c>
      <c r="M689" s="1732"/>
      <c r="N689" s="125"/>
      <c r="O689" s="7"/>
      <c r="P689" s="7"/>
      <c r="Q689" s="7"/>
      <c r="R689" s="193"/>
      <c r="S689" s="126"/>
      <c r="T689" s="126"/>
      <c r="U689" s="7"/>
      <c r="V689" s="7"/>
      <c r="W689" s="7"/>
      <c r="X689" s="7"/>
      <c r="Y689" s="7"/>
      <c r="Z689" s="7"/>
      <c r="AA689" s="7"/>
      <c r="AB689" s="7"/>
      <c r="AC689" s="7"/>
      <c r="AD689" s="7"/>
      <c r="AE689" s="7"/>
      <c r="AF689" s="7"/>
    </row>
    <row r="690" spans="1:32" ht="40.799999999999997">
      <c r="A690" s="1669"/>
      <c r="B690" s="1724" t="s">
        <v>772</v>
      </c>
      <c r="C690" s="1669" t="s">
        <v>427</v>
      </c>
      <c r="D690" s="1723" t="s">
        <v>1977</v>
      </c>
      <c r="E690" s="1724" t="s">
        <v>421</v>
      </c>
      <c r="F690" s="1725">
        <v>1228</v>
      </c>
      <c r="G690" s="1671" t="s">
        <v>422</v>
      </c>
      <c r="H690" s="1676"/>
      <c r="I690" s="1676"/>
      <c r="J690" s="1673" t="s">
        <v>1134</v>
      </c>
      <c r="K690" s="1674"/>
      <c r="L690" s="1676"/>
      <c r="M690" s="1676"/>
      <c r="N690" s="176" t="s">
        <v>4376</v>
      </c>
      <c r="O690" s="7"/>
      <c r="P690" s="7"/>
      <c r="Q690" s="7"/>
      <c r="R690" s="7"/>
      <c r="S690" s="7"/>
      <c r="T690" s="7"/>
      <c r="U690" s="7"/>
      <c r="V690" s="7"/>
      <c r="W690" s="7"/>
      <c r="X690" s="7"/>
      <c r="Y690" s="7"/>
      <c r="Z690" s="7"/>
      <c r="AA690" s="7"/>
      <c r="AB690" s="7"/>
      <c r="AC690" s="7"/>
      <c r="AD690" s="7"/>
      <c r="AE690" s="7"/>
      <c r="AF690" s="7"/>
    </row>
    <row r="691" spans="1:32">
      <c r="A691" s="1669"/>
      <c r="B691" s="1724" t="s">
        <v>772</v>
      </c>
      <c r="C691" s="1669" t="s">
        <v>427</v>
      </c>
      <c r="D691" s="1723" t="s">
        <v>1977</v>
      </c>
      <c r="E691" s="1724" t="s">
        <v>421</v>
      </c>
      <c r="F691" s="1725">
        <v>1228</v>
      </c>
      <c r="G691" s="1719" t="s">
        <v>952</v>
      </c>
      <c r="H691" s="1676"/>
      <c r="I691" s="1676">
        <v>532.94999999999993</v>
      </c>
      <c r="J691" s="1673" t="s">
        <v>1134</v>
      </c>
      <c r="K691" s="1674"/>
      <c r="L691" s="1676"/>
      <c r="M691" s="1676">
        <v>532.94999999999993</v>
      </c>
      <c r="N691" s="176"/>
      <c r="O691" s="7"/>
      <c r="P691" s="7"/>
      <c r="Q691" s="7"/>
      <c r="R691" s="7"/>
      <c r="S691" s="7"/>
      <c r="T691" s="7"/>
      <c r="U691" s="7"/>
      <c r="V691" s="7"/>
      <c r="W691" s="7"/>
      <c r="X691" s="7"/>
      <c r="Y691" s="7"/>
      <c r="Z691" s="7"/>
      <c r="AA691" s="7"/>
      <c r="AB691" s="7"/>
      <c r="AC691" s="7"/>
      <c r="AD691" s="7"/>
      <c r="AE691" s="7"/>
      <c r="AF691" s="7"/>
    </row>
    <row r="692" spans="1:32" ht="20.399999999999999">
      <c r="A692" s="1669"/>
      <c r="B692" s="1724" t="s">
        <v>772</v>
      </c>
      <c r="C692" s="1669" t="s">
        <v>427</v>
      </c>
      <c r="D692" s="1723" t="s">
        <v>1977</v>
      </c>
      <c r="E692" s="1724" t="s">
        <v>421</v>
      </c>
      <c r="F692" s="1725">
        <v>1228</v>
      </c>
      <c r="G692" s="1719" t="s">
        <v>953</v>
      </c>
      <c r="H692" s="1676"/>
      <c r="I692" s="1676">
        <v>299.2</v>
      </c>
      <c r="J692" s="1673" t="s">
        <v>1134</v>
      </c>
      <c r="K692" s="1674"/>
      <c r="L692" s="1676"/>
      <c r="M692" s="1676">
        <v>299.2</v>
      </c>
      <c r="N692" s="125"/>
      <c r="O692" s="7"/>
      <c r="P692" s="7"/>
      <c r="Q692" s="7"/>
      <c r="R692" s="7"/>
      <c r="S692" s="7"/>
      <c r="T692" s="7"/>
      <c r="U692" s="7"/>
      <c r="V692" s="7"/>
      <c r="W692" s="7"/>
      <c r="X692" s="7"/>
      <c r="Y692" s="7"/>
      <c r="Z692" s="7"/>
      <c r="AA692" s="7"/>
      <c r="AB692" s="7"/>
      <c r="AC692" s="7"/>
      <c r="AD692" s="7"/>
      <c r="AE692" s="7"/>
      <c r="AF692" s="7"/>
    </row>
    <row r="693" spans="1:32">
      <c r="A693" s="1669"/>
      <c r="B693" s="1724" t="s">
        <v>772</v>
      </c>
      <c r="C693" s="1669" t="s">
        <v>427</v>
      </c>
      <c r="D693" s="1723" t="s">
        <v>1977</v>
      </c>
      <c r="E693" s="1724" t="s">
        <v>421</v>
      </c>
      <c r="F693" s="1725">
        <v>1228</v>
      </c>
      <c r="G693" s="1719" t="s">
        <v>954</v>
      </c>
      <c r="H693" s="1676"/>
      <c r="I693" s="1676">
        <v>196.35</v>
      </c>
      <c r="J693" s="1673" t="s">
        <v>1134</v>
      </c>
      <c r="K693" s="1674"/>
      <c r="L693" s="1676"/>
      <c r="M693" s="1676">
        <v>196.35</v>
      </c>
      <c r="N693" s="176"/>
      <c r="O693" s="7"/>
      <c r="P693" s="7"/>
      <c r="Q693" s="7"/>
      <c r="R693" s="7"/>
      <c r="S693" s="7"/>
      <c r="T693" s="7"/>
      <c r="U693" s="7"/>
      <c r="V693" s="7"/>
      <c r="W693" s="7"/>
      <c r="X693" s="7"/>
      <c r="Y693" s="7"/>
      <c r="Z693" s="7"/>
      <c r="AA693" s="7"/>
      <c r="AB693" s="7"/>
      <c r="AC693" s="7"/>
      <c r="AD693" s="7"/>
      <c r="AE693" s="7"/>
      <c r="AF693" s="7"/>
    </row>
    <row r="694" spans="1:32">
      <c r="A694" s="1669"/>
      <c r="B694" s="1724" t="s">
        <v>772</v>
      </c>
      <c r="C694" s="1669" t="s">
        <v>427</v>
      </c>
      <c r="D694" s="1723" t="s">
        <v>1977</v>
      </c>
      <c r="E694" s="1724" t="s">
        <v>421</v>
      </c>
      <c r="F694" s="1725">
        <v>1228</v>
      </c>
      <c r="G694" s="1719" t="s">
        <v>955</v>
      </c>
      <c r="H694" s="1676"/>
      <c r="I694" s="1676">
        <v>514.25</v>
      </c>
      <c r="J694" s="1673" t="s">
        <v>1134</v>
      </c>
      <c r="K694" s="1674"/>
      <c r="L694" s="1676"/>
      <c r="M694" s="1676">
        <v>514.25</v>
      </c>
      <c r="N694" s="125"/>
      <c r="O694" s="7"/>
      <c r="P694" s="7"/>
      <c r="Q694" s="7"/>
      <c r="R694" s="7"/>
      <c r="S694" s="7"/>
      <c r="T694" s="7"/>
      <c r="U694" s="7"/>
      <c r="V694" s="7"/>
      <c r="W694" s="7"/>
      <c r="X694" s="7"/>
      <c r="Y694" s="7"/>
      <c r="Z694" s="7"/>
      <c r="AA694" s="7"/>
      <c r="AB694" s="7"/>
      <c r="AC694" s="7"/>
      <c r="AD694" s="7"/>
      <c r="AE694" s="7"/>
    </row>
    <row r="695" spans="1:32" ht="20.399999999999999">
      <c r="A695" s="1669"/>
      <c r="B695" s="1724" t="s">
        <v>772</v>
      </c>
      <c r="C695" s="1669" t="s">
        <v>427</v>
      </c>
      <c r="D695" s="1723" t="s">
        <v>1977</v>
      </c>
      <c r="E695" s="1724" t="s">
        <v>421</v>
      </c>
      <c r="F695" s="1725">
        <v>1228</v>
      </c>
      <c r="G695" s="1719" t="s">
        <v>956</v>
      </c>
      <c r="H695" s="1676"/>
      <c r="I695" s="1676">
        <v>532.94999999999993</v>
      </c>
      <c r="J695" s="1673" t="s">
        <v>1134</v>
      </c>
      <c r="K695" s="1674"/>
      <c r="L695" s="1676"/>
      <c r="M695" s="1676">
        <v>532.94999999999993</v>
      </c>
      <c r="N695" s="125"/>
    </row>
    <row r="696" spans="1:32">
      <c r="A696" s="1669"/>
      <c r="B696" s="1724" t="s">
        <v>772</v>
      </c>
      <c r="C696" s="1669" t="s">
        <v>427</v>
      </c>
      <c r="D696" s="1723" t="s">
        <v>1977</v>
      </c>
      <c r="E696" s="1724" t="s">
        <v>421</v>
      </c>
      <c r="F696" s="1725">
        <v>1228</v>
      </c>
      <c r="G696" s="1719" t="s">
        <v>957</v>
      </c>
      <c r="H696" s="1676"/>
      <c r="I696" s="1676">
        <v>514.25</v>
      </c>
      <c r="J696" s="1673" t="s">
        <v>1134</v>
      </c>
      <c r="K696" s="1674"/>
      <c r="L696" s="1676"/>
      <c r="M696" s="1676">
        <v>514.25</v>
      </c>
      <c r="N696" s="125"/>
      <c r="O696" s="7"/>
      <c r="P696" s="7"/>
      <c r="Q696" s="7"/>
      <c r="R696" s="7"/>
      <c r="S696" s="7"/>
      <c r="T696" s="7"/>
      <c r="U696" s="7"/>
      <c r="V696" s="7"/>
      <c r="W696" s="7"/>
      <c r="X696" s="7"/>
      <c r="Y696" s="7"/>
      <c r="Z696" s="7"/>
      <c r="AA696" s="7"/>
      <c r="AB696" s="7"/>
      <c r="AC696" s="7"/>
      <c r="AD696" s="7"/>
      <c r="AE696" s="7"/>
      <c r="AF696" s="7"/>
    </row>
    <row r="697" spans="1:32">
      <c r="A697" s="1669"/>
      <c r="B697" s="1724" t="s">
        <v>772</v>
      </c>
      <c r="C697" s="1669" t="s">
        <v>427</v>
      </c>
      <c r="D697" s="1723" t="s">
        <v>1977</v>
      </c>
      <c r="E697" s="1724" t="s">
        <v>421</v>
      </c>
      <c r="F697" s="1725">
        <v>1228</v>
      </c>
      <c r="G697" s="1719" t="s">
        <v>958</v>
      </c>
      <c r="H697" s="1676"/>
      <c r="I697" s="1676">
        <v>299.2</v>
      </c>
      <c r="J697" s="1673" t="s">
        <v>1134</v>
      </c>
      <c r="K697" s="1674"/>
      <c r="L697" s="1676"/>
      <c r="M697" s="1676">
        <v>299.2</v>
      </c>
      <c r="N697" s="176"/>
      <c r="O697" s="3"/>
      <c r="P697" s="3"/>
      <c r="Q697" s="3"/>
      <c r="R697" s="3"/>
      <c r="S697" s="3"/>
      <c r="T697" s="3"/>
      <c r="U697" s="3"/>
      <c r="V697" s="3"/>
      <c r="W697" s="3"/>
      <c r="X697" s="3"/>
      <c r="Y697" s="3"/>
      <c r="Z697" s="3"/>
      <c r="AA697" s="3"/>
      <c r="AB697" s="3"/>
      <c r="AC697" s="3"/>
      <c r="AD697" s="3"/>
      <c r="AE697" s="3"/>
      <c r="AF697" s="3"/>
    </row>
    <row r="698" spans="1:32" ht="20.399999999999999">
      <c r="A698" s="1669"/>
      <c r="B698" s="1724" t="s">
        <v>772</v>
      </c>
      <c r="C698" s="1669" t="s">
        <v>427</v>
      </c>
      <c r="D698" s="1723" t="s">
        <v>1977</v>
      </c>
      <c r="E698" s="1724" t="s">
        <v>421</v>
      </c>
      <c r="F698" s="1725">
        <v>1228</v>
      </c>
      <c r="G698" s="1671" t="s">
        <v>3557</v>
      </c>
      <c r="H698" s="1757"/>
      <c r="I698" s="1757">
        <v>1100</v>
      </c>
      <c r="J698" s="1673" t="s">
        <v>1134</v>
      </c>
      <c r="K698" s="1770"/>
      <c r="L698" s="1757"/>
      <c r="M698" s="1676">
        <v>1200</v>
      </c>
      <c r="N698" s="125"/>
      <c r="O698" s="4"/>
      <c r="P698" s="4"/>
      <c r="Q698" s="4"/>
      <c r="R698" s="4"/>
      <c r="S698" s="4"/>
      <c r="T698" s="4"/>
      <c r="U698" s="4"/>
      <c r="V698" s="4"/>
      <c r="W698" s="4"/>
      <c r="X698" s="4"/>
      <c r="Y698" s="4"/>
      <c r="Z698" s="4"/>
      <c r="AA698" s="4"/>
      <c r="AB698" s="4"/>
      <c r="AC698" s="4"/>
      <c r="AD698" s="4"/>
      <c r="AE698" s="4"/>
      <c r="AF698" s="4"/>
    </row>
    <row r="699" spans="1:32" ht="20.399999999999999">
      <c r="A699" s="1669"/>
      <c r="B699" s="1724" t="s">
        <v>772</v>
      </c>
      <c r="C699" s="1669" t="s">
        <v>427</v>
      </c>
      <c r="D699" s="1723" t="s">
        <v>1977</v>
      </c>
      <c r="E699" s="1724" t="s">
        <v>421</v>
      </c>
      <c r="F699" s="1725">
        <v>1228</v>
      </c>
      <c r="G699" s="1733" t="s">
        <v>3559</v>
      </c>
      <c r="H699" s="1676"/>
      <c r="I699" s="1676">
        <v>300</v>
      </c>
      <c r="J699" s="1673" t="s">
        <v>1134</v>
      </c>
      <c r="K699" s="1674"/>
      <c r="L699" s="1676"/>
      <c r="M699" s="1676">
        <v>600</v>
      </c>
      <c r="N699" s="176"/>
      <c r="O699" s="4"/>
      <c r="P699" s="4"/>
      <c r="Q699" s="4"/>
      <c r="R699" s="4"/>
      <c r="S699" s="4"/>
      <c r="T699" s="4"/>
      <c r="U699" s="4"/>
      <c r="V699" s="4"/>
      <c r="W699" s="4"/>
      <c r="X699" s="4"/>
      <c r="Y699" s="4"/>
      <c r="Z699" s="4"/>
      <c r="AA699" s="4"/>
      <c r="AB699" s="4"/>
      <c r="AC699" s="4"/>
      <c r="AD699" s="4"/>
      <c r="AE699" s="4"/>
      <c r="AF699" s="4"/>
    </row>
    <row r="700" spans="1:32">
      <c r="A700" s="1768"/>
      <c r="B700" s="1729" t="s">
        <v>772</v>
      </c>
      <c r="C700" s="1727" t="s">
        <v>322</v>
      </c>
      <c r="D700" s="1728" t="s">
        <v>1977</v>
      </c>
      <c r="E700" s="1729" t="s">
        <v>421</v>
      </c>
      <c r="F700" s="1730">
        <v>2210</v>
      </c>
      <c r="G700" s="1731" t="s">
        <v>572</v>
      </c>
      <c r="H700" s="1732">
        <v>1418</v>
      </c>
      <c r="I700" s="1732"/>
      <c r="J700" s="1673"/>
      <c r="K700" s="1726"/>
      <c r="L700" s="1732">
        <v>1234</v>
      </c>
      <c r="M700" s="1762"/>
      <c r="N700" s="125"/>
      <c r="O700" s="7"/>
      <c r="P700" s="7"/>
      <c r="Q700" s="7"/>
      <c r="R700" s="183"/>
      <c r="S700" s="7"/>
      <c r="T700" s="4"/>
      <c r="U700" s="4"/>
      <c r="V700" s="4"/>
      <c r="W700" s="4"/>
      <c r="X700" s="4"/>
      <c r="Y700" s="4"/>
      <c r="Z700" s="4"/>
      <c r="AA700" s="4"/>
      <c r="AB700" s="4"/>
      <c r="AC700" s="4"/>
      <c r="AD700" s="4"/>
      <c r="AE700" s="4"/>
      <c r="AF700" s="4"/>
    </row>
    <row r="701" spans="1:32">
      <c r="A701" s="1704"/>
      <c r="B701" s="1724" t="s">
        <v>772</v>
      </c>
      <c r="C701" s="1669" t="s">
        <v>322</v>
      </c>
      <c r="D701" s="1723" t="s">
        <v>1977</v>
      </c>
      <c r="E701" s="1724" t="s">
        <v>421</v>
      </c>
      <c r="F701" s="1725">
        <v>2210</v>
      </c>
      <c r="G701" s="1671" t="s">
        <v>1110</v>
      </c>
      <c r="H701" s="1676"/>
      <c r="I701" s="1676">
        <v>500</v>
      </c>
      <c r="J701" s="1673">
        <v>41</v>
      </c>
      <c r="K701" s="1674"/>
      <c r="L701" s="1675"/>
      <c r="M701" s="1676">
        <v>250</v>
      </c>
      <c r="N701" s="125"/>
      <c r="O701" s="4"/>
      <c r="P701" s="4"/>
      <c r="Q701" s="4"/>
      <c r="R701" s="4"/>
      <c r="S701" s="4"/>
      <c r="T701" s="4"/>
      <c r="U701" s="4"/>
      <c r="V701" s="4"/>
      <c r="W701" s="4"/>
      <c r="X701" s="4"/>
      <c r="Y701" s="4"/>
      <c r="Z701" s="4"/>
      <c r="AA701" s="4"/>
      <c r="AB701" s="4"/>
      <c r="AC701" s="4"/>
      <c r="AD701" s="4"/>
      <c r="AE701" s="4"/>
      <c r="AF701" s="4"/>
    </row>
    <row r="702" spans="1:32">
      <c r="A702" s="1704"/>
      <c r="B702" s="1724" t="s">
        <v>772</v>
      </c>
      <c r="C702" s="1669" t="s">
        <v>322</v>
      </c>
      <c r="D702" s="1723" t="s">
        <v>1977</v>
      </c>
      <c r="E702" s="1724" t="s">
        <v>421</v>
      </c>
      <c r="F702" s="1725">
        <v>2210</v>
      </c>
      <c r="G702" s="1671" t="s">
        <v>3560</v>
      </c>
      <c r="H702" s="1676"/>
      <c r="I702" s="1676">
        <v>918</v>
      </c>
      <c r="J702" s="1673">
        <v>896</v>
      </c>
      <c r="K702" s="1674"/>
      <c r="L702" s="1675"/>
      <c r="M702" s="1676">
        <v>984</v>
      </c>
      <c r="N702" s="125"/>
      <c r="O702" s="187"/>
      <c r="P702" s="187"/>
      <c r="Q702" s="187"/>
      <c r="R702" s="187"/>
      <c r="S702" s="187"/>
      <c r="T702" s="187"/>
      <c r="U702" s="187"/>
      <c r="V702" s="187"/>
      <c r="W702" s="187"/>
      <c r="X702" s="187"/>
      <c r="Y702" s="187"/>
      <c r="Z702" s="187"/>
      <c r="AA702" s="187"/>
      <c r="AB702" s="187"/>
      <c r="AC702" s="187"/>
      <c r="AD702" s="187"/>
      <c r="AE702" s="187"/>
    </row>
    <row r="703" spans="1:32">
      <c r="A703" s="1727"/>
      <c r="B703" s="1729" t="s">
        <v>772</v>
      </c>
      <c r="C703" s="1727" t="s">
        <v>320</v>
      </c>
      <c r="D703" s="1728" t="s">
        <v>1977</v>
      </c>
      <c r="E703" s="1729" t="s">
        <v>421</v>
      </c>
      <c r="F703" s="1730">
        <v>2234</v>
      </c>
      <c r="G703" s="1731" t="s">
        <v>120</v>
      </c>
      <c r="H703" s="1732">
        <v>315</v>
      </c>
      <c r="I703" s="1732"/>
      <c r="J703" s="1673">
        <v>118</v>
      </c>
      <c r="K703" s="1726"/>
      <c r="L703" s="1732">
        <v>465</v>
      </c>
      <c r="M703" s="1732"/>
      <c r="N703" s="125"/>
      <c r="O703" s="4"/>
      <c r="P703" s="4"/>
      <c r="Q703" s="4"/>
      <c r="R703" s="4"/>
      <c r="S703" s="4"/>
      <c r="T703" s="4"/>
      <c r="U703" s="4"/>
      <c r="V703" s="4"/>
      <c r="W703" s="4"/>
      <c r="X703" s="4"/>
      <c r="Y703" s="4"/>
      <c r="Z703" s="4"/>
      <c r="AA703" s="4"/>
      <c r="AB703" s="4"/>
      <c r="AC703" s="4"/>
      <c r="AD703" s="4"/>
      <c r="AE703" s="4"/>
      <c r="AF703" s="4"/>
    </row>
    <row r="704" spans="1:32">
      <c r="A704" s="1669"/>
      <c r="B704" s="1724" t="s">
        <v>772</v>
      </c>
      <c r="C704" s="1669" t="s">
        <v>320</v>
      </c>
      <c r="D704" s="1723" t="s">
        <v>1977</v>
      </c>
      <c r="E704" s="1724" t="s">
        <v>421</v>
      </c>
      <c r="F704" s="1725">
        <v>2234</v>
      </c>
      <c r="G704" s="1671" t="s">
        <v>2587</v>
      </c>
      <c r="H704" s="1676"/>
      <c r="I704" s="1757">
        <v>315</v>
      </c>
      <c r="J704" s="1673" t="s">
        <v>1134</v>
      </c>
      <c r="K704" s="1674"/>
      <c r="L704" s="1676"/>
      <c r="M704" s="1757">
        <v>315</v>
      </c>
      <c r="N704" s="125" t="s">
        <v>4377</v>
      </c>
      <c r="O704" s="4"/>
      <c r="P704" s="4"/>
      <c r="Q704" s="4"/>
      <c r="R704" s="4"/>
      <c r="S704" s="4"/>
      <c r="T704" s="4"/>
      <c r="U704" s="4"/>
      <c r="V704" s="4"/>
      <c r="W704" s="4"/>
      <c r="X704" s="4"/>
      <c r="Y704" s="4"/>
      <c r="Z704" s="4"/>
      <c r="AA704" s="4"/>
      <c r="AB704" s="4"/>
      <c r="AC704" s="4"/>
      <c r="AD704" s="4"/>
      <c r="AE704" s="4"/>
      <c r="AF704" s="4"/>
    </row>
    <row r="705" spans="1:32">
      <c r="A705" s="1669"/>
      <c r="B705" s="1724" t="s">
        <v>772</v>
      </c>
      <c r="C705" s="1669" t="s">
        <v>320</v>
      </c>
      <c r="D705" s="1723" t="s">
        <v>1977</v>
      </c>
      <c r="E705" s="1724" t="s">
        <v>421</v>
      </c>
      <c r="F705" s="1725">
        <v>2234</v>
      </c>
      <c r="G705" s="1703" t="s">
        <v>2110</v>
      </c>
      <c r="H705" s="1676"/>
      <c r="I705" s="1757"/>
      <c r="J705" s="1673" t="s">
        <v>1134</v>
      </c>
      <c r="K705" s="1674"/>
      <c r="L705" s="1676"/>
      <c r="M705" s="1757">
        <v>150</v>
      </c>
      <c r="N705" s="176"/>
      <c r="O705" s="187"/>
      <c r="P705" s="187"/>
      <c r="Q705" s="187"/>
      <c r="R705" s="187"/>
      <c r="S705" s="187"/>
      <c r="T705" s="187"/>
      <c r="U705" s="187"/>
      <c r="V705" s="187"/>
      <c r="W705" s="187"/>
      <c r="X705" s="187"/>
      <c r="Y705" s="187"/>
      <c r="Z705" s="187"/>
      <c r="AA705" s="187"/>
      <c r="AB705" s="187"/>
      <c r="AC705" s="187"/>
      <c r="AD705" s="187"/>
      <c r="AE705" s="187"/>
      <c r="AF705" s="187"/>
    </row>
    <row r="706" spans="1:32">
      <c r="A706" s="1727"/>
      <c r="B706" s="1729" t="s">
        <v>772</v>
      </c>
      <c r="C706" s="1727" t="s">
        <v>320</v>
      </c>
      <c r="D706" s="1728" t="s">
        <v>1977</v>
      </c>
      <c r="E706" s="1729" t="s">
        <v>421</v>
      </c>
      <c r="F706" s="1730">
        <v>2235</v>
      </c>
      <c r="G706" s="1731" t="s">
        <v>931</v>
      </c>
      <c r="H706" s="1732">
        <v>2500</v>
      </c>
      <c r="I706" s="1732"/>
      <c r="J706" s="1673">
        <v>1137</v>
      </c>
      <c r="K706" s="1726"/>
      <c r="L706" s="1732">
        <v>2000</v>
      </c>
      <c r="M706" s="1732"/>
      <c r="N706" s="176"/>
      <c r="O706" s="4"/>
      <c r="P706" s="4"/>
      <c r="Q706" s="4"/>
      <c r="R706" s="4"/>
      <c r="S706" s="4"/>
      <c r="T706" s="4"/>
      <c r="U706" s="4"/>
      <c r="V706" s="4"/>
      <c r="W706" s="4"/>
      <c r="X706" s="4"/>
      <c r="Y706" s="4"/>
      <c r="Z706" s="4"/>
      <c r="AA706" s="4"/>
      <c r="AB706" s="4"/>
      <c r="AC706" s="4"/>
      <c r="AD706" s="4"/>
      <c r="AE706" s="4"/>
      <c r="AF706" s="4"/>
    </row>
    <row r="707" spans="1:32" ht="20.399999999999999">
      <c r="A707" s="1669"/>
      <c r="B707" s="1724" t="s">
        <v>772</v>
      </c>
      <c r="C707" s="1669" t="s">
        <v>320</v>
      </c>
      <c r="D707" s="1723" t="s">
        <v>1977</v>
      </c>
      <c r="E707" s="1724" t="s">
        <v>421</v>
      </c>
      <c r="F707" s="1725">
        <v>2235</v>
      </c>
      <c r="G707" s="1671" t="s">
        <v>2065</v>
      </c>
      <c r="H707" s="1676"/>
      <c r="I707" s="1676">
        <v>2500</v>
      </c>
      <c r="J707" s="1673" t="s">
        <v>1134</v>
      </c>
      <c r="K707" s="1674"/>
      <c r="L707" s="1676"/>
      <c r="M707" s="2674">
        <v>2000</v>
      </c>
      <c r="N707" s="125" t="s">
        <v>4378</v>
      </c>
      <c r="O707" s="4"/>
      <c r="P707" s="4"/>
      <c r="Q707" s="4"/>
      <c r="R707" s="4"/>
      <c r="S707" s="4"/>
      <c r="T707" s="4"/>
      <c r="U707" s="4"/>
      <c r="V707" s="4"/>
      <c r="W707" s="4"/>
      <c r="X707" s="4"/>
      <c r="Y707" s="4"/>
      <c r="Z707" s="4"/>
      <c r="AA707" s="4"/>
      <c r="AB707" s="4"/>
      <c r="AC707" s="4"/>
      <c r="AD707" s="4"/>
      <c r="AE707" s="4"/>
      <c r="AF707" s="4"/>
    </row>
    <row r="708" spans="1:32" ht="30.6">
      <c r="A708" s="1768"/>
      <c r="B708" s="1729" t="s">
        <v>772</v>
      </c>
      <c r="C708" s="1727" t="s">
        <v>322</v>
      </c>
      <c r="D708" s="1728" t="s">
        <v>1977</v>
      </c>
      <c r="E708" s="1729" t="s">
        <v>421</v>
      </c>
      <c r="F708" s="1730">
        <v>2239</v>
      </c>
      <c r="G708" s="1731" t="s">
        <v>122</v>
      </c>
      <c r="H708" s="1732">
        <v>2989.8</v>
      </c>
      <c r="I708" s="1732"/>
      <c r="J708" s="1673"/>
      <c r="K708" s="1726"/>
      <c r="L708" s="1732">
        <v>3570.232</v>
      </c>
      <c r="M708" s="1762"/>
      <c r="N708" s="176"/>
      <c r="O708" s="187"/>
      <c r="P708" s="187"/>
      <c r="Q708" s="187"/>
      <c r="R708" s="187"/>
      <c r="S708" s="187"/>
      <c r="T708" s="187"/>
      <c r="U708" s="187"/>
      <c r="V708" s="187"/>
      <c r="W708" s="187"/>
      <c r="X708" s="187"/>
      <c r="Y708" s="187"/>
      <c r="Z708" s="187"/>
      <c r="AA708" s="187"/>
      <c r="AB708" s="187"/>
      <c r="AC708" s="187"/>
      <c r="AD708" s="187"/>
      <c r="AE708" s="187"/>
      <c r="AF708" s="187"/>
    </row>
    <row r="709" spans="1:32">
      <c r="A709" s="1704"/>
      <c r="B709" s="1724" t="s">
        <v>772</v>
      </c>
      <c r="C709" s="1669" t="s">
        <v>322</v>
      </c>
      <c r="D709" s="1723" t="s">
        <v>1977</v>
      </c>
      <c r="E709" s="1724" t="s">
        <v>421</v>
      </c>
      <c r="F709" s="1725">
        <v>2239</v>
      </c>
      <c r="G709" s="1671" t="s">
        <v>3562</v>
      </c>
      <c r="H709" s="1676"/>
      <c r="I709" s="1676">
        <v>190</v>
      </c>
      <c r="J709" s="1673">
        <v>61</v>
      </c>
      <c r="K709" s="1674"/>
      <c r="L709" s="1675"/>
      <c r="M709" s="2675">
        <v>0.43200000000000216</v>
      </c>
      <c r="N709" s="7" t="s">
        <v>4806</v>
      </c>
      <c r="O709" s="4"/>
      <c r="P709" s="4"/>
      <c r="Q709" s="4"/>
      <c r="R709" s="4"/>
      <c r="S709" s="4"/>
      <c r="T709" s="4"/>
      <c r="U709" s="4"/>
      <c r="V709" s="4"/>
      <c r="W709" s="4"/>
      <c r="X709" s="4"/>
      <c r="Y709" s="4"/>
      <c r="Z709" s="4"/>
      <c r="AA709" s="4"/>
      <c r="AB709" s="4"/>
      <c r="AC709" s="4"/>
      <c r="AD709" s="4"/>
      <c r="AE709" s="4"/>
      <c r="AF709" s="4"/>
    </row>
    <row r="710" spans="1:32" ht="20.399999999999999">
      <c r="A710" s="1704"/>
      <c r="B710" s="1724" t="s">
        <v>772</v>
      </c>
      <c r="C710" s="1669" t="s">
        <v>322</v>
      </c>
      <c r="D710" s="1723" t="s">
        <v>1977</v>
      </c>
      <c r="E710" s="1724" t="s">
        <v>421</v>
      </c>
      <c r="F710" s="1725">
        <v>2239</v>
      </c>
      <c r="G710" s="1671" t="s">
        <v>1355</v>
      </c>
      <c r="H710" s="1676"/>
      <c r="I710" s="1676">
        <v>1500</v>
      </c>
      <c r="J710" s="1673">
        <v>189</v>
      </c>
      <c r="K710" s="1674"/>
      <c r="L710" s="1675"/>
      <c r="M710" s="1676">
        <v>750</v>
      </c>
      <c r="N710" s="176"/>
      <c r="O710" s="4"/>
      <c r="P710" s="4"/>
      <c r="Q710" s="4"/>
      <c r="R710" s="4"/>
      <c r="S710" s="4"/>
      <c r="T710" s="4"/>
      <c r="U710" s="4"/>
      <c r="V710" s="4"/>
      <c r="W710" s="4"/>
      <c r="X710" s="4"/>
      <c r="Y710" s="4"/>
      <c r="Z710" s="4"/>
      <c r="AA710" s="4"/>
      <c r="AB710" s="4"/>
      <c r="AC710" s="4"/>
      <c r="AD710" s="4"/>
      <c r="AE710" s="4"/>
      <c r="AF710" s="4"/>
    </row>
    <row r="711" spans="1:32" ht="20.399999999999999">
      <c r="A711" s="1704"/>
      <c r="B711" s="1724" t="s">
        <v>772</v>
      </c>
      <c r="C711" s="1669" t="s">
        <v>322</v>
      </c>
      <c r="D711" s="1723" t="s">
        <v>1977</v>
      </c>
      <c r="E711" s="1724" t="s">
        <v>421</v>
      </c>
      <c r="F711" s="1725">
        <v>2239</v>
      </c>
      <c r="G711" s="1671" t="s">
        <v>1356</v>
      </c>
      <c r="H711" s="1676"/>
      <c r="I711" s="1676">
        <v>299.79999999999995</v>
      </c>
      <c r="J711" s="1673" t="s">
        <v>1134</v>
      </c>
      <c r="K711" s="1674"/>
      <c r="L711" s="1675"/>
      <c r="M711" s="1676">
        <v>199.79999999999995</v>
      </c>
      <c r="N711" s="176"/>
      <c r="O711" s="4"/>
      <c r="P711" s="4"/>
      <c r="Q711" s="4"/>
      <c r="R711" s="4"/>
      <c r="S711" s="4"/>
      <c r="T711" s="4"/>
      <c r="U711" s="4"/>
      <c r="V711" s="4"/>
      <c r="W711" s="4"/>
      <c r="X711" s="4"/>
      <c r="Y711" s="4"/>
      <c r="Z711" s="4"/>
      <c r="AA711" s="4"/>
      <c r="AB711" s="4"/>
      <c r="AC711" s="4"/>
      <c r="AD711" s="4"/>
      <c r="AE711" s="4"/>
      <c r="AF711" s="4"/>
    </row>
    <row r="712" spans="1:32" ht="20.399999999999999">
      <c r="A712" s="1704"/>
      <c r="B712" s="1724" t="s">
        <v>772</v>
      </c>
      <c r="C712" s="1669" t="s">
        <v>322</v>
      </c>
      <c r="D712" s="1723" t="s">
        <v>1977</v>
      </c>
      <c r="E712" s="1724" t="s">
        <v>421</v>
      </c>
      <c r="F712" s="1725">
        <v>2239</v>
      </c>
      <c r="G712" s="1671" t="s">
        <v>2756</v>
      </c>
      <c r="H712" s="1676"/>
      <c r="I712" s="1676">
        <v>1000</v>
      </c>
      <c r="J712" s="1673" t="s">
        <v>1134</v>
      </c>
      <c r="K712" s="1674"/>
      <c r="L712" s="1675"/>
      <c r="M712" s="1676">
        <v>2620</v>
      </c>
      <c r="N712" s="176"/>
      <c r="O712" s="187"/>
      <c r="P712" s="187"/>
      <c r="Q712" s="187"/>
      <c r="R712" s="187"/>
      <c r="S712" s="187"/>
      <c r="T712" s="187"/>
      <c r="U712" s="187"/>
      <c r="V712" s="187"/>
      <c r="W712" s="187"/>
      <c r="X712" s="187"/>
      <c r="Y712" s="187"/>
      <c r="Z712" s="187"/>
      <c r="AA712" s="187"/>
      <c r="AB712" s="187"/>
      <c r="AC712" s="187"/>
      <c r="AD712" s="187"/>
      <c r="AE712" s="187"/>
      <c r="AF712" s="187"/>
    </row>
    <row r="713" spans="1:32">
      <c r="A713" s="1768"/>
      <c r="B713" s="1729" t="s">
        <v>772</v>
      </c>
      <c r="C713" s="1727" t="s">
        <v>320</v>
      </c>
      <c r="D713" s="1728" t="s">
        <v>1977</v>
      </c>
      <c r="E713" s="1729" t="s">
        <v>421</v>
      </c>
      <c r="F713" s="1730">
        <v>2243</v>
      </c>
      <c r="G713" s="1731" t="s">
        <v>159</v>
      </c>
      <c r="H713" s="1732">
        <v>250</v>
      </c>
      <c r="I713" s="1732"/>
      <c r="J713" s="1673">
        <v>187.6</v>
      </c>
      <c r="K713" s="1726"/>
      <c r="L713" s="1732">
        <v>250</v>
      </c>
      <c r="M713" s="1732"/>
      <c r="N713" s="359" t="s">
        <v>3363</v>
      </c>
      <c r="O713" s="187"/>
      <c r="P713" s="187"/>
      <c r="Q713" s="187"/>
      <c r="R713" s="187"/>
      <c r="S713" s="187"/>
      <c r="T713" s="187"/>
      <c r="U713" s="187"/>
      <c r="V713" s="187"/>
      <c r="W713" s="187"/>
      <c r="X713" s="187"/>
      <c r="Y713" s="187"/>
      <c r="Z713" s="187"/>
      <c r="AA713" s="187"/>
      <c r="AB713" s="187"/>
      <c r="AC713" s="187"/>
      <c r="AD713" s="187"/>
      <c r="AE713" s="187"/>
      <c r="AF713" s="187"/>
    </row>
    <row r="714" spans="1:32">
      <c r="A714" s="1704"/>
      <c r="B714" s="1724" t="s">
        <v>772</v>
      </c>
      <c r="C714" s="1669" t="s">
        <v>320</v>
      </c>
      <c r="D714" s="1723" t="s">
        <v>1977</v>
      </c>
      <c r="E714" s="1724" t="s">
        <v>421</v>
      </c>
      <c r="F714" s="1725">
        <v>2243</v>
      </c>
      <c r="G714" s="1671" t="s">
        <v>700</v>
      </c>
      <c r="H714" s="1676"/>
      <c r="I714" s="1676">
        <v>250</v>
      </c>
      <c r="J714" s="1673" t="s">
        <v>1134</v>
      </c>
      <c r="K714" s="1674"/>
      <c r="L714" s="1676"/>
      <c r="M714" s="1676">
        <v>250</v>
      </c>
      <c r="N714" s="359" t="s">
        <v>2068</v>
      </c>
      <c r="O714" s="187"/>
      <c r="P714" s="187"/>
      <c r="Q714" s="187"/>
      <c r="R714" s="187"/>
      <c r="S714" s="187"/>
      <c r="T714" s="187"/>
      <c r="U714" s="187"/>
      <c r="V714" s="187"/>
      <c r="W714" s="187"/>
      <c r="X714" s="187"/>
      <c r="Y714" s="187"/>
      <c r="Z714" s="187"/>
      <c r="AA714" s="187"/>
      <c r="AB714" s="187"/>
      <c r="AC714" s="187"/>
      <c r="AD714" s="187"/>
      <c r="AE714" s="187"/>
      <c r="AF714" s="187"/>
    </row>
    <row r="715" spans="1:32">
      <c r="A715" s="1768"/>
      <c r="B715" s="1729" t="s">
        <v>772</v>
      </c>
      <c r="C715" s="1727" t="s">
        <v>320</v>
      </c>
      <c r="D715" s="1728" t="s">
        <v>1977</v>
      </c>
      <c r="E715" s="1729" t="s">
        <v>421</v>
      </c>
      <c r="F715" s="1730">
        <v>2247</v>
      </c>
      <c r="G715" s="1731" t="s">
        <v>161</v>
      </c>
      <c r="H715" s="1732">
        <v>1200</v>
      </c>
      <c r="I715" s="1732"/>
      <c r="J715" s="1673">
        <v>750</v>
      </c>
      <c r="K715" s="1726"/>
      <c r="L715" s="1732">
        <v>1200</v>
      </c>
      <c r="M715" s="1732"/>
      <c r="N715" s="125"/>
      <c r="O715" s="187"/>
      <c r="P715" s="187"/>
      <c r="Q715" s="187"/>
      <c r="R715" s="187"/>
      <c r="S715" s="187"/>
      <c r="T715" s="187"/>
      <c r="U715" s="187"/>
      <c r="V715" s="187"/>
      <c r="W715" s="187"/>
      <c r="X715" s="187"/>
      <c r="Y715" s="187"/>
      <c r="Z715" s="187"/>
      <c r="AA715" s="187"/>
      <c r="AB715" s="187"/>
      <c r="AC715" s="187"/>
      <c r="AD715" s="187"/>
      <c r="AE715" s="187"/>
      <c r="AF715" s="187"/>
    </row>
    <row r="716" spans="1:32">
      <c r="A716" s="1704"/>
      <c r="B716" s="1724" t="s">
        <v>772</v>
      </c>
      <c r="C716" s="1669" t="s">
        <v>320</v>
      </c>
      <c r="D716" s="1723" t="s">
        <v>1977</v>
      </c>
      <c r="E716" s="1724" t="s">
        <v>421</v>
      </c>
      <c r="F716" s="1725">
        <v>2247</v>
      </c>
      <c r="G716" s="1671" t="s">
        <v>1162</v>
      </c>
      <c r="H716" s="1676"/>
      <c r="I716" s="1676">
        <v>1200</v>
      </c>
      <c r="J716" s="1673" t="s">
        <v>1134</v>
      </c>
      <c r="K716" s="1674"/>
      <c r="L716" s="1676"/>
      <c r="M716" s="1757">
        <v>1200</v>
      </c>
      <c r="N716" s="125"/>
      <c r="O716" s="187"/>
      <c r="P716" s="187"/>
      <c r="Q716" s="187"/>
      <c r="R716" s="187"/>
      <c r="S716" s="187"/>
      <c r="T716" s="187"/>
      <c r="U716" s="187"/>
      <c r="V716" s="187"/>
      <c r="W716" s="187"/>
      <c r="X716" s="187"/>
      <c r="Y716" s="187"/>
      <c r="Z716" s="187"/>
      <c r="AA716" s="187"/>
      <c r="AB716" s="187"/>
      <c r="AC716" s="187"/>
      <c r="AD716" s="187"/>
      <c r="AE716" s="187"/>
      <c r="AF716" s="187"/>
    </row>
    <row r="717" spans="1:32" ht="20.399999999999999">
      <c r="A717" s="1669"/>
      <c r="B717" s="1724" t="s">
        <v>772</v>
      </c>
      <c r="C717" s="1669" t="s">
        <v>320</v>
      </c>
      <c r="D717" s="1723" t="s">
        <v>1977</v>
      </c>
      <c r="E717" s="1724" t="s">
        <v>421</v>
      </c>
      <c r="F717" s="1725">
        <v>2247</v>
      </c>
      <c r="G717" s="1671" t="s">
        <v>2003</v>
      </c>
      <c r="H717" s="1757"/>
      <c r="I717" s="1757"/>
      <c r="J717" s="1673" t="s">
        <v>1134</v>
      </c>
      <c r="K717" s="1770"/>
      <c r="L717" s="1757"/>
      <c r="M717" s="1757"/>
      <c r="N717" s="7" t="s">
        <v>3566</v>
      </c>
      <c r="O717" s="187"/>
      <c r="P717" s="187"/>
      <c r="Q717" s="187"/>
      <c r="R717" s="187"/>
      <c r="S717" s="187"/>
      <c r="T717" s="187"/>
      <c r="U717" s="187"/>
      <c r="V717" s="187"/>
      <c r="W717" s="187"/>
      <c r="X717" s="187"/>
      <c r="Y717" s="187"/>
      <c r="Z717" s="187"/>
      <c r="AA717" s="187"/>
      <c r="AB717" s="187"/>
      <c r="AC717" s="187"/>
      <c r="AD717" s="187"/>
      <c r="AE717" s="187"/>
      <c r="AF717" s="187"/>
    </row>
    <row r="718" spans="1:32">
      <c r="A718" s="1768"/>
      <c r="B718" s="1729" t="s">
        <v>772</v>
      </c>
      <c r="C718" s="1727" t="s">
        <v>322</v>
      </c>
      <c r="D718" s="1728" t="s">
        <v>1977</v>
      </c>
      <c r="E718" s="1729" t="s">
        <v>421</v>
      </c>
      <c r="F718" s="1730">
        <v>2250</v>
      </c>
      <c r="G718" s="1731" t="s">
        <v>778</v>
      </c>
      <c r="H718" s="1732">
        <v>2000</v>
      </c>
      <c r="I718" s="1732"/>
      <c r="J718" s="1673">
        <v>1137.4000000000001</v>
      </c>
      <c r="K718" s="1726"/>
      <c r="L718" s="1732">
        <v>2000</v>
      </c>
      <c r="M718" s="1732"/>
      <c r="N718" s="7" t="s">
        <v>4379</v>
      </c>
      <c r="O718" s="7"/>
      <c r="P718" s="7"/>
      <c r="Q718" s="7"/>
      <c r="R718" s="183"/>
      <c r="S718" s="7"/>
      <c r="T718" s="4"/>
      <c r="U718" s="4"/>
      <c r="V718" s="4"/>
      <c r="W718" s="4"/>
      <c r="X718" s="4"/>
      <c r="Y718" s="4"/>
      <c r="Z718" s="4"/>
      <c r="AA718" s="4"/>
      <c r="AB718" s="4"/>
      <c r="AC718" s="4"/>
      <c r="AD718" s="4"/>
      <c r="AE718" s="4"/>
      <c r="AF718" s="4"/>
    </row>
    <row r="719" spans="1:32">
      <c r="A719" s="1704"/>
      <c r="B719" s="1724" t="s">
        <v>772</v>
      </c>
      <c r="C719" s="1669" t="s">
        <v>322</v>
      </c>
      <c r="D719" s="1723" t="s">
        <v>1977</v>
      </c>
      <c r="E719" s="1724" t="s">
        <v>421</v>
      </c>
      <c r="F719" s="1725">
        <v>2250</v>
      </c>
      <c r="G719" s="1671" t="s">
        <v>2066</v>
      </c>
      <c r="H719" s="1676"/>
      <c r="I719" s="1676">
        <v>1000</v>
      </c>
      <c r="J719" s="1673" t="s">
        <v>1134</v>
      </c>
      <c r="K719" s="1674"/>
      <c r="L719" s="1676"/>
      <c r="M719" s="1676">
        <v>1000</v>
      </c>
      <c r="N719" s="125"/>
      <c r="O719" s="187"/>
      <c r="P719" s="187"/>
      <c r="Q719" s="187"/>
      <c r="R719" s="187"/>
      <c r="S719" s="187"/>
      <c r="T719" s="187"/>
      <c r="U719" s="187"/>
      <c r="V719" s="187"/>
      <c r="W719" s="187"/>
      <c r="X719" s="187"/>
      <c r="Y719" s="187"/>
      <c r="Z719" s="187"/>
      <c r="AA719" s="187"/>
      <c r="AB719" s="187"/>
      <c r="AC719" s="187"/>
      <c r="AD719" s="187"/>
      <c r="AE719" s="187"/>
      <c r="AF719" s="187"/>
    </row>
    <row r="720" spans="1:32">
      <c r="A720" s="1704"/>
      <c r="B720" s="1724" t="s">
        <v>772</v>
      </c>
      <c r="C720" s="1669" t="s">
        <v>322</v>
      </c>
      <c r="D720" s="1723" t="s">
        <v>1977</v>
      </c>
      <c r="E720" s="1724" t="s">
        <v>421</v>
      </c>
      <c r="F720" s="1725">
        <v>2250</v>
      </c>
      <c r="G720" s="1671" t="s">
        <v>1357</v>
      </c>
      <c r="H720" s="1676"/>
      <c r="I720" s="1676">
        <v>1000</v>
      </c>
      <c r="J720" s="1673" t="s">
        <v>1134</v>
      </c>
      <c r="K720" s="1674"/>
      <c r="L720" s="1676"/>
      <c r="M720" s="1676">
        <v>1000</v>
      </c>
      <c r="N720" s="125"/>
      <c r="O720" s="4"/>
      <c r="P720" s="4"/>
      <c r="Q720" s="4"/>
      <c r="R720" s="4"/>
      <c r="S720" s="4"/>
      <c r="T720" s="4"/>
      <c r="U720" s="4"/>
      <c r="V720" s="4"/>
      <c r="W720" s="4"/>
      <c r="X720" s="4"/>
      <c r="Y720" s="4"/>
      <c r="Z720" s="4"/>
      <c r="AA720" s="4"/>
      <c r="AB720" s="4"/>
      <c r="AC720" s="4"/>
      <c r="AD720" s="4"/>
      <c r="AE720" s="4"/>
      <c r="AF720" s="4"/>
    </row>
    <row r="721" spans="1:32">
      <c r="A721" s="1704"/>
      <c r="B721" s="1724" t="s">
        <v>772</v>
      </c>
      <c r="C721" s="1669" t="s">
        <v>322</v>
      </c>
      <c r="D721" s="1723" t="s">
        <v>1977</v>
      </c>
      <c r="E721" s="1724" t="s">
        <v>421</v>
      </c>
      <c r="F721" s="1725">
        <v>2250</v>
      </c>
      <c r="G721" s="1671"/>
      <c r="H721" s="1676"/>
      <c r="I721" s="1676"/>
      <c r="J721" s="1673" t="s">
        <v>1134</v>
      </c>
      <c r="K721" s="1674"/>
      <c r="L721" s="1676"/>
      <c r="M721" s="1676"/>
      <c r="N721" s="125"/>
      <c r="O721" s="4"/>
      <c r="P721" s="4"/>
      <c r="Q721" s="4"/>
      <c r="R721" s="4"/>
      <c r="S721" s="4"/>
      <c r="T721" s="4"/>
      <c r="U721" s="4"/>
      <c r="V721" s="4"/>
      <c r="W721" s="4"/>
      <c r="X721" s="4"/>
      <c r="Y721" s="4"/>
      <c r="Z721" s="4"/>
      <c r="AA721" s="4"/>
      <c r="AB721" s="4"/>
      <c r="AC721" s="4"/>
      <c r="AD721" s="4"/>
      <c r="AE721" s="4"/>
      <c r="AF721" s="4"/>
    </row>
    <row r="722" spans="1:32">
      <c r="A722" s="1768"/>
      <c r="B722" s="1729" t="s">
        <v>772</v>
      </c>
      <c r="C722" s="1727" t="s">
        <v>320</v>
      </c>
      <c r="D722" s="1728" t="s">
        <v>1977</v>
      </c>
      <c r="E722" s="1729" t="s">
        <v>421</v>
      </c>
      <c r="F722" s="1730">
        <v>2264</v>
      </c>
      <c r="G722" s="1731" t="s">
        <v>125</v>
      </c>
      <c r="H722" s="1732">
        <v>357.96</v>
      </c>
      <c r="I722" s="1732"/>
      <c r="J722" s="1673">
        <v>306</v>
      </c>
      <c r="K722" s="1726"/>
      <c r="L722" s="1732">
        <v>0</v>
      </c>
      <c r="M722" s="1732"/>
      <c r="N722" s="176"/>
      <c r="O722" s="187"/>
      <c r="P722" s="187"/>
      <c r="Q722" s="187"/>
      <c r="R722" s="187"/>
      <c r="S722" s="187"/>
      <c r="T722" s="187"/>
      <c r="U722" s="187"/>
      <c r="V722" s="187"/>
      <c r="W722" s="187"/>
      <c r="X722" s="187"/>
      <c r="Y722" s="187"/>
      <c r="Z722" s="187"/>
      <c r="AA722" s="187"/>
      <c r="AB722" s="187"/>
      <c r="AC722" s="187"/>
      <c r="AD722" s="187"/>
      <c r="AE722" s="187"/>
      <c r="AF722" s="187"/>
    </row>
    <row r="723" spans="1:32">
      <c r="A723" s="1704"/>
      <c r="B723" s="1724" t="s">
        <v>772</v>
      </c>
      <c r="C723" s="1669" t="s">
        <v>320</v>
      </c>
      <c r="D723" s="1723" t="s">
        <v>1977</v>
      </c>
      <c r="E723" s="1724" t="s">
        <v>421</v>
      </c>
      <c r="F723" s="1725">
        <v>2264</v>
      </c>
      <c r="G723" s="1671" t="s">
        <v>1111</v>
      </c>
      <c r="H723" s="1676"/>
      <c r="I723" s="1676">
        <v>357.96</v>
      </c>
      <c r="J723" s="1673" t="s">
        <v>1134</v>
      </c>
      <c r="K723" s="1674"/>
      <c r="L723" s="1676"/>
      <c r="M723" s="2676">
        <v>0</v>
      </c>
      <c r="N723" s="359" t="s">
        <v>4842</v>
      </c>
      <c r="O723" s="187"/>
      <c r="P723" s="187"/>
      <c r="Q723" s="187"/>
      <c r="R723" s="187"/>
      <c r="S723" s="187"/>
      <c r="T723" s="187"/>
      <c r="U723" s="187"/>
      <c r="V723" s="187"/>
      <c r="W723" s="187"/>
      <c r="X723" s="187"/>
      <c r="Y723" s="187"/>
      <c r="Z723" s="187"/>
      <c r="AA723" s="187"/>
      <c r="AB723" s="187"/>
      <c r="AC723" s="187"/>
      <c r="AD723" s="187"/>
      <c r="AE723" s="187"/>
      <c r="AF723" s="187"/>
    </row>
    <row r="724" spans="1:32">
      <c r="A724" s="1768"/>
      <c r="B724" s="1729" t="s">
        <v>772</v>
      </c>
      <c r="C724" s="1727" t="s">
        <v>322</v>
      </c>
      <c r="D724" s="1728" t="s">
        <v>1977</v>
      </c>
      <c r="E724" s="1729" t="s">
        <v>421</v>
      </c>
      <c r="F724" s="1730">
        <v>2311</v>
      </c>
      <c r="G724" s="1731" t="s">
        <v>129</v>
      </c>
      <c r="H724" s="1732">
        <v>1500</v>
      </c>
      <c r="I724" s="1732"/>
      <c r="J724" s="1673">
        <v>838</v>
      </c>
      <c r="K724" s="1726"/>
      <c r="L724" s="1732">
        <v>1500</v>
      </c>
      <c r="M724" s="1732"/>
      <c r="N724" s="176"/>
      <c r="O724" s="187"/>
      <c r="P724" s="187"/>
      <c r="Q724" s="187"/>
      <c r="R724" s="187"/>
      <c r="S724" s="187"/>
      <c r="T724" s="187"/>
      <c r="U724" s="187"/>
      <c r="V724" s="187"/>
      <c r="W724" s="187"/>
      <c r="X724" s="187"/>
      <c r="Y724" s="187"/>
      <c r="Z724" s="187"/>
      <c r="AA724" s="187"/>
      <c r="AB724" s="187"/>
      <c r="AC724" s="187"/>
      <c r="AD724" s="187"/>
      <c r="AE724" s="187"/>
      <c r="AF724" s="187"/>
    </row>
    <row r="725" spans="1:32" ht="30.6">
      <c r="A725" s="1704"/>
      <c r="B725" s="1724" t="s">
        <v>772</v>
      </c>
      <c r="C725" s="1669" t="s">
        <v>322</v>
      </c>
      <c r="D725" s="1723" t="s">
        <v>1977</v>
      </c>
      <c r="E725" s="1724" t="s">
        <v>421</v>
      </c>
      <c r="F725" s="1725">
        <v>2311</v>
      </c>
      <c r="G725" s="1671" t="s">
        <v>176</v>
      </c>
      <c r="H725" s="1676"/>
      <c r="I725" s="1676">
        <v>550</v>
      </c>
      <c r="J725" s="1673" t="s">
        <v>1134</v>
      </c>
      <c r="K725" s="1674"/>
      <c r="L725" s="1676"/>
      <c r="M725" s="1676">
        <v>550</v>
      </c>
      <c r="N725" s="1992"/>
      <c r="O725" s="187"/>
      <c r="P725" s="187"/>
      <c r="Q725" s="187"/>
      <c r="R725" s="187"/>
      <c r="S725" s="187"/>
      <c r="T725" s="187"/>
      <c r="U725" s="187"/>
      <c r="V725" s="187"/>
      <c r="W725" s="187"/>
      <c r="X725" s="187"/>
      <c r="Y725" s="187"/>
      <c r="Z725" s="187"/>
      <c r="AA725" s="187"/>
      <c r="AB725" s="187"/>
      <c r="AC725" s="187"/>
      <c r="AD725" s="187"/>
      <c r="AE725" s="187"/>
      <c r="AF725" s="187"/>
    </row>
    <row r="726" spans="1:32">
      <c r="A726" s="1704"/>
      <c r="B726" s="1724" t="s">
        <v>772</v>
      </c>
      <c r="C726" s="1669" t="s">
        <v>322</v>
      </c>
      <c r="D726" s="1723" t="s">
        <v>1977</v>
      </c>
      <c r="E726" s="1724" t="s">
        <v>421</v>
      </c>
      <c r="F726" s="1725">
        <v>2311</v>
      </c>
      <c r="G726" s="1671" t="s">
        <v>337</v>
      </c>
      <c r="H726" s="1676"/>
      <c r="I726" s="1676">
        <v>400</v>
      </c>
      <c r="J726" s="1673" t="s">
        <v>1134</v>
      </c>
      <c r="K726" s="1674"/>
      <c r="L726" s="1676"/>
      <c r="M726" s="1676">
        <v>400</v>
      </c>
      <c r="N726" s="305"/>
      <c r="O726" s="187"/>
      <c r="P726" s="187"/>
      <c r="Q726" s="187"/>
      <c r="R726" s="187"/>
      <c r="S726" s="187"/>
      <c r="T726" s="187"/>
      <c r="U726" s="187"/>
      <c r="V726" s="187"/>
      <c r="W726" s="187"/>
      <c r="X726" s="187"/>
      <c r="Y726" s="187"/>
      <c r="Z726" s="187"/>
      <c r="AA726" s="187"/>
      <c r="AB726" s="187"/>
      <c r="AC726" s="187"/>
      <c r="AD726" s="187"/>
      <c r="AE726" s="187"/>
      <c r="AF726" s="187"/>
    </row>
    <row r="727" spans="1:32">
      <c r="A727" s="1704"/>
      <c r="B727" s="1724" t="s">
        <v>772</v>
      </c>
      <c r="C727" s="1669" t="s">
        <v>322</v>
      </c>
      <c r="D727" s="1723" t="s">
        <v>1977</v>
      </c>
      <c r="E727" s="1724" t="s">
        <v>421</v>
      </c>
      <c r="F727" s="1725">
        <v>2311</v>
      </c>
      <c r="G727" s="1671" t="s">
        <v>1228</v>
      </c>
      <c r="H727" s="1676"/>
      <c r="I727" s="1676">
        <v>500</v>
      </c>
      <c r="J727" s="1673" t="s">
        <v>1134</v>
      </c>
      <c r="K727" s="1674"/>
      <c r="L727" s="1676"/>
      <c r="M727" s="1676">
        <v>500</v>
      </c>
      <c r="N727" s="305"/>
      <c r="O727" s="187"/>
      <c r="P727" s="187"/>
      <c r="Q727" s="187"/>
      <c r="R727" s="187"/>
      <c r="S727" s="187"/>
      <c r="T727" s="187"/>
      <c r="U727" s="187"/>
      <c r="V727" s="187"/>
      <c r="W727" s="187"/>
      <c r="X727" s="187"/>
      <c r="Y727" s="187"/>
      <c r="Z727" s="187"/>
      <c r="AA727" s="187"/>
      <c r="AB727" s="187"/>
      <c r="AC727" s="187"/>
      <c r="AD727" s="187"/>
      <c r="AE727" s="187"/>
      <c r="AF727" s="187"/>
    </row>
    <row r="728" spans="1:32" ht="45" customHeight="1">
      <c r="A728" s="1704"/>
      <c r="B728" s="1724" t="s">
        <v>772</v>
      </c>
      <c r="C728" s="1669" t="s">
        <v>322</v>
      </c>
      <c r="D728" s="1723" t="s">
        <v>1977</v>
      </c>
      <c r="E728" s="1724" t="s">
        <v>421</v>
      </c>
      <c r="F728" s="1725">
        <v>2311</v>
      </c>
      <c r="G728" s="1671" t="s">
        <v>396</v>
      </c>
      <c r="H728" s="1676"/>
      <c r="I728" s="1676">
        <v>50</v>
      </c>
      <c r="J728" s="1673" t="s">
        <v>1134</v>
      </c>
      <c r="K728" s="1674"/>
      <c r="L728" s="1676"/>
      <c r="M728" s="1676">
        <v>50</v>
      </c>
      <c r="N728" s="305"/>
      <c r="O728" s="187"/>
      <c r="P728" s="187"/>
      <c r="Q728" s="187"/>
      <c r="R728" s="187"/>
      <c r="S728" s="187"/>
      <c r="T728" s="187"/>
      <c r="U728" s="187"/>
      <c r="V728" s="187"/>
      <c r="W728" s="187"/>
      <c r="X728" s="187"/>
      <c r="Y728" s="187"/>
      <c r="Z728" s="187"/>
      <c r="AA728" s="187"/>
      <c r="AB728" s="187"/>
      <c r="AC728" s="187"/>
      <c r="AD728" s="187"/>
      <c r="AE728" s="187"/>
      <c r="AF728" s="187"/>
    </row>
    <row r="729" spans="1:32" ht="45" customHeight="1">
      <c r="A729" s="1768"/>
      <c r="B729" s="1729" t="s">
        <v>772</v>
      </c>
      <c r="C729" s="1727" t="s">
        <v>320</v>
      </c>
      <c r="D729" s="1728" t="s">
        <v>1977</v>
      </c>
      <c r="E729" s="1729" t="s">
        <v>421</v>
      </c>
      <c r="F729" s="1730">
        <v>2312</v>
      </c>
      <c r="G729" s="1731" t="s">
        <v>177</v>
      </c>
      <c r="H729" s="1732">
        <v>700</v>
      </c>
      <c r="I729" s="1732"/>
      <c r="J729" s="1673">
        <v>486</v>
      </c>
      <c r="K729" s="1726"/>
      <c r="L729" s="1732">
        <v>1300</v>
      </c>
      <c r="M729" s="1732"/>
      <c r="N729" s="1992"/>
      <c r="O729" s="187"/>
      <c r="P729" s="187"/>
      <c r="Q729" s="187"/>
      <c r="R729" s="187"/>
      <c r="S729" s="187"/>
      <c r="T729" s="187"/>
      <c r="U729" s="187"/>
      <c r="V729" s="187"/>
      <c r="W729" s="187"/>
      <c r="X729" s="187"/>
      <c r="Y729" s="187"/>
      <c r="Z729" s="187"/>
      <c r="AA729" s="187"/>
      <c r="AB729" s="187"/>
      <c r="AC729" s="187"/>
      <c r="AD729" s="187"/>
      <c r="AE729" s="187"/>
      <c r="AF729" s="187"/>
    </row>
    <row r="730" spans="1:32">
      <c r="A730" s="1704"/>
      <c r="B730" s="1724" t="s">
        <v>772</v>
      </c>
      <c r="C730" s="1669" t="s">
        <v>320</v>
      </c>
      <c r="D730" s="1723" t="s">
        <v>1977</v>
      </c>
      <c r="E730" s="1724" t="s">
        <v>421</v>
      </c>
      <c r="F730" s="1725">
        <v>2312</v>
      </c>
      <c r="G730" s="1760" t="s">
        <v>2067</v>
      </c>
      <c r="H730" s="1676"/>
      <c r="I730" s="1676">
        <v>300</v>
      </c>
      <c r="J730" s="1673" t="s">
        <v>1134</v>
      </c>
      <c r="K730" s="1674"/>
      <c r="L730" s="1676"/>
      <c r="M730" s="1676">
        <v>300</v>
      </c>
      <c r="N730" s="305"/>
      <c r="O730" s="187"/>
      <c r="P730" s="187"/>
      <c r="Q730" s="187"/>
      <c r="R730" s="187"/>
      <c r="S730" s="187"/>
      <c r="T730" s="187"/>
      <c r="U730" s="187"/>
      <c r="V730" s="187"/>
      <c r="W730" s="187"/>
      <c r="X730" s="187"/>
      <c r="Y730" s="187"/>
      <c r="Z730" s="187"/>
      <c r="AA730" s="187"/>
      <c r="AB730" s="187"/>
      <c r="AC730" s="187"/>
      <c r="AD730" s="187"/>
      <c r="AE730" s="187"/>
      <c r="AF730" s="187"/>
    </row>
    <row r="731" spans="1:32">
      <c r="A731" s="1704"/>
      <c r="B731" s="1724" t="s">
        <v>772</v>
      </c>
      <c r="C731" s="1669" t="s">
        <v>320</v>
      </c>
      <c r="D731" s="1723" t="s">
        <v>1977</v>
      </c>
      <c r="E731" s="1724" t="s">
        <v>421</v>
      </c>
      <c r="F731" s="1725">
        <v>2312</v>
      </c>
      <c r="G731" s="1671" t="s">
        <v>3565</v>
      </c>
      <c r="H731" s="1676"/>
      <c r="I731" s="1676">
        <v>400</v>
      </c>
      <c r="J731" s="1673" t="s">
        <v>1134</v>
      </c>
      <c r="K731" s="1674"/>
      <c r="L731" s="1676"/>
      <c r="M731" s="1676">
        <v>1000</v>
      </c>
      <c r="N731" s="305"/>
      <c r="O731" s="187"/>
      <c r="P731" s="187"/>
      <c r="Q731" s="187"/>
      <c r="R731" s="187"/>
      <c r="S731" s="187"/>
      <c r="T731" s="187"/>
      <c r="U731" s="187"/>
      <c r="V731" s="187"/>
      <c r="W731" s="187"/>
      <c r="X731" s="187"/>
      <c r="Y731" s="187"/>
      <c r="Z731" s="187"/>
      <c r="AA731" s="187"/>
      <c r="AB731" s="187"/>
      <c r="AC731" s="187"/>
      <c r="AD731" s="187"/>
      <c r="AE731" s="187"/>
      <c r="AF731" s="187"/>
    </row>
    <row r="732" spans="1:32">
      <c r="A732" s="1704"/>
      <c r="B732" s="1724" t="s">
        <v>772</v>
      </c>
      <c r="C732" s="1669" t="s">
        <v>322</v>
      </c>
      <c r="D732" s="1723" t="s">
        <v>1977</v>
      </c>
      <c r="E732" s="1724" t="s">
        <v>421</v>
      </c>
      <c r="F732" s="1725">
        <v>2312</v>
      </c>
      <c r="G732" s="1671"/>
      <c r="H732" s="1676"/>
      <c r="I732" s="1676"/>
      <c r="J732" s="1673" t="s">
        <v>1134</v>
      </c>
      <c r="K732" s="1674"/>
      <c r="L732" s="1676"/>
      <c r="M732" s="1676"/>
      <c r="N732" s="305"/>
      <c r="O732" s="187"/>
      <c r="P732" s="187"/>
      <c r="Q732" s="187"/>
      <c r="R732" s="187"/>
      <c r="S732" s="187"/>
      <c r="T732" s="187"/>
      <c r="U732" s="187"/>
      <c r="V732" s="187"/>
      <c r="W732" s="187"/>
      <c r="X732" s="187"/>
      <c r="Y732" s="187"/>
      <c r="Z732" s="187"/>
      <c r="AA732" s="187"/>
      <c r="AB732" s="187"/>
      <c r="AC732" s="187"/>
      <c r="AD732" s="187"/>
      <c r="AE732" s="187"/>
      <c r="AF732" s="187"/>
    </row>
    <row r="733" spans="1:32" ht="45" customHeight="1">
      <c r="A733" s="1768"/>
      <c r="B733" s="1729" t="s">
        <v>772</v>
      </c>
      <c r="C733" s="1727" t="s">
        <v>320</v>
      </c>
      <c r="D733" s="1728" t="s">
        <v>1977</v>
      </c>
      <c r="E733" s="1729" t="s">
        <v>421</v>
      </c>
      <c r="F733" s="1730">
        <v>2314</v>
      </c>
      <c r="G733" s="1731" t="s">
        <v>1435</v>
      </c>
      <c r="H733" s="1732">
        <v>450</v>
      </c>
      <c r="I733" s="1732"/>
      <c r="J733" s="1673">
        <v>236</v>
      </c>
      <c r="K733" s="1726"/>
      <c r="L733" s="1732">
        <v>250</v>
      </c>
      <c r="M733" s="1762"/>
      <c r="N733" s="305"/>
      <c r="O733" s="187"/>
      <c r="P733" s="187"/>
      <c r="Q733" s="187"/>
      <c r="R733" s="187"/>
      <c r="S733" s="187"/>
      <c r="T733" s="187"/>
      <c r="U733" s="187"/>
      <c r="V733" s="187"/>
      <c r="W733" s="187"/>
      <c r="X733" s="187"/>
      <c r="Y733" s="187"/>
      <c r="Z733" s="187"/>
      <c r="AA733" s="187"/>
      <c r="AB733" s="187"/>
      <c r="AC733" s="187"/>
      <c r="AD733" s="187"/>
      <c r="AE733" s="187"/>
      <c r="AF733" s="187"/>
    </row>
    <row r="734" spans="1:32">
      <c r="A734" s="1704"/>
      <c r="B734" s="1724" t="s">
        <v>772</v>
      </c>
      <c r="C734" s="1669" t="s">
        <v>320</v>
      </c>
      <c r="D734" s="1723" t="s">
        <v>1977</v>
      </c>
      <c r="E734" s="1724" t="s">
        <v>421</v>
      </c>
      <c r="F734" s="1725">
        <v>2314</v>
      </c>
      <c r="G734" s="1671" t="s">
        <v>174</v>
      </c>
      <c r="H734" s="1676"/>
      <c r="I734" s="1676">
        <v>450</v>
      </c>
      <c r="J734" s="1673" t="s">
        <v>1134</v>
      </c>
      <c r="K734" s="1674"/>
      <c r="L734" s="1675"/>
      <c r="M734" s="1676">
        <v>250</v>
      </c>
      <c r="N734" s="1992"/>
      <c r="O734" s="187"/>
      <c r="P734" s="187"/>
      <c r="Q734" s="187"/>
      <c r="R734" s="187"/>
      <c r="S734" s="187"/>
      <c r="T734" s="187"/>
      <c r="U734" s="187"/>
      <c r="V734" s="187"/>
      <c r="W734" s="187"/>
      <c r="X734" s="187"/>
      <c r="Y734" s="187"/>
      <c r="Z734" s="187"/>
      <c r="AA734" s="187"/>
      <c r="AB734" s="187"/>
      <c r="AC734" s="187"/>
      <c r="AD734" s="187"/>
      <c r="AE734" s="187"/>
      <c r="AF734" s="187"/>
    </row>
    <row r="735" spans="1:32">
      <c r="A735" s="1771"/>
      <c r="B735" s="3303" t="s">
        <v>772</v>
      </c>
      <c r="C735" s="1759" t="s">
        <v>322</v>
      </c>
      <c r="D735" s="1728" t="s">
        <v>1977</v>
      </c>
      <c r="E735" s="1729" t="s">
        <v>421</v>
      </c>
      <c r="F735" s="1772">
        <v>2322</v>
      </c>
      <c r="G735" s="1773" t="s">
        <v>169</v>
      </c>
      <c r="H735" s="1732">
        <v>8349.5499999999993</v>
      </c>
      <c r="I735" s="1732"/>
      <c r="J735" s="1673">
        <v>8759</v>
      </c>
      <c r="K735" s="1726"/>
      <c r="L735" s="1732">
        <v>9612.7999999999993</v>
      </c>
      <c r="M735" s="1732"/>
      <c r="N735" s="305"/>
      <c r="O735" s="187"/>
      <c r="P735" s="187"/>
      <c r="Q735" s="187"/>
      <c r="R735" s="187"/>
      <c r="S735" s="187"/>
      <c r="T735" s="187"/>
      <c r="U735" s="187"/>
      <c r="V735" s="187"/>
      <c r="W735" s="187"/>
      <c r="X735" s="187"/>
      <c r="Y735" s="187"/>
      <c r="Z735" s="187"/>
      <c r="AA735" s="187"/>
      <c r="AB735" s="187"/>
      <c r="AC735" s="187"/>
      <c r="AD735" s="187"/>
      <c r="AE735" s="187"/>
      <c r="AF735" s="187"/>
    </row>
    <row r="736" spans="1:32">
      <c r="A736" s="1704"/>
      <c r="B736" s="1724" t="s">
        <v>772</v>
      </c>
      <c r="C736" s="1669" t="s">
        <v>322</v>
      </c>
      <c r="D736" s="1723" t="s">
        <v>1977</v>
      </c>
      <c r="E736" s="1724" t="s">
        <v>421</v>
      </c>
      <c r="F736" s="1725">
        <v>2322</v>
      </c>
      <c r="G736" s="1719" t="s">
        <v>4807</v>
      </c>
      <c r="H736" s="1676"/>
      <c r="I736" s="1676">
        <v>2664.75</v>
      </c>
      <c r="J736" s="1673" t="s">
        <v>1134</v>
      </c>
      <c r="K736" s="1674"/>
      <c r="L736" s="1676"/>
      <c r="M736" s="1676">
        <v>2112</v>
      </c>
      <c r="N736" s="305"/>
      <c r="O736" s="187"/>
      <c r="P736" s="187"/>
      <c r="Q736" s="187"/>
      <c r="R736" s="187"/>
      <c r="S736" s="187"/>
      <c r="T736" s="187"/>
      <c r="U736" s="187"/>
      <c r="V736" s="187"/>
      <c r="W736" s="187"/>
      <c r="X736" s="187"/>
      <c r="Y736" s="187"/>
      <c r="Z736" s="187"/>
      <c r="AA736" s="187"/>
      <c r="AB736" s="187"/>
      <c r="AC736" s="187"/>
      <c r="AD736" s="187"/>
      <c r="AE736" s="187"/>
      <c r="AF736" s="187"/>
    </row>
    <row r="737" spans="1:32" ht="11.4" customHeight="1">
      <c r="A737" s="1704"/>
      <c r="B737" s="1724" t="s">
        <v>772</v>
      </c>
      <c r="C737" s="1669" t="s">
        <v>322</v>
      </c>
      <c r="D737" s="1723" t="s">
        <v>1977</v>
      </c>
      <c r="E737" s="1724" t="s">
        <v>421</v>
      </c>
      <c r="F737" s="1725">
        <v>2322</v>
      </c>
      <c r="G737" s="1719" t="s">
        <v>4808</v>
      </c>
      <c r="H737" s="1676"/>
      <c r="I737" s="1676">
        <v>2131.7999999999997</v>
      </c>
      <c r="J737" s="1673" t="s">
        <v>1134</v>
      </c>
      <c r="K737" s="1674"/>
      <c r="L737" s="1676"/>
      <c r="M737" s="1676">
        <v>1689.6000000000001</v>
      </c>
      <c r="N737" s="305"/>
      <c r="O737" s="187"/>
      <c r="P737" s="187"/>
      <c r="Q737" s="187"/>
      <c r="R737" s="187"/>
      <c r="S737" s="187"/>
      <c r="T737" s="187"/>
      <c r="U737" s="187"/>
      <c r="V737" s="187"/>
      <c r="W737" s="187"/>
      <c r="X737" s="187"/>
      <c r="Y737" s="187"/>
      <c r="Z737" s="187"/>
      <c r="AA737" s="187"/>
      <c r="AB737" s="187"/>
      <c r="AC737" s="187"/>
      <c r="AD737" s="187"/>
      <c r="AE737" s="187"/>
      <c r="AF737" s="187"/>
    </row>
    <row r="738" spans="1:32">
      <c r="A738" s="1704"/>
      <c r="B738" s="1724" t="s">
        <v>772</v>
      </c>
      <c r="C738" s="1669" t="s">
        <v>322</v>
      </c>
      <c r="D738" s="1723" t="s">
        <v>1977</v>
      </c>
      <c r="E738" s="1724" t="s">
        <v>421</v>
      </c>
      <c r="F738" s="1725">
        <v>2322</v>
      </c>
      <c r="G738" s="1719" t="s">
        <v>4809</v>
      </c>
      <c r="H738" s="1676"/>
      <c r="I738" s="1676">
        <v>1776.5</v>
      </c>
      <c r="J738" s="1673" t="s">
        <v>1134</v>
      </c>
      <c r="K738" s="1674"/>
      <c r="L738" s="1676"/>
      <c r="M738" s="1676">
        <v>1408</v>
      </c>
      <c r="N738" s="1992"/>
      <c r="O738" s="187"/>
      <c r="P738" s="187"/>
      <c r="Q738" s="187"/>
      <c r="R738" s="187"/>
      <c r="S738" s="187"/>
      <c r="T738" s="187"/>
      <c r="U738" s="187"/>
      <c r="V738" s="187"/>
      <c r="W738" s="187"/>
      <c r="X738" s="187"/>
      <c r="Y738" s="187"/>
      <c r="Z738" s="187"/>
      <c r="AA738" s="187"/>
      <c r="AB738" s="187"/>
      <c r="AC738" s="187"/>
      <c r="AD738" s="187"/>
      <c r="AE738" s="187"/>
      <c r="AF738" s="187"/>
    </row>
    <row r="739" spans="1:32">
      <c r="A739" s="1704"/>
      <c r="B739" s="1724" t="s">
        <v>772</v>
      </c>
      <c r="C739" s="1669" t="s">
        <v>322</v>
      </c>
      <c r="D739" s="1723" t="s">
        <v>1977</v>
      </c>
      <c r="E739" s="1724" t="s">
        <v>421</v>
      </c>
      <c r="F739" s="1725">
        <v>2322</v>
      </c>
      <c r="G739" s="1719" t="s">
        <v>4810</v>
      </c>
      <c r="H739" s="1676"/>
      <c r="I739" s="1676">
        <v>1243.55</v>
      </c>
      <c r="J739" s="1673" t="s">
        <v>1134</v>
      </c>
      <c r="K739" s="1674"/>
      <c r="L739" s="1676"/>
      <c r="M739" s="1676">
        <v>3942.4</v>
      </c>
      <c r="N739" s="305"/>
      <c r="O739" s="187"/>
      <c r="P739" s="187"/>
      <c r="Q739" s="187"/>
      <c r="R739" s="187"/>
      <c r="S739" s="187"/>
      <c r="T739" s="187"/>
      <c r="U739" s="187"/>
      <c r="V739" s="187"/>
      <c r="W739" s="187"/>
      <c r="X739" s="187"/>
      <c r="Y739" s="187"/>
      <c r="Z739" s="187"/>
      <c r="AA739" s="187"/>
      <c r="AB739" s="187"/>
      <c r="AC739" s="187"/>
      <c r="AD739" s="187"/>
      <c r="AE739" s="187"/>
      <c r="AF739" s="187"/>
    </row>
    <row r="740" spans="1:32">
      <c r="A740" s="1704"/>
      <c r="B740" s="1724" t="s">
        <v>772</v>
      </c>
      <c r="C740" s="1669" t="s">
        <v>322</v>
      </c>
      <c r="D740" s="1723" t="s">
        <v>1977</v>
      </c>
      <c r="E740" s="1724" t="s">
        <v>421</v>
      </c>
      <c r="F740" s="1725">
        <v>2322</v>
      </c>
      <c r="G740" s="1719" t="s">
        <v>4811</v>
      </c>
      <c r="H740" s="1676"/>
      <c r="I740" s="1676">
        <v>532.94999999999993</v>
      </c>
      <c r="J740" s="1673" t="s">
        <v>1134</v>
      </c>
      <c r="K740" s="1674"/>
      <c r="L740" s="1676"/>
      <c r="M740" s="1676">
        <v>460.8</v>
      </c>
      <c r="N740" s="305"/>
      <c r="O740" s="187"/>
      <c r="P740" s="187"/>
      <c r="Q740" s="187"/>
      <c r="R740" s="187"/>
      <c r="S740" s="187"/>
      <c r="T740" s="187"/>
      <c r="U740" s="187"/>
      <c r="V740" s="187"/>
      <c r="W740" s="187"/>
      <c r="X740" s="187"/>
      <c r="Y740" s="187"/>
      <c r="Z740" s="187"/>
      <c r="AA740" s="187"/>
      <c r="AB740" s="187"/>
      <c r="AC740" s="187"/>
      <c r="AD740" s="187"/>
      <c r="AE740" s="187"/>
      <c r="AF740" s="187"/>
    </row>
    <row r="741" spans="1:32">
      <c r="A741" s="1768"/>
      <c r="B741" s="1729" t="s">
        <v>772</v>
      </c>
      <c r="C741" s="1727" t="s">
        <v>320</v>
      </c>
      <c r="D741" s="1728" t="s">
        <v>1977</v>
      </c>
      <c r="E741" s="1729" t="s">
        <v>421</v>
      </c>
      <c r="F741" s="1730">
        <v>2350</v>
      </c>
      <c r="G741" s="1731" t="s">
        <v>133</v>
      </c>
      <c r="H741" s="1732">
        <v>100</v>
      </c>
      <c r="I741" s="1732"/>
      <c r="J741" s="1673">
        <v>0</v>
      </c>
      <c r="K741" s="1726"/>
      <c r="L741" s="1732">
        <v>100</v>
      </c>
      <c r="M741" s="1732"/>
      <c r="N741" s="1992"/>
      <c r="O741" s="187"/>
      <c r="P741" s="187"/>
      <c r="Q741" s="187"/>
      <c r="R741" s="187"/>
      <c r="S741" s="187"/>
      <c r="T741" s="187"/>
      <c r="U741" s="187"/>
      <c r="V741" s="187"/>
      <c r="W741" s="187"/>
      <c r="X741" s="187"/>
      <c r="Y741" s="187"/>
      <c r="Z741" s="187"/>
      <c r="AA741" s="187"/>
      <c r="AB741" s="187"/>
      <c r="AC741" s="187"/>
      <c r="AD741" s="187"/>
      <c r="AE741" s="187"/>
      <c r="AF741" s="187"/>
    </row>
    <row r="742" spans="1:32" ht="40.950000000000003" customHeight="1">
      <c r="A742" s="1704"/>
      <c r="B742" s="1724" t="s">
        <v>772</v>
      </c>
      <c r="C742" s="1669" t="s">
        <v>320</v>
      </c>
      <c r="D742" s="1723" t="s">
        <v>1977</v>
      </c>
      <c r="E742" s="1724" t="s">
        <v>421</v>
      </c>
      <c r="F742" s="1725">
        <v>2350</v>
      </c>
      <c r="G742" s="1671" t="s">
        <v>152</v>
      </c>
      <c r="H742" s="1676"/>
      <c r="I742" s="1676">
        <v>100</v>
      </c>
      <c r="J742" s="1673" t="s">
        <v>1134</v>
      </c>
      <c r="K742" s="1674"/>
      <c r="L742" s="1676"/>
      <c r="M742" s="1676">
        <v>100</v>
      </c>
      <c r="N742" s="381" t="s">
        <v>3686</v>
      </c>
      <c r="O742" s="187"/>
      <c r="P742" s="187"/>
      <c r="Q742" s="187"/>
      <c r="R742" s="187"/>
      <c r="S742" s="187"/>
      <c r="T742" s="187"/>
      <c r="U742" s="187"/>
      <c r="V742" s="187"/>
      <c r="W742" s="187"/>
      <c r="X742" s="187"/>
      <c r="Y742" s="187"/>
      <c r="Z742" s="187"/>
      <c r="AA742" s="187"/>
      <c r="AB742" s="187"/>
      <c r="AC742" s="187"/>
      <c r="AD742" s="187"/>
      <c r="AE742" s="187"/>
      <c r="AF742" s="187"/>
    </row>
    <row r="743" spans="1:32">
      <c r="A743" s="1768"/>
      <c r="B743" s="1729" t="s">
        <v>772</v>
      </c>
      <c r="C743" s="1727" t="s">
        <v>320</v>
      </c>
      <c r="D743" s="1728" t="s">
        <v>1977</v>
      </c>
      <c r="E743" s="1729" t="s">
        <v>421</v>
      </c>
      <c r="F743" s="1730">
        <v>2361</v>
      </c>
      <c r="G743" s="1731" t="s">
        <v>1434</v>
      </c>
      <c r="H743" s="1732">
        <v>900</v>
      </c>
      <c r="I743" s="1732"/>
      <c r="J743" s="1673">
        <v>822</v>
      </c>
      <c r="K743" s="1726"/>
      <c r="L743" s="1732">
        <v>900</v>
      </c>
      <c r="M743" s="1732"/>
      <c r="N743" s="305"/>
      <c r="O743" s="187"/>
      <c r="P743" s="187"/>
      <c r="Q743" s="187"/>
      <c r="R743" s="187"/>
      <c r="S743" s="187"/>
      <c r="T743" s="187"/>
      <c r="U743" s="187"/>
      <c r="V743" s="187"/>
      <c r="W743" s="187"/>
      <c r="X743" s="187"/>
      <c r="Y743" s="187"/>
      <c r="Z743" s="187"/>
      <c r="AA743" s="187"/>
      <c r="AB743" s="187"/>
      <c r="AC743" s="187"/>
      <c r="AD743" s="187"/>
      <c r="AE743" s="187"/>
      <c r="AF743" s="187"/>
    </row>
    <row r="744" spans="1:32" ht="20.399999999999999">
      <c r="A744" s="1704"/>
      <c r="B744" s="1724" t="s">
        <v>772</v>
      </c>
      <c r="C744" s="1669" t="s">
        <v>320</v>
      </c>
      <c r="D744" s="1723" t="s">
        <v>1977</v>
      </c>
      <c r="E744" s="1724" t="s">
        <v>421</v>
      </c>
      <c r="F744" s="1725">
        <v>2361</v>
      </c>
      <c r="G744" s="1671" t="s">
        <v>2750</v>
      </c>
      <c r="H744" s="1676"/>
      <c r="I744" s="1676">
        <v>900</v>
      </c>
      <c r="J744" s="1673" t="s">
        <v>1134</v>
      </c>
      <c r="K744" s="1674"/>
      <c r="L744" s="1676"/>
      <c r="M744" s="1676">
        <v>900</v>
      </c>
      <c r="N744" s="1992"/>
      <c r="O744" s="187"/>
      <c r="P744" s="187"/>
      <c r="Q744" s="187"/>
      <c r="R744" s="187"/>
      <c r="S744" s="187"/>
      <c r="T744" s="187"/>
      <c r="U744" s="187"/>
      <c r="V744" s="187"/>
      <c r="W744" s="187"/>
      <c r="X744" s="187"/>
      <c r="Y744" s="187"/>
      <c r="Z744" s="187"/>
      <c r="AA744" s="187"/>
      <c r="AB744" s="187"/>
      <c r="AC744" s="187"/>
      <c r="AD744" s="187"/>
      <c r="AE744" s="187"/>
      <c r="AF744" s="187"/>
    </row>
    <row r="745" spans="1:32" ht="20.399999999999999">
      <c r="A745" s="1768"/>
      <c r="B745" s="1729" t="s">
        <v>772</v>
      </c>
      <c r="C745" s="1727" t="s">
        <v>322</v>
      </c>
      <c r="D745" s="1728" t="s">
        <v>1977</v>
      </c>
      <c r="E745" s="1729" t="s">
        <v>421</v>
      </c>
      <c r="F745" s="1730">
        <v>5120</v>
      </c>
      <c r="G745" s="1731" t="s">
        <v>588</v>
      </c>
      <c r="H745" s="1732">
        <v>0</v>
      </c>
      <c r="I745" s="1732"/>
      <c r="J745" s="1673" t="s">
        <v>1134</v>
      </c>
      <c r="K745" s="1726"/>
      <c r="L745" s="1732">
        <v>0</v>
      </c>
      <c r="M745" s="1732"/>
      <c r="N745" s="305"/>
      <c r="O745" s="187"/>
      <c r="P745" s="187"/>
      <c r="Q745" s="187"/>
      <c r="R745" s="187"/>
      <c r="S745" s="187"/>
      <c r="T745" s="187"/>
      <c r="U745" s="187"/>
      <c r="V745" s="187"/>
      <c r="W745" s="187"/>
      <c r="X745" s="187"/>
      <c r="Y745" s="187"/>
      <c r="Z745" s="187"/>
      <c r="AA745" s="187"/>
      <c r="AB745" s="187"/>
      <c r="AC745" s="187"/>
      <c r="AD745" s="187"/>
      <c r="AE745" s="187"/>
      <c r="AF745" s="187"/>
    </row>
    <row r="746" spans="1:32">
      <c r="A746" s="1669"/>
      <c r="B746" s="1724" t="s">
        <v>772</v>
      </c>
      <c r="C746" s="1669" t="s">
        <v>322</v>
      </c>
      <c r="D746" s="1723" t="s">
        <v>1977</v>
      </c>
      <c r="E746" s="1724" t="s">
        <v>421</v>
      </c>
      <c r="F746" s="1725">
        <v>5120</v>
      </c>
      <c r="G746" s="1671" t="s">
        <v>672</v>
      </c>
      <c r="H746" s="1676"/>
      <c r="I746" s="1676">
        <v>0</v>
      </c>
      <c r="J746" s="1673" t="s">
        <v>1134</v>
      </c>
      <c r="K746" s="1674"/>
      <c r="L746" s="1676"/>
      <c r="M746" s="1676">
        <v>0</v>
      </c>
      <c r="N746" s="1992"/>
      <c r="O746" s="7"/>
      <c r="P746" s="7"/>
      <c r="Q746" s="7"/>
      <c r="R746" s="7"/>
      <c r="S746" s="7"/>
      <c r="T746" s="7"/>
      <c r="U746" s="7"/>
      <c r="V746" s="7"/>
      <c r="W746" s="7"/>
      <c r="X746" s="7"/>
      <c r="Y746" s="7"/>
      <c r="Z746" s="7"/>
      <c r="AA746" s="7"/>
      <c r="AB746" s="7"/>
      <c r="AC746" s="7"/>
      <c r="AD746" s="7"/>
      <c r="AE746" s="7"/>
      <c r="AF746" s="7"/>
    </row>
    <row r="747" spans="1:32">
      <c r="A747" s="1768"/>
      <c r="B747" s="1729" t="s">
        <v>774</v>
      </c>
      <c r="C747" s="1727" t="s">
        <v>324</v>
      </c>
      <c r="D747" s="1728" t="s">
        <v>1977</v>
      </c>
      <c r="E747" s="1729" t="s">
        <v>421</v>
      </c>
      <c r="F747" s="1730">
        <v>5238</v>
      </c>
      <c r="G747" s="1731" t="s">
        <v>139</v>
      </c>
      <c r="H747" s="1732">
        <v>2000</v>
      </c>
      <c r="I747" s="1732"/>
      <c r="J747" s="1673">
        <v>1852.46</v>
      </c>
      <c r="K747" s="1726"/>
      <c r="L747" s="1732">
        <v>4000</v>
      </c>
      <c r="M747" s="1732"/>
      <c r="N747" s="305"/>
      <c r="O747" s="7"/>
      <c r="P747" s="7"/>
      <c r="Q747" s="7"/>
      <c r="R747" s="7"/>
      <c r="S747" s="7"/>
      <c r="T747" s="7"/>
      <c r="U747" s="7"/>
      <c r="V747" s="7"/>
      <c r="W747" s="7"/>
      <c r="X747" s="7"/>
      <c r="Y747" s="7"/>
      <c r="Z747" s="7"/>
      <c r="AA747" s="7"/>
      <c r="AB747" s="7"/>
      <c r="AC747" s="7"/>
      <c r="AD747" s="7"/>
      <c r="AE747" s="7"/>
      <c r="AF747" s="7"/>
    </row>
    <row r="748" spans="1:32">
      <c r="A748" s="1704"/>
      <c r="B748" s="1724" t="s">
        <v>774</v>
      </c>
      <c r="C748" s="1669" t="s">
        <v>324</v>
      </c>
      <c r="D748" s="1723" t="s">
        <v>1977</v>
      </c>
      <c r="E748" s="1724" t="s">
        <v>421</v>
      </c>
      <c r="F748" s="1725">
        <v>5238</v>
      </c>
      <c r="G748" s="1671" t="s">
        <v>3567</v>
      </c>
      <c r="H748" s="1676"/>
      <c r="I748" s="1774">
        <v>2000</v>
      </c>
      <c r="J748" s="1673" t="s">
        <v>1134</v>
      </c>
      <c r="K748" s="1674"/>
      <c r="L748" s="1676"/>
      <c r="M748" s="1774">
        <v>4000</v>
      </c>
      <c r="N748" s="305"/>
      <c r="O748" s="7"/>
      <c r="P748" s="7"/>
      <c r="Q748" s="7"/>
      <c r="R748" s="7"/>
      <c r="S748" s="7"/>
      <c r="T748" s="7"/>
      <c r="U748" s="7"/>
      <c r="V748" s="7"/>
      <c r="W748" s="7"/>
      <c r="X748" s="7"/>
      <c r="Y748" s="7"/>
      <c r="Z748" s="7"/>
      <c r="AA748" s="7"/>
      <c r="AB748" s="7"/>
      <c r="AC748" s="7"/>
      <c r="AD748" s="7"/>
      <c r="AE748" s="7"/>
      <c r="AF748" s="7"/>
    </row>
    <row r="749" spans="1:32" ht="45" customHeight="1">
      <c r="A749" s="1768"/>
      <c r="B749" s="1729" t="s">
        <v>774</v>
      </c>
      <c r="C749" s="1727" t="s">
        <v>324</v>
      </c>
      <c r="D749" s="1728" t="s">
        <v>1977</v>
      </c>
      <c r="E749" s="1729" t="s">
        <v>421</v>
      </c>
      <c r="F749" s="1730">
        <v>5239</v>
      </c>
      <c r="G749" s="1731" t="s">
        <v>138</v>
      </c>
      <c r="H749" s="1732">
        <v>0</v>
      </c>
      <c r="I749" s="1732"/>
      <c r="J749" s="1673" t="s">
        <v>1134</v>
      </c>
      <c r="K749" s="1726"/>
      <c r="L749" s="1732">
        <v>650</v>
      </c>
      <c r="M749" s="1732"/>
      <c r="N749" s="305"/>
      <c r="O749" s="7"/>
      <c r="P749" s="7"/>
      <c r="Q749" s="7"/>
      <c r="R749" s="7"/>
      <c r="S749" s="7"/>
      <c r="T749" s="7"/>
      <c r="U749" s="7"/>
      <c r="V749" s="7"/>
      <c r="W749" s="7"/>
      <c r="X749" s="7"/>
      <c r="Y749" s="7"/>
      <c r="Z749" s="7"/>
      <c r="AA749" s="7"/>
      <c r="AB749" s="7"/>
      <c r="AC749" s="7"/>
      <c r="AD749" s="7"/>
      <c r="AE749" s="7"/>
      <c r="AF749" s="7"/>
    </row>
    <row r="750" spans="1:32" ht="45" customHeight="1">
      <c r="A750" s="1704"/>
      <c r="B750" s="1724" t="s">
        <v>774</v>
      </c>
      <c r="C750" s="1669" t="s">
        <v>324</v>
      </c>
      <c r="D750" s="1723" t="s">
        <v>1977</v>
      </c>
      <c r="E750" s="1724" t="s">
        <v>421</v>
      </c>
      <c r="F750" s="1725">
        <v>5239</v>
      </c>
      <c r="G750" s="1671" t="s">
        <v>3568</v>
      </c>
      <c r="H750" s="1676"/>
      <c r="I750" s="1676">
        <v>0</v>
      </c>
      <c r="J750" s="1673" t="s">
        <v>1134</v>
      </c>
      <c r="K750" s="1674"/>
      <c r="L750" s="1676"/>
      <c r="M750" s="1676">
        <v>650</v>
      </c>
      <c r="N750" s="305"/>
      <c r="O750" s="7"/>
      <c r="P750" s="7"/>
      <c r="Q750" s="7"/>
      <c r="R750" s="7"/>
      <c r="S750" s="7"/>
      <c r="T750" s="7"/>
      <c r="U750" s="7"/>
      <c r="V750" s="7"/>
      <c r="W750" s="7"/>
      <c r="X750" s="7"/>
      <c r="Y750" s="7"/>
      <c r="Z750" s="7"/>
      <c r="AA750" s="7"/>
      <c r="AB750" s="7"/>
      <c r="AC750" s="7"/>
      <c r="AD750" s="7"/>
      <c r="AE750" s="7"/>
      <c r="AF750" s="7"/>
    </row>
    <row r="751" spans="1:32">
      <c r="A751" s="683"/>
      <c r="B751" s="720" t="s">
        <v>436</v>
      </c>
      <c r="C751" s="683" t="s">
        <v>427</v>
      </c>
      <c r="D751" s="719" t="s">
        <v>1978</v>
      </c>
      <c r="E751" s="742" t="s">
        <v>1914</v>
      </c>
      <c r="F751" s="824">
        <v>1119</v>
      </c>
      <c r="G751" s="800" t="s">
        <v>142</v>
      </c>
      <c r="H751" s="706">
        <v>134438.08000000002</v>
      </c>
      <c r="I751" s="706"/>
      <c r="J751" s="1654">
        <v>99661</v>
      </c>
      <c r="K751" s="802"/>
      <c r="L751" s="706">
        <v>159832.39199999999</v>
      </c>
      <c r="M751" s="706"/>
      <c r="N751" s="1992"/>
      <c r="O751" s="7"/>
      <c r="P751" s="7"/>
      <c r="Q751" s="7"/>
      <c r="R751" s="7"/>
      <c r="S751" s="7"/>
      <c r="T751" s="7"/>
      <c r="U751" s="7"/>
      <c r="V751" s="7"/>
      <c r="W751" s="7"/>
      <c r="X751" s="7"/>
      <c r="Y751" s="7"/>
      <c r="Z751" s="7"/>
      <c r="AA751" s="7"/>
      <c r="AB751" s="7"/>
      <c r="AC751" s="7"/>
      <c r="AD751" s="7"/>
      <c r="AE751" s="7"/>
      <c r="AF751" s="7"/>
    </row>
    <row r="752" spans="1:32">
      <c r="A752" s="663"/>
      <c r="B752" s="700" t="s">
        <v>436</v>
      </c>
      <c r="C752" s="663" t="s">
        <v>427</v>
      </c>
      <c r="D752" s="678" t="s">
        <v>1978</v>
      </c>
      <c r="E752" s="700" t="s">
        <v>1914</v>
      </c>
      <c r="F752" s="795">
        <v>1119</v>
      </c>
      <c r="G752" s="812" t="s">
        <v>436</v>
      </c>
      <c r="H752" s="701"/>
      <c r="I752" s="701">
        <v>128476.08</v>
      </c>
      <c r="J752" s="1654" t="s">
        <v>1134</v>
      </c>
      <c r="K752" s="802"/>
      <c r="L752" s="701"/>
      <c r="M752" s="701">
        <v>159832.39199999999</v>
      </c>
      <c r="N752" s="305"/>
      <c r="O752" s="7"/>
      <c r="P752" s="7"/>
      <c r="Q752" s="7"/>
      <c r="R752" s="7"/>
      <c r="S752" s="7"/>
      <c r="T752" s="7"/>
      <c r="U752" s="7"/>
      <c r="V752" s="7"/>
      <c r="W752" s="7"/>
      <c r="X752" s="7"/>
      <c r="Y752" s="7"/>
      <c r="Z752" s="7"/>
      <c r="AA752" s="7"/>
      <c r="AB752" s="7"/>
      <c r="AC752" s="7"/>
      <c r="AD752" s="7"/>
      <c r="AE752" s="7"/>
      <c r="AF752" s="7"/>
    </row>
    <row r="753" spans="1:32" ht="11.4" customHeight="1">
      <c r="A753" s="1263"/>
      <c r="B753" s="700" t="s">
        <v>436</v>
      </c>
      <c r="C753" s="663" t="s">
        <v>427</v>
      </c>
      <c r="D753" s="678" t="s">
        <v>1978</v>
      </c>
      <c r="E753" s="700" t="s">
        <v>1914</v>
      </c>
      <c r="F753" s="795">
        <v>1119</v>
      </c>
      <c r="G753" s="2245" t="s">
        <v>2983</v>
      </c>
      <c r="H753" s="1265"/>
      <c r="I753" s="1265">
        <v>8462</v>
      </c>
      <c r="J753" s="1654" t="s">
        <v>1134</v>
      </c>
      <c r="K753" s="1259"/>
      <c r="L753" s="1265"/>
      <c r="M753" s="1265"/>
      <c r="N753" s="305"/>
      <c r="O753" s="7"/>
      <c r="P753" s="7"/>
      <c r="Q753" s="7"/>
      <c r="R753" s="7"/>
      <c r="S753" s="7"/>
      <c r="T753" s="7"/>
      <c r="U753" s="7"/>
      <c r="V753" s="7"/>
      <c r="W753" s="7"/>
      <c r="X753" s="7"/>
      <c r="Y753" s="7"/>
      <c r="Z753" s="7"/>
      <c r="AA753" s="7"/>
      <c r="AB753" s="7"/>
      <c r="AC753" s="7"/>
      <c r="AD753" s="7"/>
      <c r="AE753" s="7"/>
      <c r="AF753" s="7"/>
    </row>
    <row r="754" spans="1:32" ht="11.4" customHeight="1">
      <c r="A754" s="663"/>
      <c r="B754" s="700" t="s">
        <v>436</v>
      </c>
      <c r="C754" s="663" t="s">
        <v>427</v>
      </c>
      <c r="D754" s="678" t="s">
        <v>1978</v>
      </c>
      <c r="E754" s="700" t="s">
        <v>1914</v>
      </c>
      <c r="F754" s="795">
        <v>1119</v>
      </c>
      <c r="G754" s="812" t="s">
        <v>3203</v>
      </c>
      <c r="H754" s="709"/>
      <c r="I754" s="709">
        <v>-2500</v>
      </c>
      <c r="J754" s="1654" t="s">
        <v>1134</v>
      </c>
      <c r="K754" s="825"/>
      <c r="L754" s="709"/>
      <c r="M754" s="709"/>
      <c r="N754" s="305"/>
      <c r="O754" s="7"/>
      <c r="P754" s="7"/>
      <c r="Q754" s="7"/>
      <c r="R754" s="7"/>
      <c r="S754" s="7"/>
      <c r="T754" s="7"/>
      <c r="U754" s="7"/>
      <c r="V754" s="7"/>
      <c r="W754" s="7"/>
      <c r="X754" s="7"/>
      <c r="Y754" s="7"/>
      <c r="Z754" s="7"/>
      <c r="AA754" s="7"/>
      <c r="AB754" s="7"/>
      <c r="AC754" s="7"/>
      <c r="AD754" s="7"/>
      <c r="AE754" s="7"/>
      <c r="AF754" s="7"/>
    </row>
    <row r="755" spans="1:32" ht="20.399999999999999">
      <c r="A755" s="683"/>
      <c r="B755" s="720" t="s">
        <v>436</v>
      </c>
      <c r="C755" s="683" t="s">
        <v>427</v>
      </c>
      <c r="D755" s="719" t="s">
        <v>1978</v>
      </c>
      <c r="E755" s="720" t="s">
        <v>1914</v>
      </c>
      <c r="F755" s="824">
        <v>1142</v>
      </c>
      <c r="G755" s="800" t="s">
        <v>585</v>
      </c>
      <c r="H755" s="706">
        <v>2900</v>
      </c>
      <c r="I755" s="706"/>
      <c r="J755" s="1654">
        <v>2054.89</v>
      </c>
      <c r="K755" s="802"/>
      <c r="L755" s="706">
        <v>2900</v>
      </c>
      <c r="M755" s="706"/>
      <c r="N755" s="305"/>
      <c r="O755" s="187"/>
      <c r="P755" s="187"/>
      <c r="Q755" s="187"/>
      <c r="S755" s="187"/>
      <c r="T755" s="7"/>
      <c r="U755" s="7"/>
      <c r="V755" s="7"/>
      <c r="W755" s="181"/>
      <c r="X755" s="196"/>
      <c r="Y755" s="194"/>
      <c r="AA755" s="197"/>
      <c r="AB755" s="195"/>
      <c r="AC755" s="187"/>
      <c r="AD755" s="187"/>
      <c r="AE755" s="187"/>
      <c r="AF755" s="187"/>
    </row>
    <row r="756" spans="1:32">
      <c r="A756" s="663"/>
      <c r="B756" s="700" t="s">
        <v>436</v>
      </c>
      <c r="C756" s="663" t="s">
        <v>427</v>
      </c>
      <c r="D756" s="678" t="s">
        <v>1978</v>
      </c>
      <c r="E756" s="700" t="s">
        <v>1914</v>
      </c>
      <c r="F756" s="795">
        <v>1142</v>
      </c>
      <c r="G756" s="812" t="s">
        <v>436</v>
      </c>
      <c r="H756" s="701"/>
      <c r="I756" s="701">
        <v>2900</v>
      </c>
      <c r="J756" s="1654" t="s">
        <v>1134</v>
      </c>
      <c r="K756" s="802"/>
      <c r="L756" s="701"/>
      <c r="M756" s="701">
        <v>2900</v>
      </c>
      <c r="N756" s="305"/>
      <c r="O756" s="187"/>
      <c r="P756" s="187"/>
      <c r="Q756" s="187"/>
      <c r="S756" s="187"/>
      <c r="T756" s="7"/>
      <c r="U756" s="7"/>
      <c r="V756" s="7"/>
      <c r="W756" s="181"/>
      <c r="X756" s="196"/>
      <c r="Y756" s="194"/>
      <c r="AA756" s="197"/>
      <c r="AB756" s="195"/>
      <c r="AC756" s="187"/>
      <c r="AD756" s="187"/>
      <c r="AE756" s="187"/>
      <c r="AF756" s="187"/>
    </row>
    <row r="757" spans="1:32" ht="20.399999999999999">
      <c r="A757" s="683"/>
      <c r="B757" s="720" t="s">
        <v>436</v>
      </c>
      <c r="C757" s="683" t="s">
        <v>427</v>
      </c>
      <c r="D757" s="719" t="s">
        <v>1978</v>
      </c>
      <c r="E757" s="720" t="s">
        <v>1914</v>
      </c>
      <c r="F757" s="824">
        <v>1146</v>
      </c>
      <c r="G757" s="800" t="s">
        <v>600</v>
      </c>
      <c r="H757" s="706">
        <v>0</v>
      </c>
      <c r="I757" s="706"/>
      <c r="J757" s="1654" t="s">
        <v>1134</v>
      </c>
      <c r="K757" s="802"/>
      <c r="L757" s="706">
        <v>0</v>
      </c>
      <c r="M757" s="706"/>
      <c r="N757" s="305"/>
      <c r="O757" s="187"/>
      <c r="P757" s="187"/>
      <c r="Q757" s="187"/>
      <c r="S757" s="187"/>
      <c r="T757" s="7"/>
      <c r="U757" s="7"/>
      <c r="V757" s="7"/>
      <c r="W757" s="181"/>
      <c r="X757" s="196"/>
      <c r="Y757" s="194"/>
      <c r="AA757" s="197"/>
      <c r="AB757" s="195"/>
      <c r="AC757" s="187"/>
      <c r="AD757" s="187"/>
      <c r="AE757" s="187"/>
      <c r="AF757" s="187"/>
    </row>
    <row r="758" spans="1:32" ht="11.4" customHeight="1">
      <c r="A758" s="663"/>
      <c r="B758" s="700" t="s">
        <v>436</v>
      </c>
      <c r="C758" s="663" t="s">
        <v>427</v>
      </c>
      <c r="D758" s="678" t="s">
        <v>1978</v>
      </c>
      <c r="E758" s="700" t="s">
        <v>1914</v>
      </c>
      <c r="F758" s="795">
        <v>1146</v>
      </c>
      <c r="G758" s="812" t="s">
        <v>722</v>
      </c>
      <c r="H758" s="701"/>
      <c r="I758" s="701"/>
      <c r="J758" s="1654" t="s">
        <v>1134</v>
      </c>
      <c r="K758" s="802"/>
      <c r="L758" s="701"/>
      <c r="M758" s="701"/>
      <c r="N758" s="305"/>
      <c r="O758" s="187"/>
      <c r="P758" s="187"/>
      <c r="Q758" s="187"/>
      <c r="S758" s="187"/>
      <c r="T758" s="7"/>
      <c r="U758" s="7"/>
      <c r="V758" s="7"/>
      <c r="W758" s="181"/>
      <c r="X758" s="196"/>
      <c r="Y758" s="194"/>
      <c r="AA758" s="197"/>
      <c r="AB758" s="195"/>
      <c r="AC758" s="187"/>
      <c r="AD758" s="187"/>
      <c r="AE758" s="187"/>
      <c r="AF758" s="187"/>
    </row>
    <row r="759" spans="1:32" ht="11.4" customHeight="1">
      <c r="A759" s="663"/>
      <c r="B759" s="700" t="s">
        <v>436</v>
      </c>
      <c r="C759" s="663" t="s">
        <v>427</v>
      </c>
      <c r="D759" s="678" t="s">
        <v>1978</v>
      </c>
      <c r="E759" s="700" t="s">
        <v>1914</v>
      </c>
      <c r="F759" s="795">
        <v>1146</v>
      </c>
      <c r="G759" s="812" t="s">
        <v>436</v>
      </c>
      <c r="H759" s="701"/>
      <c r="I759" s="701"/>
      <c r="J759" s="1654" t="s">
        <v>1134</v>
      </c>
      <c r="K759" s="802"/>
      <c r="L759" s="701"/>
      <c r="M759" s="701"/>
      <c r="N759" s="305"/>
      <c r="O759" s="187"/>
      <c r="P759" s="187"/>
      <c r="Q759" s="187"/>
      <c r="R759" s="187"/>
      <c r="S759" s="187"/>
      <c r="T759" s="187"/>
      <c r="U759" s="187"/>
      <c r="V759" s="187"/>
      <c r="W759" s="187"/>
      <c r="X759" s="187"/>
      <c r="Y759" s="187"/>
      <c r="Z759" s="187"/>
      <c r="AA759" s="187"/>
      <c r="AB759" s="187"/>
      <c r="AC759" s="187"/>
      <c r="AD759" s="187"/>
      <c r="AE759" s="187"/>
      <c r="AF759" s="187"/>
    </row>
    <row r="760" spans="1:32">
      <c r="A760" s="683"/>
      <c r="B760" s="720" t="s">
        <v>436</v>
      </c>
      <c r="C760" s="683" t="s">
        <v>427</v>
      </c>
      <c r="D760" s="719" t="s">
        <v>1978</v>
      </c>
      <c r="E760" s="720" t="s">
        <v>1914</v>
      </c>
      <c r="F760" s="824">
        <v>1147</v>
      </c>
      <c r="G760" s="800" t="s">
        <v>367</v>
      </c>
      <c r="H760" s="706">
        <v>5538.8339999999998</v>
      </c>
      <c r="I760" s="706"/>
      <c r="J760" s="1654">
        <v>0</v>
      </c>
      <c r="K760" s="802"/>
      <c r="L760" s="706">
        <v>5828.9170999999988</v>
      </c>
      <c r="M760" s="706"/>
      <c r="N760" s="305"/>
      <c r="O760" s="187"/>
      <c r="P760" s="187"/>
      <c r="Q760" s="187"/>
      <c r="R760" s="187"/>
      <c r="S760" s="187"/>
      <c r="T760" s="187"/>
      <c r="U760" s="187"/>
      <c r="V760" s="187"/>
      <c r="W760" s="187"/>
      <c r="X760" s="187"/>
      <c r="Y760" s="187"/>
      <c r="Z760" s="187"/>
      <c r="AA760" s="187"/>
      <c r="AB760" s="187"/>
      <c r="AC760" s="187"/>
      <c r="AD760" s="187"/>
      <c r="AE760" s="187"/>
      <c r="AF760" s="187"/>
    </row>
    <row r="761" spans="1:32">
      <c r="A761" s="663"/>
      <c r="B761" s="700" t="s">
        <v>436</v>
      </c>
      <c r="C761" s="663" t="s">
        <v>427</v>
      </c>
      <c r="D761" s="678" t="s">
        <v>1978</v>
      </c>
      <c r="E761" s="700" t="s">
        <v>1914</v>
      </c>
      <c r="F761" s="795">
        <v>1147</v>
      </c>
      <c r="G761" s="812" t="s">
        <v>436</v>
      </c>
      <c r="H761" s="701"/>
      <c r="I761" s="701">
        <v>8038.8340000000026</v>
      </c>
      <c r="J761" s="1654" t="s">
        <v>1134</v>
      </c>
      <c r="K761" s="802"/>
      <c r="L761" s="701"/>
      <c r="M761" s="701">
        <v>5828.9170999999988</v>
      </c>
      <c r="N761" s="305"/>
      <c r="O761" s="187"/>
      <c r="P761" s="187"/>
      <c r="Q761" s="187"/>
      <c r="R761" s="187"/>
      <c r="S761" s="187"/>
      <c r="T761" s="187"/>
      <c r="U761" s="187"/>
      <c r="V761" s="187"/>
      <c r="W761" s="187"/>
      <c r="X761" s="187"/>
      <c r="Y761" s="187"/>
      <c r="Z761" s="187"/>
      <c r="AA761" s="187"/>
      <c r="AB761" s="187"/>
      <c r="AC761" s="187"/>
      <c r="AD761" s="187"/>
      <c r="AE761" s="187"/>
      <c r="AF761" s="187"/>
    </row>
    <row r="762" spans="1:32" ht="20.399999999999999">
      <c r="A762" s="663"/>
      <c r="B762" s="700" t="s">
        <v>436</v>
      </c>
      <c r="C762" s="663" t="s">
        <v>427</v>
      </c>
      <c r="D762" s="678" t="s">
        <v>1978</v>
      </c>
      <c r="E762" s="700" t="s">
        <v>1914</v>
      </c>
      <c r="F762" s="795">
        <v>1147</v>
      </c>
      <c r="G762" s="812" t="s">
        <v>3397</v>
      </c>
      <c r="H762" s="701"/>
      <c r="I762" s="701">
        <v>-500</v>
      </c>
      <c r="J762" s="1654" t="s">
        <v>1134</v>
      </c>
      <c r="K762" s="802"/>
      <c r="L762" s="701"/>
      <c r="M762" s="701"/>
      <c r="N762" s="305"/>
      <c r="O762" s="187"/>
      <c r="P762" s="187"/>
      <c r="Q762" s="187"/>
      <c r="R762" s="187"/>
      <c r="S762" s="187"/>
      <c r="T762" s="187"/>
      <c r="U762" s="187"/>
      <c r="V762" s="187"/>
      <c r="W762" s="187"/>
      <c r="X762" s="187"/>
      <c r="Y762" s="187"/>
      <c r="Z762" s="187"/>
      <c r="AA762" s="187"/>
      <c r="AB762" s="187"/>
      <c r="AC762" s="187"/>
      <c r="AD762" s="187"/>
      <c r="AE762" s="187"/>
      <c r="AF762" s="187"/>
    </row>
    <row r="763" spans="1:32" ht="20.399999999999999">
      <c r="A763" s="663"/>
      <c r="B763" s="700" t="s">
        <v>436</v>
      </c>
      <c r="C763" s="663" t="s">
        <v>427</v>
      </c>
      <c r="D763" s="678" t="s">
        <v>1978</v>
      </c>
      <c r="E763" s="700" t="s">
        <v>1914</v>
      </c>
      <c r="F763" s="795">
        <v>1147</v>
      </c>
      <c r="G763" s="812" t="s">
        <v>3284</v>
      </c>
      <c r="H763" s="701"/>
      <c r="I763" s="701">
        <v>-2000</v>
      </c>
      <c r="J763" s="1654" t="s">
        <v>1134</v>
      </c>
      <c r="K763" s="802"/>
      <c r="L763" s="701"/>
      <c r="M763" s="701"/>
      <c r="N763" s="7"/>
      <c r="O763" s="187"/>
      <c r="P763" s="187"/>
      <c r="Q763" s="187"/>
      <c r="R763" s="187"/>
      <c r="S763" s="187"/>
      <c r="T763" s="187"/>
      <c r="U763" s="187"/>
      <c r="V763" s="187"/>
      <c r="W763" s="187"/>
      <c r="X763" s="187"/>
      <c r="Y763" s="187"/>
      <c r="Z763" s="187"/>
      <c r="AA763" s="187"/>
      <c r="AB763" s="187"/>
      <c r="AC763" s="187"/>
      <c r="AD763" s="187"/>
      <c r="AE763" s="187"/>
      <c r="AF763" s="187"/>
    </row>
    <row r="764" spans="1:32">
      <c r="A764" s="683"/>
      <c r="B764" s="720" t="s">
        <v>436</v>
      </c>
      <c r="C764" s="683" t="s">
        <v>427</v>
      </c>
      <c r="D764" s="719" t="s">
        <v>1978</v>
      </c>
      <c r="E764" s="720" t="s">
        <v>1914</v>
      </c>
      <c r="F764" s="824">
        <v>1148</v>
      </c>
      <c r="G764" s="800" t="s">
        <v>368</v>
      </c>
      <c r="H764" s="706">
        <v>4000</v>
      </c>
      <c r="I764" s="706"/>
      <c r="J764" s="1654">
        <v>3554</v>
      </c>
      <c r="K764" s="802"/>
      <c r="L764" s="706">
        <v>4000</v>
      </c>
      <c r="M764" s="706"/>
      <c r="N764" s="7" t="s">
        <v>2133</v>
      </c>
      <c r="O764" s="187"/>
      <c r="P764" s="187"/>
      <c r="Q764" s="187"/>
      <c r="R764" s="187"/>
      <c r="S764" s="187"/>
      <c r="T764" s="187"/>
      <c r="U764" s="187"/>
      <c r="V764" s="187"/>
      <c r="W764" s="187"/>
      <c r="X764" s="187"/>
      <c r="Y764" s="187"/>
      <c r="Z764" s="187"/>
      <c r="AA764" s="187"/>
      <c r="AB764" s="187"/>
      <c r="AC764" s="187"/>
      <c r="AD764" s="187"/>
      <c r="AE764" s="187"/>
      <c r="AF764" s="187"/>
    </row>
    <row r="765" spans="1:32" ht="20.399999999999999">
      <c r="A765" s="663"/>
      <c r="B765" s="700" t="s">
        <v>436</v>
      </c>
      <c r="C765" s="663" t="s">
        <v>427</v>
      </c>
      <c r="D765" s="678" t="s">
        <v>1978</v>
      </c>
      <c r="E765" s="700" t="s">
        <v>1914</v>
      </c>
      <c r="F765" s="795">
        <v>1148</v>
      </c>
      <c r="G765" s="750" t="s">
        <v>821</v>
      </c>
      <c r="H765" s="701"/>
      <c r="I765" s="701">
        <v>4000</v>
      </c>
      <c r="J765" s="1654" t="s">
        <v>1134</v>
      </c>
      <c r="K765" s="802"/>
      <c r="L765" s="701"/>
      <c r="M765" s="701">
        <v>4000</v>
      </c>
      <c r="N765" s="7" t="s">
        <v>2134</v>
      </c>
      <c r="O765" s="187"/>
      <c r="P765" s="187"/>
      <c r="Q765" s="187"/>
      <c r="R765" s="187"/>
      <c r="S765" s="187"/>
      <c r="T765" s="187"/>
      <c r="U765" s="187"/>
      <c r="V765" s="187"/>
      <c r="W765" s="187"/>
      <c r="X765" s="187"/>
      <c r="Y765" s="187"/>
      <c r="Z765" s="187"/>
      <c r="AA765" s="187"/>
      <c r="AB765" s="187"/>
      <c r="AC765" s="187"/>
      <c r="AD765" s="187"/>
      <c r="AE765" s="187"/>
      <c r="AF765" s="187"/>
    </row>
    <row r="766" spans="1:32">
      <c r="A766" s="663"/>
      <c r="B766" s="700" t="s">
        <v>436</v>
      </c>
      <c r="C766" s="663" t="s">
        <v>427</v>
      </c>
      <c r="D766" s="678" t="s">
        <v>1978</v>
      </c>
      <c r="E766" s="700" t="s">
        <v>1914</v>
      </c>
      <c r="F766" s="795">
        <v>1148</v>
      </c>
      <c r="G766" s="750"/>
      <c r="H766" s="701"/>
      <c r="I766" s="701"/>
      <c r="J766" s="1654" t="s">
        <v>1134</v>
      </c>
      <c r="K766" s="802"/>
      <c r="L766" s="701"/>
      <c r="M766" s="701"/>
      <c r="N766" s="359" t="s">
        <v>3689</v>
      </c>
      <c r="O766" s="187"/>
      <c r="P766" s="187"/>
      <c r="Q766" s="187"/>
      <c r="R766" s="187"/>
      <c r="S766" s="187"/>
      <c r="T766" s="187"/>
      <c r="U766" s="187"/>
      <c r="V766" s="187"/>
      <c r="W766" s="187"/>
      <c r="X766" s="187"/>
      <c r="Y766" s="187"/>
      <c r="Z766" s="187"/>
      <c r="AA766" s="187"/>
      <c r="AB766" s="187"/>
      <c r="AC766" s="187"/>
      <c r="AD766" s="187"/>
      <c r="AE766" s="187"/>
      <c r="AF766" s="187"/>
    </row>
    <row r="767" spans="1:32" ht="20.399999999999999">
      <c r="A767" s="683" t="s">
        <v>693</v>
      </c>
      <c r="B767" s="720" t="s">
        <v>772</v>
      </c>
      <c r="C767" s="683" t="s">
        <v>320</v>
      </c>
      <c r="D767" s="719" t="s">
        <v>1978</v>
      </c>
      <c r="E767" s="720" t="s">
        <v>1914</v>
      </c>
      <c r="F767" s="824">
        <v>1150</v>
      </c>
      <c r="G767" s="800" t="s">
        <v>403</v>
      </c>
      <c r="H767" s="706">
        <v>2955</v>
      </c>
      <c r="I767" s="706"/>
      <c r="J767" s="1654">
        <v>533.33000000000004</v>
      </c>
      <c r="K767" s="802"/>
      <c r="L767" s="706">
        <v>600</v>
      </c>
      <c r="M767" s="706"/>
      <c r="N767" s="7"/>
      <c r="O767" s="187"/>
      <c r="P767" s="187"/>
      <c r="Q767" s="187"/>
      <c r="R767" s="187"/>
      <c r="S767" s="187"/>
      <c r="T767" s="187"/>
      <c r="U767" s="187"/>
      <c r="V767" s="187"/>
      <c r="W767" s="187"/>
      <c r="X767" s="187"/>
      <c r="Y767" s="187"/>
      <c r="Z767" s="187"/>
      <c r="AA767" s="187"/>
      <c r="AB767" s="187"/>
      <c r="AC767" s="187"/>
      <c r="AD767" s="187"/>
      <c r="AE767" s="187"/>
      <c r="AF767" s="187"/>
    </row>
    <row r="768" spans="1:32" ht="20.399999999999999">
      <c r="A768" s="663"/>
      <c r="B768" s="700" t="s">
        <v>772</v>
      </c>
      <c r="C768" s="663" t="s">
        <v>320</v>
      </c>
      <c r="D768" s="678" t="s">
        <v>1978</v>
      </c>
      <c r="E768" s="700" t="s">
        <v>1914</v>
      </c>
      <c r="F768" s="795">
        <v>1150</v>
      </c>
      <c r="G768" s="812" t="s">
        <v>2132</v>
      </c>
      <c r="H768" s="701"/>
      <c r="I768" s="701">
        <v>2955</v>
      </c>
      <c r="J768" s="1654" t="s">
        <v>1134</v>
      </c>
      <c r="K768" s="792"/>
      <c r="L768" s="701"/>
      <c r="M768" s="701">
        <v>600</v>
      </c>
      <c r="N768" s="7"/>
      <c r="O768" s="187"/>
      <c r="P768" s="187"/>
      <c r="Q768" s="187"/>
      <c r="R768" s="187"/>
      <c r="S768" s="187"/>
      <c r="T768" s="187"/>
      <c r="U768" s="187"/>
      <c r="V768" s="187"/>
      <c r="W768" s="187"/>
      <c r="X768" s="187"/>
      <c r="Y768" s="187"/>
      <c r="Z768" s="187"/>
      <c r="AA768" s="187"/>
      <c r="AB768" s="187"/>
      <c r="AC768" s="187"/>
      <c r="AD768" s="187"/>
      <c r="AE768" s="187"/>
      <c r="AF768" s="187"/>
    </row>
    <row r="769" spans="1:32" ht="30.6">
      <c r="A769" s="869"/>
      <c r="B769" s="700" t="s">
        <v>772</v>
      </c>
      <c r="C769" s="663" t="s">
        <v>320</v>
      </c>
      <c r="D769" s="678" t="s">
        <v>1978</v>
      </c>
      <c r="E769" s="700" t="s">
        <v>1914</v>
      </c>
      <c r="F769" s="795">
        <v>1150</v>
      </c>
      <c r="G769" s="745" t="s">
        <v>1860</v>
      </c>
      <c r="H769" s="1837"/>
      <c r="I769" s="1837"/>
      <c r="J769" s="1654" t="s">
        <v>1134</v>
      </c>
      <c r="K769" s="1840"/>
      <c r="L769" s="1837"/>
      <c r="M769" s="1837"/>
      <c r="N769" s="7"/>
      <c r="O769" s="7"/>
      <c r="P769" s="7"/>
      <c r="Q769" s="7"/>
      <c r="R769" s="7"/>
      <c r="S769" s="7"/>
      <c r="T769" s="7"/>
      <c r="U769" s="7"/>
      <c r="V769" s="7"/>
      <c r="W769" s="7"/>
      <c r="X769" s="7"/>
      <c r="Y769" s="7"/>
      <c r="Z769" s="7"/>
      <c r="AA769" s="7"/>
      <c r="AB769" s="7"/>
      <c r="AC769" s="7"/>
      <c r="AD769" s="7"/>
      <c r="AE769" s="7"/>
      <c r="AF769" s="7"/>
    </row>
    <row r="770" spans="1:32">
      <c r="A770" s="683"/>
      <c r="B770" s="720" t="s">
        <v>436</v>
      </c>
      <c r="C770" s="683" t="s">
        <v>427</v>
      </c>
      <c r="D770" s="719" t="s">
        <v>1978</v>
      </c>
      <c r="E770" s="720" t="s">
        <v>1914</v>
      </c>
      <c r="F770" s="824">
        <v>1170</v>
      </c>
      <c r="G770" s="800" t="s">
        <v>475</v>
      </c>
      <c r="H770" s="706">
        <v>315</v>
      </c>
      <c r="I770" s="706"/>
      <c r="J770" s="1654">
        <v>150</v>
      </c>
      <c r="K770" s="802"/>
      <c r="L770" s="706">
        <v>273</v>
      </c>
      <c r="M770" s="706"/>
      <c r="N770" s="7"/>
      <c r="O770" s="187"/>
      <c r="P770" s="187"/>
      <c r="Q770" s="187"/>
      <c r="R770" s="187"/>
      <c r="S770" s="187"/>
      <c r="T770" s="187"/>
      <c r="U770" s="187"/>
      <c r="V770" s="187"/>
      <c r="W770" s="187"/>
      <c r="X770" s="187"/>
      <c r="Y770" s="187"/>
      <c r="Z770" s="187"/>
      <c r="AA770" s="187"/>
      <c r="AB770" s="187"/>
      <c r="AC770" s="187"/>
      <c r="AD770" s="187"/>
      <c r="AE770" s="187"/>
      <c r="AF770" s="187"/>
    </row>
    <row r="771" spans="1:32" ht="20.399999999999999">
      <c r="A771" s="663"/>
      <c r="B771" s="700" t="s">
        <v>436</v>
      </c>
      <c r="C771" s="663" t="s">
        <v>427</v>
      </c>
      <c r="D771" s="678" t="s">
        <v>1978</v>
      </c>
      <c r="E771" s="700" t="s">
        <v>1914</v>
      </c>
      <c r="F771" s="795">
        <v>1170</v>
      </c>
      <c r="G771" s="812" t="s">
        <v>3687</v>
      </c>
      <c r="H771" s="701"/>
      <c r="I771" s="701">
        <v>315</v>
      </c>
      <c r="J771" s="1654" t="s">
        <v>1134</v>
      </c>
      <c r="K771" s="792"/>
      <c r="L771" s="701"/>
      <c r="M771" s="701">
        <v>273</v>
      </c>
      <c r="N771" s="7"/>
      <c r="O771" s="187"/>
      <c r="P771" s="187"/>
      <c r="Q771" s="187"/>
      <c r="R771" s="187"/>
      <c r="S771" s="187"/>
      <c r="T771" s="187"/>
      <c r="U771" s="187"/>
      <c r="V771" s="187"/>
      <c r="W771" s="187"/>
      <c r="X771" s="187"/>
      <c r="Y771" s="187"/>
      <c r="Z771" s="187"/>
      <c r="AA771" s="187"/>
      <c r="AB771" s="187"/>
      <c r="AC771" s="187"/>
      <c r="AD771" s="187"/>
      <c r="AE771" s="187"/>
      <c r="AF771" s="187"/>
    </row>
    <row r="772" spans="1:32">
      <c r="A772" s="683"/>
      <c r="B772" s="720" t="s">
        <v>436</v>
      </c>
      <c r="C772" s="683" t="s">
        <v>427</v>
      </c>
      <c r="D772" s="719" t="s">
        <v>1978</v>
      </c>
      <c r="E772" s="720" t="s">
        <v>1914</v>
      </c>
      <c r="F772" s="824">
        <v>1210</v>
      </c>
      <c r="G772" s="800" t="s">
        <v>113</v>
      </c>
      <c r="H772" s="706">
        <v>31140.251464820001</v>
      </c>
      <c r="I772" s="706"/>
      <c r="J772" s="1654">
        <v>27308</v>
      </c>
      <c r="K772" s="802"/>
      <c r="L772" s="706">
        <v>40164.320434570509</v>
      </c>
      <c r="M772" s="706"/>
      <c r="N772" s="7" t="s">
        <v>3690</v>
      </c>
      <c r="O772" s="187"/>
      <c r="P772" s="187"/>
      <c r="Q772" s="187"/>
      <c r="R772" s="187"/>
      <c r="S772" s="187"/>
      <c r="T772" s="187"/>
      <c r="U772" s="187"/>
      <c r="V772" s="187"/>
      <c r="W772" s="187"/>
      <c r="X772" s="187"/>
      <c r="Y772" s="187"/>
      <c r="Z772" s="187"/>
      <c r="AA772" s="187"/>
      <c r="AB772" s="187"/>
      <c r="AC772" s="187"/>
      <c r="AD772" s="187"/>
      <c r="AE772" s="187"/>
      <c r="AF772" s="187"/>
    </row>
    <row r="773" spans="1:32">
      <c r="A773" s="663"/>
      <c r="B773" s="700" t="s">
        <v>436</v>
      </c>
      <c r="C773" s="663" t="s">
        <v>427</v>
      </c>
      <c r="D773" s="678" t="s">
        <v>1978</v>
      </c>
      <c r="E773" s="700" t="s">
        <v>1914</v>
      </c>
      <c r="F773" s="795">
        <v>1210</v>
      </c>
      <c r="G773" s="812" t="s">
        <v>436</v>
      </c>
      <c r="H773" s="701"/>
      <c r="I773" s="701">
        <v>32443.251464820001</v>
      </c>
      <c r="J773" s="1654" t="s">
        <v>1134</v>
      </c>
      <c r="K773" s="792"/>
      <c r="L773" s="701"/>
      <c r="M773" s="701">
        <v>40164.320434570509</v>
      </c>
      <c r="N773" s="7"/>
      <c r="O773" s="187"/>
      <c r="P773" s="187"/>
      <c r="Q773" s="187"/>
      <c r="R773" s="187"/>
      <c r="S773" s="187"/>
      <c r="T773" s="187"/>
      <c r="U773" s="187"/>
      <c r="V773" s="187"/>
      <c r="W773" s="187"/>
      <c r="X773" s="187"/>
      <c r="Y773" s="187"/>
      <c r="Z773" s="187"/>
      <c r="AA773" s="187"/>
      <c r="AB773" s="187"/>
      <c r="AC773" s="187"/>
      <c r="AD773" s="187"/>
      <c r="AE773" s="187"/>
      <c r="AF773" s="187"/>
    </row>
    <row r="774" spans="1:32" ht="40.799999999999997">
      <c r="A774" s="1263"/>
      <c r="B774" s="700" t="s">
        <v>436</v>
      </c>
      <c r="C774" s="663" t="s">
        <v>427</v>
      </c>
      <c r="D774" s="678" t="s">
        <v>1978</v>
      </c>
      <c r="E774" s="700" t="s">
        <v>1914</v>
      </c>
      <c r="F774" s="795">
        <v>1210</v>
      </c>
      <c r="G774" s="2245" t="s">
        <v>2983</v>
      </c>
      <c r="H774" s="1265"/>
      <c r="I774" s="1265">
        <v>1997</v>
      </c>
      <c r="J774" s="1654" t="s">
        <v>1134</v>
      </c>
      <c r="K774" s="1259"/>
      <c r="L774" s="1265"/>
      <c r="M774" s="1265"/>
      <c r="N774" s="7"/>
      <c r="O774" s="187"/>
      <c r="P774" s="187"/>
      <c r="Q774" s="187"/>
      <c r="R774" s="187"/>
      <c r="S774" s="187"/>
      <c r="T774" s="187"/>
      <c r="U774" s="187"/>
      <c r="V774" s="187"/>
      <c r="W774" s="187"/>
      <c r="X774" s="187"/>
      <c r="Y774" s="187"/>
      <c r="Z774" s="187"/>
      <c r="AA774" s="187"/>
      <c r="AB774" s="187"/>
      <c r="AC774" s="187"/>
      <c r="AD774" s="187"/>
      <c r="AE774" s="187"/>
      <c r="AF774" s="187"/>
    </row>
    <row r="775" spans="1:32" ht="20.399999999999999">
      <c r="A775" s="663"/>
      <c r="B775" s="700" t="s">
        <v>436</v>
      </c>
      <c r="C775" s="663" t="s">
        <v>427</v>
      </c>
      <c r="D775" s="678" t="s">
        <v>1978</v>
      </c>
      <c r="E775" s="700" t="s">
        <v>1914</v>
      </c>
      <c r="F775" s="795">
        <v>1210</v>
      </c>
      <c r="G775" s="812" t="s">
        <v>3092</v>
      </c>
      <c r="H775" s="709"/>
      <c r="I775" s="709">
        <v>-3000</v>
      </c>
      <c r="J775" s="1654" t="s">
        <v>1134</v>
      </c>
      <c r="K775" s="825"/>
      <c r="L775" s="709"/>
      <c r="M775" s="709"/>
      <c r="N775" s="359"/>
      <c r="O775" s="187"/>
      <c r="P775" s="187"/>
      <c r="Q775" s="187"/>
      <c r="R775" s="187"/>
      <c r="S775" s="187"/>
      <c r="T775" s="187"/>
      <c r="U775" s="187"/>
      <c r="V775" s="187"/>
      <c r="W775" s="187"/>
      <c r="X775" s="187"/>
      <c r="Y775" s="187"/>
      <c r="Z775" s="187"/>
      <c r="AA775" s="187"/>
      <c r="AB775" s="187"/>
      <c r="AC775" s="187"/>
      <c r="AD775" s="187"/>
      <c r="AE775" s="187"/>
      <c r="AF775" s="187"/>
    </row>
    <row r="776" spans="1:32" ht="20.399999999999999">
      <c r="A776" s="603"/>
      <c r="B776" s="700" t="s">
        <v>436</v>
      </c>
      <c r="C776" s="663" t="s">
        <v>427</v>
      </c>
      <c r="D776" s="678" t="s">
        <v>1978</v>
      </c>
      <c r="E776" s="700" t="s">
        <v>1914</v>
      </c>
      <c r="F776" s="795">
        <v>1210</v>
      </c>
      <c r="G776" s="1448" t="s">
        <v>3206</v>
      </c>
      <c r="H776" s="1151"/>
      <c r="I776" s="1151">
        <v>-300</v>
      </c>
      <c r="J776" s="1654" t="s">
        <v>1134</v>
      </c>
      <c r="K776" s="1464"/>
      <c r="L776" s="1151"/>
      <c r="M776" s="1151"/>
      <c r="N776" s="7"/>
      <c r="O776" s="187"/>
      <c r="P776" s="187"/>
      <c r="Q776" s="187"/>
      <c r="R776" s="187"/>
      <c r="S776" s="187"/>
      <c r="T776" s="187"/>
      <c r="U776" s="187"/>
      <c r="V776" s="187"/>
      <c r="W776" s="187"/>
      <c r="X776" s="187"/>
      <c r="Y776" s="187"/>
      <c r="Z776" s="187"/>
      <c r="AA776" s="187"/>
      <c r="AB776" s="187"/>
      <c r="AC776" s="187"/>
      <c r="AD776" s="187"/>
      <c r="AE776" s="187"/>
      <c r="AF776" s="187"/>
    </row>
    <row r="777" spans="1:32">
      <c r="A777" s="683"/>
      <c r="B777" s="720" t="s">
        <v>436</v>
      </c>
      <c r="C777" s="683" t="s">
        <v>427</v>
      </c>
      <c r="D777" s="719" t="s">
        <v>1978</v>
      </c>
      <c r="E777" s="720" t="s">
        <v>1914</v>
      </c>
      <c r="F777" s="824">
        <v>1221</v>
      </c>
      <c r="G777" s="800" t="s">
        <v>114</v>
      </c>
      <c r="H777" s="706">
        <v>12060.70955078</v>
      </c>
      <c r="I777" s="706"/>
      <c r="J777" s="1654">
        <v>11928</v>
      </c>
      <c r="K777" s="802"/>
      <c r="L777" s="706">
        <v>8773.5946018195009</v>
      </c>
      <c r="M777" s="706"/>
      <c r="N777" s="7" t="s">
        <v>2589</v>
      </c>
      <c r="O777" s="7"/>
      <c r="P777" s="7"/>
      <c r="Q777" s="7"/>
      <c r="R777" s="7"/>
      <c r="S777" s="7"/>
      <c r="T777" s="7"/>
      <c r="U777" s="7"/>
      <c r="V777" s="7"/>
      <c r="W777" s="7"/>
      <c r="X777" s="7"/>
      <c r="Y777" s="7"/>
      <c r="Z777" s="7"/>
      <c r="AA777" s="7"/>
      <c r="AB777" s="7"/>
      <c r="AC777" s="7"/>
      <c r="AD777" s="7"/>
      <c r="AE777" s="7"/>
      <c r="AF777" s="7"/>
    </row>
    <row r="778" spans="1:32">
      <c r="A778" s="663"/>
      <c r="B778" s="700" t="s">
        <v>436</v>
      </c>
      <c r="C778" s="663" t="s">
        <v>427</v>
      </c>
      <c r="D778" s="678" t="s">
        <v>1978</v>
      </c>
      <c r="E778" s="700" t="s">
        <v>1914</v>
      </c>
      <c r="F778" s="795">
        <v>1221</v>
      </c>
      <c r="G778" s="750"/>
      <c r="H778" s="701"/>
      <c r="I778" s="701">
        <v>7060.7095507800004</v>
      </c>
      <c r="J778" s="1654" t="s">
        <v>1134</v>
      </c>
      <c r="K778" s="792"/>
      <c r="L778" s="701"/>
      <c r="M778" s="701">
        <v>8773.5946018195009</v>
      </c>
      <c r="N778" s="7"/>
      <c r="O778" s="7"/>
      <c r="P778" s="7"/>
      <c r="Q778" s="7"/>
      <c r="R778" s="7"/>
      <c r="S778" s="7"/>
      <c r="T778" s="7"/>
      <c r="U778" s="7"/>
      <c r="V778" s="7"/>
      <c r="W778" s="7"/>
      <c r="X778" s="7"/>
      <c r="Y778" s="7"/>
      <c r="Z778" s="7"/>
      <c r="AA778" s="7"/>
      <c r="AB778" s="7"/>
      <c r="AC778" s="7"/>
      <c r="AD778" s="7"/>
      <c r="AE778" s="7"/>
      <c r="AF778" s="7"/>
    </row>
    <row r="779" spans="1:32" ht="20.399999999999999">
      <c r="A779" s="663"/>
      <c r="B779" s="700" t="s">
        <v>436</v>
      </c>
      <c r="C779" s="663" t="s">
        <v>427</v>
      </c>
      <c r="D779" s="678" t="s">
        <v>1978</v>
      </c>
      <c r="E779" s="700" t="s">
        <v>1914</v>
      </c>
      <c r="F779" s="795">
        <v>1221</v>
      </c>
      <c r="G779" s="812" t="s">
        <v>3092</v>
      </c>
      <c r="H779" s="701"/>
      <c r="I779" s="701">
        <v>3000</v>
      </c>
      <c r="J779" s="1654" t="s">
        <v>1134</v>
      </c>
      <c r="K779" s="792"/>
      <c r="L779" s="701"/>
      <c r="M779" s="701"/>
      <c r="N779" s="7"/>
      <c r="O779" s="7"/>
      <c r="P779" s="7"/>
      <c r="Q779" s="7"/>
      <c r="R779" s="7"/>
      <c r="S779" s="7"/>
      <c r="T779" s="7"/>
      <c r="U779" s="7"/>
      <c r="V779" s="7"/>
      <c r="W779" s="7"/>
      <c r="X779" s="7"/>
      <c r="Y779" s="7"/>
      <c r="Z779" s="7"/>
      <c r="AA779" s="7"/>
      <c r="AB779" s="7"/>
      <c r="AC779" s="7"/>
      <c r="AD779" s="7"/>
      <c r="AE779" s="7"/>
      <c r="AF779" s="7"/>
    </row>
    <row r="780" spans="1:32" ht="20.399999999999999">
      <c r="A780" s="663"/>
      <c r="B780" s="700" t="s">
        <v>436</v>
      </c>
      <c r="C780" s="663" t="s">
        <v>427</v>
      </c>
      <c r="D780" s="678" t="s">
        <v>1978</v>
      </c>
      <c r="E780" s="700" t="s">
        <v>1914</v>
      </c>
      <c r="F780" s="795">
        <v>1221</v>
      </c>
      <c r="G780" s="812" t="s">
        <v>3284</v>
      </c>
      <c r="H780" s="701"/>
      <c r="I780" s="701">
        <v>2000</v>
      </c>
      <c r="J780" s="1654" t="s">
        <v>1134</v>
      </c>
      <c r="K780" s="792"/>
      <c r="L780" s="701"/>
      <c r="M780" s="701"/>
      <c r="N780" s="7"/>
      <c r="O780" s="7"/>
      <c r="P780" s="7"/>
      <c r="Q780" s="7"/>
      <c r="R780" s="7"/>
      <c r="S780" s="7"/>
      <c r="T780" s="7"/>
      <c r="U780" s="7"/>
      <c r="V780" s="7"/>
      <c r="W780" s="7"/>
      <c r="X780" s="7"/>
      <c r="Y780" s="7"/>
      <c r="Z780" s="7"/>
      <c r="AA780" s="7"/>
      <c r="AB780" s="7"/>
      <c r="AC780" s="7"/>
      <c r="AD780" s="7"/>
      <c r="AE780" s="7"/>
      <c r="AF780" s="7"/>
    </row>
    <row r="781" spans="1:32">
      <c r="A781" s="849"/>
      <c r="B781" s="720" t="s">
        <v>772</v>
      </c>
      <c r="C781" s="683" t="s">
        <v>427</v>
      </c>
      <c r="D781" s="719" t="s">
        <v>1978</v>
      </c>
      <c r="E781" s="720" t="s">
        <v>1914</v>
      </c>
      <c r="F781" s="824">
        <v>1228</v>
      </c>
      <c r="G781" s="800" t="s">
        <v>115</v>
      </c>
      <c r="H781" s="706">
        <v>1020</v>
      </c>
      <c r="I781" s="706"/>
      <c r="J781" s="1654">
        <v>536</v>
      </c>
      <c r="K781" s="802"/>
      <c r="L781" s="706">
        <v>220</v>
      </c>
      <c r="M781" s="706"/>
      <c r="N781" s="125"/>
    </row>
    <row r="782" spans="1:32" ht="20.399999999999999">
      <c r="A782" s="760"/>
      <c r="B782" s="700" t="s">
        <v>772</v>
      </c>
      <c r="C782" s="663" t="s">
        <v>427</v>
      </c>
      <c r="D782" s="678" t="s">
        <v>1978</v>
      </c>
      <c r="E782" s="700" t="s">
        <v>1914</v>
      </c>
      <c r="F782" s="795">
        <v>1228</v>
      </c>
      <c r="G782" s="750" t="s">
        <v>3688</v>
      </c>
      <c r="H782" s="701"/>
      <c r="I782" s="701">
        <v>220</v>
      </c>
      <c r="J782" s="1654" t="s">
        <v>1134</v>
      </c>
      <c r="K782" s="792"/>
      <c r="L782" s="701"/>
      <c r="M782" s="701">
        <v>220</v>
      </c>
      <c r="N782" s="125"/>
    </row>
    <row r="783" spans="1:32" ht="20.399999999999999">
      <c r="A783" s="603"/>
      <c r="B783" s="700" t="s">
        <v>772</v>
      </c>
      <c r="C783" s="663" t="s">
        <v>427</v>
      </c>
      <c r="D783" s="678" t="s">
        <v>1978</v>
      </c>
      <c r="E783" s="700" t="s">
        <v>1914</v>
      </c>
      <c r="F783" s="795">
        <v>1228</v>
      </c>
      <c r="G783" s="1448" t="s">
        <v>3206</v>
      </c>
      <c r="H783" s="1151"/>
      <c r="I783" s="1151">
        <v>300</v>
      </c>
      <c r="J783" s="1654" t="s">
        <v>1134</v>
      </c>
      <c r="K783" s="1464"/>
      <c r="L783" s="1151"/>
      <c r="M783" s="1151"/>
      <c r="N783" s="125"/>
      <c r="O783" s="7"/>
      <c r="P783" s="7"/>
      <c r="Q783" s="7"/>
      <c r="R783" s="7"/>
      <c r="S783" s="7"/>
      <c r="T783" s="7"/>
      <c r="U783" s="7"/>
      <c r="V783" s="7"/>
      <c r="W783" s="7"/>
      <c r="X783" s="7"/>
      <c r="Y783" s="7"/>
      <c r="Z783" s="7"/>
      <c r="AA783" s="7"/>
      <c r="AB783" s="7"/>
      <c r="AC783" s="7"/>
      <c r="AD783" s="7"/>
      <c r="AE783" s="7"/>
      <c r="AF783" s="7"/>
    </row>
    <row r="784" spans="1:32" ht="20.399999999999999">
      <c r="A784" s="1495"/>
      <c r="B784" s="1590" t="s">
        <v>772</v>
      </c>
      <c r="C784" s="1495" t="s">
        <v>427</v>
      </c>
      <c r="D784" s="1561" t="s">
        <v>1978</v>
      </c>
      <c r="E784" s="1590" t="s">
        <v>1914</v>
      </c>
      <c r="F784" s="1562">
        <v>1228</v>
      </c>
      <c r="G784" s="1553" t="s">
        <v>3397</v>
      </c>
      <c r="H784" s="1554"/>
      <c r="I784" s="1554">
        <v>500</v>
      </c>
      <c r="J784" s="1554"/>
      <c r="K784" s="1555"/>
      <c r="L784" s="1554"/>
      <c r="M784" s="1554"/>
      <c r="N784" s="125"/>
      <c r="O784" s="7"/>
      <c r="P784" s="7"/>
      <c r="Q784" s="7"/>
      <c r="R784" s="7"/>
      <c r="S784" s="7"/>
      <c r="T784" s="7"/>
      <c r="U784" s="7"/>
      <c r="V784" s="7"/>
      <c r="W784" s="7"/>
      <c r="X784" s="7"/>
      <c r="Y784" s="7"/>
      <c r="Z784" s="7"/>
      <c r="AA784" s="7"/>
      <c r="AB784" s="7"/>
      <c r="AC784" s="7"/>
      <c r="AD784" s="7"/>
      <c r="AE784" s="7"/>
      <c r="AF784" s="7"/>
    </row>
    <row r="785" spans="1:32">
      <c r="A785" s="683"/>
      <c r="B785" s="735" t="s">
        <v>772</v>
      </c>
      <c r="C785" s="683" t="s">
        <v>322</v>
      </c>
      <c r="D785" s="719" t="s">
        <v>1978</v>
      </c>
      <c r="E785" s="720" t="s">
        <v>1914</v>
      </c>
      <c r="F785" s="824">
        <v>2111</v>
      </c>
      <c r="G785" s="800" t="s">
        <v>460</v>
      </c>
      <c r="H785" s="706"/>
      <c r="I785" s="706"/>
      <c r="J785" s="1654" t="s">
        <v>1134</v>
      </c>
      <c r="K785" s="802"/>
      <c r="L785" s="706"/>
      <c r="M785" s="706"/>
      <c r="N785" s="7" t="s">
        <v>2135</v>
      </c>
      <c r="O785" s="7"/>
      <c r="P785" s="7"/>
      <c r="Q785" s="7"/>
      <c r="R785" s="7"/>
      <c r="S785" s="7"/>
      <c r="T785" s="7"/>
      <c r="U785" s="7"/>
      <c r="V785" s="7"/>
      <c r="W785" s="7"/>
      <c r="X785" s="7"/>
      <c r="Y785" s="7"/>
      <c r="Z785" s="7"/>
      <c r="AA785" s="7"/>
      <c r="AB785" s="7"/>
      <c r="AC785" s="7"/>
      <c r="AD785" s="7"/>
      <c r="AE785" s="7"/>
      <c r="AF785" s="7"/>
    </row>
    <row r="786" spans="1:32">
      <c r="A786" s="760"/>
      <c r="B786" s="700" t="s">
        <v>772</v>
      </c>
      <c r="C786" s="663" t="s">
        <v>322</v>
      </c>
      <c r="D786" s="678" t="s">
        <v>1978</v>
      </c>
      <c r="E786" s="700" t="s">
        <v>1914</v>
      </c>
      <c r="F786" s="795">
        <v>2111</v>
      </c>
      <c r="G786" s="750"/>
      <c r="H786" s="1837"/>
      <c r="I786" s="1837"/>
      <c r="J786" s="1654" t="s">
        <v>1134</v>
      </c>
      <c r="K786" s="1840"/>
      <c r="L786" s="1837"/>
      <c r="M786" s="701"/>
      <c r="N786" s="7"/>
      <c r="O786" s="187"/>
      <c r="P786" s="187"/>
      <c r="Q786" s="187"/>
      <c r="R786" s="187"/>
      <c r="S786" s="187"/>
      <c r="T786" s="187"/>
      <c r="U786" s="187"/>
      <c r="V786" s="187"/>
      <c r="W786" s="187"/>
      <c r="X786" s="187"/>
      <c r="Y786" s="187"/>
      <c r="Z786" s="187"/>
      <c r="AA786" s="187"/>
      <c r="AB786" s="187"/>
      <c r="AC786" s="187"/>
      <c r="AD786" s="187"/>
      <c r="AE786" s="187"/>
      <c r="AF786" s="187"/>
    </row>
    <row r="787" spans="1:32" ht="20.399999999999999">
      <c r="A787" s="683"/>
      <c r="B787" s="735" t="s">
        <v>772</v>
      </c>
      <c r="C787" s="683" t="s">
        <v>322</v>
      </c>
      <c r="D787" s="719" t="s">
        <v>1978</v>
      </c>
      <c r="E787" s="720" t="s">
        <v>1914</v>
      </c>
      <c r="F787" s="824">
        <v>2112</v>
      </c>
      <c r="G787" s="800" t="s">
        <v>613</v>
      </c>
      <c r="H787" s="706"/>
      <c r="I787" s="706"/>
      <c r="J787" s="1654" t="s">
        <v>1134</v>
      </c>
      <c r="K787" s="802"/>
      <c r="L787" s="706"/>
      <c r="M787" s="706"/>
      <c r="N787" s="7"/>
      <c r="O787" s="4"/>
      <c r="P787" s="4"/>
      <c r="Q787" s="4"/>
      <c r="R787" s="4"/>
      <c r="S787" s="4"/>
      <c r="T787" s="4"/>
      <c r="U787" s="4"/>
      <c r="V787" s="4"/>
      <c r="W787" s="4"/>
      <c r="X787" s="4"/>
      <c r="Y787" s="4"/>
      <c r="Z787" s="4"/>
      <c r="AA787" s="4"/>
      <c r="AB787" s="4"/>
      <c r="AC787" s="4"/>
      <c r="AD787" s="4"/>
      <c r="AE787" s="4"/>
      <c r="AF787" s="4"/>
    </row>
    <row r="788" spans="1:32">
      <c r="A788" s="760"/>
      <c r="B788" s="700" t="s">
        <v>772</v>
      </c>
      <c r="C788" s="663" t="s">
        <v>322</v>
      </c>
      <c r="D788" s="678" t="s">
        <v>1978</v>
      </c>
      <c r="E788" s="700" t="s">
        <v>1914</v>
      </c>
      <c r="F788" s="795">
        <v>2112</v>
      </c>
      <c r="G788" s="750"/>
      <c r="H788" s="1837"/>
      <c r="I788" s="1837"/>
      <c r="J788" s="1654" t="s">
        <v>1134</v>
      </c>
      <c r="K788" s="1840"/>
      <c r="L788" s="1837"/>
      <c r="M788" s="701"/>
      <c r="N788" s="176"/>
      <c r="O788" s="187"/>
      <c r="P788" s="187"/>
      <c r="Q788" s="187"/>
      <c r="R788" s="187"/>
      <c r="S788" s="187"/>
      <c r="T788" s="187"/>
      <c r="U788" s="187"/>
      <c r="V788" s="187"/>
      <c r="W788" s="187"/>
      <c r="X788" s="187"/>
      <c r="Y788" s="187"/>
      <c r="Z788" s="187"/>
      <c r="AA788" s="187"/>
      <c r="AB788" s="187"/>
      <c r="AC788" s="187"/>
      <c r="AD788" s="187"/>
      <c r="AE788" s="187"/>
      <c r="AF788" s="187"/>
    </row>
    <row r="789" spans="1:32">
      <c r="A789" s="849"/>
      <c r="B789" s="720" t="s">
        <v>772</v>
      </c>
      <c r="C789" s="683" t="s">
        <v>322</v>
      </c>
      <c r="D789" s="719" t="s">
        <v>1978</v>
      </c>
      <c r="E789" s="720" t="s">
        <v>1914</v>
      </c>
      <c r="F789" s="685">
        <v>2210</v>
      </c>
      <c r="G789" s="686" t="s">
        <v>572</v>
      </c>
      <c r="H789" s="689">
        <v>1572.3600000000001</v>
      </c>
      <c r="I789" s="689"/>
      <c r="J789" s="1494">
        <v>1147</v>
      </c>
      <c r="K789" s="727"/>
      <c r="L789" s="689">
        <v>1572.3600000000001</v>
      </c>
      <c r="M789" s="689"/>
      <c r="N789" s="176"/>
      <c r="O789" s="187"/>
      <c r="P789" s="187"/>
      <c r="Q789" s="187"/>
      <c r="R789" s="187"/>
      <c r="S789" s="187"/>
      <c r="T789" s="187"/>
      <c r="U789" s="187"/>
      <c r="V789" s="187"/>
      <c r="W789" s="187"/>
      <c r="X789" s="187"/>
      <c r="Y789" s="187"/>
      <c r="Z789" s="187"/>
      <c r="AA789" s="187"/>
      <c r="AB789" s="187"/>
      <c r="AC789" s="187"/>
      <c r="AD789" s="187"/>
      <c r="AE789" s="187"/>
      <c r="AF789" s="187"/>
    </row>
    <row r="790" spans="1:32">
      <c r="A790" s="760"/>
      <c r="B790" s="700" t="s">
        <v>772</v>
      </c>
      <c r="C790" s="663" t="s">
        <v>322</v>
      </c>
      <c r="D790" s="678" t="s">
        <v>1978</v>
      </c>
      <c r="E790" s="700" t="s">
        <v>1914</v>
      </c>
      <c r="F790" s="679">
        <v>2210</v>
      </c>
      <c r="G790" s="665" t="s">
        <v>1389</v>
      </c>
      <c r="H790" s="660"/>
      <c r="I790" s="660">
        <v>468</v>
      </c>
      <c r="J790" s="1494" t="s">
        <v>1134</v>
      </c>
      <c r="K790" s="667"/>
      <c r="L790" s="660"/>
      <c r="M790" s="660">
        <v>468</v>
      </c>
      <c r="N790" s="176"/>
      <c r="O790" s="187"/>
      <c r="P790" s="187"/>
      <c r="Q790" s="187"/>
      <c r="R790" s="187"/>
      <c r="S790" s="187"/>
      <c r="T790" s="187"/>
      <c r="U790" s="187"/>
      <c r="V790" s="187"/>
      <c r="W790" s="187"/>
      <c r="X790" s="187"/>
      <c r="Y790" s="187"/>
      <c r="Z790" s="187"/>
      <c r="AA790" s="187"/>
      <c r="AB790" s="187"/>
      <c r="AC790" s="187"/>
      <c r="AD790" s="187"/>
      <c r="AE790" s="187"/>
      <c r="AF790" s="187"/>
    </row>
    <row r="791" spans="1:32" ht="20.399999999999999">
      <c r="A791" s="760"/>
      <c r="B791" s="700" t="s">
        <v>772</v>
      </c>
      <c r="C791" s="663" t="s">
        <v>322</v>
      </c>
      <c r="D791" s="678" t="s">
        <v>1978</v>
      </c>
      <c r="E791" s="700" t="s">
        <v>1914</v>
      </c>
      <c r="F791" s="679">
        <v>2210</v>
      </c>
      <c r="G791" s="665" t="s">
        <v>1220</v>
      </c>
      <c r="H791" s="660"/>
      <c r="I791" s="660">
        <v>984.36</v>
      </c>
      <c r="J791" s="1494" t="s">
        <v>1134</v>
      </c>
      <c r="K791" s="667"/>
      <c r="L791" s="660"/>
      <c r="M791" s="660">
        <v>984.36</v>
      </c>
      <c r="N791" s="176"/>
      <c r="O791" s="187"/>
      <c r="P791" s="187"/>
      <c r="Q791" s="187"/>
      <c r="R791" s="187"/>
      <c r="S791" s="187"/>
      <c r="T791" s="187"/>
      <c r="U791" s="187"/>
      <c r="V791" s="187"/>
      <c r="W791" s="187"/>
      <c r="X791" s="187"/>
      <c r="Y791" s="187"/>
      <c r="Z791" s="187"/>
      <c r="AA791" s="187"/>
      <c r="AB791" s="187"/>
      <c r="AC791" s="187"/>
      <c r="AD791" s="187"/>
      <c r="AE791" s="187"/>
      <c r="AF791" s="187"/>
    </row>
    <row r="792" spans="1:32" ht="30.6">
      <c r="A792" s="1297"/>
      <c r="B792" s="700" t="s">
        <v>772</v>
      </c>
      <c r="C792" s="663" t="s">
        <v>322</v>
      </c>
      <c r="D792" s="678" t="s">
        <v>1978</v>
      </c>
      <c r="E792" s="700" t="s">
        <v>1914</v>
      </c>
      <c r="F792" s="679">
        <v>2210</v>
      </c>
      <c r="G792" s="1264" t="s">
        <v>3031</v>
      </c>
      <c r="H792" s="1425"/>
      <c r="I792" s="1425">
        <v>120</v>
      </c>
      <c r="J792" s="1494" t="s">
        <v>1134</v>
      </c>
      <c r="K792" s="1426"/>
      <c r="L792" s="1425"/>
      <c r="M792" s="1425">
        <v>120</v>
      </c>
      <c r="N792" s="7"/>
      <c r="O792" s="187"/>
      <c r="P792" s="187"/>
      <c r="Q792" s="187"/>
      <c r="R792" s="187"/>
      <c r="S792" s="187"/>
      <c r="T792" s="187"/>
      <c r="U792" s="187"/>
      <c r="V792" s="187"/>
      <c r="W792" s="187"/>
      <c r="X792" s="187"/>
      <c r="Y792" s="187"/>
      <c r="Z792" s="187"/>
      <c r="AA792" s="187"/>
      <c r="AB792" s="187"/>
      <c r="AC792" s="187"/>
      <c r="AD792" s="187"/>
      <c r="AE792" s="187"/>
      <c r="AF792" s="187"/>
    </row>
    <row r="793" spans="1:32">
      <c r="A793" s="849"/>
      <c r="B793" s="720" t="s">
        <v>772</v>
      </c>
      <c r="C793" s="683" t="s">
        <v>320</v>
      </c>
      <c r="D793" s="719" t="s">
        <v>1978</v>
      </c>
      <c r="E793" s="720" t="s">
        <v>1914</v>
      </c>
      <c r="F793" s="685">
        <v>2223</v>
      </c>
      <c r="G793" s="686" t="s">
        <v>154</v>
      </c>
      <c r="H793" s="689">
        <v>22973</v>
      </c>
      <c r="I793" s="689"/>
      <c r="J793" s="1494">
        <v>14571</v>
      </c>
      <c r="K793" s="727"/>
      <c r="L793" s="689">
        <v>22973</v>
      </c>
      <c r="M793" s="689"/>
      <c r="N793" s="359" t="s">
        <v>1391</v>
      </c>
      <c r="O793" s="187"/>
      <c r="P793" s="187"/>
      <c r="Q793" s="187"/>
      <c r="R793" s="187"/>
      <c r="S793" s="187"/>
      <c r="T793" s="187"/>
      <c r="U793" s="187"/>
      <c r="V793" s="187"/>
      <c r="W793" s="187"/>
      <c r="X793" s="187"/>
      <c r="Y793" s="187"/>
      <c r="Z793" s="187"/>
      <c r="AA793" s="187"/>
      <c r="AB793" s="187"/>
      <c r="AC793" s="187"/>
      <c r="AD793" s="187"/>
      <c r="AE793" s="187"/>
      <c r="AF793" s="187"/>
    </row>
    <row r="794" spans="1:32">
      <c r="A794" s="760"/>
      <c r="B794" s="700" t="s">
        <v>772</v>
      </c>
      <c r="C794" s="663" t="s">
        <v>320</v>
      </c>
      <c r="D794" s="678" t="s">
        <v>1978</v>
      </c>
      <c r="E794" s="700" t="s">
        <v>1914</v>
      </c>
      <c r="F794" s="679">
        <v>2223</v>
      </c>
      <c r="G794" s="665" t="s">
        <v>179</v>
      </c>
      <c r="H794" s="660"/>
      <c r="I794" s="875">
        <v>20000</v>
      </c>
      <c r="J794" s="1494" t="s">
        <v>1134</v>
      </c>
      <c r="K794" s="667"/>
      <c r="L794" s="660"/>
      <c r="M794" s="875">
        <v>20000</v>
      </c>
      <c r="N794" s="7"/>
      <c r="O794" s="187"/>
      <c r="P794" s="187"/>
      <c r="Q794" s="187"/>
      <c r="R794" s="187"/>
      <c r="S794" s="187"/>
      <c r="T794" s="187"/>
      <c r="U794" s="187"/>
      <c r="V794" s="187"/>
      <c r="W794" s="187"/>
      <c r="X794" s="187"/>
      <c r="Y794" s="187"/>
      <c r="Z794" s="187"/>
      <c r="AA794" s="187"/>
      <c r="AB794" s="187"/>
      <c r="AC794" s="187"/>
      <c r="AD794" s="187"/>
      <c r="AE794" s="187"/>
      <c r="AF794" s="187"/>
    </row>
    <row r="795" spans="1:32" ht="20.399999999999999">
      <c r="A795" s="760"/>
      <c r="B795" s="700" t="s">
        <v>772</v>
      </c>
      <c r="C795" s="663" t="s">
        <v>320</v>
      </c>
      <c r="D795" s="678" t="s">
        <v>1978</v>
      </c>
      <c r="E795" s="700" t="s">
        <v>1914</v>
      </c>
      <c r="F795" s="679">
        <v>2223</v>
      </c>
      <c r="G795" s="665" t="s">
        <v>341</v>
      </c>
      <c r="H795" s="660"/>
      <c r="I795" s="875">
        <v>330</v>
      </c>
      <c r="J795" s="1494" t="s">
        <v>1134</v>
      </c>
      <c r="K795" s="667"/>
      <c r="L795" s="660"/>
      <c r="M795" s="875">
        <v>330</v>
      </c>
      <c r="N795" s="359"/>
      <c r="O795" s="187"/>
      <c r="P795" s="187"/>
      <c r="Q795" s="187"/>
      <c r="R795" s="187"/>
      <c r="S795" s="187"/>
      <c r="T795" s="187"/>
      <c r="U795" s="187"/>
      <c r="V795" s="187"/>
      <c r="W795" s="187"/>
      <c r="X795" s="187"/>
      <c r="Y795" s="187"/>
      <c r="Z795" s="187"/>
      <c r="AA795" s="187"/>
      <c r="AB795" s="187"/>
      <c r="AC795" s="187"/>
      <c r="AD795" s="187"/>
      <c r="AE795" s="187"/>
      <c r="AF795" s="187"/>
    </row>
    <row r="796" spans="1:32">
      <c r="A796" s="760"/>
      <c r="B796" s="700" t="s">
        <v>772</v>
      </c>
      <c r="C796" s="663" t="s">
        <v>320</v>
      </c>
      <c r="D796" s="678" t="s">
        <v>1978</v>
      </c>
      <c r="E796" s="700" t="s">
        <v>1914</v>
      </c>
      <c r="F796" s="679">
        <v>2223</v>
      </c>
      <c r="G796" s="665" t="s">
        <v>342</v>
      </c>
      <c r="H796" s="660"/>
      <c r="I796" s="875">
        <v>2643</v>
      </c>
      <c r="J796" s="1494" t="s">
        <v>1134</v>
      </c>
      <c r="K796" s="667"/>
      <c r="L796" s="660"/>
      <c r="M796" s="875">
        <v>2643</v>
      </c>
      <c r="N796" s="359"/>
      <c r="O796" s="187"/>
      <c r="P796" s="187"/>
      <c r="Q796" s="187"/>
      <c r="R796" s="187"/>
      <c r="S796" s="187"/>
      <c r="T796" s="187"/>
      <c r="U796" s="187"/>
      <c r="V796" s="187"/>
      <c r="W796" s="187"/>
      <c r="X796" s="187"/>
      <c r="Y796" s="187"/>
      <c r="Z796" s="187"/>
      <c r="AA796" s="187"/>
      <c r="AB796" s="187"/>
      <c r="AC796" s="187"/>
      <c r="AD796" s="187"/>
      <c r="AE796" s="187"/>
      <c r="AF796" s="187"/>
    </row>
    <row r="797" spans="1:32" ht="20.399999999999999">
      <c r="A797" s="849"/>
      <c r="B797" s="720" t="s">
        <v>772</v>
      </c>
      <c r="C797" s="683" t="s">
        <v>322</v>
      </c>
      <c r="D797" s="719" t="s">
        <v>1978</v>
      </c>
      <c r="E797" s="720" t="s">
        <v>1914</v>
      </c>
      <c r="F797" s="685">
        <v>2233</v>
      </c>
      <c r="G797" s="686" t="s">
        <v>180</v>
      </c>
      <c r="H797" s="689">
        <v>463</v>
      </c>
      <c r="I797" s="689"/>
      <c r="J797" s="1494">
        <v>0</v>
      </c>
      <c r="K797" s="727"/>
      <c r="L797" s="689">
        <v>2500</v>
      </c>
      <c r="M797" s="689"/>
      <c r="N797" s="359"/>
      <c r="O797" s="187"/>
      <c r="P797" s="187"/>
      <c r="Q797" s="187"/>
      <c r="R797" s="187"/>
      <c r="S797" s="187"/>
      <c r="T797" s="187"/>
      <c r="U797" s="187"/>
      <c r="V797" s="187"/>
      <c r="W797" s="187"/>
      <c r="X797" s="187"/>
      <c r="Y797" s="187"/>
      <c r="Z797" s="187"/>
      <c r="AA797" s="187"/>
      <c r="AB797" s="187"/>
      <c r="AC797" s="187"/>
      <c r="AD797" s="187"/>
      <c r="AE797" s="187"/>
      <c r="AF797" s="187"/>
    </row>
    <row r="798" spans="1:32" ht="20.399999999999999">
      <c r="A798" s="760"/>
      <c r="B798" s="700" t="s">
        <v>772</v>
      </c>
      <c r="C798" s="663" t="s">
        <v>322</v>
      </c>
      <c r="D798" s="678" t="s">
        <v>1978</v>
      </c>
      <c r="E798" s="700" t="s">
        <v>1914</v>
      </c>
      <c r="F798" s="679">
        <v>2233</v>
      </c>
      <c r="G798" s="665" t="s">
        <v>822</v>
      </c>
      <c r="H798" s="660"/>
      <c r="I798" s="660">
        <v>2500</v>
      </c>
      <c r="J798" s="1494" t="s">
        <v>1134</v>
      </c>
      <c r="K798" s="667"/>
      <c r="L798" s="660"/>
      <c r="M798" s="660">
        <v>2500</v>
      </c>
      <c r="N798" s="359"/>
      <c r="O798" s="187"/>
      <c r="P798" s="187"/>
      <c r="Q798" s="187"/>
      <c r="R798" s="187"/>
      <c r="S798" s="187"/>
      <c r="T798" s="187"/>
      <c r="U798" s="187"/>
      <c r="V798" s="187"/>
      <c r="W798" s="187"/>
      <c r="X798" s="187"/>
      <c r="Y798" s="187"/>
      <c r="Z798" s="187"/>
      <c r="AA798" s="187"/>
      <c r="AB798" s="187"/>
      <c r="AC798" s="187"/>
      <c r="AD798" s="187"/>
      <c r="AE798" s="187"/>
      <c r="AF798" s="187"/>
    </row>
    <row r="799" spans="1:32" ht="30.6">
      <c r="A799" s="1145"/>
      <c r="B799" s="700" t="s">
        <v>772</v>
      </c>
      <c r="C799" s="663" t="s">
        <v>322</v>
      </c>
      <c r="D799" s="678" t="s">
        <v>1978</v>
      </c>
      <c r="E799" s="700" t="s">
        <v>1914</v>
      </c>
      <c r="F799" s="679">
        <v>2233</v>
      </c>
      <c r="G799" s="1129" t="s">
        <v>3084</v>
      </c>
      <c r="H799" s="1130"/>
      <c r="I799" s="1130">
        <v>-787</v>
      </c>
      <c r="J799" s="1494" t="s">
        <v>1134</v>
      </c>
      <c r="K799" s="1132"/>
      <c r="L799" s="1130"/>
      <c r="M799" s="1130"/>
      <c r="N799" s="359"/>
      <c r="O799" s="187"/>
      <c r="P799" s="187"/>
      <c r="Q799" s="187"/>
      <c r="R799" s="187"/>
      <c r="S799" s="187"/>
      <c r="T799" s="187"/>
      <c r="U799" s="187"/>
      <c r="V799" s="187"/>
      <c r="W799" s="187"/>
      <c r="X799" s="187"/>
      <c r="Y799" s="187"/>
      <c r="Z799" s="187"/>
      <c r="AA799" s="187"/>
      <c r="AB799" s="187"/>
      <c r="AC799" s="187"/>
      <c r="AD799" s="187"/>
      <c r="AE799" s="187"/>
      <c r="AF799" s="187"/>
    </row>
    <row r="800" spans="1:32" ht="40.799999999999997">
      <c r="A800" s="1297"/>
      <c r="B800" s="700" t="s">
        <v>772</v>
      </c>
      <c r="C800" s="663" t="s">
        <v>322</v>
      </c>
      <c r="D800" s="678" t="s">
        <v>1978</v>
      </c>
      <c r="E800" s="700" t="s">
        <v>1914</v>
      </c>
      <c r="F800" s="679">
        <v>2233</v>
      </c>
      <c r="G800" s="1264" t="s">
        <v>3116</v>
      </c>
      <c r="H800" s="1425"/>
      <c r="I800" s="1425">
        <v>-1700</v>
      </c>
      <c r="J800" s="1494" t="s">
        <v>1134</v>
      </c>
      <c r="K800" s="1426"/>
      <c r="L800" s="1425"/>
      <c r="M800" s="1425"/>
      <c r="N800" s="359" t="s">
        <v>3694</v>
      </c>
      <c r="O800" s="187"/>
      <c r="P800" s="187"/>
      <c r="Q800" s="187"/>
      <c r="R800" s="187"/>
      <c r="S800" s="187"/>
      <c r="T800" s="187"/>
      <c r="U800" s="187"/>
      <c r="V800" s="187"/>
      <c r="W800" s="187"/>
      <c r="X800" s="187"/>
      <c r="Y800" s="187"/>
      <c r="Z800" s="187"/>
      <c r="AA800" s="187"/>
      <c r="AB800" s="187"/>
      <c r="AC800" s="187"/>
      <c r="AD800" s="187"/>
      <c r="AE800" s="187"/>
      <c r="AF800" s="187"/>
    </row>
    <row r="801" spans="1:32" ht="11.4" customHeight="1">
      <c r="A801" s="1704"/>
      <c r="B801" s="700" t="s">
        <v>772</v>
      </c>
      <c r="C801" s="663" t="s">
        <v>322</v>
      </c>
      <c r="D801" s="678" t="s">
        <v>1978</v>
      </c>
      <c r="E801" s="700" t="s">
        <v>1914</v>
      </c>
      <c r="F801" s="679">
        <v>2233</v>
      </c>
      <c r="G801" s="1671" t="s">
        <v>4138</v>
      </c>
      <c r="H801" s="1834"/>
      <c r="I801" s="1834">
        <v>450</v>
      </c>
      <c r="J801" s="1673"/>
      <c r="K801" s="1835"/>
      <c r="L801" s="1836"/>
      <c r="M801" s="1834"/>
      <c r="N801" s="176"/>
      <c r="O801" s="187"/>
      <c r="P801" s="187"/>
      <c r="Q801" s="187"/>
      <c r="R801" s="187"/>
      <c r="S801" s="187"/>
      <c r="T801" s="187"/>
      <c r="U801" s="187"/>
      <c r="V801" s="187"/>
      <c r="W801" s="187"/>
      <c r="X801" s="187"/>
      <c r="Y801" s="187"/>
      <c r="Z801" s="187"/>
      <c r="AA801" s="187"/>
      <c r="AB801" s="187"/>
      <c r="AC801" s="187"/>
      <c r="AD801" s="187"/>
      <c r="AE801" s="187"/>
      <c r="AF801" s="187"/>
    </row>
    <row r="802" spans="1:32">
      <c r="A802" s="849"/>
      <c r="B802" s="720" t="s">
        <v>772</v>
      </c>
      <c r="C802" s="683" t="s">
        <v>320</v>
      </c>
      <c r="D802" s="719" t="s">
        <v>1978</v>
      </c>
      <c r="E802" s="720" t="s">
        <v>1914</v>
      </c>
      <c r="F802" s="685">
        <v>2234</v>
      </c>
      <c r="G802" s="686" t="s">
        <v>120</v>
      </c>
      <c r="H802" s="689">
        <v>270</v>
      </c>
      <c r="I802" s="689"/>
      <c r="J802" s="1494">
        <v>76</v>
      </c>
      <c r="K802" s="727"/>
      <c r="L802" s="689">
        <v>270</v>
      </c>
      <c r="M802" s="689"/>
      <c r="N802" s="176"/>
      <c r="O802" s="187"/>
      <c r="P802" s="187"/>
      <c r="Q802" s="187"/>
      <c r="R802" s="187"/>
      <c r="S802" s="187"/>
      <c r="T802" s="187"/>
      <c r="U802" s="187"/>
      <c r="V802" s="187"/>
      <c r="W802" s="187"/>
      <c r="X802" s="187"/>
      <c r="Y802" s="187"/>
      <c r="Z802" s="187"/>
      <c r="AA802" s="187"/>
      <c r="AB802" s="187"/>
      <c r="AC802" s="187"/>
      <c r="AD802" s="187"/>
      <c r="AE802" s="187"/>
      <c r="AF802" s="187"/>
    </row>
    <row r="803" spans="1:32">
      <c r="A803" s="760"/>
      <c r="B803" s="700" t="s">
        <v>772</v>
      </c>
      <c r="C803" s="663" t="s">
        <v>320</v>
      </c>
      <c r="D803" s="678" t="s">
        <v>1978</v>
      </c>
      <c r="E803" s="700" t="s">
        <v>1914</v>
      </c>
      <c r="F803" s="679">
        <v>2234</v>
      </c>
      <c r="G803" s="665" t="s">
        <v>2588</v>
      </c>
      <c r="H803" s="870"/>
      <c r="I803" s="870">
        <v>270</v>
      </c>
      <c r="J803" s="1494" t="s">
        <v>1134</v>
      </c>
      <c r="K803" s="871"/>
      <c r="L803" s="870"/>
      <c r="M803" s="660">
        <v>270</v>
      </c>
      <c r="N803" s="176"/>
      <c r="O803" s="187"/>
      <c r="P803" s="187"/>
      <c r="Q803" s="187"/>
      <c r="R803" s="187"/>
      <c r="S803" s="187"/>
      <c r="T803" s="187"/>
      <c r="U803" s="187"/>
      <c r="V803" s="187"/>
      <c r="W803" s="187"/>
      <c r="X803" s="187"/>
      <c r="Y803" s="187"/>
      <c r="Z803" s="187"/>
      <c r="AA803" s="187"/>
      <c r="AB803" s="187"/>
      <c r="AC803" s="187"/>
      <c r="AD803" s="187"/>
      <c r="AE803" s="187"/>
      <c r="AF803" s="187"/>
    </row>
    <row r="804" spans="1:32">
      <c r="A804" s="849"/>
      <c r="B804" s="720" t="s">
        <v>772</v>
      </c>
      <c r="C804" s="683" t="s">
        <v>320</v>
      </c>
      <c r="D804" s="719" t="s">
        <v>1978</v>
      </c>
      <c r="E804" s="720" t="s">
        <v>1914</v>
      </c>
      <c r="F804" s="685">
        <v>2235</v>
      </c>
      <c r="G804" s="686" t="s">
        <v>931</v>
      </c>
      <c r="H804" s="689">
        <v>500</v>
      </c>
      <c r="I804" s="689"/>
      <c r="J804" s="1494">
        <v>220</v>
      </c>
      <c r="K804" s="727"/>
      <c r="L804" s="689">
        <v>400</v>
      </c>
      <c r="M804" s="689"/>
      <c r="N804" s="176"/>
      <c r="O804" s="198"/>
      <c r="P804" s="198"/>
      <c r="Q804" s="198"/>
      <c r="R804" s="198"/>
      <c r="S804" s="198"/>
      <c r="T804" s="198"/>
      <c r="U804" s="198"/>
      <c r="V804" s="198"/>
      <c r="W804" s="198"/>
      <c r="X804" s="198"/>
      <c r="Y804" s="198"/>
      <c r="Z804" s="198"/>
      <c r="AA804" s="198"/>
      <c r="AB804" s="198"/>
      <c r="AC804" s="198"/>
      <c r="AD804" s="198"/>
      <c r="AE804" s="198"/>
      <c r="AF804" s="198"/>
    </row>
    <row r="805" spans="1:32" ht="20.399999999999999">
      <c r="A805" s="760"/>
      <c r="B805" s="700" t="s">
        <v>772</v>
      </c>
      <c r="C805" s="663" t="s">
        <v>320</v>
      </c>
      <c r="D805" s="678" t="s">
        <v>1978</v>
      </c>
      <c r="E805" s="700" t="s">
        <v>1914</v>
      </c>
      <c r="F805" s="679">
        <v>2235</v>
      </c>
      <c r="G805" s="665" t="s">
        <v>3691</v>
      </c>
      <c r="H805" s="870"/>
      <c r="I805" s="870">
        <v>500</v>
      </c>
      <c r="J805" s="1494" t="s">
        <v>1134</v>
      </c>
      <c r="K805" s="871"/>
      <c r="L805" s="870"/>
      <c r="M805" s="2745">
        <v>400</v>
      </c>
      <c r="N805" s="125"/>
      <c r="O805" s="198"/>
      <c r="P805" s="198"/>
      <c r="Q805" s="198"/>
      <c r="R805" s="198"/>
      <c r="S805" s="198"/>
      <c r="T805" s="198"/>
      <c r="U805" s="198"/>
      <c r="V805" s="198"/>
      <c r="W805" s="198"/>
      <c r="X805" s="198"/>
      <c r="Y805" s="198"/>
      <c r="Z805" s="198"/>
      <c r="AA805" s="198"/>
      <c r="AB805" s="198"/>
      <c r="AC805" s="198"/>
      <c r="AD805" s="198"/>
      <c r="AE805" s="198"/>
      <c r="AF805" s="198"/>
    </row>
    <row r="806" spans="1:32">
      <c r="A806" s="1145"/>
      <c r="B806" s="700" t="s">
        <v>772</v>
      </c>
      <c r="C806" s="663" t="s">
        <v>320</v>
      </c>
      <c r="D806" s="678" t="s">
        <v>1978</v>
      </c>
      <c r="E806" s="700" t="s">
        <v>1914</v>
      </c>
      <c r="F806" s="679">
        <v>2235</v>
      </c>
      <c r="G806" s="1129"/>
      <c r="H806" s="1440"/>
      <c r="I806" s="1440">
        <v>0</v>
      </c>
      <c r="J806" s="1494" t="s">
        <v>1134</v>
      </c>
      <c r="K806" s="1441"/>
      <c r="L806" s="1440"/>
      <c r="M806" s="1440">
        <v>0</v>
      </c>
      <c r="N806" s="201"/>
      <c r="O806" s="198"/>
      <c r="P806" s="198"/>
      <c r="Q806" s="198"/>
      <c r="R806" s="198"/>
      <c r="S806" s="198"/>
      <c r="T806" s="198"/>
      <c r="U806" s="198"/>
      <c r="V806" s="198"/>
      <c r="W806" s="198"/>
      <c r="X806" s="198"/>
      <c r="Y806" s="198"/>
      <c r="Z806" s="198"/>
      <c r="AA806" s="198"/>
      <c r="AB806" s="198"/>
      <c r="AC806" s="198"/>
      <c r="AD806" s="198"/>
      <c r="AE806" s="198"/>
      <c r="AF806" s="198"/>
    </row>
    <row r="807" spans="1:32" ht="20.399999999999999">
      <c r="A807" s="849"/>
      <c r="B807" s="720" t="s">
        <v>772</v>
      </c>
      <c r="C807" s="683" t="s">
        <v>320</v>
      </c>
      <c r="D807" s="719" t="s">
        <v>1978</v>
      </c>
      <c r="E807" s="720" t="s">
        <v>1914</v>
      </c>
      <c r="F807" s="685">
        <v>2236</v>
      </c>
      <c r="G807" s="686" t="s">
        <v>1219</v>
      </c>
      <c r="H807" s="689">
        <v>750</v>
      </c>
      <c r="I807" s="689"/>
      <c r="J807" s="1494">
        <v>545</v>
      </c>
      <c r="K807" s="727"/>
      <c r="L807" s="689">
        <v>750</v>
      </c>
      <c r="M807" s="689"/>
      <c r="N807" s="359"/>
      <c r="O807" s="198"/>
      <c r="P807" s="198"/>
      <c r="Q807" s="198"/>
      <c r="R807" s="198"/>
      <c r="S807" s="198"/>
      <c r="T807" s="198"/>
      <c r="U807" s="198"/>
      <c r="V807" s="198"/>
      <c r="W807" s="198"/>
      <c r="X807" s="198"/>
      <c r="Y807" s="198"/>
      <c r="Z807" s="198"/>
      <c r="AA807" s="198"/>
      <c r="AB807" s="198"/>
      <c r="AC807" s="198"/>
      <c r="AD807" s="198"/>
      <c r="AE807" s="198"/>
      <c r="AF807" s="198"/>
    </row>
    <row r="808" spans="1:32" ht="20.399999999999999" customHeight="1">
      <c r="A808" s="760"/>
      <c r="B808" s="700" t="s">
        <v>772</v>
      </c>
      <c r="C808" s="663" t="s">
        <v>320</v>
      </c>
      <c r="D808" s="678" t="s">
        <v>1978</v>
      </c>
      <c r="E808" s="700" t="s">
        <v>1914</v>
      </c>
      <c r="F808" s="679">
        <v>2236</v>
      </c>
      <c r="G808" s="665" t="s">
        <v>3692</v>
      </c>
      <c r="H808" s="870"/>
      <c r="I808" s="870">
        <v>100</v>
      </c>
      <c r="J808" s="1494" t="s">
        <v>1134</v>
      </c>
      <c r="K808" s="871"/>
      <c r="L808" s="870"/>
      <c r="M808" s="870">
        <v>750</v>
      </c>
      <c r="N808" s="359"/>
      <c r="O808" s="187"/>
      <c r="P808" s="187"/>
      <c r="Q808" s="187"/>
      <c r="R808" s="187"/>
      <c r="S808" s="187"/>
      <c r="T808" s="187"/>
      <c r="U808" s="187"/>
      <c r="V808" s="187"/>
      <c r="W808" s="187"/>
      <c r="X808" s="187"/>
      <c r="Y808" s="187"/>
      <c r="Z808" s="187"/>
      <c r="AA808" s="187"/>
      <c r="AB808" s="187"/>
      <c r="AC808" s="187"/>
      <c r="AD808" s="187"/>
      <c r="AE808" s="187"/>
      <c r="AF808" s="187"/>
    </row>
    <row r="809" spans="1:32" ht="30.6">
      <c r="A809" s="603"/>
      <c r="B809" s="700" t="s">
        <v>772</v>
      </c>
      <c r="C809" s="663" t="s">
        <v>320</v>
      </c>
      <c r="D809" s="678" t="s">
        <v>1978</v>
      </c>
      <c r="E809" s="700" t="s">
        <v>1914</v>
      </c>
      <c r="F809" s="679">
        <v>2236</v>
      </c>
      <c r="G809" s="1153" t="s">
        <v>3048</v>
      </c>
      <c r="H809" s="1165"/>
      <c r="I809" s="1165">
        <v>650</v>
      </c>
      <c r="J809" s="1494" t="s">
        <v>1134</v>
      </c>
      <c r="K809" s="1439"/>
      <c r="L809" s="1130"/>
      <c r="M809" s="1130"/>
      <c r="N809" s="201"/>
      <c r="O809" s="187"/>
      <c r="P809" s="187"/>
      <c r="Q809" s="187"/>
      <c r="R809" s="187"/>
      <c r="S809" s="187"/>
      <c r="T809" s="187"/>
      <c r="U809" s="187"/>
      <c r="V809" s="187"/>
      <c r="W809" s="187"/>
      <c r="X809" s="187"/>
      <c r="Y809" s="187"/>
      <c r="Z809" s="187"/>
      <c r="AA809" s="187"/>
      <c r="AB809" s="187"/>
      <c r="AC809" s="187"/>
      <c r="AD809" s="187"/>
      <c r="AE809" s="187"/>
      <c r="AF809" s="187"/>
    </row>
    <row r="810" spans="1:32">
      <c r="A810" s="849"/>
      <c r="B810" s="720" t="s">
        <v>772</v>
      </c>
      <c r="C810" s="683" t="s">
        <v>322</v>
      </c>
      <c r="D810" s="719" t="s">
        <v>1978</v>
      </c>
      <c r="E810" s="720" t="s">
        <v>1914</v>
      </c>
      <c r="F810" s="685">
        <v>2239</v>
      </c>
      <c r="G810" s="686" t="s">
        <v>144</v>
      </c>
      <c r="H810" s="689">
        <v>1580</v>
      </c>
      <c r="I810" s="689"/>
      <c r="J810" s="1494"/>
      <c r="K810" s="727"/>
      <c r="L810" s="689">
        <v>1810</v>
      </c>
      <c r="M810" s="687"/>
      <c r="N810" s="201"/>
      <c r="O810" s="198"/>
      <c r="P810" s="198"/>
      <c r="Q810" s="198"/>
      <c r="R810" s="198"/>
      <c r="S810" s="198"/>
      <c r="T810" s="198"/>
      <c r="U810" s="198"/>
      <c r="V810" s="198"/>
      <c r="W810" s="198"/>
      <c r="X810" s="198"/>
      <c r="Y810" s="198"/>
      <c r="Z810" s="198"/>
      <c r="AA810" s="198"/>
      <c r="AB810" s="198"/>
      <c r="AC810" s="198"/>
      <c r="AD810" s="198"/>
      <c r="AE810" s="198"/>
      <c r="AF810" s="198"/>
    </row>
    <row r="811" spans="1:32" ht="20.399999999999999">
      <c r="A811" s="760"/>
      <c r="B811" s="700" t="s">
        <v>772</v>
      </c>
      <c r="C811" s="663" t="s">
        <v>322</v>
      </c>
      <c r="D811" s="678" t="s">
        <v>1978</v>
      </c>
      <c r="E811" s="700" t="s">
        <v>1914</v>
      </c>
      <c r="F811" s="679">
        <v>2239</v>
      </c>
      <c r="G811" s="665" t="s">
        <v>1390</v>
      </c>
      <c r="H811" s="870"/>
      <c r="I811" s="870">
        <v>900</v>
      </c>
      <c r="J811" s="1494"/>
      <c r="K811" s="871"/>
      <c r="L811" s="1469"/>
      <c r="M811" s="870">
        <v>900</v>
      </c>
      <c r="N811" s="201"/>
      <c r="O811" s="198"/>
      <c r="P811" s="198"/>
      <c r="Q811" s="198"/>
      <c r="R811" s="198"/>
      <c r="S811" s="198"/>
      <c r="T811" s="198"/>
      <c r="U811" s="198"/>
      <c r="V811" s="198"/>
      <c r="W811" s="198"/>
      <c r="X811" s="198"/>
      <c r="Y811" s="198"/>
      <c r="Z811" s="198"/>
      <c r="AA811" s="198"/>
      <c r="AB811" s="198"/>
      <c r="AC811" s="198"/>
      <c r="AD811" s="198"/>
      <c r="AE811" s="198"/>
      <c r="AF811" s="198"/>
    </row>
    <row r="812" spans="1:32">
      <c r="A812" s="760"/>
      <c r="B812" s="700" t="s">
        <v>772</v>
      </c>
      <c r="C812" s="663" t="s">
        <v>322</v>
      </c>
      <c r="D812" s="678" t="s">
        <v>1978</v>
      </c>
      <c r="E812" s="700" t="s">
        <v>1914</v>
      </c>
      <c r="F812" s="679">
        <v>2239</v>
      </c>
      <c r="G812" s="665" t="s">
        <v>152</v>
      </c>
      <c r="H812" s="870"/>
      <c r="I812" s="870">
        <v>300</v>
      </c>
      <c r="J812" s="1494" t="s">
        <v>1134</v>
      </c>
      <c r="K812" s="871"/>
      <c r="L812" s="1469"/>
      <c r="M812" s="870">
        <v>300</v>
      </c>
      <c r="N812" s="201"/>
      <c r="O812" s="198"/>
      <c r="P812" s="198"/>
      <c r="Q812" s="198"/>
      <c r="R812" s="198"/>
      <c r="S812" s="198"/>
      <c r="T812" s="198"/>
      <c r="U812" s="198"/>
      <c r="V812" s="198"/>
      <c r="W812" s="198"/>
      <c r="X812" s="198"/>
      <c r="Y812" s="198"/>
      <c r="Z812" s="198"/>
      <c r="AA812" s="198"/>
      <c r="AB812" s="198"/>
      <c r="AC812" s="198"/>
      <c r="AD812" s="198"/>
      <c r="AE812" s="198"/>
      <c r="AF812" s="198"/>
    </row>
    <row r="813" spans="1:32">
      <c r="A813" s="760"/>
      <c r="B813" s="700" t="s">
        <v>772</v>
      </c>
      <c r="C813" s="663" t="s">
        <v>322</v>
      </c>
      <c r="D813" s="678" t="s">
        <v>1978</v>
      </c>
      <c r="E813" s="700" t="s">
        <v>1914</v>
      </c>
      <c r="F813" s="679">
        <v>2239</v>
      </c>
      <c r="G813" s="665" t="s">
        <v>523</v>
      </c>
      <c r="H813" s="870"/>
      <c r="I813" s="870">
        <v>100</v>
      </c>
      <c r="J813" s="1494" t="s">
        <v>1134</v>
      </c>
      <c r="K813" s="871"/>
      <c r="L813" s="1469"/>
      <c r="M813" s="870">
        <v>100</v>
      </c>
      <c r="N813" s="1506"/>
      <c r="O813" s="198"/>
      <c r="P813" s="198"/>
      <c r="Q813" s="198"/>
      <c r="R813" s="198"/>
      <c r="S813" s="198"/>
      <c r="T813" s="198"/>
      <c r="U813" s="198"/>
      <c r="V813" s="198"/>
      <c r="W813" s="198"/>
      <c r="X813" s="198"/>
      <c r="Y813" s="198"/>
      <c r="Z813" s="198"/>
      <c r="AA813" s="198"/>
      <c r="AB813" s="198"/>
      <c r="AC813" s="198"/>
      <c r="AD813" s="198"/>
      <c r="AE813" s="198"/>
      <c r="AF813" s="198"/>
    </row>
    <row r="814" spans="1:32" ht="40.799999999999997">
      <c r="A814" s="760"/>
      <c r="B814" s="700" t="s">
        <v>772</v>
      </c>
      <c r="C814" s="663" t="s">
        <v>320</v>
      </c>
      <c r="D814" s="678" t="s">
        <v>1978</v>
      </c>
      <c r="E814" s="700" t="s">
        <v>1914</v>
      </c>
      <c r="F814" s="679">
        <v>2239</v>
      </c>
      <c r="G814" s="665" t="s">
        <v>186</v>
      </c>
      <c r="H814" s="870"/>
      <c r="I814" s="870">
        <v>110</v>
      </c>
      <c r="J814" s="1494" t="s">
        <v>1134</v>
      </c>
      <c r="K814" s="871"/>
      <c r="L814" s="1469"/>
      <c r="M814" s="870">
        <v>110</v>
      </c>
      <c r="N814" s="1506"/>
      <c r="O814" s="187"/>
      <c r="P814" s="187"/>
      <c r="Q814" s="187"/>
      <c r="R814" s="187"/>
      <c r="S814" s="187"/>
      <c r="T814" s="187"/>
      <c r="U814" s="187"/>
      <c r="V814" s="187"/>
      <c r="W814" s="187"/>
      <c r="X814" s="187"/>
      <c r="Y814" s="187"/>
      <c r="Z814" s="187"/>
      <c r="AA814" s="187"/>
      <c r="AB814" s="187"/>
      <c r="AC814" s="187"/>
      <c r="AD814" s="187"/>
      <c r="AE814" s="187"/>
      <c r="AF814" s="187"/>
    </row>
    <row r="815" spans="1:32" ht="20.399999999999999" customHeight="1">
      <c r="A815" s="760"/>
      <c r="B815" s="700" t="s">
        <v>772</v>
      </c>
      <c r="C815" s="663" t="s">
        <v>320</v>
      </c>
      <c r="D815" s="678" t="s">
        <v>1978</v>
      </c>
      <c r="E815" s="700" t="s">
        <v>1914</v>
      </c>
      <c r="F815" s="679">
        <v>2239</v>
      </c>
      <c r="G815" s="665" t="s">
        <v>3693</v>
      </c>
      <c r="H815" s="870"/>
      <c r="I815" s="870">
        <v>400</v>
      </c>
      <c r="J815" s="1494" t="s">
        <v>1134</v>
      </c>
      <c r="K815" s="871"/>
      <c r="L815" s="1469"/>
      <c r="M815" s="870">
        <v>400</v>
      </c>
      <c r="N815" s="7"/>
      <c r="O815" s="187"/>
      <c r="P815" s="187"/>
      <c r="Q815" s="187"/>
      <c r="R815" s="187"/>
      <c r="S815" s="187"/>
      <c r="T815" s="187"/>
      <c r="U815" s="187"/>
      <c r="V815" s="187"/>
      <c r="W815" s="187"/>
      <c r="X815" s="187"/>
      <c r="Y815" s="187"/>
      <c r="Z815" s="187"/>
      <c r="AA815" s="187"/>
      <c r="AB815" s="187"/>
      <c r="AC815" s="187"/>
      <c r="AD815" s="187"/>
      <c r="AE815" s="187"/>
      <c r="AF815" s="187"/>
    </row>
    <row r="816" spans="1:32">
      <c r="A816" s="1297"/>
      <c r="B816" s="700" t="s">
        <v>772</v>
      </c>
      <c r="C816" s="663" t="s">
        <v>320</v>
      </c>
      <c r="D816" s="678" t="s">
        <v>1978</v>
      </c>
      <c r="E816" s="700" t="s">
        <v>1914</v>
      </c>
      <c r="F816" s="679">
        <v>2239</v>
      </c>
      <c r="G816" s="1264" t="s">
        <v>3083</v>
      </c>
      <c r="H816" s="1425"/>
      <c r="I816" s="1425">
        <v>-110</v>
      </c>
      <c r="J816" s="1494" t="s">
        <v>1134</v>
      </c>
      <c r="K816" s="1426"/>
      <c r="L816" s="1471"/>
      <c r="M816" s="1471"/>
      <c r="N816" s="359"/>
      <c r="O816" s="187"/>
      <c r="P816" s="187"/>
      <c r="Q816" s="187"/>
      <c r="R816" s="187"/>
      <c r="S816" s="187"/>
      <c r="T816" s="187"/>
      <c r="U816" s="187"/>
      <c r="V816" s="187"/>
      <c r="W816" s="187"/>
      <c r="X816" s="187"/>
      <c r="Y816" s="187"/>
      <c r="Z816" s="187"/>
      <c r="AA816" s="187"/>
      <c r="AB816" s="187"/>
      <c r="AC816" s="187"/>
      <c r="AD816" s="187"/>
      <c r="AE816" s="187"/>
      <c r="AF816" s="187"/>
    </row>
    <row r="817" spans="1:32" ht="20.399999999999999" customHeight="1">
      <c r="A817" s="1297"/>
      <c r="B817" s="700" t="s">
        <v>772</v>
      </c>
      <c r="C817" s="663" t="s">
        <v>320</v>
      </c>
      <c r="D817" s="678" t="s">
        <v>1978</v>
      </c>
      <c r="E817" s="700" t="s">
        <v>1914</v>
      </c>
      <c r="F817" s="679">
        <v>2239</v>
      </c>
      <c r="G817" s="1264" t="s">
        <v>3031</v>
      </c>
      <c r="H817" s="1425"/>
      <c r="I817" s="1425">
        <v>-120</v>
      </c>
      <c r="J817" s="1494" t="s">
        <v>1134</v>
      </c>
      <c r="K817" s="1426"/>
      <c r="L817" s="1471"/>
      <c r="M817" s="1471"/>
      <c r="N817" s="359"/>
      <c r="O817" s="198"/>
      <c r="P817" s="198"/>
      <c r="Q817" s="198"/>
      <c r="R817" s="198"/>
      <c r="S817" s="198"/>
      <c r="T817" s="198"/>
      <c r="U817" s="198"/>
      <c r="V817" s="198"/>
      <c r="W817" s="198"/>
      <c r="X817" s="198"/>
      <c r="Y817" s="198"/>
      <c r="Z817" s="198"/>
      <c r="AA817" s="198"/>
      <c r="AB817" s="198"/>
      <c r="AC817" s="198"/>
      <c r="AD817" s="198"/>
      <c r="AE817" s="198"/>
      <c r="AF817" s="198"/>
    </row>
    <row r="818" spans="1:32">
      <c r="A818" s="876"/>
      <c r="B818" s="3129" t="s">
        <v>823</v>
      </c>
      <c r="C818" s="683" t="s">
        <v>322</v>
      </c>
      <c r="D818" s="719" t="s">
        <v>1978</v>
      </c>
      <c r="E818" s="720" t="s">
        <v>1914</v>
      </c>
      <c r="F818" s="694">
        <v>2239</v>
      </c>
      <c r="G818" s="686" t="s">
        <v>1392</v>
      </c>
      <c r="H818" s="689">
        <v>48536</v>
      </c>
      <c r="I818" s="689"/>
      <c r="J818" s="1494">
        <v>35782</v>
      </c>
      <c r="K818" s="727"/>
      <c r="L818" s="689">
        <v>72130</v>
      </c>
      <c r="M818" s="689"/>
      <c r="N818" s="125"/>
      <c r="O818" s="198"/>
      <c r="P818" s="198"/>
      <c r="Q818" s="198"/>
      <c r="R818" s="198"/>
      <c r="S818" s="198"/>
      <c r="T818" s="198"/>
      <c r="U818" s="198"/>
      <c r="V818" s="198"/>
      <c r="W818" s="198"/>
      <c r="X818" s="198"/>
      <c r="Y818" s="198"/>
      <c r="Z818" s="198"/>
      <c r="AA818" s="198"/>
      <c r="AB818" s="198"/>
      <c r="AC818" s="198"/>
      <c r="AD818" s="198"/>
      <c r="AE818" s="198"/>
      <c r="AF818" s="198"/>
    </row>
    <row r="819" spans="1:32">
      <c r="A819" s="760"/>
      <c r="B819" s="3130" t="s">
        <v>823</v>
      </c>
      <c r="C819" s="663" t="s">
        <v>322</v>
      </c>
      <c r="D819" s="678" t="s">
        <v>1978</v>
      </c>
      <c r="E819" s="700" t="s">
        <v>1914</v>
      </c>
      <c r="F819" s="679">
        <v>2239</v>
      </c>
      <c r="G819" s="665" t="s">
        <v>1221</v>
      </c>
      <c r="H819" s="870"/>
      <c r="I819" s="870">
        <v>43880</v>
      </c>
      <c r="J819" s="1494" t="s">
        <v>1134</v>
      </c>
      <c r="K819" s="871"/>
      <c r="L819" s="1469"/>
      <c r="M819" s="870">
        <v>43880</v>
      </c>
      <c r="N819" s="1506" t="s">
        <v>3700</v>
      </c>
      <c r="O819" s="187"/>
      <c r="P819" s="187"/>
      <c r="Q819" s="187"/>
      <c r="R819" s="187"/>
      <c r="S819" s="187"/>
      <c r="T819" s="187"/>
      <c r="U819" s="187"/>
      <c r="V819" s="187"/>
      <c r="W819" s="187"/>
      <c r="X819" s="187"/>
      <c r="Y819" s="187"/>
      <c r="Z819" s="187"/>
      <c r="AA819" s="187"/>
      <c r="AB819" s="187"/>
      <c r="AC819" s="187"/>
      <c r="AD819" s="187"/>
      <c r="AE819" s="187"/>
      <c r="AF819" s="187"/>
    </row>
    <row r="820" spans="1:32" ht="20.399999999999999" customHeight="1">
      <c r="A820" s="1145"/>
      <c r="B820" s="3130" t="s">
        <v>823</v>
      </c>
      <c r="C820" s="663" t="s">
        <v>322</v>
      </c>
      <c r="D820" s="678" t="s">
        <v>1978</v>
      </c>
      <c r="E820" s="700" t="s">
        <v>1914</v>
      </c>
      <c r="F820" s="679">
        <v>2239</v>
      </c>
      <c r="G820" s="1129" t="s">
        <v>3163</v>
      </c>
      <c r="H820" s="1130"/>
      <c r="I820" s="1130">
        <v>-339</v>
      </c>
      <c r="J820" s="1494" t="s">
        <v>1134</v>
      </c>
      <c r="K820" s="1132"/>
      <c r="L820" s="1115"/>
      <c r="M820" s="1130"/>
      <c r="N820" s="654"/>
      <c r="O820" s="4"/>
      <c r="P820" s="4"/>
      <c r="Q820" s="4"/>
      <c r="R820" s="4"/>
      <c r="S820" s="4"/>
      <c r="T820" s="4"/>
      <c r="U820" s="4"/>
      <c r="V820" s="4"/>
      <c r="W820" s="4"/>
      <c r="X820" s="4"/>
      <c r="Y820" s="4"/>
      <c r="Z820" s="4"/>
      <c r="AA820" s="4"/>
      <c r="AB820" s="4"/>
      <c r="AC820" s="4"/>
      <c r="AD820" s="4"/>
      <c r="AE820" s="4"/>
      <c r="AF820" s="4"/>
    </row>
    <row r="821" spans="1:32" ht="40.799999999999997">
      <c r="A821" s="760"/>
      <c r="B821" s="3130" t="s">
        <v>823</v>
      </c>
      <c r="C821" s="663" t="s">
        <v>322</v>
      </c>
      <c r="D821" s="678" t="s">
        <v>1978</v>
      </c>
      <c r="E821" s="700" t="s">
        <v>1914</v>
      </c>
      <c r="F821" s="679">
        <v>2239</v>
      </c>
      <c r="G821" s="665" t="s">
        <v>3204</v>
      </c>
      <c r="H821" s="870"/>
      <c r="I821" s="870">
        <v>-600</v>
      </c>
      <c r="J821" s="1494" t="s">
        <v>1134</v>
      </c>
      <c r="K821" s="871"/>
      <c r="L821" s="1469"/>
      <c r="M821" s="870"/>
      <c r="N821" s="7"/>
      <c r="O821" s="198"/>
      <c r="P821" s="198"/>
      <c r="Q821" s="198"/>
      <c r="R821" s="198"/>
      <c r="S821" s="198"/>
      <c r="T821" s="198"/>
      <c r="U821" s="198"/>
      <c r="V821" s="198"/>
      <c r="W821" s="198"/>
      <c r="X821" s="198"/>
      <c r="Y821" s="198"/>
      <c r="Z821" s="198"/>
      <c r="AA821" s="198"/>
      <c r="AB821" s="198"/>
      <c r="AC821" s="198"/>
      <c r="AD821" s="198"/>
      <c r="AE821" s="198"/>
      <c r="AF821" s="198"/>
    </row>
    <row r="822" spans="1:32" ht="30.6">
      <c r="A822" s="760"/>
      <c r="B822" s="3130" t="s">
        <v>823</v>
      </c>
      <c r="C822" s="663" t="s">
        <v>322</v>
      </c>
      <c r="D822" s="678" t="s">
        <v>1978</v>
      </c>
      <c r="E822" s="700" t="s">
        <v>1914</v>
      </c>
      <c r="F822" s="679">
        <v>2239</v>
      </c>
      <c r="G822" s="665" t="s">
        <v>3205</v>
      </c>
      <c r="H822" s="870"/>
      <c r="I822" s="870">
        <v>-545</v>
      </c>
      <c r="J822" s="1494" t="s">
        <v>1134</v>
      </c>
      <c r="K822" s="871"/>
      <c r="L822" s="1469"/>
      <c r="M822" s="870"/>
      <c r="N822" s="7"/>
      <c r="O822" s="198"/>
      <c r="P822" s="198"/>
      <c r="Q822" s="198"/>
      <c r="R822" s="198"/>
      <c r="S822" s="198"/>
      <c r="T822" s="198"/>
      <c r="U822" s="198"/>
      <c r="V822" s="198"/>
      <c r="W822" s="198"/>
      <c r="X822" s="198"/>
      <c r="Y822" s="198"/>
      <c r="Z822" s="198"/>
      <c r="AA822" s="198"/>
      <c r="AB822" s="198"/>
      <c r="AC822" s="198"/>
      <c r="AD822" s="198"/>
      <c r="AE822" s="198"/>
      <c r="AF822" s="198"/>
    </row>
    <row r="823" spans="1:32" ht="81.599999999999994">
      <c r="A823" s="760"/>
      <c r="B823" s="3130" t="s">
        <v>823</v>
      </c>
      <c r="C823" s="663" t="s">
        <v>322</v>
      </c>
      <c r="D823" s="678" t="s">
        <v>1978</v>
      </c>
      <c r="E823" s="700" t="s">
        <v>1914</v>
      </c>
      <c r="F823" s="679">
        <v>2239</v>
      </c>
      <c r="G823" s="665" t="s">
        <v>3290</v>
      </c>
      <c r="H823" s="870"/>
      <c r="I823" s="870">
        <v>-5000</v>
      </c>
      <c r="J823" s="1494" t="s">
        <v>1134</v>
      </c>
      <c r="K823" s="871"/>
      <c r="L823" s="1469"/>
      <c r="M823" s="870"/>
      <c r="N823" s="7"/>
      <c r="O823" s="198"/>
      <c r="P823" s="198"/>
      <c r="Q823" s="198"/>
      <c r="R823" s="198"/>
      <c r="S823" s="198"/>
      <c r="T823" s="198"/>
      <c r="U823" s="198"/>
      <c r="V823" s="198"/>
      <c r="W823" s="198"/>
      <c r="X823" s="198"/>
      <c r="Y823" s="198"/>
      <c r="Z823" s="198"/>
      <c r="AA823" s="198"/>
      <c r="AB823" s="198"/>
      <c r="AC823" s="198"/>
      <c r="AD823" s="198"/>
      <c r="AE823" s="198"/>
      <c r="AF823" s="198"/>
    </row>
    <row r="824" spans="1:32" ht="20.399999999999999">
      <c r="A824" s="1704"/>
      <c r="B824" s="3130" t="s">
        <v>823</v>
      </c>
      <c r="C824" s="663" t="s">
        <v>322</v>
      </c>
      <c r="D824" s="678" t="s">
        <v>1978</v>
      </c>
      <c r="E824" s="700" t="s">
        <v>1914</v>
      </c>
      <c r="F824" s="679">
        <v>2239</v>
      </c>
      <c r="G824" s="1671" t="s">
        <v>4137</v>
      </c>
      <c r="H824" s="1834"/>
      <c r="I824" s="1834">
        <v>-660</v>
      </c>
      <c r="J824" s="1673"/>
      <c r="K824" s="1835"/>
      <c r="L824" s="1836"/>
      <c r="M824" s="1834"/>
      <c r="N824" s="7" t="s">
        <v>2136</v>
      </c>
      <c r="O824" s="187"/>
      <c r="P824" s="187"/>
      <c r="Q824" s="187"/>
      <c r="R824" s="187"/>
      <c r="S824" s="187"/>
      <c r="T824" s="187"/>
      <c r="U824" s="187"/>
      <c r="V824" s="187"/>
      <c r="W824" s="187"/>
      <c r="X824" s="187"/>
      <c r="Y824" s="187"/>
      <c r="Z824" s="187"/>
      <c r="AA824" s="187"/>
      <c r="AB824" s="187"/>
      <c r="AC824" s="187"/>
      <c r="AD824" s="187"/>
      <c r="AE824" s="187"/>
      <c r="AF824" s="187"/>
    </row>
    <row r="825" spans="1:32" ht="20.399999999999999">
      <c r="A825" s="1704"/>
      <c r="B825" s="3130" t="s">
        <v>823</v>
      </c>
      <c r="C825" s="663" t="s">
        <v>322</v>
      </c>
      <c r="D825" s="678" t="s">
        <v>1978</v>
      </c>
      <c r="E825" s="700" t="s">
        <v>1914</v>
      </c>
      <c r="F825" s="679">
        <v>2239</v>
      </c>
      <c r="G825" s="1671" t="s">
        <v>4138</v>
      </c>
      <c r="H825" s="1834"/>
      <c r="I825" s="1834">
        <v>-450</v>
      </c>
      <c r="J825" s="1673"/>
      <c r="K825" s="1835"/>
      <c r="L825" s="1836"/>
      <c r="M825" s="1834"/>
      <c r="N825" s="7" t="s">
        <v>4037</v>
      </c>
      <c r="O825" s="187"/>
      <c r="P825" s="187"/>
      <c r="Q825" s="187"/>
      <c r="R825" s="187"/>
      <c r="S825" s="187"/>
      <c r="T825" s="187"/>
      <c r="U825" s="187"/>
      <c r="V825" s="187"/>
      <c r="W825" s="187"/>
      <c r="X825" s="187"/>
      <c r="Y825" s="187"/>
      <c r="Z825" s="187"/>
      <c r="AA825" s="187"/>
      <c r="AB825" s="187"/>
      <c r="AC825" s="187"/>
      <c r="AD825" s="187"/>
      <c r="AE825" s="187"/>
      <c r="AF825" s="187"/>
    </row>
    <row r="826" spans="1:32" ht="30.6">
      <c r="A826" s="760"/>
      <c r="B826" s="3130" t="s">
        <v>823</v>
      </c>
      <c r="C826" s="663" t="s">
        <v>322</v>
      </c>
      <c r="D826" s="678" t="s">
        <v>1978</v>
      </c>
      <c r="E826" s="700" t="s">
        <v>1914</v>
      </c>
      <c r="F826" s="679">
        <v>2239</v>
      </c>
      <c r="G826" s="665" t="s">
        <v>2919</v>
      </c>
      <c r="H826" s="870"/>
      <c r="I826" s="870">
        <v>11250</v>
      </c>
      <c r="J826" s="1494" t="s">
        <v>1134</v>
      </c>
      <c r="K826" s="871"/>
      <c r="L826" s="1469"/>
      <c r="M826" s="870">
        <v>11250</v>
      </c>
      <c r="N826" s="7" t="s">
        <v>3702</v>
      </c>
      <c r="O826" s="187"/>
      <c r="P826" s="187"/>
      <c r="Q826" s="187"/>
      <c r="R826" s="187"/>
      <c r="S826" s="187"/>
      <c r="T826" s="187"/>
      <c r="U826" s="187"/>
      <c r="V826" s="187"/>
      <c r="W826" s="187"/>
      <c r="X826" s="187"/>
      <c r="Y826" s="187"/>
      <c r="Z826" s="187"/>
      <c r="AA826" s="187"/>
      <c r="AB826" s="187"/>
      <c r="AC826" s="187"/>
      <c r="AD826" s="187"/>
      <c r="AE826" s="187"/>
      <c r="AF826" s="187"/>
    </row>
    <row r="827" spans="1:32" ht="20.399999999999999">
      <c r="A827" s="760"/>
      <c r="B827" s="3130" t="s">
        <v>823</v>
      </c>
      <c r="C827" s="663" t="s">
        <v>322</v>
      </c>
      <c r="D827" s="678" t="s">
        <v>1978</v>
      </c>
      <c r="E827" s="700" t="s">
        <v>1914</v>
      </c>
      <c r="F827" s="679">
        <v>2239</v>
      </c>
      <c r="G827" s="665" t="s">
        <v>3695</v>
      </c>
      <c r="H827" s="870"/>
      <c r="I827" s="870">
        <v>2500</v>
      </c>
      <c r="J827" s="1494" t="s">
        <v>1134</v>
      </c>
      <c r="K827" s="871"/>
      <c r="L827" s="1469"/>
      <c r="M827" s="870">
        <v>5000</v>
      </c>
      <c r="N827" s="125" t="s">
        <v>3704</v>
      </c>
      <c r="O827" s="187"/>
      <c r="P827" s="187"/>
      <c r="Q827" s="187"/>
      <c r="R827" s="187"/>
      <c r="S827" s="187"/>
      <c r="T827" s="187"/>
      <c r="U827" s="187"/>
      <c r="V827" s="187"/>
      <c r="W827" s="187"/>
      <c r="X827" s="187"/>
      <c r="Y827" s="187"/>
      <c r="Z827" s="187"/>
      <c r="AA827" s="187"/>
      <c r="AB827" s="187"/>
      <c r="AC827" s="187"/>
      <c r="AD827" s="187"/>
      <c r="AE827" s="187"/>
      <c r="AF827" s="187"/>
    </row>
    <row r="828" spans="1:32" ht="30.6">
      <c r="A828" s="760"/>
      <c r="B828" s="3130" t="s">
        <v>823</v>
      </c>
      <c r="C828" s="663" t="s">
        <v>322</v>
      </c>
      <c r="D828" s="678" t="s">
        <v>1978</v>
      </c>
      <c r="E828" s="700" t="s">
        <v>1914</v>
      </c>
      <c r="F828" s="679">
        <v>2239</v>
      </c>
      <c r="G828" s="665" t="s">
        <v>3696</v>
      </c>
      <c r="H828" s="870"/>
      <c r="I828" s="870">
        <v>10000</v>
      </c>
      <c r="J828" s="1494" t="s">
        <v>1134</v>
      </c>
      <c r="K828" s="871"/>
      <c r="L828" s="1469"/>
      <c r="M828" s="870">
        <v>12000</v>
      </c>
      <c r="N828" s="7"/>
      <c r="O828" s="187"/>
      <c r="P828" s="187"/>
      <c r="Q828" s="187"/>
      <c r="R828" s="187"/>
      <c r="S828" s="187"/>
      <c r="T828" s="187"/>
      <c r="U828" s="187"/>
      <c r="V828" s="187"/>
      <c r="W828" s="187"/>
      <c r="X828" s="187"/>
      <c r="Y828" s="187"/>
      <c r="Z828" s="187"/>
      <c r="AA828" s="187"/>
      <c r="AB828" s="187"/>
      <c r="AC828" s="187"/>
      <c r="AD828" s="187"/>
      <c r="AE828" s="187"/>
      <c r="AF828" s="187"/>
    </row>
    <row r="829" spans="1:32" ht="30.6">
      <c r="A829" s="1297"/>
      <c r="B829" s="3130" t="s">
        <v>823</v>
      </c>
      <c r="C829" s="663" t="s">
        <v>322</v>
      </c>
      <c r="D829" s="678" t="s">
        <v>1978</v>
      </c>
      <c r="E829" s="700" t="s">
        <v>1914</v>
      </c>
      <c r="F829" s="679">
        <v>2239</v>
      </c>
      <c r="G829" s="1264" t="s">
        <v>3076</v>
      </c>
      <c r="H829" s="1425"/>
      <c r="I829" s="1425">
        <v>-1500</v>
      </c>
      <c r="J829" s="1494" t="s">
        <v>1134</v>
      </c>
      <c r="K829" s="1426"/>
      <c r="L829" s="1471"/>
      <c r="M829" s="1471"/>
      <c r="N829" s="7" t="s">
        <v>3705</v>
      </c>
      <c r="O829" s="187"/>
      <c r="P829" s="187"/>
      <c r="Q829" s="187"/>
      <c r="R829" s="187"/>
      <c r="S829" s="187"/>
      <c r="T829" s="187"/>
      <c r="U829" s="187"/>
      <c r="V829" s="187"/>
      <c r="W829" s="187"/>
      <c r="X829" s="187"/>
      <c r="Y829" s="187"/>
      <c r="Z829" s="187"/>
      <c r="AA829" s="187"/>
      <c r="AB829" s="187"/>
      <c r="AC829" s="187"/>
      <c r="AD829" s="187"/>
      <c r="AE829" s="187"/>
      <c r="AF829" s="187"/>
    </row>
    <row r="830" spans="1:32" ht="30.6">
      <c r="A830" s="1297"/>
      <c r="B830" s="3130" t="s">
        <v>823</v>
      </c>
      <c r="C830" s="663" t="s">
        <v>322</v>
      </c>
      <c r="D830" s="678" t="s">
        <v>1978</v>
      </c>
      <c r="E830" s="700" t="s">
        <v>1914</v>
      </c>
      <c r="F830" s="679">
        <v>2239</v>
      </c>
      <c r="G830" s="1264" t="s">
        <v>3082</v>
      </c>
      <c r="H830" s="1425"/>
      <c r="I830" s="1425">
        <v>-3000</v>
      </c>
      <c r="J830" s="1494" t="s">
        <v>1134</v>
      </c>
      <c r="K830" s="1426"/>
      <c r="L830" s="1471"/>
      <c r="M830" s="1471"/>
      <c r="N830" s="7"/>
      <c r="O830" s="187"/>
      <c r="P830" s="187"/>
      <c r="Q830" s="187"/>
      <c r="R830" s="187"/>
      <c r="S830" s="187"/>
      <c r="T830" s="187"/>
      <c r="U830" s="187"/>
      <c r="V830" s="187"/>
      <c r="W830" s="187"/>
      <c r="X830" s="187"/>
      <c r="Y830" s="187"/>
      <c r="Z830" s="187"/>
      <c r="AA830" s="187"/>
      <c r="AB830" s="187"/>
      <c r="AC830" s="187"/>
      <c r="AD830" s="187"/>
      <c r="AE830" s="187"/>
      <c r="AF830" s="187"/>
    </row>
    <row r="831" spans="1:32" ht="40.799999999999997">
      <c r="A831" s="1297"/>
      <c r="B831" s="3130" t="s">
        <v>823</v>
      </c>
      <c r="C831" s="663" t="s">
        <v>322</v>
      </c>
      <c r="D831" s="678" t="s">
        <v>1978</v>
      </c>
      <c r="E831" s="700" t="s">
        <v>1914</v>
      </c>
      <c r="F831" s="679">
        <v>2239</v>
      </c>
      <c r="G831" s="1264" t="s">
        <v>3116</v>
      </c>
      <c r="H831" s="1425"/>
      <c r="I831" s="1425">
        <v>-7000</v>
      </c>
      <c r="J831" s="1494" t="s">
        <v>1134</v>
      </c>
      <c r="K831" s="1426"/>
      <c r="L831" s="1471"/>
      <c r="M831" s="1471"/>
      <c r="N831" s="125"/>
      <c r="O831" s="187"/>
      <c r="P831" s="187"/>
      <c r="Q831" s="187"/>
      <c r="R831" s="187"/>
      <c r="S831" s="187"/>
      <c r="T831" s="187"/>
      <c r="U831" s="187"/>
      <c r="V831" s="187"/>
      <c r="W831" s="187"/>
      <c r="X831" s="187"/>
      <c r="Y831" s="187"/>
      <c r="Z831" s="187"/>
      <c r="AA831" s="187"/>
      <c r="AB831" s="187"/>
      <c r="AC831" s="187"/>
      <c r="AD831" s="187"/>
      <c r="AE831" s="187"/>
      <c r="AF831" s="187"/>
    </row>
    <row r="832" spans="1:32" ht="20.399999999999999">
      <c r="A832" s="849"/>
      <c r="B832" s="720" t="s">
        <v>772</v>
      </c>
      <c r="C832" s="683" t="s">
        <v>340</v>
      </c>
      <c r="D832" s="719" t="s">
        <v>1978</v>
      </c>
      <c r="E832" s="720" t="s">
        <v>1914</v>
      </c>
      <c r="F832" s="685">
        <v>2241</v>
      </c>
      <c r="G832" s="686" t="s">
        <v>181</v>
      </c>
      <c r="H832" s="689">
        <v>4722</v>
      </c>
      <c r="I832" s="689"/>
      <c r="J832" s="1494">
        <v>4721.6400000000003</v>
      </c>
      <c r="K832" s="727"/>
      <c r="L832" s="689">
        <v>0</v>
      </c>
      <c r="M832" s="689"/>
      <c r="N832" s="190" t="s">
        <v>4038</v>
      </c>
      <c r="O832" s="187"/>
      <c r="P832" s="187"/>
      <c r="Q832" s="187"/>
      <c r="R832" s="187"/>
      <c r="S832" s="187"/>
      <c r="T832" s="187"/>
      <c r="U832" s="187"/>
      <c r="V832" s="187"/>
      <c r="W832" s="187"/>
      <c r="X832" s="187"/>
      <c r="Y832" s="187"/>
      <c r="Z832" s="187"/>
      <c r="AA832" s="187"/>
      <c r="AB832" s="187"/>
      <c r="AC832" s="187"/>
      <c r="AD832" s="187"/>
      <c r="AE832" s="187"/>
      <c r="AF832" s="187"/>
    </row>
    <row r="833" spans="1:32" ht="20.399999999999999">
      <c r="A833" s="1297"/>
      <c r="B833" s="700" t="s">
        <v>772</v>
      </c>
      <c r="C833" s="663" t="s">
        <v>340</v>
      </c>
      <c r="D833" s="678" t="s">
        <v>1978</v>
      </c>
      <c r="E833" s="700" t="s">
        <v>1914</v>
      </c>
      <c r="F833" s="679">
        <v>2241</v>
      </c>
      <c r="G833" s="1264" t="s">
        <v>3114</v>
      </c>
      <c r="H833" s="1425"/>
      <c r="I833" s="1425">
        <v>2608</v>
      </c>
      <c r="J833" s="1494" t="s">
        <v>1134</v>
      </c>
      <c r="K833" s="1426"/>
      <c r="L833" s="1425"/>
      <c r="M833" s="1425"/>
      <c r="N833" s="207" t="s">
        <v>3707</v>
      </c>
      <c r="O833" s="187"/>
      <c r="P833" s="187"/>
      <c r="Q833" s="187"/>
      <c r="R833" s="187"/>
      <c r="S833" s="187"/>
      <c r="T833" s="187"/>
      <c r="U833" s="187"/>
      <c r="V833" s="187"/>
      <c r="W833" s="187"/>
      <c r="X833" s="187"/>
      <c r="Y833" s="187"/>
      <c r="Z833" s="187"/>
      <c r="AA833" s="187"/>
      <c r="AB833" s="187"/>
      <c r="AC833" s="187"/>
      <c r="AD833" s="187"/>
      <c r="AE833" s="187"/>
      <c r="AF833" s="187"/>
    </row>
    <row r="834" spans="1:32" ht="30.6">
      <c r="A834" s="1145"/>
      <c r="B834" s="700" t="s">
        <v>772</v>
      </c>
      <c r="C834" s="663" t="s">
        <v>340</v>
      </c>
      <c r="D834" s="678" t="s">
        <v>1978</v>
      </c>
      <c r="E834" s="700" t="s">
        <v>1914</v>
      </c>
      <c r="F834" s="679">
        <v>2241</v>
      </c>
      <c r="G834" s="1129" t="s">
        <v>3207</v>
      </c>
      <c r="H834" s="1440"/>
      <c r="I834" s="1440">
        <v>2114</v>
      </c>
      <c r="J834" s="1494" t="s">
        <v>1134</v>
      </c>
      <c r="K834" s="1441"/>
      <c r="L834" s="1440"/>
      <c r="M834" s="1440"/>
      <c r="N834" s="190" t="s">
        <v>3708</v>
      </c>
      <c r="O834" s="187"/>
      <c r="P834" s="187"/>
      <c r="Q834" s="187"/>
      <c r="R834" s="187"/>
      <c r="S834" s="187"/>
      <c r="T834" s="187"/>
      <c r="U834" s="187"/>
      <c r="V834" s="187"/>
      <c r="W834" s="187"/>
      <c r="X834" s="187"/>
      <c r="Y834" s="187"/>
      <c r="Z834" s="187"/>
      <c r="AA834" s="187"/>
      <c r="AB834" s="187"/>
      <c r="AC834" s="187"/>
      <c r="AD834" s="187"/>
      <c r="AE834" s="187"/>
      <c r="AF834" s="187"/>
    </row>
    <row r="835" spans="1:32" ht="20.399999999999999">
      <c r="A835" s="849"/>
      <c r="B835" s="720" t="s">
        <v>772</v>
      </c>
      <c r="C835" s="683" t="s">
        <v>320</v>
      </c>
      <c r="D835" s="719" t="s">
        <v>1978</v>
      </c>
      <c r="E835" s="720" t="s">
        <v>1914</v>
      </c>
      <c r="F835" s="685">
        <v>2243</v>
      </c>
      <c r="G835" s="686" t="s">
        <v>182</v>
      </c>
      <c r="H835" s="689">
        <v>200</v>
      </c>
      <c r="I835" s="689"/>
      <c r="J835" s="1494">
        <v>0</v>
      </c>
      <c r="K835" s="727"/>
      <c r="L835" s="689">
        <v>200</v>
      </c>
      <c r="M835" s="689"/>
      <c r="N835" s="359" t="s">
        <v>3709</v>
      </c>
      <c r="O835" s="187"/>
      <c r="P835" s="187"/>
      <c r="Q835" s="187"/>
      <c r="R835" s="187"/>
      <c r="S835" s="187"/>
      <c r="T835" s="187"/>
      <c r="U835" s="187"/>
      <c r="V835" s="187"/>
      <c r="W835" s="187"/>
      <c r="X835" s="187"/>
      <c r="Y835" s="187"/>
      <c r="Z835" s="187"/>
      <c r="AA835" s="187"/>
      <c r="AB835" s="187"/>
      <c r="AC835" s="187"/>
      <c r="AD835" s="187"/>
      <c r="AE835" s="187"/>
      <c r="AF835" s="187"/>
    </row>
    <row r="836" spans="1:32" ht="20.399999999999999">
      <c r="A836" s="663"/>
      <c r="B836" s="700" t="s">
        <v>772</v>
      </c>
      <c r="C836" s="663" t="s">
        <v>320</v>
      </c>
      <c r="D836" s="678" t="s">
        <v>1978</v>
      </c>
      <c r="E836" s="700" t="s">
        <v>1914</v>
      </c>
      <c r="F836" s="679">
        <v>2243</v>
      </c>
      <c r="G836" s="665" t="s">
        <v>184</v>
      </c>
      <c r="H836" s="870"/>
      <c r="I836" s="870">
        <v>200</v>
      </c>
      <c r="J836" s="1494" t="s">
        <v>1134</v>
      </c>
      <c r="K836" s="871"/>
      <c r="L836" s="870"/>
      <c r="M836" s="1833">
        <v>200</v>
      </c>
      <c r="N836" s="190" t="s">
        <v>3710</v>
      </c>
      <c r="O836" s="187"/>
      <c r="P836" s="187"/>
      <c r="Q836" s="187"/>
      <c r="R836" s="187"/>
      <c r="S836" s="187"/>
      <c r="T836" s="187"/>
      <c r="U836" s="187"/>
      <c r="V836" s="187"/>
      <c r="W836" s="187"/>
      <c r="X836" s="187"/>
      <c r="Y836" s="187"/>
      <c r="Z836" s="187"/>
      <c r="AA836" s="187"/>
      <c r="AB836" s="187"/>
      <c r="AC836" s="187"/>
      <c r="AD836" s="187"/>
      <c r="AE836" s="187"/>
      <c r="AF836" s="187"/>
    </row>
    <row r="837" spans="1:32" ht="20.399999999999999">
      <c r="A837" s="663"/>
      <c r="B837" s="700" t="s">
        <v>772</v>
      </c>
      <c r="C837" s="663" t="s">
        <v>320</v>
      </c>
      <c r="D837" s="678" t="s">
        <v>1978</v>
      </c>
      <c r="E837" s="700" t="s">
        <v>1914</v>
      </c>
      <c r="F837" s="679">
        <v>2243</v>
      </c>
      <c r="G837" s="665" t="s">
        <v>183</v>
      </c>
      <c r="H837" s="870"/>
      <c r="I837" s="870"/>
      <c r="J837" s="1494" t="s">
        <v>1134</v>
      </c>
      <c r="K837" s="871"/>
      <c r="L837" s="870"/>
      <c r="M837" s="870"/>
      <c r="N837" s="190" t="s">
        <v>3711</v>
      </c>
      <c r="O837" s="187"/>
      <c r="P837" s="187"/>
      <c r="Q837" s="187"/>
      <c r="R837" s="187"/>
      <c r="S837" s="187"/>
      <c r="T837" s="187"/>
      <c r="U837" s="187"/>
      <c r="V837" s="187"/>
      <c r="W837" s="187"/>
      <c r="X837" s="187"/>
      <c r="Y837" s="187"/>
      <c r="Z837" s="187"/>
      <c r="AA837" s="187"/>
      <c r="AB837" s="187"/>
      <c r="AC837" s="187"/>
      <c r="AD837" s="187"/>
      <c r="AE837" s="187"/>
      <c r="AF837" s="187"/>
    </row>
    <row r="838" spans="1:32">
      <c r="A838" s="849"/>
      <c r="B838" s="720" t="s">
        <v>772</v>
      </c>
      <c r="C838" s="683" t="s">
        <v>320</v>
      </c>
      <c r="D838" s="719" t="s">
        <v>1978</v>
      </c>
      <c r="E838" s="720" t="s">
        <v>1914</v>
      </c>
      <c r="F838" s="685">
        <v>2244</v>
      </c>
      <c r="G838" s="686" t="s">
        <v>160</v>
      </c>
      <c r="H838" s="689">
        <v>1285</v>
      </c>
      <c r="I838" s="689"/>
      <c r="J838" s="1494">
        <v>895</v>
      </c>
      <c r="K838" s="727"/>
      <c r="L838" s="689">
        <v>1381</v>
      </c>
      <c r="M838" s="689"/>
      <c r="N838" s="1489" t="s">
        <v>4040</v>
      </c>
      <c r="O838" s="187"/>
      <c r="P838" s="187"/>
      <c r="Q838" s="187"/>
      <c r="R838" s="187"/>
      <c r="S838" s="187"/>
      <c r="T838" s="187"/>
      <c r="U838" s="187"/>
      <c r="V838" s="187"/>
      <c r="W838" s="187"/>
      <c r="X838" s="187"/>
      <c r="Y838" s="187"/>
      <c r="Z838" s="187"/>
      <c r="AA838" s="187"/>
      <c r="AB838" s="187"/>
      <c r="AC838" s="187"/>
      <c r="AD838" s="187"/>
      <c r="AE838" s="187"/>
      <c r="AF838" s="187"/>
    </row>
    <row r="839" spans="1:32" ht="30.6">
      <c r="A839" s="760"/>
      <c r="B839" s="700" t="s">
        <v>772</v>
      </c>
      <c r="C839" s="663" t="s">
        <v>320</v>
      </c>
      <c r="D839" s="678" t="s">
        <v>1978</v>
      </c>
      <c r="E839" s="700" t="s">
        <v>1914</v>
      </c>
      <c r="F839" s="679">
        <v>2244</v>
      </c>
      <c r="G839" s="665" t="s">
        <v>3697</v>
      </c>
      <c r="H839" s="660"/>
      <c r="I839" s="870">
        <v>800</v>
      </c>
      <c r="J839" s="1494" t="s">
        <v>1134</v>
      </c>
      <c r="K839" s="871"/>
      <c r="L839" s="660"/>
      <c r="M839" s="870">
        <v>800</v>
      </c>
      <c r="N839" s="1489"/>
      <c r="O839" s="187"/>
      <c r="P839" s="187"/>
      <c r="Q839" s="187"/>
      <c r="R839" s="187"/>
      <c r="S839" s="187"/>
      <c r="T839" s="187"/>
      <c r="U839" s="187"/>
      <c r="V839" s="187"/>
      <c r="W839" s="187"/>
      <c r="X839" s="187"/>
      <c r="Y839" s="187"/>
      <c r="Z839" s="187"/>
      <c r="AA839" s="187"/>
      <c r="AB839" s="187"/>
      <c r="AC839" s="187"/>
      <c r="AD839" s="187"/>
      <c r="AE839" s="187"/>
      <c r="AF839" s="187"/>
    </row>
    <row r="840" spans="1:32" ht="20.399999999999999">
      <c r="A840" s="760"/>
      <c r="B840" s="700" t="s">
        <v>772</v>
      </c>
      <c r="C840" s="663" t="s">
        <v>320</v>
      </c>
      <c r="D840" s="678" t="s">
        <v>1978</v>
      </c>
      <c r="E840" s="700" t="s">
        <v>1914</v>
      </c>
      <c r="F840" s="679">
        <v>2244</v>
      </c>
      <c r="G840" s="665" t="s">
        <v>3698</v>
      </c>
      <c r="H840" s="870"/>
      <c r="I840" s="870">
        <v>581</v>
      </c>
      <c r="J840" s="1494" t="s">
        <v>1134</v>
      </c>
      <c r="K840" s="871"/>
      <c r="L840" s="870"/>
      <c r="M840" s="870">
        <v>581</v>
      </c>
      <c r="N840" s="125"/>
      <c r="O840" s="187"/>
      <c r="P840" s="187"/>
      <c r="Q840" s="187"/>
      <c r="R840" s="187"/>
      <c r="S840" s="187"/>
      <c r="T840" s="187"/>
      <c r="U840" s="187"/>
      <c r="V840" s="187"/>
      <c r="W840" s="187"/>
      <c r="X840" s="187"/>
      <c r="Y840" s="187"/>
      <c r="Z840" s="187"/>
      <c r="AA840" s="187"/>
      <c r="AB840" s="187"/>
      <c r="AC840" s="187"/>
      <c r="AD840" s="187"/>
      <c r="AE840" s="187"/>
      <c r="AF840" s="187"/>
    </row>
    <row r="841" spans="1:32" ht="30.6">
      <c r="A841" s="760"/>
      <c r="B841" s="700" t="s">
        <v>772</v>
      </c>
      <c r="C841" s="663" t="s">
        <v>320</v>
      </c>
      <c r="D841" s="678" t="s">
        <v>1978</v>
      </c>
      <c r="E841" s="700" t="s">
        <v>1914</v>
      </c>
      <c r="F841" s="679">
        <v>2244</v>
      </c>
      <c r="G841" s="682" t="s">
        <v>3113</v>
      </c>
      <c r="H841" s="870"/>
      <c r="I841" s="870">
        <v>2239</v>
      </c>
      <c r="J841" s="1494" t="s">
        <v>1134</v>
      </c>
      <c r="K841" s="871"/>
      <c r="L841" s="870"/>
      <c r="M841" s="870"/>
      <c r="N841" s="125"/>
      <c r="O841" s="4"/>
      <c r="P841" s="4"/>
      <c r="Q841" s="4"/>
      <c r="R841" s="4"/>
      <c r="S841" s="4"/>
      <c r="T841" s="4"/>
      <c r="U841" s="4"/>
      <c r="V841" s="4"/>
      <c r="W841" s="4"/>
      <c r="X841" s="4"/>
      <c r="Y841" s="4"/>
      <c r="Z841" s="4"/>
      <c r="AA841" s="4"/>
      <c r="AB841" s="4"/>
      <c r="AC841" s="4"/>
      <c r="AD841" s="4"/>
      <c r="AE841" s="4"/>
      <c r="AF841" s="4"/>
    </row>
    <row r="842" spans="1:32" s="306" customFormat="1" ht="51">
      <c r="A842" s="1145"/>
      <c r="B842" s="700" t="s">
        <v>772</v>
      </c>
      <c r="C842" s="663" t="s">
        <v>320</v>
      </c>
      <c r="D842" s="678" t="s">
        <v>1978</v>
      </c>
      <c r="E842" s="700" t="s">
        <v>1914</v>
      </c>
      <c r="F842" s="679">
        <v>2244</v>
      </c>
      <c r="G842" s="1129" t="s">
        <v>3115</v>
      </c>
      <c r="H842" s="1440"/>
      <c r="I842" s="1440">
        <v>-221</v>
      </c>
      <c r="J842" s="1494" t="s">
        <v>1134</v>
      </c>
      <c r="K842" s="1441"/>
      <c r="L842" s="1440"/>
      <c r="M842" s="1440"/>
      <c r="N842" s="176"/>
      <c r="O842" s="305"/>
      <c r="P842" s="305"/>
      <c r="Q842" s="305"/>
      <c r="R842" s="305"/>
      <c r="S842" s="305"/>
      <c r="T842" s="305"/>
      <c r="U842" s="305"/>
      <c r="V842" s="305"/>
      <c r="W842" s="305"/>
      <c r="X842" s="305"/>
      <c r="Y842" s="305"/>
      <c r="Z842" s="305"/>
      <c r="AA842" s="305"/>
      <c r="AB842" s="305"/>
      <c r="AC842" s="305"/>
      <c r="AD842" s="305"/>
      <c r="AE842" s="305"/>
      <c r="AF842" s="305"/>
    </row>
    <row r="843" spans="1:32" ht="30.6">
      <c r="A843" s="1145"/>
      <c r="B843" s="700" t="s">
        <v>772</v>
      </c>
      <c r="C843" s="663" t="s">
        <v>320</v>
      </c>
      <c r="D843" s="678" t="s">
        <v>1978</v>
      </c>
      <c r="E843" s="700" t="s">
        <v>1914</v>
      </c>
      <c r="F843" s="679">
        <v>2244</v>
      </c>
      <c r="G843" s="1129" t="s">
        <v>3207</v>
      </c>
      <c r="H843" s="1440"/>
      <c r="I843" s="1440">
        <v>-2114</v>
      </c>
      <c r="J843" s="1494" t="s">
        <v>1134</v>
      </c>
      <c r="K843" s="1441"/>
      <c r="L843" s="1440"/>
      <c r="M843" s="1440"/>
      <c r="N843" s="176"/>
    </row>
    <row r="844" spans="1:32">
      <c r="A844" s="849"/>
      <c r="B844" s="720" t="s">
        <v>772</v>
      </c>
      <c r="C844" s="683" t="s">
        <v>327</v>
      </c>
      <c r="D844" s="719" t="s">
        <v>1978</v>
      </c>
      <c r="E844" s="720" t="s">
        <v>1914</v>
      </c>
      <c r="F844" s="685">
        <v>2247</v>
      </c>
      <c r="G844" s="746" t="s">
        <v>161</v>
      </c>
      <c r="H844" s="689">
        <v>4050</v>
      </c>
      <c r="I844" s="689"/>
      <c r="J844" s="1494">
        <v>950</v>
      </c>
      <c r="K844" s="727"/>
      <c r="L844" s="689">
        <v>2600</v>
      </c>
      <c r="M844" s="689"/>
      <c r="N844" s="176"/>
    </row>
    <row r="845" spans="1:32">
      <c r="A845" s="760"/>
      <c r="B845" s="700" t="s">
        <v>772</v>
      </c>
      <c r="C845" s="663" t="s">
        <v>327</v>
      </c>
      <c r="D845" s="678" t="s">
        <v>1978</v>
      </c>
      <c r="E845" s="700" t="s">
        <v>1914</v>
      </c>
      <c r="F845" s="679">
        <v>2247</v>
      </c>
      <c r="G845" s="665" t="s">
        <v>3699</v>
      </c>
      <c r="H845" s="870"/>
      <c r="I845" s="870">
        <v>1800</v>
      </c>
      <c r="J845" s="1494" t="s">
        <v>1134</v>
      </c>
      <c r="K845" s="871"/>
      <c r="L845" s="870"/>
      <c r="M845" s="870">
        <v>2600</v>
      </c>
      <c r="N845" s="125"/>
      <c r="O845" s="187"/>
      <c r="P845" s="187"/>
      <c r="Q845" s="187"/>
      <c r="R845" s="187"/>
      <c r="S845" s="187"/>
      <c r="T845" s="187"/>
      <c r="U845" s="187"/>
      <c r="V845" s="187"/>
      <c r="W845" s="187"/>
      <c r="X845" s="187"/>
      <c r="Y845" s="187"/>
      <c r="Z845" s="187"/>
      <c r="AA845" s="187"/>
      <c r="AB845" s="187"/>
      <c r="AC845" s="187"/>
      <c r="AD845" s="187"/>
      <c r="AE845" s="187"/>
      <c r="AF845" s="187"/>
    </row>
    <row r="846" spans="1:32" ht="20.399999999999999">
      <c r="A846" s="760" t="s">
        <v>709</v>
      </c>
      <c r="B846" s="700" t="s">
        <v>772</v>
      </c>
      <c r="C846" s="663" t="s">
        <v>327</v>
      </c>
      <c r="D846" s="678" t="s">
        <v>1978</v>
      </c>
      <c r="E846" s="700" t="s">
        <v>1914</v>
      </c>
      <c r="F846" s="679">
        <v>2247</v>
      </c>
      <c r="G846" s="665" t="s">
        <v>2718</v>
      </c>
      <c r="H846" s="870"/>
      <c r="I846" s="870">
        <v>2250</v>
      </c>
      <c r="J846" s="1494" t="s">
        <v>1134</v>
      </c>
      <c r="K846" s="871"/>
      <c r="L846" s="870"/>
      <c r="M846" s="870"/>
      <c r="N846" s="359" t="s">
        <v>3715</v>
      </c>
      <c r="O846" s="187"/>
      <c r="P846" s="187"/>
      <c r="Q846" s="187"/>
      <c r="R846" s="187"/>
      <c r="S846" s="187"/>
      <c r="T846" s="187"/>
      <c r="U846" s="187"/>
      <c r="V846" s="187"/>
      <c r="W846" s="187"/>
      <c r="X846" s="187"/>
      <c r="Y846" s="187"/>
      <c r="Z846" s="187"/>
      <c r="AA846" s="187"/>
      <c r="AB846" s="187"/>
      <c r="AC846" s="187"/>
      <c r="AD846" s="187"/>
      <c r="AE846" s="187"/>
      <c r="AF846" s="187"/>
    </row>
    <row r="847" spans="1:32">
      <c r="A847" s="849"/>
      <c r="B847" s="720" t="s">
        <v>772</v>
      </c>
      <c r="C847" s="683" t="s">
        <v>322</v>
      </c>
      <c r="D847" s="719" t="s">
        <v>1978</v>
      </c>
      <c r="E847" s="720" t="s">
        <v>1914</v>
      </c>
      <c r="F847" s="685">
        <v>2250</v>
      </c>
      <c r="G847" s="686" t="s">
        <v>778</v>
      </c>
      <c r="H847" s="689">
        <v>0</v>
      </c>
      <c r="I847" s="689"/>
      <c r="J847" s="1494" t="s">
        <v>1134</v>
      </c>
      <c r="K847" s="727"/>
      <c r="L847" s="689">
        <v>0</v>
      </c>
      <c r="M847" s="689"/>
      <c r="N847" s="359"/>
      <c r="O847" s="187"/>
      <c r="P847" s="187"/>
      <c r="Q847" s="187"/>
      <c r="R847" s="187"/>
      <c r="S847" s="187"/>
      <c r="T847" s="187"/>
      <c r="U847" s="187"/>
      <c r="V847" s="187"/>
      <c r="W847" s="187"/>
      <c r="X847" s="187"/>
      <c r="Y847" s="187"/>
      <c r="Z847" s="187"/>
      <c r="AA847" s="187"/>
      <c r="AB847" s="187"/>
      <c r="AC847" s="187"/>
      <c r="AD847" s="187"/>
      <c r="AE847" s="187"/>
      <c r="AF847" s="187"/>
    </row>
    <row r="848" spans="1:32">
      <c r="A848" s="760"/>
      <c r="B848" s="700" t="s">
        <v>772</v>
      </c>
      <c r="C848" s="663" t="s">
        <v>322</v>
      </c>
      <c r="D848" s="678" t="s">
        <v>1978</v>
      </c>
      <c r="E848" s="700" t="s">
        <v>1914</v>
      </c>
      <c r="F848" s="679">
        <v>2250</v>
      </c>
      <c r="G848" s="665" t="s">
        <v>564</v>
      </c>
      <c r="H848" s="870"/>
      <c r="I848" s="870"/>
      <c r="J848" s="1494" t="s">
        <v>1134</v>
      </c>
      <c r="K848" s="871"/>
      <c r="L848" s="870"/>
      <c r="M848" s="870"/>
      <c r="N848" s="7"/>
      <c r="O848" s="187"/>
      <c r="P848" s="187"/>
      <c r="Q848" s="187"/>
      <c r="R848" s="187"/>
      <c r="S848" s="187"/>
      <c r="T848" s="187"/>
      <c r="U848" s="187"/>
      <c r="V848" s="187"/>
      <c r="W848" s="187"/>
      <c r="X848" s="187"/>
      <c r="Y848" s="187"/>
      <c r="Z848" s="187"/>
      <c r="AA848" s="187"/>
      <c r="AB848" s="187"/>
      <c r="AC848" s="187"/>
      <c r="AD848" s="187"/>
      <c r="AE848" s="187"/>
      <c r="AF848" s="187"/>
    </row>
    <row r="849" spans="1:32">
      <c r="A849" s="849"/>
      <c r="B849" s="3129" t="s">
        <v>823</v>
      </c>
      <c r="C849" s="683" t="s">
        <v>322</v>
      </c>
      <c r="D849" s="719" t="s">
        <v>1978</v>
      </c>
      <c r="E849" s="720" t="s">
        <v>1914</v>
      </c>
      <c r="F849" s="685">
        <v>2264</v>
      </c>
      <c r="G849" s="686" t="s">
        <v>125</v>
      </c>
      <c r="H849" s="689">
        <v>339</v>
      </c>
      <c r="I849" s="689"/>
      <c r="J849" s="1494"/>
      <c r="K849" s="727"/>
      <c r="L849" s="689">
        <v>500</v>
      </c>
      <c r="M849" s="689"/>
      <c r="N849" s="359"/>
      <c r="O849" s="187"/>
      <c r="P849" s="187"/>
      <c r="Q849" s="187"/>
      <c r="R849" s="187"/>
      <c r="S849" s="187"/>
      <c r="T849" s="187"/>
      <c r="U849" s="187"/>
      <c r="V849" s="187"/>
      <c r="W849" s="187"/>
      <c r="X849" s="187"/>
      <c r="Y849" s="187"/>
      <c r="Z849" s="187"/>
      <c r="AA849" s="187"/>
      <c r="AB849" s="187"/>
      <c r="AC849" s="187"/>
      <c r="AD849" s="187"/>
      <c r="AE849" s="187"/>
      <c r="AF849" s="187"/>
    </row>
    <row r="850" spans="1:32" ht="20.399999999999999">
      <c r="A850" s="760"/>
      <c r="B850" s="3130" t="s">
        <v>823</v>
      </c>
      <c r="C850" s="663" t="s">
        <v>322</v>
      </c>
      <c r="D850" s="678" t="s">
        <v>1978</v>
      </c>
      <c r="E850" s="700" t="s">
        <v>1914</v>
      </c>
      <c r="F850" s="679">
        <v>2264</v>
      </c>
      <c r="G850" s="1129" t="s">
        <v>3163</v>
      </c>
      <c r="H850" s="660"/>
      <c r="I850" s="660">
        <v>339</v>
      </c>
      <c r="J850" s="1494" t="s">
        <v>1134</v>
      </c>
      <c r="K850" s="667"/>
      <c r="L850" s="659"/>
      <c r="M850" s="1130">
        <v>500</v>
      </c>
      <c r="N850" s="359"/>
      <c r="O850" s="187"/>
      <c r="P850" s="187"/>
      <c r="Q850" s="187"/>
      <c r="R850" s="187"/>
      <c r="S850" s="187"/>
      <c r="T850" s="187"/>
      <c r="U850" s="187"/>
      <c r="V850" s="187"/>
      <c r="W850" s="187"/>
      <c r="X850" s="187"/>
      <c r="Y850" s="187"/>
      <c r="Z850" s="187"/>
      <c r="AA850" s="187"/>
      <c r="AB850" s="187"/>
      <c r="AC850" s="187"/>
      <c r="AD850" s="187"/>
      <c r="AE850" s="187"/>
      <c r="AF850" s="187"/>
    </row>
    <row r="851" spans="1:32">
      <c r="A851" s="849"/>
      <c r="B851" s="720" t="s">
        <v>772</v>
      </c>
      <c r="C851" s="683" t="s">
        <v>322</v>
      </c>
      <c r="D851" s="719" t="s">
        <v>1978</v>
      </c>
      <c r="E851" s="720" t="s">
        <v>1914</v>
      </c>
      <c r="F851" s="685">
        <v>2264</v>
      </c>
      <c r="G851" s="686" t="s">
        <v>125</v>
      </c>
      <c r="H851" s="689">
        <v>1044</v>
      </c>
      <c r="I851" s="689"/>
      <c r="J851" s="1494">
        <v>984</v>
      </c>
      <c r="K851" s="727"/>
      <c r="L851" s="689">
        <v>705.36</v>
      </c>
      <c r="M851" s="689"/>
      <c r="N851" s="359"/>
      <c r="O851" s="187"/>
      <c r="P851" s="187"/>
      <c r="Q851" s="187"/>
      <c r="R851" s="187"/>
      <c r="S851" s="187"/>
      <c r="T851" s="187"/>
      <c r="U851" s="187"/>
      <c r="V851" s="187"/>
      <c r="W851" s="187"/>
      <c r="X851" s="187"/>
      <c r="Y851" s="187"/>
      <c r="Z851" s="187"/>
      <c r="AA851" s="187"/>
      <c r="AB851" s="187"/>
      <c r="AC851" s="187"/>
      <c r="AD851" s="187"/>
      <c r="AE851" s="187"/>
      <c r="AF851" s="187"/>
    </row>
    <row r="852" spans="1:32" ht="20.399999999999999">
      <c r="A852" s="760"/>
      <c r="B852" s="700" t="s">
        <v>772</v>
      </c>
      <c r="C852" s="663" t="s">
        <v>322</v>
      </c>
      <c r="D852" s="678" t="s">
        <v>1978</v>
      </c>
      <c r="E852" s="700" t="s">
        <v>1914</v>
      </c>
      <c r="F852" s="679">
        <v>2264</v>
      </c>
      <c r="G852" s="665" t="s">
        <v>3701</v>
      </c>
      <c r="H852" s="660"/>
      <c r="I852" s="660">
        <v>160</v>
      </c>
      <c r="J852" s="1494" t="s">
        <v>1134</v>
      </c>
      <c r="K852" s="667"/>
      <c r="L852" s="659"/>
      <c r="M852" s="660">
        <v>160.35999999999999</v>
      </c>
      <c r="N852" s="381"/>
      <c r="O852" s="187"/>
      <c r="P852" s="187"/>
      <c r="Q852" s="187"/>
      <c r="R852" s="187"/>
      <c r="S852" s="187"/>
      <c r="T852" s="187"/>
      <c r="U852" s="187"/>
      <c r="V852" s="187"/>
      <c r="W852" s="187"/>
      <c r="X852" s="187"/>
      <c r="Y852" s="187"/>
      <c r="Z852" s="187"/>
      <c r="AA852" s="187"/>
      <c r="AB852" s="187"/>
      <c r="AC852" s="187"/>
      <c r="AD852" s="187"/>
      <c r="AE852" s="187"/>
      <c r="AF852" s="187"/>
    </row>
    <row r="853" spans="1:32">
      <c r="A853" s="760"/>
      <c r="B853" s="700" t="s">
        <v>772</v>
      </c>
      <c r="C853" s="663" t="s">
        <v>322</v>
      </c>
      <c r="D853" s="678" t="s">
        <v>1978</v>
      </c>
      <c r="E853" s="700" t="s">
        <v>1914</v>
      </c>
      <c r="F853" s="679">
        <v>2264</v>
      </c>
      <c r="G853" s="665" t="s">
        <v>3703</v>
      </c>
      <c r="H853" s="660"/>
      <c r="I853" s="660">
        <v>545</v>
      </c>
      <c r="J853" s="1494" t="s">
        <v>1134</v>
      </c>
      <c r="K853" s="667"/>
      <c r="L853" s="659"/>
      <c r="M853" s="660">
        <v>545</v>
      </c>
      <c r="N853" s="381"/>
      <c r="O853" s="187"/>
      <c r="P853" s="187"/>
      <c r="Q853" s="187"/>
      <c r="R853" s="187"/>
      <c r="S853" s="187"/>
      <c r="T853" s="187"/>
      <c r="U853" s="187"/>
      <c r="V853" s="187"/>
      <c r="W853" s="187"/>
      <c r="X853" s="187"/>
      <c r="Y853" s="187"/>
      <c r="Z853" s="187"/>
      <c r="AA853" s="187"/>
      <c r="AB853" s="187"/>
      <c r="AC853" s="187"/>
      <c r="AD853" s="187"/>
      <c r="AE853" s="187"/>
      <c r="AF853" s="187"/>
    </row>
    <row r="854" spans="1:32">
      <c r="A854" s="849"/>
      <c r="B854" s="3129" t="s">
        <v>773</v>
      </c>
      <c r="C854" s="683" t="s">
        <v>322</v>
      </c>
      <c r="D854" s="719" t="s">
        <v>1978</v>
      </c>
      <c r="E854" s="720" t="s">
        <v>1914</v>
      </c>
      <c r="F854" s="685">
        <v>2264</v>
      </c>
      <c r="G854" s="686" t="s">
        <v>125</v>
      </c>
      <c r="H854" s="689"/>
      <c r="I854" s="689"/>
      <c r="J854" s="1494"/>
      <c r="K854" s="727"/>
      <c r="L854" s="689">
        <v>2700</v>
      </c>
      <c r="M854" s="689"/>
      <c r="N854" s="381"/>
      <c r="O854" s="187"/>
      <c r="P854" s="187"/>
      <c r="Q854" s="187"/>
      <c r="R854" s="187"/>
      <c r="S854" s="187"/>
      <c r="T854" s="187"/>
      <c r="U854" s="187"/>
      <c r="V854" s="187"/>
      <c r="W854" s="187"/>
      <c r="X854" s="187"/>
      <c r="Y854" s="187"/>
      <c r="Z854" s="187"/>
      <c r="AA854" s="187"/>
      <c r="AB854" s="187"/>
      <c r="AC854" s="187"/>
      <c r="AD854" s="187"/>
      <c r="AE854" s="187"/>
      <c r="AF854" s="187"/>
    </row>
    <row r="855" spans="1:32" ht="20.399999999999999">
      <c r="A855" s="760"/>
      <c r="B855" s="3130" t="s">
        <v>773</v>
      </c>
      <c r="C855" s="663" t="s">
        <v>322</v>
      </c>
      <c r="D855" s="678" t="s">
        <v>1978</v>
      </c>
      <c r="E855" s="700" t="s">
        <v>1914</v>
      </c>
      <c r="F855" s="679">
        <v>2264</v>
      </c>
      <c r="G855" s="1671" t="s">
        <v>4036</v>
      </c>
      <c r="H855" s="660"/>
      <c r="I855" s="660"/>
      <c r="J855" s="1494"/>
      <c r="K855" s="667"/>
      <c r="L855" s="659"/>
      <c r="M855" s="1676">
        <v>2700</v>
      </c>
      <c r="N855" s="176"/>
      <c r="O855" s="187"/>
      <c r="P855" s="187"/>
      <c r="Q855" s="187"/>
      <c r="R855" s="187"/>
      <c r="S855" s="187"/>
      <c r="T855" s="187"/>
      <c r="U855" s="187"/>
      <c r="V855" s="187"/>
      <c r="W855" s="187"/>
      <c r="X855" s="187"/>
      <c r="Y855" s="187"/>
      <c r="Z855" s="187"/>
      <c r="AA855" s="187"/>
      <c r="AB855" s="187"/>
      <c r="AC855" s="187"/>
      <c r="AD855" s="187"/>
      <c r="AE855" s="187"/>
      <c r="AF855" s="187"/>
    </row>
    <row r="856" spans="1:32" ht="20.399999999999999">
      <c r="A856" s="849"/>
      <c r="B856" s="720" t="s">
        <v>772</v>
      </c>
      <c r="C856" s="683" t="s">
        <v>322</v>
      </c>
      <c r="D856" s="719" t="s">
        <v>1978</v>
      </c>
      <c r="E856" s="720" t="s">
        <v>1914</v>
      </c>
      <c r="F856" s="685">
        <v>2311</v>
      </c>
      <c r="G856" s="686" t="s">
        <v>129</v>
      </c>
      <c r="H856" s="689">
        <v>300</v>
      </c>
      <c r="I856" s="689"/>
      <c r="J856" s="1494">
        <v>163.61000000000001</v>
      </c>
      <c r="K856" s="727"/>
      <c r="L856" s="689">
        <v>400</v>
      </c>
      <c r="M856" s="689"/>
      <c r="N856" s="359" t="s">
        <v>3716</v>
      </c>
      <c r="O856" s="187"/>
      <c r="P856" s="187"/>
      <c r="Q856" s="187"/>
      <c r="R856" s="187"/>
      <c r="S856" s="187"/>
      <c r="T856" s="187"/>
      <c r="U856" s="187"/>
      <c r="V856" s="187"/>
      <c r="W856" s="187"/>
      <c r="X856" s="187"/>
      <c r="Y856" s="187"/>
      <c r="Z856" s="187"/>
      <c r="AA856" s="187"/>
      <c r="AB856" s="187"/>
      <c r="AC856" s="187"/>
      <c r="AD856" s="187"/>
      <c r="AE856" s="187"/>
      <c r="AF856" s="187"/>
    </row>
    <row r="857" spans="1:32">
      <c r="A857" s="760"/>
      <c r="B857" s="700" t="s">
        <v>772</v>
      </c>
      <c r="C857" s="663" t="s">
        <v>322</v>
      </c>
      <c r="D857" s="678" t="s">
        <v>1978</v>
      </c>
      <c r="E857" s="700" t="s">
        <v>1914</v>
      </c>
      <c r="F857" s="679">
        <v>2311</v>
      </c>
      <c r="G857" s="665" t="s">
        <v>687</v>
      </c>
      <c r="H857" s="870"/>
      <c r="I857" s="660">
        <v>100</v>
      </c>
      <c r="J857" s="1494" t="s">
        <v>1134</v>
      </c>
      <c r="K857" s="667"/>
      <c r="L857" s="870"/>
      <c r="M857" s="660">
        <v>250</v>
      </c>
      <c r="N857" s="381"/>
      <c r="O857" s="187"/>
      <c r="P857" s="187"/>
      <c r="Q857" s="187"/>
      <c r="R857" s="187"/>
      <c r="S857" s="187"/>
      <c r="T857" s="187"/>
      <c r="U857" s="187"/>
      <c r="V857" s="187"/>
      <c r="W857" s="187"/>
      <c r="X857" s="187"/>
      <c r="Y857" s="187"/>
      <c r="Z857" s="187"/>
      <c r="AA857" s="187"/>
      <c r="AB857" s="187"/>
    </row>
    <row r="858" spans="1:32">
      <c r="A858" s="760"/>
      <c r="B858" s="700" t="s">
        <v>772</v>
      </c>
      <c r="C858" s="663" t="s">
        <v>322</v>
      </c>
      <c r="D858" s="678" t="s">
        <v>1978</v>
      </c>
      <c r="E858" s="700" t="s">
        <v>1914</v>
      </c>
      <c r="F858" s="679">
        <v>2311</v>
      </c>
      <c r="G858" s="665" t="s">
        <v>188</v>
      </c>
      <c r="H858" s="870"/>
      <c r="I858" s="660">
        <v>200</v>
      </c>
      <c r="J858" s="1494" t="s">
        <v>1134</v>
      </c>
      <c r="K858" s="667"/>
      <c r="L858" s="870"/>
      <c r="M858" s="660">
        <v>150</v>
      </c>
      <c r="N858" s="7"/>
      <c r="O858" s="187"/>
      <c r="P858" s="187"/>
      <c r="Q858" s="187"/>
      <c r="S858" s="187"/>
      <c r="T858" s="7"/>
      <c r="U858" s="7"/>
      <c r="V858" s="7"/>
      <c r="W858" s="181"/>
      <c r="X858" s="196"/>
      <c r="Y858" s="194"/>
      <c r="AA858" s="197"/>
      <c r="AB858" s="195"/>
      <c r="AC858" s="187"/>
      <c r="AD858" s="187"/>
      <c r="AE858" s="187"/>
      <c r="AF858" s="187"/>
    </row>
    <row r="859" spans="1:32">
      <c r="A859" s="849"/>
      <c r="B859" s="720" t="s">
        <v>772</v>
      </c>
      <c r="C859" s="683" t="s">
        <v>322</v>
      </c>
      <c r="D859" s="719" t="s">
        <v>1978</v>
      </c>
      <c r="E859" s="720" t="s">
        <v>1914</v>
      </c>
      <c r="F859" s="685">
        <v>2312</v>
      </c>
      <c r="G859" s="686" t="s">
        <v>131</v>
      </c>
      <c r="H859" s="689">
        <v>3863</v>
      </c>
      <c r="I859" s="689"/>
      <c r="J859" s="1494">
        <v>3462</v>
      </c>
      <c r="K859" s="727"/>
      <c r="L859" s="689">
        <v>8300</v>
      </c>
      <c r="M859" s="687"/>
      <c r="N859" s="7" t="s">
        <v>3717</v>
      </c>
      <c r="O859" s="187"/>
      <c r="P859" s="187"/>
      <c r="Q859" s="187"/>
      <c r="R859" s="187"/>
      <c r="S859" s="187"/>
      <c r="T859" s="187"/>
      <c r="U859" s="187"/>
      <c r="V859" s="187"/>
      <c r="W859" s="187"/>
      <c r="X859" s="187"/>
      <c r="Y859" s="187"/>
      <c r="Z859" s="187"/>
      <c r="AA859" s="187"/>
      <c r="AB859" s="187"/>
      <c r="AC859" s="187"/>
      <c r="AD859" s="187"/>
      <c r="AE859" s="187"/>
      <c r="AF859" s="187"/>
    </row>
    <row r="860" spans="1:32">
      <c r="A860" s="760"/>
      <c r="B860" s="700" t="s">
        <v>772</v>
      </c>
      <c r="C860" s="663" t="s">
        <v>322</v>
      </c>
      <c r="D860" s="678" t="s">
        <v>1978</v>
      </c>
      <c r="E860" s="700" t="s">
        <v>1914</v>
      </c>
      <c r="F860" s="679">
        <v>2312</v>
      </c>
      <c r="G860" s="682" t="s">
        <v>189</v>
      </c>
      <c r="H860" s="870"/>
      <c r="I860" s="870">
        <v>400</v>
      </c>
      <c r="J860" s="1494" t="s">
        <v>1134</v>
      </c>
      <c r="K860" s="871"/>
      <c r="L860" s="1469"/>
      <c r="M860" s="870">
        <v>500</v>
      </c>
      <c r="N860" s="125"/>
      <c r="O860" s="187"/>
      <c r="P860" s="187"/>
      <c r="Q860" s="187"/>
      <c r="R860" s="187"/>
      <c r="S860" s="187"/>
      <c r="T860" s="187"/>
      <c r="U860" s="187"/>
      <c r="V860" s="187"/>
      <c r="W860" s="187"/>
      <c r="X860" s="187"/>
      <c r="Y860" s="187"/>
      <c r="Z860" s="187"/>
      <c r="AA860" s="187"/>
      <c r="AB860" s="187"/>
      <c r="AC860" s="187"/>
      <c r="AD860" s="187"/>
      <c r="AE860" s="187"/>
      <c r="AF860" s="187"/>
    </row>
    <row r="861" spans="1:32">
      <c r="A861" s="760"/>
      <c r="B861" s="700" t="s">
        <v>772</v>
      </c>
      <c r="C861" s="663" t="s">
        <v>322</v>
      </c>
      <c r="D861" s="678" t="s">
        <v>1978</v>
      </c>
      <c r="E861" s="700" t="s">
        <v>1914</v>
      </c>
      <c r="F861" s="679">
        <v>2312</v>
      </c>
      <c r="G861" s="665" t="s">
        <v>1393</v>
      </c>
      <c r="H861" s="870"/>
      <c r="I861" s="870">
        <v>250</v>
      </c>
      <c r="J861" s="1494" t="s">
        <v>1134</v>
      </c>
      <c r="K861" s="871"/>
      <c r="L861" s="1469"/>
      <c r="M861" s="870">
        <v>250</v>
      </c>
      <c r="N861" s="359"/>
      <c r="O861" s="187"/>
      <c r="P861" s="187"/>
      <c r="Q861" s="187"/>
      <c r="R861" s="187"/>
      <c r="S861" s="187"/>
      <c r="T861" s="187"/>
      <c r="U861" s="187"/>
      <c r="V861" s="187"/>
      <c r="W861" s="187"/>
      <c r="X861" s="187"/>
      <c r="Y861" s="187"/>
      <c r="Z861" s="187"/>
      <c r="AA861" s="187"/>
      <c r="AB861" s="187"/>
      <c r="AC861" s="187"/>
      <c r="AD861" s="187"/>
      <c r="AE861" s="187"/>
      <c r="AF861" s="187"/>
    </row>
    <row r="862" spans="1:32">
      <c r="A862" s="760"/>
      <c r="B862" s="700" t="s">
        <v>772</v>
      </c>
      <c r="C862" s="663" t="s">
        <v>322</v>
      </c>
      <c r="D862" s="678" t="s">
        <v>1978</v>
      </c>
      <c r="E862" s="700" t="s">
        <v>1914</v>
      </c>
      <c r="F862" s="679">
        <v>2312</v>
      </c>
      <c r="G862" s="665" t="s">
        <v>4039</v>
      </c>
      <c r="H862" s="870"/>
      <c r="I862" s="870"/>
      <c r="J862" s="1494" t="s">
        <v>1134</v>
      </c>
      <c r="K862" s="871"/>
      <c r="L862" s="1469"/>
      <c r="M862" s="870">
        <v>400</v>
      </c>
      <c r="N862" s="359"/>
      <c r="O862" s="187"/>
      <c r="P862" s="187"/>
      <c r="Q862" s="187"/>
      <c r="R862" s="187"/>
      <c r="S862" s="187"/>
      <c r="T862" s="187"/>
      <c r="U862" s="187"/>
      <c r="V862" s="187"/>
      <c r="W862" s="187"/>
      <c r="X862" s="187"/>
      <c r="Y862" s="187"/>
      <c r="Z862" s="187"/>
      <c r="AA862" s="187"/>
      <c r="AB862" s="187"/>
      <c r="AC862" s="187"/>
      <c r="AD862" s="187"/>
      <c r="AE862" s="187"/>
      <c r="AF862" s="187"/>
    </row>
    <row r="863" spans="1:32" ht="20.399999999999999">
      <c r="A863" s="760"/>
      <c r="B863" s="700" t="s">
        <v>772</v>
      </c>
      <c r="C863" s="663" t="s">
        <v>322</v>
      </c>
      <c r="D863" s="678" t="s">
        <v>1978</v>
      </c>
      <c r="E863" s="700" t="s">
        <v>1914</v>
      </c>
      <c r="F863" s="679">
        <v>2312</v>
      </c>
      <c r="G863" s="665" t="s">
        <v>1395</v>
      </c>
      <c r="H863" s="870"/>
      <c r="I863" s="870">
        <v>200</v>
      </c>
      <c r="J863" s="1494" t="s">
        <v>1134</v>
      </c>
      <c r="K863" s="871"/>
      <c r="L863" s="1469"/>
      <c r="M863" s="870">
        <v>200</v>
      </c>
      <c r="N863" s="359"/>
      <c r="O863" s="187"/>
      <c r="P863" s="187"/>
      <c r="Q863" s="187"/>
      <c r="R863" s="187"/>
      <c r="S863" s="187"/>
      <c r="T863" s="187"/>
      <c r="U863" s="187"/>
      <c r="V863" s="187"/>
      <c r="W863" s="187"/>
      <c r="X863" s="187"/>
      <c r="Y863" s="187"/>
      <c r="Z863" s="187"/>
      <c r="AA863" s="187"/>
      <c r="AB863" s="187"/>
      <c r="AC863" s="187"/>
      <c r="AD863" s="187"/>
      <c r="AE863" s="187"/>
      <c r="AF863" s="187"/>
    </row>
    <row r="864" spans="1:32">
      <c r="A864" s="760"/>
      <c r="B864" s="700" t="s">
        <v>772</v>
      </c>
      <c r="C864" s="663" t="s">
        <v>322</v>
      </c>
      <c r="D864" s="678" t="s">
        <v>1978</v>
      </c>
      <c r="E864" s="700" t="s">
        <v>1914</v>
      </c>
      <c r="F864" s="679">
        <v>2312</v>
      </c>
      <c r="G864" s="665" t="s">
        <v>1396</v>
      </c>
      <c r="H864" s="870"/>
      <c r="I864" s="870">
        <v>1500</v>
      </c>
      <c r="J864" s="1494" t="s">
        <v>1134</v>
      </c>
      <c r="K864" s="871"/>
      <c r="L864" s="1469"/>
      <c r="M864" s="870">
        <v>1500</v>
      </c>
      <c r="N864" s="7"/>
      <c r="O864" s="187"/>
      <c r="P864" s="187"/>
      <c r="Q864" s="187"/>
      <c r="R864" s="187"/>
      <c r="S864" s="187"/>
      <c r="T864" s="187"/>
      <c r="U864" s="187"/>
      <c r="V864" s="187"/>
      <c r="W864" s="187"/>
      <c r="X864" s="187"/>
      <c r="Y864" s="187"/>
      <c r="Z864" s="187"/>
      <c r="AA864" s="187"/>
      <c r="AB864" s="187"/>
      <c r="AC864" s="187"/>
      <c r="AD864" s="187"/>
      <c r="AE864" s="187"/>
      <c r="AF864" s="187"/>
    </row>
    <row r="865" spans="1:32" ht="11.4" customHeight="1">
      <c r="A865" s="760"/>
      <c r="B865" s="700" t="s">
        <v>772</v>
      </c>
      <c r="C865" s="663" t="s">
        <v>322</v>
      </c>
      <c r="D865" s="678" t="s">
        <v>1978</v>
      </c>
      <c r="E865" s="700" t="s">
        <v>1914</v>
      </c>
      <c r="F865" s="679">
        <v>2312</v>
      </c>
      <c r="G865" s="665" t="s">
        <v>4952</v>
      </c>
      <c r="H865" s="870"/>
      <c r="I865" s="870">
        <v>500</v>
      </c>
      <c r="J865" s="1494" t="s">
        <v>1134</v>
      </c>
      <c r="K865" s="871"/>
      <c r="L865" s="1469"/>
      <c r="M865" s="870">
        <v>1700</v>
      </c>
      <c r="N865" s="7"/>
      <c r="O865" s="187"/>
      <c r="P865" s="187"/>
      <c r="Q865" s="187"/>
      <c r="R865" s="187"/>
      <c r="S865" s="187"/>
      <c r="T865" s="187"/>
      <c r="U865" s="187"/>
      <c r="V865" s="187"/>
      <c r="W865" s="187"/>
      <c r="X865" s="187"/>
      <c r="Y865" s="187"/>
      <c r="Z865" s="187"/>
      <c r="AA865" s="187"/>
      <c r="AB865" s="187"/>
      <c r="AC865" s="187"/>
      <c r="AD865" s="187"/>
      <c r="AE865" s="187"/>
      <c r="AF865" s="187"/>
    </row>
    <row r="866" spans="1:32" ht="20.399999999999999">
      <c r="A866" s="1704"/>
      <c r="B866" s="700" t="s">
        <v>772</v>
      </c>
      <c r="C866" s="663" t="s">
        <v>322</v>
      </c>
      <c r="D866" s="678" t="s">
        <v>1978</v>
      </c>
      <c r="E866" s="700" t="s">
        <v>1914</v>
      </c>
      <c r="F866" s="679">
        <v>2312</v>
      </c>
      <c r="G866" s="1671" t="s">
        <v>4953</v>
      </c>
      <c r="H866" s="1834"/>
      <c r="I866" s="1834"/>
      <c r="J866" s="1673"/>
      <c r="K866" s="1835"/>
      <c r="L866" s="1836"/>
      <c r="M866" s="1834">
        <v>2150</v>
      </c>
      <c r="N866" s="7"/>
      <c r="O866" s="187"/>
      <c r="P866" s="187"/>
      <c r="Q866" s="187"/>
      <c r="R866" s="187"/>
      <c r="S866" s="187"/>
      <c r="T866" s="187"/>
      <c r="U866" s="187"/>
      <c r="V866" s="187"/>
      <c r="W866" s="187"/>
      <c r="X866" s="187"/>
      <c r="Y866" s="187"/>
      <c r="Z866" s="187"/>
      <c r="AA866" s="187"/>
      <c r="AB866" s="187"/>
      <c r="AC866" s="187"/>
      <c r="AD866" s="187"/>
      <c r="AE866" s="187"/>
      <c r="AF866" s="187"/>
    </row>
    <row r="867" spans="1:32" ht="112.2">
      <c r="A867" s="760"/>
      <c r="B867" s="700" t="s">
        <v>772</v>
      </c>
      <c r="C867" s="663" t="s">
        <v>429</v>
      </c>
      <c r="D867" s="678" t="s">
        <v>1978</v>
      </c>
      <c r="E867" s="700" t="s">
        <v>1914</v>
      </c>
      <c r="F867" s="679">
        <v>2312</v>
      </c>
      <c r="G867" s="665" t="s">
        <v>4041</v>
      </c>
      <c r="H867" s="870"/>
      <c r="I867" s="870">
        <v>1000</v>
      </c>
      <c r="J867" s="1494" t="s">
        <v>1134</v>
      </c>
      <c r="K867" s="871"/>
      <c r="L867" s="1469"/>
      <c r="M867" s="870">
        <v>1000</v>
      </c>
      <c r="N867" s="359" t="s">
        <v>3718</v>
      </c>
      <c r="O867" s="187"/>
      <c r="P867" s="187"/>
      <c r="Q867" s="187"/>
      <c r="R867" s="187"/>
      <c r="S867" s="187"/>
      <c r="T867" s="187"/>
      <c r="U867" s="187"/>
      <c r="V867" s="187"/>
      <c r="W867" s="187"/>
      <c r="X867" s="187"/>
      <c r="Y867" s="187"/>
      <c r="Z867" s="187"/>
      <c r="AA867" s="187"/>
      <c r="AB867" s="187"/>
      <c r="AC867" s="187"/>
      <c r="AD867" s="187"/>
      <c r="AE867" s="187"/>
      <c r="AF867" s="187"/>
    </row>
    <row r="868" spans="1:32" ht="11.4" customHeight="1">
      <c r="A868" s="1704"/>
      <c r="B868" s="700" t="s">
        <v>772</v>
      </c>
      <c r="C868" s="663" t="s">
        <v>322</v>
      </c>
      <c r="D868" s="678" t="s">
        <v>1978</v>
      </c>
      <c r="E868" s="700" t="s">
        <v>1914</v>
      </c>
      <c r="F868" s="679">
        <v>2312</v>
      </c>
      <c r="G868" s="1671" t="s">
        <v>3706</v>
      </c>
      <c r="H868" s="1834"/>
      <c r="I868" s="1834">
        <v>650</v>
      </c>
      <c r="J868" s="1673"/>
      <c r="K868" s="1835"/>
      <c r="L868" s="1836"/>
      <c r="M868" s="1836"/>
      <c r="N868" s="7"/>
      <c r="O868" s="187"/>
      <c r="P868" s="187"/>
      <c r="Q868" s="187"/>
      <c r="R868" s="187"/>
      <c r="S868" s="187"/>
      <c r="T868" s="187"/>
      <c r="U868" s="187"/>
      <c r="V868" s="187"/>
      <c r="W868" s="187"/>
      <c r="X868" s="187"/>
      <c r="Y868" s="187"/>
      <c r="Z868" s="187"/>
      <c r="AA868" s="187"/>
      <c r="AB868" s="187"/>
      <c r="AC868" s="187"/>
      <c r="AD868" s="187"/>
      <c r="AE868" s="187"/>
      <c r="AF868" s="187"/>
    </row>
    <row r="869" spans="1:32">
      <c r="A869" s="760"/>
      <c r="B869" s="700" t="s">
        <v>772</v>
      </c>
      <c r="C869" s="663" t="s">
        <v>429</v>
      </c>
      <c r="D869" s="678" t="s">
        <v>1978</v>
      </c>
      <c r="E869" s="700" t="s">
        <v>1914</v>
      </c>
      <c r="F869" s="679">
        <v>2312</v>
      </c>
      <c r="G869" s="665" t="s">
        <v>2137</v>
      </c>
      <c r="H869" s="870"/>
      <c r="I869" s="870">
        <v>300</v>
      </c>
      <c r="J869" s="1494" t="s">
        <v>1134</v>
      </c>
      <c r="K869" s="871"/>
      <c r="L869" s="1469"/>
      <c r="M869" s="1469"/>
      <c r="N869" s="359"/>
      <c r="O869" s="187"/>
      <c r="P869" s="187"/>
      <c r="Q869" s="187"/>
      <c r="R869" s="187"/>
      <c r="S869" s="187"/>
      <c r="T869" s="187"/>
      <c r="U869" s="187"/>
      <c r="V869" s="187"/>
      <c r="W869" s="187"/>
      <c r="X869" s="187"/>
      <c r="Y869" s="187"/>
      <c r="Z869" s="187"/>
      <c r="AA869" s="187"/>
      <c r="AB869" s="187"/>
      <c r="AC869" s="187"/>
      <c r="AD869" s="187"/>
      <c r="AE869" s="187"/>
      <c r="AF869" s="187"/>
    </row>
    <row r="870" spans="1:32">
      <c r="A870" s="1297"/>
      <c r="B870" s="700" t="s">
        <v>772</v>
      </c>
      <c r="C870" s="663" t="s">
        <v>429</v>
      </c>
      <c r="D870" s="678" t="s">
        <v>1978</v>
      </c>
      <c r="E870" s="700" t="s">
        <v>1914</v>
      </c>
      <c r="F870" s="679">
        <v>2312</v>
      </c>
      <c r="G870" s="1264" t="s">
        <v>3030</v>
      </c>
      <c r="H870" s="1425"/>
      <c r="I870" s="1425">
        <v>110</v>
      </c>
      <c r="J870" s="1494" t="s">
        <v>1134</v>
      </c>
      <c r="K870" s="1426"/>
      <c r="L870" s="1471"/>
      <c r="M870" s="1471"/>
      <c r="N870" s="359"/>
      <c r="O870" s="187"/>
      <c r="P870" s="187"/>
      <c r="Q870" s="187"/>
      <c r="R870" s="187"/>
      <c r="S870" s="187"/>
      <c r="T870" s="187"/>
      <c r="U870" s="187"/>
      <c r="V870" s="187"/>
      <c r="W870" s="187"/>
      <c r="X870" s="187"/>
      <c r="Y870" s="187"/>
      <c r="Z870" s="187"/>
      <c r="AA870" s="187"/>
      <c r="AB870" s="187"/>
      <c r="AC870" s="187"/>
      <c r="AD870" s="187"/>
      <c r="AE870" s="187"/>
      <c r="AF870" s="187"/>
    </row>
    <row r="871" spans="1:32">
      <c r="A871" s="2604"/>
      <c r="B871" s="700" t="s">
        <v>772</v>
      </c>
      <c r="C871" s="663" t="s">
        <v>429</v>
      </c>
      <c r="D871" s="678" t="s">
        <v>1978</v>
      </c>
      <c r="E871" s="700" t="s">
        <v>1914</v>
      </c>
      <c r="F871" s="679">
        <v>2312</v>
      </c>
      <c r="G871" s="2694" t="s">
        <v>4954</v>
      </c>
      <c r="H871" s="2748"/>
      <c r="I871" s="2748">
        <v>420</v>
      </c>
      <c r="J871" s="2607"/>
      <c r="K871" s="2749"/>
      <c r="L871" s="2750"/>
      <c r="M871" s="2750"/>
      <c r="N871" s="305"/>
      <c r="O871" s="187"/>
      <c r="P871" s="187"/>
      <c r="Q871" s="187"/>
      <c r="R871" s="187"/>
      <c r="S871" s="187"/>
      <c r="T871" s="187"/>
      <c r="U871" s="187"/>
      <c r="V871" s="187"/>
      <c r="W871" s="187"/>
      <c r="X871" s="187"/>
      <c r="Y871" s="187"/>
      <c r="Z871" s="187"/>
      <c r="AA871" s="187"/>
      <c r="AB871" s="187"/>
      <c r="AC871" s="187"/>
      <c r="AD871" s="187"/>
      <c r="AE871" s="187"/>
      <c r="AF871" s="187"/>
    </row>
    <row r="872" spans="1:32" ht="20.399999999999999">
      <c r="A872" s="1145"/>
      <c r="B872" s="700" t="s">
        <v>772</v>
      </c>
      <c r="C872" s="663" t="s">
        <v>429</v>
      </c>
      <c r="D872" s="678" t="s">
        <v>1978</v>
      </c>
      <c r="E872" s="700" t="s">
        <v>1914</v>
      </c>
      <c r="F872" s="679">
        <v>2312</v>
      </c>
      <c r="G872" s="1129" t="s">
        <v>3714</v>
      </c>
      <c r="H872" s="1440"/>
      <c r="I872" s="1440"/>
      <c r="J872" s="1494" t="s">
        <v>1134</v>
      </c>
      <c r="K872" s="1441"/>
      <c r="L872" s="1472"/>
      <c r="M872" s="2747">
        <v>0</v>
      </c>
      <c r="N872" s="305"/>
      <c r="O872" s="187"/>
      <c r="P872" s="187"/>
      <c r="Q872" s="187"/>
      <c r="R872" s="187"/>
      <c r="S872" s="187"/>
      <c r="T872" s="187"/>
      <c r="U872" s="187"/>
      <c r="V872" s="187"/>
      <c r="W872" s="187"/>
      <c r="X872" s="187"/>
      <c r="Y872" s="187"/>
      <c r="Z872" s="187"/>
      <c r="AA872" s="187"/>
      <c r="AB872" s="187"/>
      <c r="AC872" s="187"/>
      <c r="AD872" s="187"/>
      <c r="AE872" s="187"/>
      <c r="AF872" s="187"/>
    </row>
    <row r="873" spans="1:32" ht="11.4" customHeight="1">
      <c r="A873" s="760"/>
      <c r="B873" s="700" t="s">
        <v>772</v>
      </c>
      <c r="C873" s="663" t="s">
        <v>322</v>
      </c>
      <c r="D873" s="678" t="s">
        <v>1978</v>
      </c>
      <c r="E873" s="700" t="s">
        <v>1914</v>
      </c>
      <c r="F873" s="679">
        <v>2312</v>
      </c>
      <c r="G873" s="665" t="s">
        <v>3115</v>
      </c>
      <c r="H873" s="870"/>
      <c r="I873" s="870">
        <v>-1042</v>
      </c>
      <c r="J873" s="1494" t="s">
        <v>1134</v>
      </c>
      <c r="K873" s="871"/>
      <c r="L873" s="1469"/>
      <c r="M873" s="1469"/>
      <c r="N873" s="305"/>
      <c r="O873" s="187"/>
      <c r="P873" s="187"/>
      <c r="Q873" s="187"/>
      <c r="R873" s="187"/>
      <c r="S873" s="187"/>
      <c r="T873" s="187"/>
      <c r="U873" s="187"/>
      <c r="V873" s="187"/>
      <c r="W873" s="187"/>
      <c r="X873" s="187"/>
      <c r="Y873" s="187"/>
      <c r="Z873" s="187"/>
      <c r="AA873" s="187"/>
      <c r="AB873" s="187"/>
      <c r="AC873" s="187"/>
      <c r="AD873" s="187"/>
      <c r="AE873" s="187"/>
      <c r="AF873" s="187"/>
    </row>
    <row r="874" spans="1:32" ht="40.799999999999997">
      <c r="A874" s="1297"/>
      <c r="B874" s="700" t="s">
        <v>772</v>
      </c>
      <c r="C874" s="663" t="s">
        <v>322</v>
      </c>
      <c r="D874" s="678" t="s">
        <v>1978</v>
      </c>
      <c r="E874" s="700" t="s">
        <v>1914</v>
      </c>
      <c r="F874" s="679">
        <v>2312</v>
      </c>
      <c r="G874" s="1264" t="s">
        <v>3116</v>
      </c>
      <c r="H874" s="1425"/>
      <c r="I874" s="1425">
        <v>-1685</v>
      </c>
      <c r="J874" s="1494" t="s">
        <v>1134</v>
      </c>
      <c r="K874" s="1426"/>
      <c r="L874" s="1471"/>
      <c r="M874" s="1471"/>
      <c r="N874" s="381"/>
      <c r="O874" s="187"/>
      <c r="P874" s="187"/>
      <c r="Q874" s="187"/>
      <c r="R874" s="187"/>
      <c r="S874" s="187"/>
      <c r="T874" s="187"/>
      <c r="U874" s="187"/>
      <c r="V874" s="187"/>
      <c r="W874" s="187"/>
      <c r="X874" s="187"/>
      <c r="Y874" s="187"/>
      <c r="Z874" s="187"/>
      <c r="AA874" s="187"/>
      <c r="AB874" s="187"/>
      <c r="AC874" s="187"/>
      <c r="AD874" s="187"/>
      <c r="AE874" s="187"/>
      <c r="AF874" s="187"/>
    </row>
    <row r="875" spans="1:32" ht="40.799999999999997">
      <c r="A875" s="760"/>
      <c r="B875" s="700" t="s">
        <v>772</v>
      </c>
      <c r="C875" s="663" t="s">
        <v>322</v>
      </c>
      <c r="D875" s="678" t="s">
        <v>1978</v>
      </c>
      <c r="E875" s="700" t="s">
        <v>1914</v>
      </c>
      <c r="F875" s="679">
        <v>2312</v>
      </c>
      <c r="G875" s="665" t="s">
        <v>3204</v>
      </c>
      <c r="H875" s="870"/>
      <c r="I875" s="870">
        <v>600</v>
      </c>
      <c r="J875" s="1494" t="s">
        <v>1134</v>
      </c>
      <c r="K875" s="871"/>
      <c r="L875" s="1469"/>
      <c r="M875" s="870">
        <v>600</v>
      </c>
      <c r="N875" s="305"/>
      <c r="O875" s="187"/>
      <c r="P875" s="187"/>
      <c r="Q875" s="187"/>
      <c r="R875" s="187"/>
      <c r="S875" s="187"/>
      <c r="T875" s="187"/>
      <c r="U875" s="187"/>
      <c r="V875" s="187"/>
      <c r="W875" s="187"/>
      <c r="X875" s="187"/>
      <c r="Y875" s="187"/>
      <c r="Z875" s="187"/>
      <c r="AA875" s="187"/>
      <c r="AB875" s="187"/>
      <c r="AC875" s="187"/>
      <c r="AD875" s="187"/>
      <c r="AE875" s="187"/>
      <c r="AF875" s="187"/>
    </row>
    <row r="876" spans="1:32" ht="20.399999999999999">
      <c r="A876" s="1704"/>
      <c r="B876" s="700" t="s">
        <v>772</v>
      </c>
      <c r="C876" s="663" t="s">
        <v>322</v>
      </c>
      <c r="D876" s="678" t="s">
        <v>1978</v>
      </c>
      <c r="E876" s="700" t="s">
        <v>1914</v>
      </c>
      <c r="F876" s="679">
        <v>2312</v>
      </c>
      <c r="G876" s="1671" t="s">
        <v>4137</v>
      </c>
      <c r="H876" s="1834"/>
      <c r="I876" s="1834">
        <v>660</v>
      </c>
      <c r="J876" s="1673"/>
      <c r="K876" s="1835"/>
      <c r="L876" s="1836"/>
      <c r="M876" s="1834"/>
      <c r="N876" s="305"/>
      <c r="O876" s="187"/>
      <c r="P876" s="187"/>
      <c r="Q876" s="187"/>
      <c r="R876" s="187"/>
      <c r="S876" s="187"/>
      <c r="T876" s="187"/>
      <c r="U876" s="187"/>
      <c r="V876" s="187"/>
      <c r="W876" s="187"/>
      <c r="X876" s="187"/>
      <c r="Y876" s="187"/>
      <c r="Z876" s="187"/>
      <c r="AA876" s="187"/>
      <c r="AB876" s="187"/>
      <c r="AC876" s="187"/>
      <c r="AD876" s="187"/>
      <c r="AE876" s="187"/>
      <c r="AF876" s="187"/>
    </row>
    <row r="877" spans="1:32" ht="20.399999999999999">
      <c r="A877" s="849"/>
      <c r="B877" s="3129" t="s">
        <v>823</v>
      </c>
      <c r="C877" s="683" t="s">
        <v>322</v>
      </c>
      <c r="D877" s="719" t="s">
        <v>1978</v>
      </c>
      <c r="E877" s="720" t="s">
        <v>1914</v>
      </c>
      <c r="F877" s="685">
        <v>2314</v>
      </c>
      <c r="G877" s="686" t="s">
        <v>1435</v>
      </c>
      <c r="H877" s="689">
        <v>5000</v>
      </c>
      <c r="I877" s="689"/>
      <c r="J877" s="1494"/>
      <c r="K877" s="727"/>
      <c r="L877" s="689">
        <v>5000</v>
      </c>
      <c r="M877" s="689"/>
      <c r="N877" s="7"/>
      <c r="O877" s="187"/>
      <c r="P877" s="187"/>
      <c r="Q877" s="187"/>
      <c r="R877" s="187"/>
      <c r="S877" s="187"/>
      <c r="T877" s="187"/>
      <c r="U877" s="187"/>
      <c r="V877" s="187"/>
      <c r="W877" s="187"/>
      <c r="X877" s="187"/>
      <c r="Y877" s="187"/>
      <c r="Z877" s="187"/>
      <c r="AA877" s="187"/>
      <c r="AB877" s="187"/>
      <c r="AC877" s="187"/>
      <c r="AD877" s="187"/>
      <c r="AE877" s="187"/>
      <c r="AF877" s="187"/>
    </row>
    <row r="878" spans="1:32" ht="81.599999999999994">
      <c r="A878" s="760"/>
      <c r="B878" s="3130" t="s">
        <v>823</v>
      </c>
      <c r="C878" s="663" t="s">
        <v>322</v>
      </c>
      <c r="D878" s="678" t="s">
        <v>1978</v>
      </c>
      <c r="E878" s="700" t="s">
        <v>1914</v>
      </c>
      <c r="F878" s="679">
        <v>2314</v>
      </c>
      <c r="G878" s="665" t="s">
        <v>3290</v>
      </c>
      <c r="H878" s="870"/>
      <c r="I878" s="870">
        <v>5000</v>
      </c>
      <c r="J878" s="1494" t="s">
        <v>1134</v>
      </c>
      <c r="K878" s="871"/>
      <c r="L878" s="870"/>
      <c r="M878" s="870">
        <v>5000</v>
      </c>
      <c r="N878" s="7"/>
      <c r="O878" s="187"/>
      <c r="P878" s="187"/>
      <c r="Q878" s="187"/>
      <c r="R878" s="187"/>
      <c r="S878" s="187"/>
      <c r="T878" s="187"/>
      <c r="U878" s="187"/>
      <c r="V878" s="187"/>
      <c r="W878" s="187"/>
      <c r="X878" s="187"/>
      <c r="Y878" s="187"/>
      <c r="Z878" s="187"/>
      <c r="AA878" s="187"/>
      <c r="AB878" s="187"/>
      <c r="AC878" s="187"/>
      <c r="AD878" s="187"/>
      <c r="AE878" s="187"/>
      <c r="AF878" s="187"/>
    </row>
    <row r="879" spans="1:32" ht="20.399999999999999">
      <c r="A879" s="849"/>
      <c r="B879" s="720" t="s">
        <v>772</v>
      </c>
      <c r="C879" s="683" t="s">
        <v>322</v>
      </c>
      <c r="D879" s="719" t="s">
        <v>1978</v>
      </c>
      <c r="E879" s="720" t="s">
        <v>1914</v>
      </c>
      <c r="F879" s="685">
        <v>2314</v>
      </c>
      <c r="G879" s="686" t="s">
        <v>1435</v>
      </c>
      <c r="H879" s="689">
        <v>5000</v>
      </c>
      <c r="I879" s="689"/>
      <c r="J879" s="1494">
        <v>8629</v>
      </c>
      <c r="K879" s="727"/>
      <c r="L879" s="689">
        <v>5000</v>
      </c>
      <c r="M879" s="689"/>
      <c r="N879" s="359"/>
      <c r="O879" s="187"/>
      <c r="P879" s="187"/>
      <c r="Q879" s="187"/>
      <c r="R879" s="187"/>
      <c r="S879" s="187"/>
      <c r="T879" s="187"/>
      <c r="U879" s="187"/>
      <c r="V879" s="187"/>
      <c r="W879" s="187"/>
      <c r="X879" s="187"/>
      <c r="Y879" s="187"/>
      <c r="Z879" s="187"/>
      <c r="AA879" s="187"/>
      <c r="AB879" s="187"/>
      <c r="AC879" s="187"/>
      <c r="AD879" s="187"/>
      <c r="AE879" s="187"/>
      <c r="AF879" s="187"/>
    </row>
    <row r="880" spans="1:32" ht="20.399999999999999">
      <c r="A880" s="760"/>
      <c r="B880" s="700" t="s">
        <v>772</v>
      </c>
      <c r="C880" s="663" t="s">
        <v>322</v>
      </c>
      <c r="D880" s="678" t="s">
        <v>1978</v>
      </c>
      <c r="E880" s="700" t="s">
        <v>1914</v>
      </c>
      <c r="F880" s="679">
        <v>2314</v>
      </c>
      <c r="G880" s="665" t="s">
        <v>1852</v>
      </c>
      <c r="H880" s="870"/>
      <c r="I880" s="870">
        <v>500</v>
      </c>
      <c r="J880" s="1494" t="s">
        <v>1134</v>
      </c>
      <c r="K880" s="871"/>
      <c r="L880" s="870"/>
      <c r="M880" s="870">
        <v>500</v>
      </c>
      <c r="N880" s="381"/>
      <c r="O880" s="187"/>
      <c r="P880" s="187"/>
      <c r="Q880" s="187"/>
      <c r="R880" s="187"/>
      <c r="S880" s="187"/>
      <c r="T880" s="187"/>
      <c r="U880" s="187"/>
      <c r="V880" s="187"/>
      <c r="W880" s="187"/>
      <c r="X880" s="187"/>
      <c r="Y880" s="187"/>
      <c r="Z880" s="187"/>
      <c r="AA880" s="187"/>
      <c r="AB880" s="187"/>
      <c r="AC880" s="187"/>
      <c r="AD880" s="187"/>
      <c r="AE880" s="187"/>
      <c r="AF880" s="187"/>
    </row>
    <row r="881" spans="1:32" ht="22.5" customHeight="1">
      <c r="A881" s="760"/>
      <c r="B881" s="700" t="s">
        <v>772</v>
      </c>
      <c r="C881" s="663" t="s">
        <v>322</v>
      </c>
      <c r="D881" s="678" t="s">
        <v>1978</v>
      </c>
      <c r="E881" s="700" t="s">
        <v>1914</v>
      </c>
      <c r="F881" s="679">
        <v>2314</v>
      </c>
      <c r="G881" s="665" t="s">
        <v>1983</v>
      </c>
      <c r="H881" s="870"/>
      <c r="I881" s="870">
        <v>4500</v>
      </c>
      <c r="J881" s="1494" t="s">
        <v>1134</v>
      </c>
      <c r="K881" s="871"/>
      <c r="L881" s="870"/>
      <c r="M881" s="870">
        <v>4500</v>
      </c>
      <c r="N881" s="1841"/>
      <c r="O881" s="187"/>
      <c r="P881" s="187"/>
      <c r="Q881" s="187"/>
      <c r="R881" s="187"/>
      <c r="S881" s="187"/>
      <c r="T881" s="187"/>
      <c r="U881" s="187"/>
      <c r="V881" s="187"/>
      <c r="W881" s="187"/>
      <c r="X881" s="187"/>
      <c r="Y881" s="187"/>
      <c r="Z881" s="187"/>
      <c r="AA881" s="187"/>
      <c r="AB881" s="187"/>
      <c r="AC881" s="187"/>
      <c r="AD881" s="187"/>
      <c r="AE881" s="187"/>
      <c r="AF881" s="187"/>
    </row>
    <row r="882" spans="1:32" ht="22.5" customHeight="1">
      <c r="A882" s="720"/>
      <c r="B882" s="720" t="s">
        <v>772</v>
      </c>
      <c r="C882" s="720" t="s">
        <v>320</v>
      </c>
      <c r="D882" s="823" t="s">
        <v>1978</v>
      </c>
      <c r="E882" s="720" t="s">
        <v>1914</v>
      </c>
      <c r="F882" s="824">
        <v>2322</v>
      </c>
      <c r="G882" s="800" t="s">
        <v>191</v>
      </c>
      <c r="H882" s="689">
        <v>561</v>
      </c>
      <c r="I882" s="689"/>
      <c r="J882" s="1494">
        <v>397</v>
      </c>
      <c r="K882" s="727"/>
      <c r="L882" s="706">
        <v>492.79999999999995</v>
      </c>
      <c r="M882" s="706"/>
      <c r="N882" s="305"/>
      <c r="O882" s="187"/>
      <c r="P882" s="187"/>
      <c r="Q882" s="187"/>
      <c r="R882" s="187"/>
      <c r="S882" s="187"/>
      <c r="T882" s="187"/>
      <c r="U882" s="187"/>
      <c r="V882" s="187"/>
      <c r="W882" s="187"/>
      <c r="X882" s="187"/>
      <c r="Y882" s="187"/>
      <c r="Z882" s="187"/>
      <c r="AA882" s="187"/>
      <c r="AB882" s="187"/>
      <c r="AC882" s="187"/>
      <c r="AD882" s="187"/>
      <c r="AE882" s="187"/>
      <c r="AF882" s="187"/>
    </row>
    <row r="883" spans="1:32">
      <c r="A883" s="760"/>
      <c r="B883" s="700" t="s">
        <v>772</v>
      </c>
      <c r="C883" s="663" t="s">
        <v>320</v>
      </c>
      <c r="D883" s="678" t="s">
        <v>1978</v>
      </c>
      <c r="E883" s="700" t="s">
        <v>1914</v>
      </c>
      <c r="F883" s="679">
        <v>2322</v>
      </c>
      <c r="G883" s="665" t="s">
        <v>4813</v>
      </c>
      <c r="H883" s="870"/>
      <c r="I883" s="870">
        <v>710.6</v>
      </c>
      <c r="J883" s="1494" t="s">
        <v>1134</v>
      </c>
      <c r="K883" s="871"/>
      <c r="L883" s="1837"/>
      <c r="M883" s="2627">
        <v>492.79999999999995</v>
      </c>
      <c r="N883" s="305"/>
      <c r="O883" s="187"/>
      <c r="P883" s="187"/>
      <c r="Q883" s="187"/>
      <c r="R883" s="187"/>
      <c r="S883" s="187"/>
      <c r="T883" s="187"/>
      <c r="U883" s="187"/>
      <c r="V883" s="187"/>
      <c r="W883" s="187"/>
      <c r="X883" s="187"/>
      <c r="Y883" s="187"/>
      <c r="Z883" s="187"/>
      <c r="AA883" s="187"/>
      <c r="AB883" s="187"/>
      <c r="AC883" s="187"/>
      <c r="AD883" s="187"/>
      <c r="AE883" s="187"/>
      <c r="AF883" s="187"/>
    </row>
    <row r="884" spans="1:32" ht="30.6">
      <c r="A884" s="1704"/>
      <c r="B884" s="700" t="s">
        <v>772</v>
      </c>
      <c r="C884" s="663" t="s">
        <v>320</v>
      </c>
      <c r="D884" s="678" t="s">
        <v>1978</v>
      </c>
      <c r="E884" s="700" t="s">
        <v>1914</v>
      </c>
      <c r="F884" s="679">
        <v>2322</v>
      </c>
      <c r="G884" s="1671" t="s">
        <v>4139</v>
      </c>
      <c r="H884" s="1834"/>
      <c r="I884" s="1834">
        <v>-150</v>
      </c>
      <c r="J884" s="1673"/>
      <c r="K884" s="1835"/>
      <c r="L884" s="2034"/>
      <c r="M884" s="1676"/>
      <c r="N884" s="305"/>
      <c r="O884" s="187"/>
      <c r="P884" s="187"/>
      <c r="Q884" s="187"/>
      <c r="R884" s="187"/>
      <c r="S884" s="187"/>
      <c r="T884" s="187"/>
      <c r="U884" s="187"/>
      <c r="V884" s="187"/>
      <c r="W884" s="187"/>
      <c r="X884" s="187"/>
      <c r="Y884" s="187"/>
      <c r="Z884" s="187"/>
      <c r="AA884" s="187"/>
      <c r="AB884" s="187"/>
      <c r="AC884" s="187"/>
      <c r="AD884" s="187"/>
      <c r="AE884" s="187"/>
      <c r="AF884" s="187"/>
    </row>
    <row r="885" spans="1:32" ht="40.799999999999997">
      <c r="A885" s="849"/>
      <c r="B885" s="720" t="s">
        <v>772</v>
      </c>
      <c r="C885" s="683" t="s">
        <v>322</v>
      </c>
      <c r="D885" s="719" t="s">
        <v>1978</v>
      </c>
      <c r="E885" s="720" t="s">
        <v>1914</v>
      </c>
      <c r="F885" s="685">
        <v>2341</v>
      </c>
      <c r="G885" s="686" t="s">
        <v>192</v>
      </c>
      <c r="H885" s="689">
        <v>350</v>
      </c>
      <c r="I885" s="689"/>
      <c r="J885" s="1494">
        <v>0</v>
      </c>
      <c r="K885" s="727"/>
      <c r="L885" s="689">
        <v>300</v>
      </c>
      <c r="M885" s="689"/>
      <c r="N885" s="359" t="s">
        <v>3713</v>
      </c>
      <c r="O885" s="187"/>
      <c r="P885" s="187"/>
      <c r="Q885" s="187"/>
      <c r="R885" s="187"/>
      <c r="S885" s="187"/>
      <c r="T885" s="187"/>
      <c r="U885" s="187"/>
      <c r="V885" s="187"/>
      <c r="W885" s="187"/>
      <c r="X885" s="187"/>
      <c r="Y885" s="187"/>
      <c r="Z885" s="187"/>
      <c r="AA885" s="187"/>
      <c r="AB885" s="187"/>
      <c r="AC885" s="187"/>
      <c r="AD885" s="187"/>
      <c r="AE885" s="187"/>
      <c r="AF885" s="187"/>
    </row>
    <row r="886" spans="1:32" ht="22.5" customHeight="1">
      <c r="A886" s="760"/>
      <c r="B886" s="700" t="s">
        <v>772</v>
      </c>
      <c r="C886" s="663" t="s">
        <v>322</v>
      </c>
      <c r="D886" s="678" t="s">
        <v>1978</v>
      </c>
      <c r="E886" s="700" t="s">
        <v>1914</v>
      </c>
      <c r="F886" s="679">
        <v>2341</v>
      </c>
      <c r="G886" s="665" t="s">
        <v>193</v>
      </c>
      <c r="H886" s="870"/>
      <c r="I886" s="870">
        <v>200</v>
      </c>
      <c r="J886" s="1494" t="s">
        <v>1134</v>
      </c>
      <c r="K886" s="871"/>
      <c r="L886" s="870">
        <v>0</v>
      </c>
      <c r="M886" s="870">
        <v>300</v>
      </c>
      <c r="N886" s="305"/>
      <c r="O886" s="187"/>
      <c r="P886" s="187"/>
      <c r="Q886" s="187"/>
      <c r="R886" s="187"/>
      <c r="S886" s="187"/>
      <c r="T886" s="187"/>
      <c r="U886" s="187"/>
      <c r="V886" s="187"/>
      <c r="W886" s="187"/>
      <c r="X886" s="187"/>
      <c r="Y886" s="187"/>
      <c r="Z886" s="187"/>
      <c r="AA886" s="187"/>
      <c r="AB886" s="187"/>
      <c r="AC886" s="187"/>
      <c r="AD886" s="187"/>
      <c r="AE886" s="187"/>
      <c r="AF886" s="187"/>
    </row>
    <row r="887" spans="1:32" ht="30.6">
      <c r="A887" s="1704"/>
      <c r="B887" s="700" t="s">
        <v>772</v>
      </c>
      <c r="C887" s="663" t="s">
        <v>322</v>
      </c>
      <c r="D887" s="678" t="s">
        <v>1978</v>
      </c>
      <c r="E887" s="700" t="s">
        <v>1914</v>
      </c>
      <c r="F887" s="679">
        <v>2341</v>
      </c>
      <c r="G887" s="1671" t="s">
        <v>4139</v>
      </c>
      <c r="H887" s="1834"/>
      <c r="I887" s="1834">
        <v>150</v>
      </c>
      <c r="J887" s="1673"/>
      <c r="K887" s="1835"/>
      <c r="L887" s="2034"/>
      <c r="M887" s="2034"/>
      <c r="N887" s="305"/>
      <c r="O887" s="187"/>
      <c r="P887" s="187"/>
      <c r="Q887" s="187"/>
      <c r="R887" s="187"/>
      <c r="S887" s="187"/>
      <c r="T887" s="187"/>
      <c r="U887" s="187"/>
      <c r="V887" s="187"/>
      <c r="W887" s="187"/>
      <c r="X887" s="187"/>
      <c r="Y887" s="187"/>
      <c r="Z887" s="187"/>
      <c r="AA887" s="187"/>
      <c r="AB887" s="187"/>
      <c r="AC887" s="187"/>
      <c r="AD887" s="187"/>
      <c r="AE887" s="187"/>
      <c r="AF887" s="187"/>
    </row>
    <row r="888" spans="1:32">
      <c r="A888" s="849"/>
      <c r="B888" s="720" t="s">
        <v>772</v>
      </c>
      <c r="C888" s="683" t="s">
        <v>320</v>
      </c>
      <c r="D888" s="719" t="s">
        <v>1978</v>
      </c>
      <c r="E888" s="720" t="s">
        <v>1914</v>
      </c>
      <c r="F888" s="685">
        <v>2350</v>
      </c>
      <c r="G888" s="686" t="s">
        <v>194</v>
      </c>
      <c r="H888" s="689">
        <v>850</v>
      </c>
      <c r="I888" s="689"/>
      <c r="J888" s="1494">
        <v>790</v>
      </c>
      <c r="K888" s="727"/>
      <c r="L888" s="689">
        <v>1500</v>
      </c>
      <c r="M888" s="689"/>
      <c r="N888" s="305"/>
      <c r="O888" s="187"/>
      <c r="P888" s="187"/>
      <c r="Q888" s="187"/>
      <c r="R888" s="187"/>
      <c r="S888" s="187"/>
      <c r="T888" s="187"/>
      <c r="U888" s="187"/>
      <c r="V888" s="187"/>
      <c r="W888" s="187"/>
      <c r="X888" s="187"/>
      <c r="Y888" s="187"/>
      <c r="Z888" s="187"/>
      <c r="AA888" s="187"/>
      <c r="AB888" s="187"/>
      <c r="AC888" s="187"/>
      <c r="AD888" s="187"/>
      <c r="AE888" s="187"/>
      <c r="AF888" s="187"/>
    </row>
    <row r="889" spans="1:32">
      <c r="A889" s="760"/>
      <c r="B889" s="700" t="s">
        <v>772</v>
      </c>
      <c r="C889" s="663" t="s">
        <v>320</v>
      </c>
      <c r="D889" s="678" t="s">
        <v>1978</v>
      </c>
      <c r="E889" s="700" t="s">
        <v>1914</v>
      </c>
      <c r="F889" s="679">
        <v>2350</v>
      </c>
      <c r="G889" s="665" t="s">
        <v>195</v>
      </c>
      <c r="H889" s="870"/>
      <c r="I889" s="870">
        <v>1500</v>
      </c>
      <c r="J889" s="1494" t="s">
        <v>1134</v>
      </c>
      <c r="K889" s="871"/>
      <c r="L889" s="870"/>
      <c r="M889" s="870">
        <v>1500</v>
      </c>
      <c r="N889" s="305"/>
      <c r="O889" s="187"/>
      <c r="P889" s="187"/>
      <c r="Q889" s="187"/>
      <c r="R889" s="187"/>
      <c r="S889" s="187"/>
      <c r="T889" s="187"/>
      <c r="U889" s="187"/>
      <c r="V889" s="187"/>
      <c r="W889" s="187"/>
      <c r="X889" s="187"/>
      <c r="Y889" s="187"/>
      <c r="Z889" s="187"/>
      <c r="AA889" s="187"/>
      <c r="AB889" s="187"/>
      <c r="AC889" s="187"/>
      <c r="AD889" s="187"/>
      <c r="AE889" s="187"/>
      <c r="AF889" s="187"/>
    </row>
    <row r="890" spans="1:32">
      <c r="A890" s="1145"/>
      <c r="B890" s="700" t="s">
        <v>772</v>
      </c>
      <c r="C890" s="663" t="s">
        <v>320</v>
      </c>
      <c r="D890" s="678" t="s">
        <v>1978</v>
      </c>
      <c r="E890" s="700" t="s">
        <v>1914</v>
      </c>
      <c r="F890" s="679">
        <v>2350</v>
      </c>
      <c r="G890" s="1129" t="s">
        <v>3162</v>
      </c>
      <c r="H890" s="1440"/>
      <c r="I890" s="1440">
        <v>-650</v>
      </c>
      <c r="J890" s="1494" t="s">
        <v>1134</v>
      </c>
      <c r="K890" s="1441"/>
      <c r="L890" s="1440"/>
      <c r="M890" s="1440"/>
      <c r="N890" s="305"/>
      <c r="O890" s="187"/>
      <c r="P890" s="187"/>
      <c r="Q890" s="187"/>
      <c r="R890" s="187"/>
      <c r="S890" s="187"/>
      <c r="T890" s="187"/>
      <c r="U890" s="187"/>
      <c r="V890" s="187"/>
      <c r="W890" s="187"/>
      <c r="X890" s="187"/>
      <c r="Y890" s="187"/>
      <c r="Z890" s="187"/>
      <c r="AA890" s="187"/>
      <c r="AB890" s="187"/>
      <c r="AC890" s="187"/>
      <c r="AD890" s="187"/>
      <c r="AE890" s="187"/>
      <c r="AF890" s="187"/>
    </row>
    <row r="891" spans="1:32" ht="20.399999999999999">
      <c r="A891" s="849"/>
      <c r="B891" s="720" t="s">
        <v>772</v>
      </c>
      <c r="C891" s="683" t="s">
        <v>322</v>
      </c>
      <c r="D891" s="719" t="s">
        <v>1978</v>
      </c>
      <c r="E891" s="720" t="s">
        <v>1914</v>
      </c>
      <c r="F891" s="685">
        <v>2512</v>
      </c>
      <c r="G891" s="686" t="s">
        <v>779</v>
      </c>
      <c r="H891" s="689">
        <v>14392</v>
      </c>
      <c r="I891" s="689"/>
      <c r="J891" s="1494">
        <v>10994.07</v>
      </c>
      <c r="K891" s="727"/>
      <c r="L891" s="689">
        <v>16500</v>
      </c>
      <c r="M891" s="689"/>
      <c r="N891" s="1223"/>
      <c r="O891" s="187"/>
      <c r="P891" s="187"/>
      <c r="Q891" s="187"/>
      <c r="R891" s="187"/>
      <c r="S891" s="187"/>
      <c r="T891" s="187"/>
      <c r="U891" s="187"/>
      <c r="V891" s="187"/>
      <c r="W891" s="187"/>
      <c r="X891" s="187"/>
      <c r="Y891" s="187"/>
      <c r="Z891" s="187"/>
      <c r="AA891" s="187"/>
      <c r="AB891" s="187"/>
      <c r="AC891" s="187"/>
      <c r="AD891" s="187"/>
      <c r="AE891" s="187"/>
      <c r="AF891" s="187"/>
    </row>
    <row r="892" spans="1:32" ht="11.4" customHeight="1">
      <c r="A892" s="760"/>
      <c r="B892" s="700" t="s">
        <v>772</v>
      </c>
      <c r="C892" s="663" t="s">
        <v>322</v>
      </c>
      <c r="D892" s="678" t="s">
        <v>1978</v>
      </c>
      <c r="E892" s="700" t="s">
        <v>1914</v>
      </c>
      <c r="F892" s="679">
        <v>2512</v>
      </c>
      <c r="G892" s="665" t="s">
        <v>3109</v>
      </c>
      <c r="H892" s="870"/>
      <c r="I892" s="870">
        <v>17000</v>
      </c>
      <c r="J892" s="1494" t="s">
        <v>1134</v>
      </c>
      <c r="K892" s="871"/>
      <c r="L892" s="870"/>
      <c r="M892" s="870">
        <v>16500</v>
      </c>
      <c r="N892" s="1223"/>
      <c r="O892" s="187"/>
      <c r="P892" s="187"/>
      <c r="Q892" s="187"/>
      <c r="R892" s="187"/>
      <c r="S892" s="187"/>
      <c r="T892" s="187"/>
      <c r="U892" s="187"/>
      <c r="V892" s="187"/>
      <c r="W892" s="187"/>
      <c r="X892" s="187"/>
      <c r="Y892" s="187"/>
      <c r="Z892" s="187"/>
      <c r="AA892" s="187"/>
      <c r="AB892" s="187"/>
      <c r="AC892" s="187"/>
      <c r="AD892" s="187"/>
      <c r="AE892" s="187"/>
      <c r="AF892" s="187"/>
    </row>
    <row r="893" spans="1:32" ht="45" customHeight="1">
      <c r="A893" s="1297"/>
      <c r="B893" s="700" t="s">
        <v>772</v>
      </c>
      <c r="C893" s="663" t="s">
        <v>322</v>
      </c>
      <c r="D893" s="678" t="s">
        <v>1978</v>
      </c>
      <c r="E893" s="700" t="s">
        <v>1914</v>
      </c>
      <c r="F893" s="679">
        <v>2512</v>
      </c>
      <c r="G893" s="1264" t="s">
        <v>3114</v>
      </c>
      <c r="H893" s="1425"/>
      <c r="I893" s="1425">
        <v>-2608</v>
      </c>
      <c r="J893" s="1494" t="s">
        <v>1134</v>
      </c>
      <c r="K893" s="1426"/>
      <c r="L893" s="1425"/>
      <c r="M893" s="1425"/>
      <c r="N893" s="1224" t="s">
        <v>4750</v>
      </c>
      <c r="O893" s="187"/>
      <c r="P893" s="187"/>
      <c r="Q893" s="187"/>
      <c r="R893" s="187"/>
      <c r="S893" s="187"/>
      <c r="T893" s="187"/>
      <c r="U893" s="187"/>
      <c r="V893" s="187"/>
      <c r="W893" s="187"/>
      <c r="X893" s="187"/>
      <c r="Y893" s="187"/>
      <c r="Z893" s="187"/>
      <c r="AA893" s="187"/>
      <c r="AB893" s="187"/>
      <c r="AC893" s="187"/>
      <c r="AD893" s="187"/>
      <c r="AE893" s="187"/>
      <c r="AF893" s="187"/>
    </row>
    <row r="894" spans="1:32" ht="45" customHeight="1">
      <c r="A894" s="683" t="s">
        <v>693</v>
      </c>
      <c r="B894" s="3136" t="s">
        <v>773</v>
      </c>
      <c r="C894" s="683" t="s">
        <v>320</v>
      </c>
      <c r="D894" s="719" t="s">
        <v>1978</v>
      </c>
      <c r="E894" s="720" t="s">
        <v>1914</v>
      </c>
      <c r="F894" s="685">
        <v>3262</v>
      </c>
      <c r="G894" s="686" t="s">
        <v>446</v>
      </c>
      <c r="H894" s="689">
        <v>3900</v>
      </c>
      <c r="I894" s="689"/>
      <c r="J894" s="1494">
        <v>3900</v>
      </c>
      <c r="K894" s="871"/>
      <c r="L894" s="689">
        <v>0</v>
      </c>
      <c r="M894" s="689"/>
      <c r="N894" s="1223"/>
      <c r="O894" s="187"/>
      <c r="P894" s="187"/>
      <c r="Q894" s="187"/>
      <c r="R894" s="187"/>
      <c r="S894" s="187"/>
      <c r="T894" s="187"/>
      <c r="U894" s="187"/>
      <c r="V894" s="187"/>
      <c r="W894" s="187"/>
      <c r="X894" s="187"/>
      <c r="Y894" s="187"/>
      <c r="Z894" s="187"/>
      <c r="AA894" s="187"/>
      <c r="AB894" s="187"/>
      <c r="AC894" s="187"/>
      <c r="AD894" s="187"/>
      <c r="AE894" s="187"/>
      <c r="AF894" s="187"/>
    </row>
    <row r="895" spans="1:32" ht="45" customHeight="1">
      <c r="A895" s="1297"/>
      <c r="B895" s="3130" t="s">
        <v>773</v>
      </c>
      <c r="C895" s="663" t="s">
        <v>320</v>
      </c>
      <c r="D895" s="678" t="s">
        <v>1978</v>
      </c>
      <c r="E895" s="700" t="s">
        <v>1914</v>
      </c>
      <c r="F895" s="679">
        <v>3262</v>
      </c>
      <c r="G895" s="1264" t="s">
        <v>2981</v>
      </c>
      <c r="H895" s="1425"/>
      <c r="I895" s="1425">
        <v>3900</v>
      </c>
      <c r="J895" s="1494" t="s">
        <v>1134</v>
      </c>
      <c r="K895" s="1426"/>
      <c r="L895" s="1425"/>
      <c r="M895" s="1425"/>
      <c r="N895" s="1223"/>
      <c r="O895" s="187"/>
      <c r="P895" s="187"/>
      <c r="Q895" s="187"/>
      <c r="R895" s="187"/>
      <c r="S895" s="187"/>
      <c r="T895" s="187"/>
      <c r="U895" s="187"/>
      <c r="V895" s="187"/>
      <c r="W895" s="187"/>
      <c r="X895" s="187"/>
      <c r="Y895" s="187"/>
      <c r="Z895" s="187"/>
      <c r="AA895" s="187"/>
      <c r="AB895" s="187"/>
      <c r="AC895" s="187"/>
      <c r="AD895" s="187"/>
      <c r="AE895" s="187"/>
      <c r="AF895" s="187"/>
    </row>
    <row r="896" spans="1:32" ht="20.399999999999999">
      <c r="A896" s="683" t="s">
        <v>693</v>
      </c>
      <c r="B896" s="3136" t="s">
        <v>773</v>
      </c>
      <c r="C896" s="683" t="s">
        <v>320</v>
      </c>
      <c r="D896" s="719" t="s">
        <v>1978</v>
      </c>
      <c r="E896" s="720" t="s">
        <v>1914</v>
      </c>
      <c r="F896" s="685">
        <v>3263</v>
      </c>
      <c r="G896" s="686" t="s">
        <v>187</v>
      </c>
      <c r="H896" s="689">
        <v>115088</v>
      </c>
      <c r="I896" s="689"/>
      <c r="J896" s="1494">
        <v>115088</v>
      </c>
      <c r="K896" s="871"/>
      <c r="L896" s="689">
        <v>124488</v>
      </c>
      <c r="M896" s="689"/>
      <c r="N896" s="177"/>
      <c r="O896" s="187"/>
      <c r="P896" s="187"/>
      <c r="Q896" s="187"/>
      <c r="R896" s="187"/>
      <c r="S896" s="187"/>
      <c r="T896" s="187"/>
      <c r="U896" s="187"/>
      <c r="V896" s="187"/>
      <c r="W896" s="187"/>
      <c r="X896" s="187"/>
      <c r="Y896" s="187"/>
      <c r="Z896" s="187"/>
      <c r="AA896" s="187"/>
      <c r="AB896" s="187"/>
      <c r="AC896" s="187"/>
      <c r="AD896" s="187"/>
      <c r="AE896" s="187"/>
      <c r="AF896" s="187"/>
    </row>
    <row r="897" spans="1:32" ht="20.399999999999999">
      <c r="A897" s="760"/>
      <c r="B897" s="3130" t="s">
        <v>773</v>
      </c>
      <c r="C897" s="663" t="s">
        <v>320</v>
      </c>
      <c r="D897" s="678" t="s">
        <v>1978</v>
      </c>
      <c r="E897" s="700" t="s">
        <v>1914</v>
      </c>
      <c r="F897" s="679">
        <v>3263</v>
      </c>
      <c r="G897" s="665" t="s">
        <v>1397</v>
      </c>
      <c r="H897" s="870"/>
      <c r="I897" s="870">
        <v>114488</v>
      </c>
      <c r="J897" s="1494" t="s">
        <v>1134</v>
      </c>
      <c r="K897" s="871"/>
      <c r="L897" s="870"/>
      <c r="M897" s="3240">
        <v>124488</v>
      </c>
      <c r="N897" s="177"/>
      <c r="O897" s="187"/>
      <c r="P897" s="187"/>
      <c r="Q897" s="187"/>
      <c r="R897" s="187"/>
      <c r="S897" s="187"/>
      <c r="T897" s="187"/>
      <c r="U897" s="187"/>
      <c r="V897" s="187"/>
      <c r="W897" s="187"/>
      <c r="X897" s="187"/>
      <c r="Y897" s="187"/>
      <c r="Z897" s="187"/>
      <c r="AA897" s="187"/>
      <c r="AB897" s="187"/>
      <c r="AC897" s="187"/>
      <c r="AD897" s="187"/>
      <c r="AE897" s="187"/>
      <c r="AF897" s="187"/>
    </row>
    <row r="898" spans="1:32" ht="20.399999999999999">
      <c r="A898" s="1297"/>
      <c r="B898" s="3130" t="s">
        <v>773</v>
      </c>
      <c r="C898" s="663" t="s">
        <v>320</v>
      </c>
      <c r="D898" s="678" t="s">
        <v>1978</v>
      </c>
      <c r="E898" s="700" t="s">
        <v>1914</v>
      </c>
      <c r="F898" s="679">
        <v>3263</v>
      </c>
      <c r="G898" s="1264" t="s">
        <v>2981</v>
      </c>
      <c r="H898" s="1425"/>
      <c r="I898" s="1425">
        <v>-3900</v>
      </c>
      <c r="J898" s="1494" t="s">
        <v>1134</v>
      </c>
      <c r="K898" s="1426"/>
      <c r="L898" s="1425"/>
      <c r="M898" s="1425"/>
      <c r="N898" s="177"/>
      <c r="O898" s="4"/>
      <c r="P898" s="4"/>
      <c r="Q898" s="4"/>
      <c r="R898" s="187"/>
      <c r="S898" s="187"/>
      <c r="T898" s="187"/>
      <c r="U898" s="187"/>
      <c r="V898" s="187"/>
      <c r="W898" s="187"/>
      <c r="X898" s="187"/>
      <c r="Y898" s="187"/>
      <c r="Z898" s="187"/>
      <c r="AA898" s="187"/>
      <c r="AB898" s="187"/>
      <c r="AC898" s="187"/>
      <c r="AD898" s="187"/>
      <c r="AE898" s="187"/>
      <c r="AF898" s="187"/>
    </row>
    <row r="899" spans="1:32" ht="30.6">
      <c r="A899" s="1297"/>
      <c r="B899" s="3130" t="s">
        <v>773</v>
      </c>
      <c r="C899" s="663" t="s">
        <v>320</v>
      </c>
      <c r="D899" s="678" t="s">
        <v>1978</v>
      </c>
      <c r="E899" s="700" t="s">
        <v>1914</v>
      </c>
      <c r="F899" s="679">
        <v>3263</v>
      </c>
      <c r="G899" s="1264" t="s">
        <v>2982</v>
      </c>
      <c r="H899" s="1425"/>
      <c r="I899" s="1425">
        <v>1500</v>
      </c>
      <c r="J899" s="1494" t="s">
        <v>1134</v>
      </c>
      <c r="K899" s="1426"/>
      <c r="L899" s="1425"/>
      <c r="M899" s="1425"/>
      <c r="N899" s="177"/>
      <c r="O899" s="4"/>
      <c r="P899" s="4"/>
      <c r="Q899" s="4"/>
      <c r="R899" s="187"/>
      <c r="S899" s="187"/>
      <c r="T899" s="187"/>
      <c r="U899" s="187"/>
      <c r="V899" s="187"/>
      <c r="W899" s="187"/>
      <c r="X899" s="187"/>
      <c r="Y899" s="187"/>
      <c r="Z899" s="187"/>
      <c r="AA899" s="187"/>
      <c r="AB899" s="187"/>
      <c r="AC899" s="187"/>
      <c r="AD899" s="187"/>
      <c r="AE899" s="187"/>
      <c r="AF899" s="187"/>
    </row>
    <row r="900" spans="1:32" ht="30.6">
      <c r="A900" s="1297"/>
      <c r="B900" s="3130" t="s">
        <v>773</v>
      </c>
      <c r="C900" s="663" t="s">
        <v>320</v>
      </c>
      <c r="D900" s="678" t="s">
        <v>1978</v>
      </c>
      <c r="E900" s="700" t="s">
        <v>1914</v>
      </c>
      <c r="F900" s="679">
        <v>3263</v>
      </c>
      <c r="G900" s="1264" t="s">
        <v>3082</v>
      </c>
      <c r="H900" s="1425"/>
      <c r="I900" s="1425">
        <v>3000</v>
      </c>
      <c r="J900" s="1494" t="s">
        <v>1134</v>
      </c>
      <c r="K900" s="1426"/>
      <c r="L900" s="1425"/>
      <c r="M900" s="1425"/>
      <c r="N900" s="177"/>
      <c r="O900" s="187"/>
      <c r="P900" s="187"/>
      <c r="Q900" s="187"/>
      <c r="R900" s="187"/>
      <c r="S900" s="187"/>
      <c r="T900" s="187"/>
      <c r="U900" s="187"/>
      <c r="V900" s="187"/>
      <c r="W900" s="187"/>
      <c r="X900" s="187"/>
      <c r="Y900" s="187"/>
      <c r="Z900" s="187"/>
      <c r="AA900" s="187"/>
      <c r="AB900" s="187"/>
      <c r="AC900" s="187"/>
      <c r="AD900" s="187"/>
      <c r="AE900" s="187"/>
      <c r="AF900" s="187"/>
    </row>
    <row r="901" spans="1:32">
      <c r="A901" s="849"/>
      <c r="B901" s="3129" t="s">
        <v>773</v>
      </c>
      <c r="C901" s="683" t="s">
        <v>324</v>
      </c>
      <c r="D901" s="719" t="s">
        <v>1978</v>
      </c>
      <c r="E901" s="720" t="s">
        <v>1914</v>
      </c>
      <c r="F901" s="824">
        <v>5218</v>
      </c>
      <c r="G901" s="800" t="s">
        <v>1062</v>
      </c>
      <c r="H901" s="706">
        <v>787</v>
      </c>
      <c r="I901" s="706"/>
      <c r="J901" s="1654">
        <v>786.05</v>
      </c>
      <c r="K901" s="802"/>
      <c r="L901" s="706">
        <v>0</v>
      </c>
      <c r="M901" s="706"/>
      <c r="N901" s="305"/>
      <c r="O901" s="4"/>
      <c r="P901" s="4"/>
      <c r="Q901" s="4"/>
      <c r="R901" s="187"/>
      <c r="S901" s="187"/>
      <c r="T901" s="187"/>
      <c r="U901" s="187"/>
      <c r="V901" s="187"/>
      <c r="W901" s="187"/>
      <c r="X901" s="187"/>
      <c r="Y901" s="187"/>
      <c r="Z901" s="187"/>
      <c r="AA901" s="187"/>
      <c r="AB901" s="187"/>
      <c r="AC901" s="187"/>
      <c r="AD901" s="187"/>
      <c r="AE901" s="187"/>
      <c r="AF901" s="187"/>
    </row>
    <row r="902" spans="1:32" ht="30.6">
      <c r="A902" s="1145"/>
      <c r="B902" s="3130" t="s">
        <v>773</v>
      </c>
      <c r="C902" s="663" t="s">
        <v>322</v>
      </c>
      <c r="D902" s="678" t="s">
        <v>1978</v>
      </c>
      <c r="E902" s="700" t="s">
        <v>1914</v>
      </c>
      <c r="F902" s="795">
        <v>5218</v>
      </c>
      <c r="G902" s="1153" t="s">
        <v>3084</v>
      </c>
      <c r="H902" s="1165"/>
      <c r="I902" s="1165">
        <v>787</v>
      </c>
      <c r="J902" s="1654" t="s">
        <v>1134</v>
      </c>
      <c r="K902" s="1439"/>
      <c r="L902" s="1165"/>
      <c r="M902" s="1165"/>
      <c r="N902" s="305"/>
      <c r="O902" s="187"/>
      <c r="P902" s="187"/>
      <c r="Q902" s="187"/>
      <c r="R902" s="187"/>
      <c r="S902" s="187"/>
      <c r="T902" s="187"/>
      <c r="U902" s="187"/>
      <c r="V902" s="187"/>
      <c r="W902" s="187"/>
      <c r="X902" s="187"/>
      <c r="Y902" s="187"/>
      <c r="Z902" s="187"/>
      <c r="AA902" s="187"/>
      <c r="AB902" s="187"/>
      <c r="AC902" s="187"/>
      <c r="AD902" s="187"/>
      <c r="AE902" s="187"/>
      <c r="AF902" s="187"/>
    </row>
    <row r="903" spans="1:32">
      <c r="A903" s="849"/>
      <c r="B903" s="720" t="s">
        <v>774</v>
      </c>
      <c r="C903" s="683" t="s">
        <v>324</v>
      </c>
      <c r="D903" s="719" t="s">
        <v>1978</v>
      </c>
      <c r="E903" s="720" t="s">
        <v>1914</v>
      </c>
      <c r="F903" s="824">
        <v>5238</v>
      </c>
      <c r="G903" s="800" t="s">
        <v>139</v>
      </c>
      <c r="H903" s="706">
        <v>0</v>
      </c>
      <c r="I903" s="706"/>
      <c r="J903" s="1654" t="s">
        <v>1134</v>
      </c>
      <c r="K903" s="802"/>
      <c r="L903" s="706">
        <v>0</v>
      </c>
      <c r="M903" s="706"/>
      <c r="N903" s="305"/>
      <c r="O903" s="4"/>
      <c r="P903" s="4"/>
      <c r="Q903" s="4"/>
      <c r="R903" s="187"/>
      <c r="S903" s="187"/>
      <c r="T903" s="187"/>
      <c r="U903" s="187"/>
      <c r="V903" s="187"/>
      <c r="W903" s="187"/>
      <c r="X903" s="187"/>
      <c r="Y903" s="187"/>
      <c r="Z903" s="187"/>
      <c r="AA903" s="187"/>
      <c r="AB903" s="187"/>
      <c r="AC903" s="187"/>
      <c r="AD903" s="187"/>
      <c r="AE903" s="187"/>
      <c r="AF903" s="187"/>
    </row>
    <row r="904" spans="1:32">
      <c r="A904" s="760"/>
      <c r="B904" s="700" t="s">
        <v>774</v>
      </c>
      <c r="C904" s="663" t="s">
        <v>324</v>
      </c>
      <c r="D904" s="678" t="s">
        <v>1978</v>
      </c>
      <c r="E904" s="700" t="s">
        <v>1914</v>
      </c>
      <c r="F904" s="795">
        <v>5238</v>
      </c>
      <c r="G904" s="750" t="s">
        <v>1398</v>
      </c>
      <c r="H904" s="1837"/>
      <c r="I904" s="1837"/>
      <c r="J904" s="1654" t="s">
        <v>1134</v>
      </c>
      <c r="K904" s="1840"/>
      <c r="L904" s="1837"/>
      <c r="M904" s="1837"/>
      <c r="N904" s="305"/>
      <c r="O904" s="4"/>
      <c r="P904" s="4"/>
      <c r="Q904" s="4"/>
      <c r="R904" s="4"/>
      <c r="S904" s="4"/>
      <c r="T904" s="4"/>
      <c r="U904" s="4"/>
      <c r="V904" s="4"/>
      <c r="W904" s="4"/>
      <c r="X904" s="4"/>
      <c r="Y904" s="4"/>
      <c r="Z904" s="4"/>
      <c r="AA904" s="4"/>
      <c r="AB904" s="4"/>
      <c r="AC904" s="4"/>
      <c r="AD904" s="4"/>
      <c r="AE904" s="4"/>
      <c r="AF904" s="4"/>
    </row>
    <row r="905" spans="1:32">
      <c r="A905" s="849"/>
      <c r="B905" s="720" t="s">
        <v>774</v>
      </c>
      <c r="C905" s="683" t="s">
        <v>324</v>
      </c>
      <c r="D905" s="719" t="s">
        <v>1978</v>
      </c>
      <c r="E905" s="720" t="s">
        <v>1914</v>
      </c>
      <c r="F905" s="824">
        <v>5239</v>
      </c>
      <c r="G905" s="800" t="s">
        <v>642</v>
      </c>
      <c r="H905" s="706">
        <v>1580</v>
      </c>
      <c r="I905" s="706"/>
      <c r="J905" s="1654"/>
      <c r="K905" s="802"/>
      <c r="L905" s="706">
        <v>2200</v>
      </c>
      <c r="M905" s="706"/>
      <c r="N905" s="305"/>
      <c r="O905" s="187"/>
      <c r="P905" s="187"/>
      <c r="Q905" s="187"/>
      <c r="R905" s="187"/>
      <c r="S905" s="187"/>
      <c r="T905" s="187"/>
      <c r="U905" s="187"/>
      <c r="V905" s="187"/>
      <c r="W905" s="187"/>
      <c r="X905" s="187"/>
      <c r="Y905" s="187"/>
      <c r="Z905" s="187"/>
      <c r="AA905" s="187"/>
      <c r="AB905" s="187"/>
      <c r="AC905" s="187"/>
      <c r="AD905" s="187"/>
      <c r="AE905" s="187"/>
      <c r="AF905" s="187"/>
    </row>
    <row r="906" spans="1:32">
      <c r="A906" s="760"/>
      <c r="B906" s="700" t="s">
        <v>774</v>
      </c>
      <c r="C906" s="663" t="s">
        <v>324</v>
      </c>
      <c r="D906" s="678" t="s">
        <v>1978</v>
      </c>
      <c r="E906" s="700" t="s">
        <v>1914</v>
      </c>
      <c r="F906" s="795">
        <v>5239</v>
      </c>
      <c r="G906" s="750" t="s">
        <v>1399</v>
      </c>
      <c r="H906" s="1837"/>
      <c r="I906" s="1837">
        <v>2000</v>
      </c>
      <c r="J906" s="1654" t="s">
        <v>1134</v>
      </c>
      <c r="K906" s="1840"/>
      <c r="L906" s="1837"/>
      <c r="M906" s="1837"/>
      <c r="N906" s="305"/>
      <c r="O906" s="187"/>
      <c r="P906" s="187"/>
      <c r="Q906" s="187"/>
      <c r="R906" s="187"/>
      <c r="S906" s="187"/>
      <c r="T906" s="187"/>
      <c r="U906" s="187"/>
      <c r="V906" s="187"/>
      <c r="W906" s="187"/>
      <c r="X906" s="187"/>
      <c r="Y906" s="187"/>
      <c r="Z906" s="187"/>
      <c r="AA906" s="187"/>
      <c r="AB906" s="187"/>
      <c r="AC906" s="187"/>
      <c r="AD906" s="187"/>
      <c r="AE906" s="187"/>
      <c r="AF906" s="187"/>
    </row>
    <row r="907" spans="1:32" ht="51">
      <c r="A907" s="1297"/>
      <c r="B907" s="700" t="s">
        <v>774</v>
      </c>
      <c r="C907" s="663" t="s">
        <v>324</v>
      </c>
      <c r="D907" s="678" t="s">
        <v>1978</v>
      </c>
      <c r="E907" s="700" t="s">
        <v>1914</v>
      </c>
      <c r="F907" s="679">
        <v>5239</v>
      </c>
      <c r="G907" s="1264" t="s">
        <v>3115</v>
      </c>
      <c r="H907" s="1425"/>
      <c r="I907" s="1425">
        <v>-2000</v>
      </c>
      <c r="J907" s="1494" t="s">
        <v>1134</v>
      </c>
      <c r="K907" s="1426"/>
      <c r="L907" s="1471"/>
      <c r="M907" s="1425"/>
      <c r="N907" s="305"/>
      <c r="O907" s="187"/>
      <c r="P907" s="187"/>
      <c r="Q907" s="187"/>
      <c r="R907" s="187"/>
      <c r="S907" s="187"/>
      <c r="T907" s="187"/>
      <c r="U907" s="187"/>
      <c r="V907" s="187"/>
      <c r="W907" s="187"/>
      <c r="X907" s="187"/>
      <c r="Y907" s="187"/>
      <c r="Z907" s="187"/>
      <c r="AA907" s="187"/>
      <c r="AB907" s="187"/>
      <c r="AC907" s="187"/>
      <c r="AD907" s="187"/>
      <c r="AE907" s="187"/>
      <c r="AF907" s="187"/>
    </row>
    <row r="908" spans="1:32" ht="20.399999999999999">
      <c r="A908" s="760"/>
      <c r="B908" s="700" t="s">
        <v>774</v>
      </c>
      <c r="C908" s="663" t="s">
        <v>324</v>
      </c>
      <c r="D908" s="678" t="s">
        <v>1978</v>
      </c>
      <c r="E908" s="700" t="s">
        <v>1914</v>
      </c>
      <c r="F908" s="679">
        <v>5239</v>
      </c>
      <c r="G908" s="665" t="s">
        <v>3719</v>
      </c>
      <c r="H908" s="870"/>
      <c r="I908" s="870">
        <v>0</v>
      </c>
      <c r="J908" s="1494" t="s">
        <v>1134</v>
      </c>
      <c r="K908" s="871"/>
      <c r="L908" s="1469"/>
      <c r="M908" s="870">
        <v>0</v>
      </c>
      <c r="N908" s="305"/>
      <c r="O908" s="187"/>
      <c r="P908" s="187"/>
      <c r="Q908" s="187"/>
      <c r="R908" s="187"/>
      <c r="S908" s="187"/>
      <c r="T908" s="187"/>
      <c r="U908" s="187"/>
      <c r="V908" s="187"/>
      <c r="W908" s="187"/>
      <c r="X908" s="187"/>
      <c r="Y908" s="187"/>
      <c r="Z908" s="187"/>
      <c r="AA908" s="187"/>
      <c r="AB908" s="187"/>
      <c r="AC908" s="187"/>
      <c r="AD908" s="187"/>
      <c r="AE908" s="187"/>
    </row>
    <row r="909" spans="1:32" ht="20.399999999999999">
      <c r="A909" s="760"/>
      <c r="B909" s="700" t="s">
        <v>774</v>
      </c>
      <c r="C909" s="663" t="s">
        <v>324</v>
      </c>
      <c r="D909" s="678" t="s">
        <v>1978</v>
      </c>
      <c r="E909" s="700" t="s">
        <v>1914</v>
      </c>
      <c r="F909" s="679">
        <v>5239</v>
      </c>
      <c r="G909" s="665" t="s">
        <v>3720</v>
      </c>
      <c r="H909" s="870"/>
      <c r="I909" s="870">
        <v>500</v>
      </c>
      <c r="J909" s="1494" t="s">
        <v>1134</v>
      </c>
      <c r="K909" s="871"/>
      <c r="L909" s="1469"/>
      <c r="M909" s="870">
        <v>2200</v>
      </c>
      <c r="N909" s="305"/>
      <c r="O909" s="187"/>
      <c r="P909" s="187"/>
      <c r="Q909" s="187"/>
      <c r="R909" s="187"/>
      <c r="S909" s="187"/>
      <c r="T909" s="187"/>
      <c r="U909" s="187"/>
      <c r="V909" s="187"/>
      <c r="W909" s="187"/>
      <c r="X909" s="187"/>
      <c r="Y909" s="187"/>
      <c r="Z909" s="187"/>
      <c r="AA909" s="187"/>
      <c r="AB909" s="187"/>
      <c r="AC909" s="187"/>
      <c r="AD909" s="187"/>
      <c r="AE909" s="187"/>
      <c r="AF909" s="187"/>
    </row>
    <row r="910" spans="1:32" ht="20.399999999999999">
      <c r="A910" s="1145"/>
      <c r="B910" s="700" t="s">
        <v>774</v>
      </c>
      <c r="C910" s="663" t="s">
        <v>324</v>
      </c>
      <c r="D910" s="678" t="s">
        <v>1978</v>
      </c>
      <c r="E910" s="700" t="s">
        <v>1914</v>
      </c>
      <c r="F910" s="795">
        <v>5239</v>
      </c>
      <c r="G910" s="1153" t="s">
        <v>3161</v>
      </c>
      <c r="H910" s="1838"/>
      <c r="I910" s="1838">
        <v>-420</v>
      </c>
      <c r="J910" s="1654" t="s">
        <v>1134</v>
      </c>
      <c r="K910" s="1839"/>
      <c r="L910" s="1838"/>
      <c r="M910" s="1838"/>
      <c r="N910" s="305"/>
      <c r="O910" s="187"/>
      <c r="P910" s="187"/>
      <c r="Q910" s="187"/>
      <c r="R910" s="187"/>
      <c r="S910" s="187"/>
      <c r="T910" s="187"/>
      <c r="U910" s="187"/>
      <c r="V910" s="187"/>
      <c r="W910" s="187"/>
      <c r="X910" s="187"/>
      <c r="Y910" s="187"/>
      <c r="Z910" s="187"/>
      <c r="AA910" s="187"/>
      <c r="AB910" s="187"/>
      <c r="AC910" s="187"/>
      <c r="AD910" s="187"/>
      <c r="AE910" s="187"/>
      <c r="AF910" s="187"/>
    </row>
    <row r="911" spans="1:32">
      <c r="A911" s="760"/>
      <c r="B911" s="700" t="s">
        <v>774</v>
      </c>
      <c r="C911" s="663" t="s">
        <v>324</v>
      </c>
      <c r="D911" s="678" t="s">
        <v>1978</v>
      </c>
      <c r="E911" s="700" t="s">
        <v>1914</v>
      </c>
      <c r="F911" s="795">
        <v>5239</v>
      </c>
      <c r="G911" s="750" t="s">
        <v>1394</v>
      </c>
      <c r="H911" s="1837"/>
      <c r="I911" s="1837">
        <v>1500</v>
      </c>
      <c r="J911" s="1654" t="s">
        <v>1134</v>
      </c>
      <c r="K911" s="1840"/>
      <c r="L911" s="1837"/>
      <c r="M911" s="1837"/>
      <c r="N911" s="305"/>
      <c r="O911" s="4"/>
      <c r="P911" s="4"/>
      <c r="Q911" s="4"/>
      <c r="R911" s="187"/>
      <c r="S911" s="187"/>
      <c r="T911" s="187"/>
      <c r="U911" s="187"/>
      <c r="V911" s="187"/>
      <c r="W911" s="187"/>
      <c r="X911" s="187"/>
      <c r="Y911" s="187"/>
      <c r="Z911" s="187"/>
      <c r="AA911" s="187"/>
      <c r="AB911" s="187"/>
      <c r="AC911" s="187"/>
      <c r="AD911" s="187"/>
      <c r="AE911" s="187"/>
      <c r="AF911" s="187"/>
    </row>
    <row r="912" spans="1:32" ht="20.399999999999999">
      <c r="A912" s="760"/>
      <c r="B912" s="700" t="s">
        <v>774</v>
      </c>
      <c r="C912" s="663" t="s">
        <v>324</v>
      </c>
      <c r="D912" s="678" t="s">
        <v>1978</v>
      </c>
      <c r="E912" s="700" t="s">
        <v>1914</v>
      </c>
      <c r="F912" s="795">
        <v>5239</v>
      </c>
      <c r="G912" s="750" t="s">
        <v>1400</v>
      </c>
      <c r="H912" s="1837"/>
      <c r="I912" s="1837"/>
      <c r="J912" s="1654" t="s">
        <v>1134</v>
      </c>
      <c r="K912" s="1840"/>
      <c r="L912" s="1837"/>
      <c r="M912" s="1837"/>
      <c r="N912" s="305"/>
      <c r="O912" s="4"/>
      <c r="P912" s="4"/>
      <c r="Q912" s="4"/>
      <c r="R912" s="187"/>
      <c r="S912" s="187"/>
      <c r="T912" s="187"/>
      <c r="U912" s="187"/>
      <c r="V912" s="187"/>
      <c r="W912" s="187"/>
      <c r="X912" s="187"/>
      <c r="Y912" s="187"/>
      <c r="Z912" s="187"/>
      <c r="AA912" s="187"/>
      <c r="AB912" s="187"/>
      <c r="AC912" s="187"/>
      <c r="AD912" s="187"/>
      <c r="AE912" s="187"/>
      <c r="AF912" s="187"/>
    </row>
    <row r="913" spans="1:32">
      <c r="A913" s="849"/>
      <c r="B913" s="3129" t="s">
        <v>773</v>
      </c>
      <c r="C913" s="683" t="s">
        <v>340</v>
      </c>
      <c r="D913" s="719" t="s">
        <v>1978</v>
      </c>
      <c r="E913" s="720" t="s">
        <v>1914</v>
      </c>
      <c r="F913" s="824">
        <v>5239</v>
      </c>
      <c r="G913" s="800" t="s">
        <v>642</v>
      </c>
      <c r="H913" s="706">
        <v>52568</v>
      </c>
      <c r="I913" s="706"/>
      <c r="J913" s="1654">
        <v>52317</v>
      </c>
      <c r="K913" s="802"/>
      <c r="L913" s="706">
        <v>24000</v>
      </c>
      <c r="M913" s="706"/>
      <c r="N913" s="305"/>
      <c r="O913" s="187"/>
      <c r="P913" s="187"/>
      <c r="Q913" s="187"/>
      <c r="R913" s="187"/>
      <c r="S913" s="187"/>
      <c r="T913" s="187"/>
      <c r="U913" s="187"/>
      <c r="V913" s="187"/>
      <c r="W913" s="187"/>
      <c r="X913" s="187"/>
      <c r="Y913" s="187"/>
      <c r="Z913" s="187"/>
      <c r="AA913" s="187"/>
      <c r="AB913" s="187"/>
      <c r="AC913" s="187"/>
      <c r="AD913" s="187"/>
      <c r="AE913" s="187"/>
      <c r="AF913" s="187"/>
    </row>
    <row r="914" spans="1:32">
      <c r="A914" s="760"/>
      <c r="B914" s="3130" t="s">
        <v>773</v>
      </c>
      <c r="C914" s="663" t="s">
        <v>340</v>
      </c>
      <c r="D914" s="678" t="s">
        <v>1978</v>
      </c>
      <c r="E914" s="700" t="s">
        <v>1914</v>
      </c>
      <c r="F914" s="795">
        <v>5239</v>
      </c>
      <c r="G914" s="750" t="s">
        <v>3721</v>
      </c>
      <c r="H914" s="1837"/>
      <c r="I914" s="1837"/>
      <c r="J914" s="1654" t="s">
        <v>1134</v>
      </c>
      <c r="K914" s="1840"/>
      <c r="L914" s="1837"/>
      <c r="M914" s="1837">
        <v>20000</v>
      </c>
      <c r="N914" s="305"/>
      <c r="O914" s="4"/>
      <c r="P914" s="4"/>
      <c r="Q914" s="4"/>
      <c r="R914" s="187"/>
      <c r="S914" s="187"/>
      <c r="T914" s="187"/>
      <c r="U914" s="187"/>
      <c r="V914" s="187"/>
      <c r="W914" s="187"/>
      <c r="X914" s="187"/>
      <c r="Y914" s="187"/>
      <c r="Z914" s="187"/>
      <c r="AA914" s="187"/>
      <c r="AB914" s="187"/>
      <c r="AC914" s="187"/>
      <c r="AD914" s="187"/>
      <c r="AE914" s="187"/>
      <c r="AF914" s="187"/>
    </row>
    <row r="915" spans="1:32" ht="20.399999999999999">
      <c r="A915" s="760"/>
      <c r="B915" s="3130" t="s">
        <v>773</v>
      </c>
      <c r="C915" s="663" t="s">
        <v>340</v>
      </c>
      <c r="D915" s="678" t="s">
        <v>1978</v>
      </c>
      <c r="E915" s="700" t="s">
        <v>1914</v>
      </c>
      <c r="F915" s="795">
        <v>5239</v>
      </c>
      <c r="G915" s="665" t="s">
        <v>3712</v>
      </c>
      <c r="H915" s="870"/>
      <c r="I915" s="870"/>
      <c r="J915" s="1494"/>
      <c r="K915" s="871"/>
      <c r="L915" s="870"/>
      <c r="M915" s="870">
        <v>4000</v>
      </c>
      <c r="N915" s="305"/>
      <c r="O915" s="187"/>
      <c r="P915" s="187"/>
      <c r="Q915" s="187"/>
      <c r="R915" s="187"/>
      <c r="S915" s="187"/>
      <c r="T915" s="187"/>
      <c r="U915" s="187"/>
      <c r="V915" s="187"/>
      <c r="W915" s="187"/>
      <c r="X915" s="187"/>
      <c r="Y915" s="187"/>
      <c r="Z915" s="187"/>
      <c r="AA915" s="187"/>
      <c r="AB915" s="187"/>
      <c r="AC915" s="187"/>
      <c r="AD915" s="187"/>
      <c r="AE915" s="187"/>
      <c r="AF915" s="187"/>
    </row>
    <row r="916" spans="1:32">
      <c r="A916" s="760"/>
      <c r="B916" s="3130" t="s">
        <v>773</v>
      </c>
      <c r="C916" s="663" t="s">
        <v>340</v>
      </c>
      <c r="D916" s="678" t="s">
        <v>1978</v>
      </c>
      <c r="E916" s="700" t="s">
        <v>1914</v>
      </c>
      <c r="F916" s="795">
        <v>5239</v>
      </c>
      <c r="G916" s="750" t="s">
        <v>1091</v>
      </c>
      <c r="H916" s="1837"/>
      <c r="I916" s="1837">
        <v>25120</v>
      </c>
      <c r="J916" s="1654" t="s">
        <v>1134</v>
      </c>
      <c r="K916" s="1840"/>
      <c r="L916" s="1837"/>
      <c r="M916" s="1837"/>
      <c r="N916" s="305"/>
      <c r="O916" s="4"/>
      <c r="P916" s="4"/>
      <c r="Q916" s="4"/>
      <c r="R916" s="4"/>
      <c r="S916" s="4"/>
      <c r="T916" s="4"/>
      <c r="U916" s="4"/>
      <c r="V916" s="4"/>
      <c r="W916" s="4"/>
      <c r="X916" s="4"/>
      <c r="Y916" s="4"/>
      <c r="Z916" s="4"/>
      <c r="AA916" s="4"/>
      <c r="AB916" s="4"/>
      <c r="AC916" s="4"/>
      <c r="AD916" s="4"/>
      <c r="AE916" s="4"/>
      <c r="AF916" s="4"/>
    </row>
    <row r="917" spans="1:32" ht="51">
      <c r="A917" s="1297"/>
      <c r="B917" s="3130" t="s">
        <v>773</v>
      </c>
      <c r="C917" s="663" t="s">
        <v>340</v>
      </c>
      <c r="D917" s="678" t="s">
        <v>1978</v>
      </c>
      <c r="E917" s="700" t="s">
        <v>1914</v>
      </c>
      <c r="F917" s="795">
        <v>5239</v>
      </c>
      <c r="G917" s="1330" t="s">
        <v>3115</v>
      </c>
      <c r="H917" s="1842"/>
      <c r="I917" s="1842">
        <v>3263</v>
      </c>
      <c r="J917" s="1654" t="s">
        <v>1134</v>
      </c>
      <c r="K917" s="1843"/>
      <c r="L917" s="1842"/>
      <c r="M917" s="1842"/>
      <c r="N917" s="305"/>
      <c r="O917" s="4"/>
      <c r="P917" s="4"/>
      <c r="Q917" s="4"/>
      <c r="R917" s="4"/>
      <c r="S917" s="4"/>
      <c r="T917" s="4"/>
      <c r="U917" s="4"/>
      <c r="V917" s="4"/>
      <c r="W917" s="4"/>
      <c r="X917" s="4"/>
      <c r="Y917" s="4"/>
      <c r="Z917" s="4"/>
      <c r="AA917" s="4"/>
      <c r="AB917" s="4"/>
      <c r="AC917" s="4"/>
      <c r="AD917" s="4"/>
      <c r="AE917" s="4"/>
      <c r="AF917" s="4"/>
    </row>
    <row r="918" spans="1:32" ht="40.799999999999997">
      <c r="A918" s="1297"/>
      <c r="B918" s="3130" t="s">
        <v>773</v>
      </c>
      <c r="C918" s="663" t="s">
        <v>340</v>
      </c>
      <c r="D918" s="678" t="s">
        <v>1978</v>
      </c>
      <c r="E918" s="700" t="s">
        <v>1914</v>
      </c>
      <c r="F918" s="795">
        <v>5239</v>
      </c>
      <c r="G918" s="1330" t="s">
        <v>3116</v>
      </c>
      <c r="H918" s="1842"/>
      <c r="I918" s="1842">
        <v>24185</v>
      </c>
      <c r="J918" s="1654" t="s">
        <v>1134</v>
      </c>
      <c r="K918" s="1843"/>
      <c r="L918" s="1842"/>
      <c r="M918" s="1842"/>
      <c r="N918" s="305"/>
      <c r="O918" s="4"/>
      <c r="P918" s="4"/>
      <c r="Q918" s="4"/>
      <c r="R918" s="4"/>
      <c r="S918" s="4"/>
      <c r="T918" s="4"/>
      <c r="U918" s="4"/>
      <c r="V918" s="4"/>
      <c r="W918" s="4"/>
      <c r="X918" s="4"/>
      <c r="Y918" s="4"/>
      <c r="Z918" s="4"/>
      <c r="AA918" s="4"/>
      <c r="AB918" s="4"/>
      <c r="AC918" s="4"/>
      <c r="AD918" s="4"/>
      <c r="AE918" s="4"/>
      <c r="AF918" s="4"/>
    </row>
    <row r="919" spans="1:32" ht="20.399999999999999">
      <c r="A919" s="849"/>
      <c r="B919" s="3129" t="s">
        <v>773</v>
      </c>
      <c r="C919" s="683" t="s">
        <v>325</v>
      </c>
      <c r="D919" s="719" t="s">
        <v>1978</v>
      </c>
      <c r="E919" s="720" t="s">
        <v>1914</v>
      </c>
      <c r="F919" s="824">
        <v>5240</v>
      </c>
      <c r="G919" s="800" t="s">
        <v>1187</v>
      </c>
      <c r="H919" s="706">
        <v>10000</v>
      </c>
      <c r="I919" s="706"/>
      <c r="J919" s="1654">
        <v>0</v>
      </c>
      <c r="K919" s="802"/>
      <c r="L919" s="706">
        <v>210000</v>
      </c>
      <c r="M919" s="706"/>
      <c r="N919" s="125"/>
      <c r="O919" s="4"/>
      <c r="P919" s="4"/>
      <c r="Q919" s="4"/>
      <c r="R919" s="4"/>
      <c r="S919" s="4"/>
      <c r="T919" s="4"/>
      <c r="U919" s="4"/>
      <c r="V919" s="4"/>
      <c r="W919" s="4"/>
      <c r="X919" s="4"/>
      <c r="Y919" s="4"/>
      <c r="Z919" s="4"/>
      <c r="AA919" s="4"/>
      <c r="AB919" s="4"/>
      <c r="AC919" s="4"/>
      <c r="AD919" s="4"/>
      <c r="AE919" s="4"/>
      <c r="AF919" s="4"/>
    </row>
    <row r="920" spans="1:32">
      <c r="A920" s="760"/>
      <c r="B920" s="3130" t="s">
        <v>773</v>
      </c>
      <c r="C920" s="663" t="s">
        <v>325</v>
      </c>
      <c r="D920" s="678" t="s">
        <v>1978</v>
      </c>
      <c r="E920" s="700" t="s">
        <v>1914</v>
      </c>
      <c r="F920" s="795">
        <v>5240</v>
      </c>
      <c r="G920" s="750" t="s">
        <v>2824</v>
      </c>
      <c r="H920" s="1837"/>
      <c r="I920" s="1837">
        <v>10000</v>
      </c>
      <c r="J920" s="1654" t="s">
        <v>1134</v>
      </c>
      <c r="K920" s="1840"/>
      <c r="L920" s="1837"/>
      <c r="M920" s="1837">
        <v>10000</v>
      </c>
      <c r="N920" s="125"/>
      <c r="O920" s="4"/>
      <c r="P920" s="4"/>
      <c r="Q920" s="4"/>
      <c r="R920" s="4"/>
      <c r="S920" s="4"/>
      <c r="T920" s="4"/>
      <c r="U920" s="4"/>
      <c r="V920" s="4"/>
      <c r="W920" s="4"/>
      <c r="X920" s="4"/>
      <c r="Y920" s="4"/>
      <c r="Z920" s="4"/>
      <c r="AA920" s="4"/>
      <c r="AB920" s="4"/>
      <c r="AC920" s="4"/>
      <c r="AD920" s="4"/>
      <c r="AE920" s="4"/>
      <c r="AF920" s="4"/>
    </row>
    <row r="921" spans="1:32">
      <c r="A921" s="760"/>
      <c r="B921" s="3130" t="s">
        <v>773</v>
      </c>
      <c r="C921" s="663" t="s">
        <v>325</v>
      </c>
      <c r="D921" s="678" t="s">
        <v>1978</v>
      </c>
      <c r="E921" s="700" t="s">
        <v>1914</v>
      </c>
      <c r="F921" s="795">
        <v>5240</v>
      </c>
      <c r="G921" s="750" t="s">
        <v>4955</v>
      </c>
      <c r="H921" s="1837"/>
      <c r="I921" s="1837"/>
      <c r="J921" s="1654" t="s">
        <v>1134</v>
      </c>
      <c r="K921" s="1840"/>
      <c r="L921" s="1837"/>
      <c r="M921" s="1837">
        <v>200000</v>
      </c>
      <c r="N921" s="125"/>
      <c r="O921" s="187"/>
      <c r="P921" s="187"/>
      <c r="Q921" s="187"/>
      <c r="R921" s="187"/>
      <c r="S921" s="187"/>
      <c r="T921" s="187"/>
      <c r="U921" s="187"/>
      <c r="V921" s="187"/>
      <c r="W921" s="187"/>
      <c r="X921" s="187"/>
      <c r="Y921" s="187"/>
      <c r="Z921" s="187"/>
      <c r="AA921" s="187"/>
      <c r="AB921" s="187"/>
      <c r="AC921" s="187"/>
      <c r="AD921" s="187"/>
      <c r="AE921" s="187"/>
      <c r="AF921" s="187"/>
    </row>
    <row r="922" spans="1:32">
      <c r="A922" s="849" t="s">
        <v>643</v>
      </c>
      <c r="B922" s="3142" t="s">
        <v>1211</v>
      </c>
      <c r="C922" s="683" t="s">
        <v>325</v>
      </c>
      <c r="D922" s="719" t="s">
        <v>1978</v>
      </c>
      <c r="E922" s="1406" t="s">
        <v>1914</v>
      </c>
      <c r="F922" s="1698">
        <v>7230</v>
      </c>
      <c r="G922" s="1691" t="s">
        <v>1027</v>
      </c>
      <c r="H922" s="1692">
        <v>271536.8</v>
      </c>
      <c r="I922" s="1692"/>
      <c r="J922" s="1684">
        <v>196983</v>
      </c>
      <c r="K922" s="1694"/>
      <c r="L922" s="1692">
        <v>324250</v>
      </c>
      <c r="M922" s="1692"/>
      <c r="N922" s="125"/>
      <c r="O922" s="187"/>
      <c r="P922" s="187"/>
      <c r="Q922" s="187"/>
      <c r="R922" s="187"/>
      <c r="S922" s="187"/>
      <c r="T922" s="187"/>
      <c r="U922" s="187"/>
      <c r="V922" s="187"/>
      <c r="W922" s="187"/>
      <c r="X922" s="187"/>
      <c r="Y922" s="187"/>
      <c r="Z922" s="187"/>
      <c r="AA922" s="187"/>
      <c r="AB922" s="187"/>
      <c r="AC922" s="187"/>
      <c r="AD922" s="187"/>
      <c r="AE922" s="187"/>
      <c r="AF922" s="187"/>
    </row>
    <row r="923" spans="1:32">
      <c r="A923" s="663"/>
      <c r="B923" s="3143" t="s">
        <v>2534</v>
      </c>
      <c r="C923" s="663" t="s">
        <v>325</v>
      </c>
      <c r="D923" s="678" t="s">
        <v>1978</v>
      </c>
      <c r="E923" s="1407" t="s">
        <v>1914</v>
      </c>
      <c r="F923" s="1413">
        <v>7230</v>
      </c>
      <c r="G923" s="1803" t="s">
        <v>436</v>
      </c>
      <c r="H923" s="2366"/>
      <c r="I923" s="2366">
        <v>127461</v>
      </c>
      <c r="J923" s="1684" t="s">
        <v>1134</v>
      </c>
      <c r="K923" s="2367"/>
      <c r="L923" s="2366"/>
      <c r="M923" s="2366">
        <v>140904</v>
      </c>
      <c r="N923" s="3"/>
      <c r="O923" s="4"/>
      <c r="P923" s="4"/>
      <c r="Q923" s="4"/>
      <c r="R923" s="4"/>
      <c r="S923" s="4"/>
      <c r="T923" s="4"/>
      <c r="U923" s="4"/>
      <c r="V923" s="4"/>
      <c r="W923" s="4"/>
      <c r="X923" s="4"/>
      <c r="Y923" s="4"/>
      <c r="Z923" s="4"/>
      <c r="AA923" s="4"/>
      <c r="AB923" s="4"/>
      <c r="AC923" s="4"/>
      <c r="AD923" s="4"/>
      <c r="AE923" s="4"/>
      <c r="AF923" s="4"/>
    </row>
    <row r="924" spans="1:32">
      <c r="A924" s="663"/>
      <c r="B924" s="3143" t="s">
        <v>1211</v>
      </c>
      <c r="C924" s="663" t="s">
        <v>325</v>
      </c>
      <c r="D924" s="678" t="s">
        <v>1978</v>
      </c>
      <c r="E924" s="1407" t="s">
        <v>1914</v>
      </c>
      <c r="F924" s="1413">
        <v>7230</v>
      </c>
      <c r="G924" s="1803" t="s">
        <v>772</v>
      </c>
      <c r="H924" s="2366"/>
      <c r="I924" s="2366">
        <v>143392.79999999999</v>
      </c>
      <c r="J924" s="1684" t="s">
        <v>1134</v>
      </c>
      <c r="K924" s="2367"/>
      <c r="L924" s="2366"/>
      <c r="M924" s="2366">
        <v>183346</v>
      </c>
      <c r="N924" s="359"/>
      <c r="O924" s="4"/>
      <c r="P924" s="4"/>
      <c r="Q924" s="4"/>
      <c r="R924" s="4"/>
      <c r="S924" s="4"/>
      <c r="T924" s="4"/>
      <c r="U924" s="4"/>
      <c r="V924" s="4"/>
      <c r="W924" s="4"/>
      <c r="X924" s="4"/>
      <c r="Y924" s="4"/>
      <c r="Z924" s="4"/>
      <c r="AA924" s="4"/>
      <c r="AB924" s="4"/>
      <c r="AC924" s="4"/>
      <c r="AD924" s="4"/>
      <c r="AE924" s="4"/>
      <c r="AF924" s="4"/>
    </row>
    <row r="925" spans="1:32">
      <c r="A925" s="663" t="s">
        <v>643</v>
      </c>
      <c r="B925" s="3143" t="s">
        <v>1211</v>
      </c>
      <c r="C925" s="663" t="s">
        <v>325</v>
      </c>
      <c r="D925" s="1679" t="s">
        <v>1978</v>
      </c>
      <c r="E925" s="1407" t="s">
        <v>1914</v>
      </c>
      <c r="F925" s="1413">
        <v>7230</v>
      </c>
      <c r="G925" s="1803" t="s">
        <v>774</v>
      </c>
      <c r="H925" s="2366"/>
      <c r="I925" s="2366">
        <v>683</v>
      </c>
      <c r="J925" s="1684" t="s">
        <v>1134</v>
      </c>
      <c r="K925" s="2367"/>
      <c r="L925" s="2366"/>
      <c r="M925" s="2366">
        <v>0</v>
      </c>
      <c r="N925" s="359"/>
      <c r="O925" s="4"/>
      <c r="P925" s="4"/>
      <c r="Q925" s="4"/>
      <c r="R925" s="4"/>
      <c r="S925" s="4"/>
      <c r="T925" s="4"/>
      <c r="U925" s="4"/>
      <c r="V925" s="4"/>
      <c r="W925" s="4"/>
      <c r="X925" s="4"/>
      <c r="Y925" s="4"/>
      <c r="Z925" s="4"/>
      <c r="AA925" s="4"/>
      <c r="AB925" s="4"/>
      <c r="AC925" s="4"/>
      <c r="AD925" s="4"/>
      <c r="AE925" s="4"/>
      <c r="AF925" s="4"/>
    </row>
    <row r="926" spans="1:32">
      <c r="A926" s="849" t="s">
        <v>643</v>
      </c>
      <c r="B926" s="3142" t="s">
        <v>1849</v>
      </c>
      <c r="C926" s="683" t="s">
        <v>325</v>
      </c>
      <c r="D926" s="719" t="s">
        <v>1978</v>
      </c>
      <c r="E926" s="1406" t="s">
        <v>1914</v>
      </c>
      <c r="F926" s="1698">
        <v>7230</v>
      </c>
      <c r="G926" s="1691" t="s">
        <v>1027</v>
      </c>
      <c r="H926" s="1692">
        <v>9438</v>
      </c>
      <c r="I926" s="1692"/>
      <c r="J926" s="1684"/>
      <c r="K926" s="1694"/>
      <c r="L926" s="1692">
        <v>929000</v>
      </c>
      <c r="M926" s="1692"/>
      <c r="N926" s="7"/>
      <c r="O926" s="4"/>
      <c r="P926" s="4"/>
      <c r="Q926" s="4"/>
      <c r="R926" s="4"/>
      <c r="S926" s="4"/>
      <c r="T926" s="4"/>
      <c r="U926" s="4"/>
      <c r="V926" s="4"/>
      <c r="W926" s="4"/>
      <c r="X926" s="4"/>
      <c r="Y926" s="4"/>
      <c r="Z926" s="4"/>
      <c r="AA926" s="4"/>
      <c r="AB926" s="4"/>
      <c r="AC926" s="4"/>
      <c r="AD926" s="4"/>
      <c r="AE926" s="4"/>
      <c r="AF926" s="4"/>
    </row>
    <row r="927" spans="1:32" ht="20.399999999999999">
      <c r="A927" s="668" t="s">
        <v>643</v>
      </c>
      <c r="B927" s="3144" t="s">
        <v>1849</v>
      </c>
      <c r="C927" s="668" t="s">
        <v>325</v>
      </c>
      <c r="D927" s="669" t="s">
        <v>1978</v>
      </c>
      <c r="E927" s="936" t="s">
        <v>1914</v>
      </c>
      <c r="F927" s="671">
        <v>7230</v>
      </c>
      <c r="G927" s="717" t="s">
        <v>4533</v>
      </c>
      <c r="H927" s="733"/>
      <c r="I927" s="733"/>
      <c r="J927" s="2422"/>
      <c r="K927" s="733"/>
      <c r="L927" s="2353"/>
      <c r="M927" s="2353">
        <v>62000</v>
      </c>
      <c r="N927" s="180"/>
      <c r="O927" s="4"/>
      <c r="P927" s="4"/>
      <c r="Q927" s="4"/>
      <c r="R927" s="4"/>
      <c r="S927" s="4"/>
      <c r="T927" s="4"/>
      <c r="U927" s="4"/>
      <c r="V927" s="4"/>
      <c r="W927" s="4"/>
      <c r="X927" s="4"/>
      <c r="Y927" s="4"/>
      <c r="Z927" s="4"/>
      <c r="AA927" s="4"/>
      <c r="AB927" s="4"/>
      <c r="AC927" s="4"/>
      <c r="AD927" s="4"/>
      <c r="AE927" s="4"/>
      <c r="AF927" s="4"/>
    </row>
    <row r="928" spans="1:32" ht="20.399999999999999">
      <c r="A928" s="668" t="s">
        <v>643</v>
      </c>
      <c r="B928" s="3144" t="s">
        <v>1849</v>
      </c>
      <c r="C928" s="668" t="s">
        <v>325</v>
      </c>
      <c r="D928" s="669" t="s">
        <v>1978</v>
      </c>
      <c r="E928" s="936" t="s">
        <v>1914</v>
      </c>
      <c r="F928" s="671">
        <v>7230</v>
      </c>
      <c r="G928" s="717" t="s">
        <v>4766</v>
      </c>
      <c r="H928" s="733"/>
      <c r="I928" s="733"/>
      <c r="J928" s="2422"/>
      <c r="K928" s="733"/>
      <c r="L928" s="2353"/>
      <c r="M928" s="2353">
        <v>850000</v>
      </c>
      <c r="N928" s="180"/>
      <c r="O928" s="4"/>
      <c r="P928" s="4"/>
      <c r="Q928" s="4"/>
      <c r="R928" s="4"/>
      <c r="S928" s="4"/>
      <c r="T928" s="4"/>
      <c r="U928" s="4"/>
      <c r="V928" s="4"/>
      <c r="W928" s="4"/>
      <c r="X928" s="4"/>
      <c r="Y928" s="4"/>
      <c r="Z928" s="4"/>
      <c r="AA928" s="4"/>
      <c r="AB928" s="4"/>
      <c r="AC928" s="4"/>
      <c r="AD928" s="4"/>
      <c r="AE928" s="4"/>
      <c r="AF928" s="4"/>
    </row>
    <row r="929" spans="1:32" ht="20.399999999999999">
      <c r="A929" s="668" t="s">
        <v>643</v>
      </c>
      <c r="B929" s="3144" t="s">
        <v>1849</v>
      </c>
      <c r="C929" s="668" t="s">
        <v>325</v>
      </c>
      <c r="D929" s="669" t="s">
        <v>1978</v>
      </c>
      <c r="E929" s="936" t="s">
        <v>1914</v>
      </c>
      <c r="F929" s="671">
        <v>7230</v>
      </c>
      <c r="G929" s="717" t="s">
        <v>4767</v>
      </c>
      <c r="H929" s="733"/>
      <c r="I929" s="733"/>
      <c r="J929" s="2422"/>
      <c r="K929" s="733"/>
      <c r="L929" s="2353"/>
      <c r="M929" s="2353">
        <v>12000</v>
      </c>
      <c r="N929" s="180"/>
      <c r="O929" s="187"/>
      <c r="P929" s="187"/>
      <c r="Q929" s="187"/>
      <c r="R929" s="187"/>
      <c r="S929" s="187"/>
      <c r="T929" s="187"/>
      <c r="U929" s="187"/>
      <c r="V929" s="187"/>
      <c r="W929" s="187"/>
      <c r="X929" s="187"/>
      <c r="Y929" s="187"/>
      <c r="Z929" s="187"/>
      <c r="AA929" s="187"/>
      <c r="AB929" s="187"/>
      <c r="AC929" s="187"/>
      <c r="AD929" s="187"/>
      <c r="AE929" s="187"/>
      <c r="AF929" s="187"/>
    </row>
    <row r="930" spans="1:32" ht="20.399999999999999">
      <c r="A930" s="668" t="s">
        <v>643</v>
      </c>
      <c r="B930" s="3144" t="s">
        <v>1849</v>
      </c>
      <c r="C930" s="668" t="s">
        <v>325</v>
      </c>
      <c r="D930" s="669" t="s">
        <v>1978</v>
      </c>
      <c r="E930" s="936" t="s">
        <v>1914</v>
      </c>
      <c r="F930" s="671">
        <v>7230</v>
      </c>
      <c r="G930" s="717" t="s">
        <v>4768</v>
      </c>
      <c r="H930" s="733"/>
      <c r="I930" s="733"/>
      <c r="J930" s="2422"/>
      <c r="K930" s="733"/>
      <c r="L930" s="2353"/>
      <c r="M930" s="2353">
        <v>5000</v>
      </c>
      <c r="N930" s="180"/>
      <c r="O930" s="187"/>
      <c r="P930" s="187"/>
      <c r="Q930" s="187"/>
      <c r="R930" s="187"/>
      <c r="S930" s="187"/>
      <c r="T930" s="187"/>
      <c r="U930" s="187"/>
      <c r="V930" s="187"/>
      <c r="W930" s="187"/>
      <c r="X930" s="187"/>
      <c r="Y930" s="187"/>
      <c r="Z930" s="187"/>
      <c r="AA930" s="187"/>
      <c r="AB930" s="187"/>
      <c r="AC930" s="187"/>
      <c r="AD930" s="187"/>
      <c r="AE930" s="187"/>
      <c r="AF930" s="187"/>
    </row>
    <row r="931" spans="1:32" ht="20.399999999999999">
      <c r="A931" s="668" t="s">
        <v>643</v>
      </c>
      <c r="B931" s="3144" t="s">
        <v>1849</v>
      </c>
      <c r="C931" s="668" t="s">
        <v>325</v>
      </c>
      <c r="D931" s="669" t="s">
        <v>1978</v>
      </c>
      <c r="E931" s="936" t="s">
        <v>1914</v>
      </c>
      <c r="F931" s="671">
        <v>7230</v>
      </c>
      <c r="G931" s="717" t="s">
        <v>2810</v>
      </c>
      <c r="H931" s="733"/>
      <c r="I931" s="733">
        <v>9438</v>
      </c>
      <c r="J931" s="2422">
        <v>9438</v>
      </c>
      <c r="K931" s="733"/>
      <c r="L931" s="2353"/>
      <c r="M931" s="2353"/>
      <c r="N931" s="180"/>
      <c r="O931" s="4"/>
      <c r="P931" s="4"/>
      <c r="Q931" s="4"/>
      <c r="R931" s="4"/>
      <c r="S931" s="4"/>
      <c r="T931" s="4"/>
      <c r="U931" s="4"/>
      <c r="V931" s="4"/>
      <c r="W931" s="4"/>
      <c r="X931" s="4"/>
      <c r="Y931" s="4"/>
      <c r="Z931" s="4"/>
      <c r="AA931" s="4"/>
      <c r="AB931" s="4"/>
      <c r="AC931" s="4"/>
      <c r="AD931" s="4"/>
      <c r="AE931" s="4"/>
      <c r="AF931" s="4"/>
    </row>
    <row r="932" spans="1:32">
      <c r="A932" s="683"/>
      <c r="B932" s="720" t="s">
        <v>436</v>
      </c>
      <c r="C932" s="683" t="s">
        <v>427</v>
      </c>
      <c r="D932" s="719" t="s">
        <v>1978</v>
      </c>
      <c r="E932" s="742" t="s">
        <v>872</v>
      </c>
      <c r="F932" s="824">
        <v>1119</v>
      </c>
      <c r="G932" s="800" t="s">
        <v>109</v>
      </c>
      <c r="H932" s="713">
        <v>66659.520000000004</v>
      </c>
      <c r="I932" s="713"/>
      <c r="J932" s="1654">
        <v>49296</v>
      </c>
      <c r="K932" s="842"/>
      <c r="L932" s="713">
        <v>71133.36</v>
      </c>
      <c r="M932" s="713"/>
      <c r="N932" s="180"/>
      <c r="O932" s="4"/>
      <c r="P932" s="4"/>
      <c r="Q932" s="4"/>
      <c r="R932" s="4"/>
      <c r="S932" s="4"/>
      <c r="T932" s="4"/>
      <c r="U932" s="4"/>
      <c r="V932" s="4"/>
      <c r="W932" s="4"/>
      <c r="X932" s="4"/>
      <c r="Y932" s="4"/>
      <c r="Z932" s="4"/>
      <c r="AA932" s="4"/>
      <c r="AB932" s="4"/>
      <c r="AC932" s="4"/>
      <c r="AD932" s="4"/>
      <c r="AE932" s="4"/>
      <c r="AF932" s="4"/>
    </row>
    <row r="933" spans="1:32">
      <c r="A933" s="663"/>
      <c r="B933" s="700" t="s">
        <v>436</v>
      </c>
      <c r="C933" s="663" t="s">
        <v>427</v>
      </c>
      <c r="D933" s="678" t="s">
        <v>1978</v>
      </c>
      <c r="E933" s="700" t="s">
        <v>872</v>
      </c>
      <c r="F933" s="795">
        <v>1119</v>
      </c>
      <c r="G933" s="812" t="s">
        <v>436</v>
      </c>
      <c r="H933" s="714"/>
      <c r="I933" s="714">
        <v>66659.520000000004</v>
      </c>
      <c r="J933" s="1654" t="s">
        <v>1134</v>
      </c>
      <c r="K933" s="809"/>
      <c r="L933" s="714"/>
      <c r="M933" s="714">
        <v>71133.36</v>
      </c>
      <c r="N933" s="180"/>
      <c r="O933" s="4"/>
      <c r="P933" s="4"/>
      <c r="Q933" s="4"/>
      <c r="R933" s="4"/>
      <c r="S933" s="4"/>
      <c r="T933" s="4"/>
      <c r="U933" s="4"/>
      <c r="V933" s="4"/>
      <c r="W933" s="4"/>
      <c r="X933" s="4"/>
      <c r="Y933" s="4"/>
      <c r="Z933" s="4"/>
      <c r="AA933" s="4"/>
      <c r="AB933" s="4"/>
      <c r="AC933" s="4"/>
      <c r="AD933" s="4"/>
      <c r="AE933" s="4"/>
      <c r="AF933" s="4"/>
    </row>
    <row r="934" spans="1:32">
      <c r="A934" s="663"/>
      <c r="B934" s="700" t="s">
        <v>436</v>
      </c>
      <c r="C934" s="663" t="s">
        <v>427</v>
      </c>
      <c r="D934" s="678" t="s">
        <v>1978</v>
      </c>
      <c r="E934" s="700" t="s">
        <v>872</v>
      </c>
      <c r="F934" s="795">
        <v>1119</v>
      </c>
      <c r="G934" s="812" t="s">
        <v>722</v>
      </c>
      <c r="H934" s="714"/>
      <c r="I934" s="714"/>
      <c r="J934" s="1654" t="s">
        <v>1134</v>
      </c>
      <c r="K934" s="809"/>
      <c r="L934" s="714"/>
      <c r="M934" s="714"/>
      <c r="N934" s="180" t="s">
        <v>2839</v>
      </c>
      <c r="O934" s="4"/>
      <c r="P934" s="4"/>
      <c r="Q934" s="4"/>
      <c r="R934" s="4"/>
      <c r="S934" s="4"/>
      <c r="T934" s="4"/>
      <c r="U934" s="4"/>
      <c r="V934" s="4"/>
      <c r="W934" s="4"/>
      <c r="X934" s="4"/>
      <c r="Y934" s="4"/>
      <c r="Z934" s="4"/>
      <c r="AA934" s="4"/>
      <c r="AB934" s="4"/>
      <c r="AC934" s="4"/>
      <c r="AD934" s="4"/>
      <c r="AE934" s="4"/>
      <c r="AF934" s="4"/>
    </row>
    <row r="935" spans="1:32">
      <c r="A935" s="683"/>
      <c r="B935" s="720" t="s">
        <v>436</v>
      </c>
      <c r="C935" s="683" t="s">
        <v>427</v>
      </c>
      <c r="D935" s="719" t="s">
        <v>1978</v>
      </c>
      <c r="E935" s="720" t="s">
        <v>872</v>
      </c>
      <c r="F935" s="824">
        <v>1147</v>
      </c>
      <c r="G935" s="800" t="s">
        <v>111</v>
      </c>
      <c r="H935" s="713">
        <v>7368.2640000000001</v>
      </c>
      <c r="I935" s="713"/>
      <c r="J935" s="1654">
        <v>1105</v>
      </c>
      <c r="K935" s="842"/>
      <c r="L935" s="713">
        <v>7573.2289999999994</v>
      </c>
      <c r="M935" s="713"/>
      <c r="N935" s="180"/>
      <c r="O935" s="4"/>
      <c r="P935" s="4"/>
      <c r="Q935" s="4"/>
      <c r="R935" s="4"/>
      <c r="S935" s="4"/>
      <c r="T935" s="4"/>
      <c r="U935" s="4"/>
      <c r="V935" s="4"/>
      <c r="W935" s="4"/>
      <c r="X935" s="4"/>
      <c r="Y935" s="4"/>
      <c r="Z935" s="4"/>
      <c r="AA935" s="4"/>
      <c r="AB935" s="4"/>
      <c r="AC935" s="4"/>
      <c r="AD935" s="4"/>
      <c r="AE935" s="4"/>
      <c r="AF935" s="4"/>
    </row>
    <row r="936" spans="1:32">
      <c r="A936" s="663"/>
      <c r="B936" s="700" t="s">
        <v>436</v>
      </c>
      <c r="C936" s="663" t="s">
        <v>427</v>
      </c>
      <c r="D936" s="678" t="s">
        <v>1978</v>
      </c>
      <c r="E936" s="700" t="s">
        <v>872</v>
      </c>
      <c r="F936" s="795">
        <v>1147</v>
      </c>
      <c r="G936" s="812" t="s">
        <v>436</v>
      </c>
      <c r="H936" s="714"/>
      <c r="I936" s="714">
        <v>7368.2640000000001</v>
      </c>
      <c r="J936" s="1654" t="s">
        <v>1134</v>
      </c>
      <c r="K936" s="809"/>
      <c r="L936" s="714"/>
      <c r="M936" s="714">
        <v>7573.2289999999994</v>
      </c>
      <c r="N936" s="7"/>
      <c r="O936" s="4"/>
      <c r="P936" s="4"/>
      <c r="Q936" s="4"/>
      <c r="R936" s="4"/>
      <c r="S936" s="4"/>
      <c r="T936" s="4"/>
      <c r="U936" s="4"/>
      <c r="V936" s="4"/>
      <c r="W936" s="4"/>
      <c r="X936" s="4"/>
      <c r="Y936" s="4"/>
      <c r="Z936" s="4"/>
      <c r="AA936" s="4"/>
      <c r="AB936" s="4"/>
      <c r="AC936" s="4"/>
      <c r="AD936" s="4"/>
      <c r="AE936" s="4"/>
      <c r="AF936" s="4"/>
    </row>
    <row r="937" spans="1:32">
      <c r="A937" s="663"/>
      <c r="B937" s="700" t="s">
        <v>436</v>
      </c>
      <c r="C937" s="663" t="s">
        <v>427</v>
      </c>
      <c r="D937" s="678" t="s">
        <v>1978</v>
      </c>
      <c r="E937" s="700" t="s">
        <v>872</v>
      </c>
      <c r="F937" s="795">
        <v>1147</v>
      </c>
      <c r="G937" s="812" t="s">
        <v>722</v>
      </c>
      <c r="H937" s="714"/>
      <c r="I937" s="714"/>
      <c r="J937" s="1654" t="s">
        <v>1134</v>
      </c>
      <c r="K937" s="809"/>
      <c r="L937" s="714"/>
      <c r="M937" s="714"/>
      <c r="N937" s="125"/>
      <c r="O937" s="4"/>
      <c r="P937" s="4"/>
      <c r="Q937" s="4"/>
      <c r="R937" s="4"/>
      <c r="S937" s="4"/>
      <c r="T937" s="4"/>
      <c r="U937" s="4"/>
      <c r="V937" s="4"/>
      <c r="W937" s="4"/>
      <c r="X937" s="4"/>
      <c r="Y937" s="4"/>
      <c r="Z937" s="4"/>
      <c r="AA937" s="4"/>
      <c r="AB937" s="4"/>
      <c r="AC937" s="4"/>
      <c r="AD937" s="4"/>
      <c r="AE937" s="4"/>
      <c r="AF937" s="4"/>
    </row>
    <row r="938" spans="1:32">
      <c r="A938" s="683"/>
      <c r="B938" s="720" t="s">
        <v>436</v>
      </c>
      <c r="C938" s="683" t="s">
        <v>427</v>
      </c>
      <c r="D938" s="719" t="s">
        <v>1978</v>
      </c>
      <c r="E938" s="720" t="s">
        <v>872</v>
      </c>
      <c r="F938" s="824">
        <v>1148</v>
      </c>
      <c r="G938" s="800" t="s">
        <v>112</v>
      </c>
      <c r="H938" s="713">
        <v>0</v>
      </c>
      <c r="I938" s="713"/>
      <c r="J938" s="1654" t="s">
        <v>1134</v>
      </c>
      <c r="K938" s="842"/>
      <c r="L938" s="713">
        <v>0</v>
      </c>
      <c r="M938" s="713"/>
      <c r="N938" s="125"/>
      <c r="O938" s="4"/>
      <c r="P938" s="4"/>
      <c r="Q938" s="4"/>
      <c r="R938" s="4"/>
      <c r="S938" s="4"/>
      <c r="T938" s="4"/>
      <c r="U938" s="4"/>
      <c r="V938" s="4"/>
      <c r="W938" s="4"/>
      <c r="X938" s="4"/>
      <c r="Y938" s="4"/>
      <c r="Z938" s="4"/>
      <c r="AA938" s="4"/>
      <c r="AB938" s="4"/>
      <c r="AC938" s="4"/>
      <c r="AD938" s="4"/>
      <c r="AE938" s="4"/>
      <c r="AF938" s="4"/>
    </row>
    <row r="939" spans="1:32">
      <c r="A939" s="663"/>
      <c r="B939" s="700" t="s">
        <v>436</v>
      </c>
      <c r="C939" s="663" t="s">
        <v>427</v>
      </c>
      <c r="D939" s="678" t="s">
        <v>1978</v>
      </c>
      <c r="E939" s="700" t="s">
        <v>872</v>
      </c>
      <c r="F939" s="795">
        <v>1148</v>
      </c>
      <c r="G939" s="812"/>
      <c r="H939" s="714"/>
      <c r="I939" s="714"/>
      <c r="J939" s="1654" t="s">
        <v>1134</v>
      </c>
      <c r="K939" s="809"/>
      <c r="L939" s="714"/>
      <c r="M939" s="714"/>
      <c r="N939" s="7"/>
      <c r="O939" s="4"/>
      <c r="P939" s="4"/>
      <c r="Q939" s="4"/>
      <c r="R939" s="4"/>
      <c r="S939" s="4"/>
      <c r="T939" s="4"/>
      <c r="U939" s="4"/>
      <c r="V939" s="4"/>
      <c r="W939" s="4"/>
      <c r="X939" s="4"/>
      <c r="Y939" s="4"/>
      <c r="Z939" s="4"/>
      <c r="AA939" s="4"/>
      <c r="AB939" s="4"/>
      <c r="AC939" s="4"/>
      <c r="AD939" s="4"/>
      <c r="AE939" s="4"/>
      <c r="AF939" s="4"/>
    </row>
    <row r="940" spans="1:32">
      <c r="A940" s="683"/>
      <c r="B940" s="720" t="s">
        <v>772</v>
      </c>
      <c r="C940" s="683" t="s">
        <v>322</v>
      </c>
      <c r="D940" s="719" t="s">
        <v>1978</v>
      </c>
      <c r="E940" s="720" t="s">
        <v>872</v>
      </c>
      <c r="F940" s="824">
        <v>1150</v>
      </c>
      <c r="G940" s="800" t="s">
        <v>476</v>
      </c>
      <c r="H940" s="713">
        <v>1500</v>
      </c>
      <c r="I940" s="713"/>
      <c r="J940" s="1654">
        <v>280</v>
      </c>
      <c r="K940" s="842"/>
      <c r="L940" s="713">
        <v>1500</v>
      </c>
      <c r="M940" s="713"/>
      <c r="N940" s="7"/>
      <c r="O940" s="4"/>
      <c r="P940" s="4"/>
      <c r="Q940" s="4"/>
      <c r="R940" s="4"/>
      <c r="S940" s="4"/>
      <c r="T940" s="4"/>
      <c r="U940" s="4"/>
      <c r="V940" s="4"/>
      <c r="W940" s="4"/>
      <c r="X940" s="4"/>
      <c r="Y940" s="4"/>
      <c r="Z940" s="4"/>
      <c r="AA940" s="4"/>
      <c r="AB940" s="4"/>
      <c r="AC940" s="4"/>
      <c r="AD940" s="4"/>
      <c r="AE940" s="4"/>
      <c r="AF940" s="4"/>
    </row>
    <row r="941" spans="1:32" ht="30.6">
      <c r="A941" s="663"/>
      <c r="B941" s="700" t="s">
        <v>772</v>
      </c>
      <c r="C941" s="663" t="s">
        <v>322</v>
      </c>
      <c r="D941" s="678" t="s">
        <v>1978</v>
      </c>
      <c r="E941" s="700" t="s">
        <v>872</v>
      </c>
      <c r="F941" s="795">
        <v>1150</v>
      </c>
      <c r="G941" s="812" t="s">
        <v>3723</v>
      </c>
      <c r="H941" s="714"/>
      <c r="I941" s="714">
        <v>1500</v>
      </c>
      <c r="J941" s="1654" t="s">
        <v>1134</v>
      </c>
      <c r="K941" s="809"/>
      <c r="L941" s="714"/>
      <c r="M941" s="714">
        <v>1500</v>
      </c>
      <c r="N941" s="7"/>
      <c r="O941" s="4"/>
      <c r="P941" s="4"/>
      <c r="Q941" s="4"/>
      <c r="R941" s="4"/>
      <c r="S941" s="4"/>
      <c r="T941" s="4"/>
      <c r="U941" s="4"/>
      <c r="V941" s="4"/>
      <c r="W941" s="4"/>
      <c r="X941" s="4"/>
      <c r="Y941" s="4"/>
      <c r="Z941" s="4"/>
      <c r="AA941" s="4"/>
      <c r="AB941" s="4"/>
      <c r="AC941" s="4"/>
      <c r="AD941" s="4"/>
      <c r="AE941" s="4"/>
      <c r="AF941" s="4"/>
    </row>
    <row r="942" spans="1:32">
      <c r="A942" s="683"/>
      <c r="B942" s="720" t="s">
        <v>436</v>
      </c>
      <c r="C942" s="683" t="s">
        <v>427</v>
      </c>
      <c r="D942" s="719" t="s">
        <v>1978</v>
      </c>
      <c r="E942" s="720" t="s">
        <v>872</v>
      </c>
      <c r="F942" s="824">
        <v>1170</v>
      </c>
      <c r="G942" s="800" t="s">
        <v>475</v>
      </c>
      <c r="H942" s="713">
        <v>60</v>
      </c>
      <c r="I942" s="713"/>
      <c r="J942" s="1654">
        <v>60</v>
      </c>
      <c r="K942" s="842"/>
      <c r="L942" s="713">
        <v>60</v>
      </c>
      <c r="M942" s="713"/>
      <c r="N942" s="359"/>
      <c r="O942" s="187"/>
      <c r="P942" s="187"/>
      <c r="Q942" s="187"/>
      <c r="R942" s="187"/>
      <c r="S942" s="187"/>
      <c r="T942" s="187"/>
      <c r="U942" s="187"/>
      <c r="V942" s="187"/>
      <c r="W942" s="187"/>
      <c r="X942" s="187"/>
      <c r="Y942" s="187"/>
      <c r="Z942" s="187"/>
      <c r="AA942" s="187"/>
      <c r="AB942" s="187"/>
      <c r="AC942" s="187"/>
      <c r="AD942" s="187"/>
      <c r="AE942" s="187"/>
      <c r="AF942" s="187"/>
    </row>
    <row r="943" spans="1:32" ht="20.399999999999999">
      <c r="A943" s="663"/>
      <c r="B943" s="700" t="s">
        <v>436</v>
      </c>
      <c r="C943" s="663" t="s">
        <v>427</v>
      </c>
      <c r="D943" s="678" t="s">
        <v>1978</v>
      </c>
      <c r="E943" s="700" t="s">
        <v>872</v>
      </c>
      <c r="F943" s="795">
        <v>1170</v>
      </c>
      <c r="G943" s="812" t="s">
        <v>611</v>
      </c>
      <c r="H943" s="714"/>
      <c r="I943" s="714">
        <v>60</v>
      </c>
      <c r="J943" s="1654" t="s">
        <v>1134</v>
      </c>
      <c r="K943" s="809"/>
      <c r="L943" s="714"/>
      <c r="M943" s="714">
        <v>60</v>
      </c>
      <c r="N943" s="125"/>
      <c r="O943" s="187"/>
      <c r="P943" s="187"/>
      <c r="Q943" s="187"/>
      <c r="R943" s="187"/>
      <c r="S943" s="187"/>
      <c r="T943" s="187"/>
      <c r="U943" s="187"/>
      <c r="V943" s="187"/>
      <c r="W943" s="187"/>
      <c r="X943" s="187"/>
      <c r="Y943" s="187"/>
      <c r="Z943" s="187"/>
      <c r="AA943" s="187"/>
      <c r="AB943" s="187"/>
      <c r="AC943" s="187"/>
      <c r="AD943" s="187"/>
      <c r="AE943" s="187"/>
      <c r="AF943" s="187"/>
    </row>
    <row r="944" spans="1:32">
      <c r="A944" s="683"/>
      <c r="B944" s="720" t="s">
        <v>436</v>
      </c>
      <c r="C944" s="683" t="s">
        <v>427</v>
      </c>
      <c r="D944" s="719" t="s">
        <v>1978</v>
      </c>
      <c r="E944" s="720" t="s">
        <v>872</v>
      </c>
      <c r="F944" s="824">
        <v>1210</v>
      </c>
      <c r="G944" s="800" t="s">
        <v>113</v>
      </c>
      <c r="H944" s="713">
        <v>17212.443688719999</v>
      </c>
      <c r="I944" s="713"/>
      <c r="J944" s="1654">
        <v>12175</v>
      </c>
      <c r="K944" s="842"/>
      <c r="L944" s="713">
        <v>18302.762696294998</v>
      </c>
      <c r="M944" s="713"/>
      <c r="N944" s="125"/>
      <c r="O944" s="187"/>
      <c r="P944" s="187"/>
      <c r="Q944" s="187"/>
      <c r="R944" s="187"/>
      <c r="S944" s="187"/>
      <c r="T944" s="187"/>
      <c r="U944" s="187"/>
      <c r="V944" s="187"/>
      <c r="W944" s="187"/>
      <c r="X944" s="187"/>
      <c r="Y944" s="187"/>
      <c r="Z944" s="187"/>
      <c r="AA944" s="187"/>
      <c r="AB944" s="187"/>
      <c r="AC944" s="187"/>
      <c r="AD944" s="187"/>
      <c r="AE944" s="187"/>
      <c r="AF944" s="187"/>
    </row>
    <row r="945" spans="1:32">
      <c r="A945" s="663"/>
      <c r="B945" s="700" t="s">
        <v>436</v>
      </c>
      <c r="C945" s="663" t="s">
        <v>427</v>
      </c>
      <c r="D945" s="678" t="s">
        <v>1978</v>
      </c>
      <c r="E945" s="700" t="s">
        <v>872</v>
      </c>
      <c r="F945" s="795">
        <v>1210</v>
      </c>
      <c r="G945" s="812" t="s">
        <v>436</v>
      </c>
      <c r="H945" s="714"/>
      <c r="I945" s="714">
        <v>17212.443688719999</v>
      </c>
      <c r="J945" s="1654" t="s">
        <v>1134</v>
      </c>
      <c r="K945" s="809"/>
      <c r="L945" s="714"/>
      <c r="M945" s="714">
        <v>18302.762696294998</v>
      </c>
      <c r="N945" s="359" t="s">
        <v>3728</v>
      </c>
      <c r="O945" s="187"/>
      <c r="P945" s="187"/>
      <c r="Q945" s="187"/>
      <c r="R945" s="187"/>
      <c r="S945" s="187"/>
      <c r="T945" s="187"/>
      <c r="U945" s="187"/>
      <c r="V945" s="187"/>
      <c r="W945" s="187"/>
      <c r="X945" s="187"/>
      <c r="Y945" s="187"/>
      <c r="Z945" s="187"/>
      <c r="AA945" s="187"/>
      <c r="AB945" s="187"/>
      <c r="AC945" s="187"/>
      <c r="AD945" s="187"/>
      <c r="AE945" s="187"/>
      <c r="AF945" s="187"/>
    </row>
    <row r="946" spans="1:32" ht="20.399999999999999">
      <c r="A946" s="663"/>
      <c r="B946" s="700" t="s">
        <v>436</v>
      </c>
      <c r="C946" s="663" t="s">
        <v>427</v>
      </c>
      <c r="D946" s="678" t="s">
        <v>1978</v>
      </c>
      <c r="E946" s="700" t="s">
        <v>872</v>
      </c>
      <c r="F946" s="795">
        <v>1210</v>
      </c>
      <c r="G946" s="812" t="s">
        <v>722</v>
      </c>
      <c r="H946" s="714"/>
      <c r="I946" s="714"/>
      <c r="J946" s="1654" t="s">
        <v>1134</v>
      </c>
      <c r="K946" s="809"/>
      <c r="L946" s="714"/>
      <c r="M946" s="714"/>
      <c r="N946" s="359" t="s">
        <v>3729</v>
      </c>
      <c r="O946" s="187"/>
      <c r="P946" s="187"/>
      <c r="Q946" s="187"/>
      <c r="R946" s="187"/>
      <c r="S946" s="187"/>
      <c r="T946" s="187"/>
      <c r="U946" s="187"/>
      <c r="V946" s="187"/>
      <c r="W946" s="187"/>
      <c r="X946" s="187"/>
      <c r="Y946" s="187"/>
      <c r="Z946" s="187"/>
      <c r="AA946" s="187"/>
      <c r="AB946" s="187"/>
      <c r="AC946" s="187"/>
      <c r="AD946" s="187"/>
      <c r="AE946" s="187"/>
      <c r="AF946" s="187"/>
    </row>
    <row r="947" spans="1:32">
      <c r="A947" s="683"/>
      <c r="B947" s="720" t="s">
        <v>436</v>
      </c>
      <c r="C947" s="683" t="s">
        <v>427</v>
      </c>
      <c r="D947" s="719" t="s">
        <v>1978</v>
      </c>
      <c r="E947" s="720" t="s">
        <v>872</v>
      </c>
      <c r="F947" s="824">
        <v>1221</v>
      </c>
      <c r="G947" s="800" t="s">
        <v>114</v>
      </c>
      <c r="H947" s="713">
        <v>3683.3980888800002</v>
      </c>
      <c r="I947" s="713"/>
      <c r="J947" s="1654">
        <v>3090</v>
      </c>
      <c r="K947" s="842"/>
      <c r="L947" s="713">
        <v>3927.1932998049997</v>
      </c>
      <c r="M947" s="713"/>
      <c r="N947" s="176"/>
      <c r="O947" s="187"/>
      <c r="P947" s="187"/>
      <c r="Q947" s="187"/>
      <c r="R947" s="187"/>
      <c r="S947" s="187"/>
      <c r="T947" s="187"/>
      <c r="U947" s="187"/>
      <c r="V947" s="187"/>
      <c r="W947" s="187"/>
      <c r="X947" s="187"/>
      <c r="Y947" s="187"/>
      <c r="Z947" s="187"/>
      <c r="AA947" s="187"/>
      <c r="AB947" s="187"/>
      <c r="AC947" s="187"/>
      <c r="AD947" s="187"/>
      <c r="AE947" s="187"/>
      <c r="AF947" s="187"/>
    </row>
    <row r="948" spans="1:32">
      <c r="A948" s="663"/>
      <c r="B948" s="700" t="s">
        <v>436</v>
      </c>
      <c r="C948" s="663" t="s">
        <v>427</v>
      </c>
      <c r="D948" s="678" t="s">
        <v>1978</v>
      </c>
      <c r="E948" s="700" t="s">
        <v>872</v>
      </c>
      <c r="F948" s="795">
        <v>1221</v>
      </c>
      <c r="G948" s="750" t="s">
        <v>1047</v>
      </c>
      <c r="H948" s="701"/>
      <c r="I948" s="701">
        <v>3683.3980888800002</v>
      </c>
      <c r="J948" s="1654" t="s">
        <v>1134</v>
      </c>
      <c r="K948" s="792"/>
      <c r="L948" s="701"/>
      <c r="M948" s="701">
        <v>3927.1932998049997</v>
      </c>
      <c r="N948" s="176"/>
      <c r="O948" s="187"/>
      <c r="P948" s="187"/>
      <c r="Q948" s="187"/>
      <c r="R948" s="187"/>
      <c r="S948" s="187"/>
      <c r="T948" s="187"/>
      <c r="U948" s="187"/>
      <c r="V948" s="187"/>
      <c r="W948" s="187"/>
      <c r="X948" s="187"/>
      <c r="Y948" s="187"/>
      <c r="Z948" s="187"/>
      <c r="AA948" s="187"/>
      <c r="AB948" s="187"/>
      <c r="AC948" s="187"/>
      <c r="AD948" s="187"/>
      <c r="AE948" s="187"/>
      <c r="AF948" s="187"/>
    </row>
    <row r="949" spans="1:32" ht="20.399999999999999">
      <c r="A949" s="663"/>
      <c r="B949" s="700" t="s">
        <v>436</v>
      </c>
      <c r="C949" s="663" t="s">
        <v>427</v>
      </c>
      <c r="D949" s="678" t="s">
        <v>1978</v>
      </c>
      <c r="E949" s="700" t="s">
        <v>872</v>
      </c>
      <c r="F949" s="795">
        <v>1221</v>
      </c>
      <c r="G949" s="750" t="s">
        <v>2006</v>
      </c>
      <c r="H949" s="701"/>
      <c r="I949" s="701"/>
      <c r="J949" s="1654" t="s">
        <v>1134</v>
      </c>
      <c r="K949" s="792"/>
      <c r="L949" s="701"/>
      <c r="M949" s="701"/>
      <c r="N949" s="176"/>
      <c r="O949" s="187"/>
      <c r="P949" s="187"/>
      <c r="Q949" s="187"/>
      <c r="R949" s="187"/>
      <c r="S949" s="187"/>
      <c r="T949" s="187"/>
      <c r="U949" s="187"/>
      <c r="V949" s="187"/>
      <c r="W949" s="187"/>
      <c r="X949" s="187"/>
      <c r="Y949" s="187"/>
      <c r="Z949" s="187"/>
      <c r="AA949" s="187"/>
      <c r="AB949" s="187"/>
      <c r="AC949" s="187"/>
      <c r="AD949" s="187"/>
      <c r="AE949" s="187"/>
      <c r="AF949" s="187"/>
    </row>
    <row r="950" spans="1:32" ht="20.399999999999999">
      <c r="A950" s="683"/>
      <c r="B950" s="720" t="s">
        <v>772</v>
      </c>
      <c r="C950" s="683" t="s">
        <v>427</v>
      </c>
      <c r="D950" s="719" t="s">
        <v>1978</v>
      </c>
      <c r="E950" s="720" t="s">
        <v>872</v>
      </c>
      <c r="F950" s="685">
        <v>1227</v>
      </c>
      <c r="G950" s="686" t="s">
        <v>781</v>
      </c>
      <c r="H950" s="689">
        <v>200</v>
      </c>
      <c r="I950" s="689"/>
      <c r="J950" s="1494">
        <v>200</v>
      </c>
      <c r="K950" s="690"/>
      <c r="L950" s="689">
        <v>200</v>
      </c>
      <c r="M950" s="689"/>
      <c r="N950" s="176"/>
      <c r="O950" s="187"/>
      <c r="P950" s="187"/>
      <c r="Q950" s="187"/>
      <c r="R950" s="187"/>
      <c r="S950" s="187"/>
      <c r="T950" s="187"/>
      <c r="U950" s="187"/>
      <c r="V950" s="187"/>
      <c r="W950" s="187"/>
      <c r="X950" s="187"/>
      <c r="Y950" s="187"/>
      <c r="Z950" s="187"/>
      <c r="AA950" s="187"/>
      <c r="AB950" s="187"/>
      <c r="AC950" s="187"/>
      <c r="AD950" s="187"/>
      <c r="AE950" s="187"/>
      <c r="AF950" s="187"/>
    </row>
    <row r="951" spans="1:32" ht="20.399999999999999">
      <c r="A951" s="663"/>
      <c r="B951" s="700" t="s">
        <v>772</v>
      </c>
      <c r="C951" s="663" t="s">
        <v>427</v>
      </c>
      <c r="D951" s="678" t="s">
        <v>1978</v>
      </c>
      <c r="E951" s="700" t="s">
        <v>872</v>
      </c>
      <c r="F951" s="679">
        <v>1227</v>
      </c>
      <c r="G951" s="665" t="s">
        <v>2006</v>
      </c>
      <c r="H951" s="660"/>
      <c r="I951" s="660">
        <v>200</v>
      </c>
      <c r="J951" s="1494" t="s">
        <v>1134</v>
      </c>
      <c r="K951" s="661"/>
      <c r="L951" s="660"/>
      <c r="M951" s="660">
        <v>200</v>
      </c>
      <c r="N951" s="7"/>
      <c r="O951" s="187"/>
      <c r="P951" s="187"/>
      <c r="Q951" s="187"/>
      <c r="R951" s="187"/>
      <c r="S951" s="187"/>
      <c r="T951" s="187"/>
      <c r="U951" s="187"/>
      <c r="V951" s="187"/>
      <c r="W951" s="187"/>
      <c r="X951" s="187"/>
      <c r="Y951" s="187"/>
      <c r="Z951" s="187"/>
      <c r="AA951" s="187"/>
      <c r="AB951" s="187"/>
      <c r="AC951" s="187"/>
      <c r="AD951" s="187"/>
      <c r="AE951" s="187"/>
      <c r="AF951" s="187"/>
    </row>
    <row r="952" spans="1:32">
      <c r="A952" s="683"/>
      <c r="B952" s="720" t="s">
        <v>772</v>
      </c>
      <c r="C952" s="683" t="s">
        <v>427</v>
      </c>
      <c r="D952" s="719" t="s">
        <v>1978</v>
      </c>
      <c r="E952" s="720" t="s">
        <v>872</v>
      </c>
      <c r="F952" s="685">
        <v>1228</v>
      </c>
      <c r="G952" s="686" t="s">
        <v>120</v>
      </c>
      <c r="H952" s="689">
        <v>0</v>
      </c>
      <c r="I952" s="689"/>
      <c r="J952" s="1494" t="s">
        <v>1134</v>
      </c>
      <c r="K952" s="690"/>
      <c r="L952" s="689">
        <v>300</v>
      </c>
      <c r="M952" s="689"/>
      <c r="N952" s="7"/>
      <c r="O952" s="187"/>
      <c r="P952" s="187"/>
      <c r="Q952" s="187"/>
      <c r="R952" s="187"/>
      <c r="S952" s="187"/>
      <c r="T952" s="187"/>
      <c r="U952" s="187"/>
      <c r="V952" s="187"/>
      <c r="W952" s="187"/>
      <c r="X952" s="187"/>
      <c r="Y952" s="187"/>
      <c r="Z952" s="187"/>
      <c r="AA952" s="187"/>
      <c r="AB952" s="187"/>
      <c r="AC952" s="187"/>
      <c r="AD952" s="187"/>
      <c r="AE952" s="187"/>
      <c r="AF952" s="187"/>
    </row>
    <row r="953" spans="1:32">
      <c r="A953" s="663"/>
      <c r="B953" s="700" t="s">
        <v>772</v>
      </c>
      <c r="C953" s="663" t="s">
        <v>427</v>
      </c>
      <c r="D953" s="678" t="s">
        <v>1978</v>
      </c>
      <c r="E953" s="700" t="s">
        <v>872</v>
      </c>
      <c r="F953" s="679">
        <v>1228</v>
      </c>
      <c r="G953" s="763" t="s">
        <v>3724</v>
      </c>
      <c r="H953" s="660"/>
      <c r="I953" s="660"/>
      <c r="J953" s="1494" t="s">
        <v>1134</v>
      </c>
      <c r="K953" s="661"/>
      <c r="L953" s="660"/>
      <c r="M953" s="660">
        <v>300</v>
      </c>
      <c r="N953" s="7"/>
      <c r="O953" s="187"/>
      <c r="P953" s="187"/>
      <c r="Q953" s="187"/>
      <c r="R953" s="187"/>
      <c r="S953" s="187"/>
      <c r="T953" s="187"/>
      <c r="U953" s="187"/>
      <c r="V953" s="187"/>
      <c r="W953" s="187"/>
      <c r="X953" s="187"/>
      <c r="Y953" s="187"/>
      <c r="Z953" s="187"/>
      <c r="AA953" s="187"/>
      <c r="AB953" s="187"/>
      <c r="AC953" s="187"/>
      <c r="AD953" s="187"/>
      <c r="AE953" s="187"/>
      <c r="AF953" s="187"/>
    </row>
    <row r="954" spans="1:32">
      <c r="A954" s="683"/>
      <c r="B954" s="720" t="s">
        <v>772</v>
      </c>
      <c r="C954" s="683" t="s">
        <v>322</v>
      </c>
      <c r="D954" s="719" t="s">
        <v>1978</v>
      </c>
      <c r="E954" s="720" t="s">
        <v>872</v>
      </c>
      <c r="F954" s="685">
        <v>2210</v>
      </c>
      <c r="G954" s="686" t="s">
        <v>572</v>
      </c>
      <c r="H954" s="837">
        <v>2035.44</v>
      </c>
      <c r="I954" s="837"/>
      <c r="J954" s="1494">
        <v>1404</v>
      </c>
      <c r="K954" s="688"/>
      <c r="L954" s="837">
        <v>1751.96</v>
      </c>
      <c r="M954" s="837"/>
      <c r="N954" s="7"/>
      <c r="O954" s="4"/>
      <c r="P954" s="4"/>
      <c r="Q954" s="4"/>
      <c r="R954" s="4"/>
      <c r="S954" s="4"/>
      <c r="T954" s="4"/>
      <c r="U954" s="4"/>
      <c r="V954" s="4"/>
      <c r="W954" s="4"/>
      <c r="X954" s="4"/>
      <c r="Y954" s="4"/>
      <c r="Z954" s="4"/>
      <c r="AA954" s="4"/>
      <c r="AB954" s="4"/>
      <c r="AC954" s="4"/>
      <c r="AD954" s="4"/>
      <c r="AE954" s="4"/>
      <c r="AF954" s="4"/>
    </row>
    <row r="955" spans="1:32">
      <c r="A955" s="663"/>
      <c r="B955" s="700" t="s">
        <v>772</v>
      </c>
      <c r="C955" s="663" t="s">
        <v>322</v>
      </c>
      <c r="D955" s="678" t="s">
        <v>1978</v>
      </c>
      <c r="E955" s="700" t="s">
        <v>872</v>
      </c>
      <c r="F955" s="679">
        <v>2210</v>
      </c>
      <c r="G955" s="763" t="s">
        <v>824</v>
      </c>
      <c r="H955" s="878"/>
      <c r="I955" s="878">
        <v>468</v>
      </c>
      <c r="J955" s="1494" t="s">
        <v>1134</v>
      </c>
      <c r="K955" s="879"/>
      <c r="L955" s="878"/>
      <c r="M955" s="878"/>
      <c r="N955" s="7"/>
      <c r="O955" s="4"/>
      <c r="P955" s="4"/>
      <c r="Q955" s="4"/>
      <c r="R955" s="4"/>
      <c r="S955" s="4"/>
      <c r="T955" s="4"/>
      <c r="U955" s="4"/>
      <c r="V955" s="4"/>
      <c r="W955" s="4"/>
      <c r="X955" s="4"/>
      <c r="Y955" s="4"/>
      <c r="Z955" s="4"/>
      <c r="AA955" s="4"/>
      <c r="AB955" s="4"/>
      <c r="AC955" s="4"/>
      <c r="AD955" s="4"/>
      <c r="AE955" s="4"/>
      <c r="AF955" s="4"/>
    </row>
    <row r="956" spans="1:32" ht="30.6">
      <c r="A956" s="663"/>
      <c r="B956" s="700" t="s">
        <v>772</v>
      </c>
      <c r="C956" s="663" t="s">
        <v>322</v>
      </c>
      <c r="D956" s="678" t="s">
        <v>1978</v>
      </c>
      <c r="E956" s="700" t="s">
        <v>872</v>
      </c>
      <c r="F956" s="679">
        <v>2210</v>
      </c>
      <c r="G956" s="763" t="s">
        <v>3725</v>
      </c>
      <c r="H956" s="878"/>
      <c r="I956" s="878">
        <v>115.44</v>
      </c>
      <c r="J956" s="1494" t="s">
        <v>1134</v>
      </c>
      <c r="K956" s="879"/>
      <c r="L956" s="878"/>
      <c r="M956" s="878">
        <v>299.95999999999998</v>
      </c>
      <c r="N956" s="359"/>
      <c r="O956" s="4"/>
      <c r="P956" s="4"/>
      <c r="Q956" s="4"/>
      <c r="R956" s="4"/>
      <c r="S956" s="4"/>
      <c r="T956" s="4"/>
      <c r="U956" s="4"/>
      <c r="V956" s="4"/>
      <c r="W956" s="4"/>
      <c r="X956" s="4"/>
      <c r="Y956" s="4"/>
      <c r="Z956" s="4"/>
      <c r="AA956" s="4"/>
      <c r="AB956" s="4"/>
      <c r="AC956" s="4"/>
      <c r="AD956" s="4"/>
      <c r="AE956" s="4"/>
      <c r="AF956" s="4"/>
    </row>
    <row r="957" spans="1:32" ht="20.399999999999999">
      <c r="A957" s="663"/>
      <c r="B957" s="700" t="s">
        <v>772</v>
      </c>
      <c r="C957" s="663" t="s">
        <v>322</v>
      </c>
      <c r="D957" s="678" t="s">
        <v>1978</v>
      </c>
      <c r="E957" s="700" t="s">
        <v>872</v>
      </c>
      <c r="F957" s="679">
        <v>2210</v>
      </c>
      <c r="G957" s="763" t="s">
        <v>701</v>
      </c>
      <c r="H957" s="878"/>
      <c r="I957" s="878">
        <v>1452</v>
      </c>
      <c r="J957" s="1494" t="s">
        <v>1134</v>
      </c>
      <c r="K957" s="879"/>
      <c r="L957" s="878"/>
      <c r="M957" s="878">
        <v>1452</v>
      </c>
      <c r="N957" s="7"/>
      <c r="O957" s="4"/>
      <c r="P957" s="4"/>
      <c r="Q957" s="4"/>
      <c r="R957" s="4"/>
      <c r="S957" s="4"/>
      <c r="T957" s="4"/>
      <c r="U957" s="4"/>
      <c r="V957" s="4"/>
      <c r="W957" s="4"/>
      <c r="X957" s="4"/>
      <c r="Y957" s="4"/>
      <c r="Z957" s="4"/>
      <c r="AA957" s="4"/>
      <c r="AB957" s="4"/>
      <c r="AC957" s="4"/>
      <c r="AD957" s="4"/>
      <c r="AE957" s="4"/>
      <c r="AF957" s="4"/>
    </row>
    <row r="958" spans="1:32">
      <c r="A958" s="683" t="s">
        <v>709</v>
      </c>
      <c r="B958" s="720" t="s">
        <v>772</v>
      </c>
      <c r="C958" s="683" t="s">
        <v>320</v>
      </c>
      <c r="D958" s="719" t="s">
        <v>1978</v>
      </c>
      <c r="E958" s="720" t="s">
        <v>872</v>
      </c>
      <c r="F958" s="685">
        <v>2221</v>
      </c>
      <c r="G958" s="686" t="s">
        <v>623</v>
      </c>
      <c r="H958" s="689">
        <v>6940</v>
      </c>
      <c r="I958" s="689"/>
      <c r="J958" s="1494">
        <v>4322.7700000000004</v>
      </c>
      <c r="K958" s="690"/>
      <c r="L958" s="689">
        <v>6940</v>
      </c>
      <c r="M958" s="689"/>
      <c r="N958" s="7"/>
      <c r="O958" s="4"/>
      <c r="P958" s="4"/>
      <c r="Q958" s="4"/>
      <c r="R958" s="4"/>
      <c r="S958" s="4"/>
      <c r="T958" s="4"/>
      <c r="U958" s="4"/>
      <c r="V958" s="4"/>
      <c r="W958" s="4"/>
      <c r="X958" s="4"/>
      <c r="Y958" s="4"/>
      <c r="Z958" s="4"/>
      <c r="AA958" s="4"/>
      <c r="AB958" s="4"/>
      <c r="AC958" s="4"/>
      <c r="AD958" s="4"/>
      <c r="AE958" s="4"/>
      <c r="AF958" s="4"/>
    </row>
    <row r="959" spans="1:32" ht="20.399999999999999">
      <c r="A959" s="663" t="s">
        <v>709</v>
      </c>
      <c r="B959" s="700" t="s">
        <v>772</v>
      </c>
      <c r="C959" s="663" t="s">
        <v>320</v>
      </c>
      <c r="D959" s="678" t="s">
        <v>1978</v>
      </c>
      <c r="E959" s="700" t="s">
        <v>872</v>
      </c>
      <c r="F959" s="679">
        <v>2221</v>
      </c>
      <c r="G959" s="822" t="s">
        <v>1856</v>
      </c>
      <c r="H959" s="878"/>
      <c r="I959" s="878">
        <v>6940</v>
      </c>
      <c r="J959" s="1494" t="s">
        <v>1134</v>
      </c>
      <c r="K959" s="879"/>
      <c r="L959" s="878"/>
      <c r="M959" s="878">
        <v>6940</v>
      </c>
      <c r="N959" s="7"/>
      <c r="O959" s="4"/>
      <c r="P959" s="4"/>
      <c r="Q959" s="4"/>
      <c r="R959" s="4"/>
      <c r="S959" s="4"/>
      <c r="T959" s="4"/>
      <c r="U959" s="4"/>
      <c r="V959" s="4"/>
      <c r="W959" s="4"/>
      <c r="X959" s="4"/>
      <c r="Y959" s="4"/>
      <c r="Z959" s="4"/>
      <c r="AA959" s="4"/>
      <c r="AB959" s="4"/>
      <c r="AC959" s="4"/>
      <c r="AD959" s="4"/>
      <c r="AE959" s="4"/>
      <c r="AF959" s="4"/>
    </row>
    <row r="960" spans="1:32">
      <c r="A960" s="683" t="s">
        <v>709</v>
      </c>
      <c r="B960" s="720" t="s">
        <v>772</v>
      </c>
      <c r="C960" s="683" t="s">
        <v>320</v>
      </c>
      <c r="D960" s="719" t="s">
        <v>1978</v>
      </c>
      <c r="E960" s="720" t="s">
        <v>872</v>
      </c>
      <c r="F960" s="685">
        <v>2222</v>
      </c>
      <c r="G960" s="686" t="s">
        <v>153</v>
      </c>
      <c r="H960" s="689">
        <v>257</v>
      </c>
      <c r="I960" s="689"/>
      <c r="J960" s="1494">
        <v>153</v>
      </c>
      <c r="K960" s="690"/>
      <c r="L960" s="689">
        <v>257</v>
      </c>
      <c r="M960" s="689"/>
      <c r="N960" s="7"/>
      <c r="O960" s="4"/>
      <c r="P960" s="4"/>
      <c r="Q960" s="4"/>
      <c r="R960" s="4"/>
      <c r="S960" s="4"/>
      <c r="T960" s="4"/>
      <c r="U960" s="4"/>
      <c r="V960" s="4"/>
      <c r="W960" s="4"/>
      <c r="X960" s="4"/>
      <c r="Y960" s="4"/>
      <c r="Z960" s="4"/>
      <c r="AA960" s="4"/>
      <c r="AB960" s="4"/>
      <c r="AC960" s="4"/>
      <c r="AD960" s="4"/>
      <c r="AE960" s="4"/>
      <c r="AF960" s="4"/>
    </row>
    <row r="961" spans="1:32" ht="20.399999999999999">
      <c r="A961" s="663" t="s">
        <v>709</v>
      </c>
      <c r="B961" s="700" t="s">
        <v>772</v>
      </c>
      <c r="C961" s="663" t="s">
        <v>320</v>
      </c>
      <c r="D961" s="678" t="s">
        <v>1978</v>
      </c>
      <c r="E961" s="700" t="s">
        <v>872</v>
      </c>
      <c r="F961" s="679">
        <v>2222</v>
      </c>
      <c r="G961" s="822" t="s">
        <v>1857</v>
      </c>
      <c r="H961" s="878"/>
      <c r="I961" s="878">
        <v>257</v>
      </c>
      <c r="J961" s="1494" t="s">
        <v>1134</v>
      </c>
      <c r="K961" s="879"/>
      <c r="L961" s="878"/>
      <c r="M961" s="878">
        <v>257</v>
      </c>
      <c r="N961" s="359"/>
      <c r="O961" s="4"/>
      <c r="P961" s="4"/>
      <c r="Q961" s="4"/>
      <c r="R961" s="4"/>
      <c r="S961" s="4"/>
      <c r="T961" s="4"/>
      <c r="U961" s="4"/>
      <c r="V961" s="4"/>
      <c r="W961" s="4"/>
      <c r="X961" s="4"/>
      <c r="Y961" s="4"/>
      <c r="Z961" s="4"/>
      <c r="AA961" s="4"/>
      <c r="AB961" s="4"/>
      <c r="AC961" s="4"/>
      <c r="AD961" s="4"/>
      <c r="AE961" s="4"/>
      <c r="AF961" s="4"/>
    </row>
    <row r="962" spans="1:32">
      <c r="A962" s="683" t="s">
        <v>709</v>
      </c>
      <c r="B962" s="720" t="s">
        <v>772</v>
      </c>
      <c r="C962" s="683" t="s">
        <v>320</v>
      </c>
      <c r="D962" s="719" t="s">
        <v>1978</v>
      </c>
      <c r="E962" s="720" t="s">
        <v>872</v>
      </c>
      <c r="F962" s="685">
        <v>2223</v>
      </c>
      <c r="G962" s="686" t="s">
        <v>154</v>
      </c>
      <c r="H962" s="689">
        <v>1500</v>
      </c>
      <c r="I962" s="689"/>
      <c r="J962" s="1494">
        <v>1139</v>
      </c>
      <c r="K962" s="690"/>
      <c r="L962" s="689">
        <v>1500</v>
      </c>
      <c r="M962" s="689"/>
      <c r="N962" s="376" t="s">
        <v>3734</v>
      </c>
      <c r="O962" s="187"/>
      <c r="P962" s="187"/>
      <c r="Q962" s="187"/>
      <c r="R962" s="187"/>
      <c r="S962" s="187"/>
      <c r="T962" s="187"/>
      <c r="U962" s="187"/>
      <c r="V962" s="187"/>
      <c r="W962" s="187"/>
      <c r="X962" s="187"/>
      <c r="Y962" s="187"/>
      <c r="Z962" s="187"/>
      <c r="AA962" s="187"/>
      <c r="AB962" s="187"/>
      <c r="AC962" s="187"/>
      <c r="AD962" s="187"/>
      <c r="AE962" s="187"/>
      <c r="AF962" s="187"/>
    </row>
    <row r="963" spans="1:32" ht="22.5" customHeight="1">
      <c r="A963" s="663" t="s">
        <v>709</v>
      </c>
      <c r="B963" s="700" t="s">
        <v>772</v>
      </c>
      <c r="C963" s="663" t="s">
        <v>320</v>
      </c>
      <c r="D963" s="678" t="s">
        <v>1978</v>
      </c>
      <c r="E963" s="700" t="s">
        <v>872</v>
      </c>
      <c r="F963" s="679">
        <v>2223</v>
      </c>
      <c r="G963" s="822" t="s">
        <v>1858</v>
      </c>
      <c r="H963" s="878"/>
      <c r="I963" s="878">
        <v>1500</v>
      </c>
      <c r="J963" s="1494" t="s">
        <v>1134</v>
      </c>
      <c r="K963" s="879"/>
      <c r="L963" s="878"/>
      <c r="M963" s="878">
        <v>1500</v>
      </c>
      <c r="N963" s="359" t="s">
        <v>1387</v>
      </c>
      <c r="O963" s="4"/>
      <c r="P963" s="4"/>
      <c r="Q963" s="4"/>
      <c r="R963" s="4"/>
      <c r="S963" s="4"/>
      <c r="T963" s="4"/>
      <c r="U963" s="4"/>
      <c r="V963" s="4"/>
      <c r="W963" s="4"/>
      <c r="X963" s="4"/>
      <c r="Y963" s="4"/>
      <c r="Z963" s="4"/>
      <c r="AA963" s="4"/>
      <c r="AB963" s="4"/>
      <c r="AC963" s="4"/>
      <c r="AD963" s="4"/>
      <c r="AE963" s="4"/>
      <c r="AF963" s="4"/>
    </row>
    <row r="964" spans="1:32" ht="20.399999999999999">
      <c r="A964" s="683" t="s">
        <v>709</v>
      </c>
      <c r="B964" s="720" t="s">
        <v>772</v>
      </c>
      <c r="C964" s="683" t="s">
        <v>320</v>
      </c>
      <c r="D964" s="719" t="s">
        <v>1978</v>
      </c>
      <c r="E964" s="720" t="s">
        <v>872</v>
      </c>
      <c r="F964" s="685">
        <v>2224</v>
      </c>
      <c r="G964" s="686" t="s">
        <v>1061</v>
      </c>
      <c r="H964" s="689">
        <v>150</v>
      </c>
      <c r="I964" s="689"/>
      <c r="J964" s="1494">
        <v>0</v>
      </c>
      <c r="K964" s="690"/>
      <c r="L964" s="689">
        <v>0</v>
      </c>
      <c r="M964" s="689"/>
      <c r="N964" s="359" t="s">
        <v>1388</v>
      </c>
      <c r="O964" s="187"/>
      <c r="P964" s="187"/>
      <c r="Q964" s="187"/>
      <c r="R964" s="187"/>
      <c r="S964" s="187"/>
      <c r="T964" s="187"/>
      <c r="U964" s="187"/>
      <c r="V964" s="187"/>
      <c r="W964" s="187"/>
      <c r="X964" s="187"/>
      <c r="Y964" s="187"/>
      <c r="Z964" s="187"/>
      <c r="AA964" s="187"/>
      <c r="AB964" s="187"/>
      <c r="AC964" s="187"/>
      <c r="AD964" s="187"/>
      <c r="AE964" s="187"/>
      <c r="AF964" s="187"/>
    </row>
    <row r="965" spans="1:32" ht="20.399999999999999">
      <c r="A965" s="663" t="s">
        <v>709</v>
      </c>
      <c r="B965" s="700" t="s">
        <v>772</v>
      </c>
      <c r="C965" s="663" t="s">
        <v>320</v>
      </c>
      <c r="D965" s="678" t="s">
        <v>1978</v>
      </c>
      <c r="E965" s="700" t="s">
        <v>872</v>
      </c>
      <c r="F965" s="679">
        <v>2224</v>
      </c>
      <c r="G965" s="822" t="s">
        <v>1310</v>
      </c>
      <c r="H965" s="878"/>
      <c r="I965" s="878">
        <v>150</v>
      </c>
      <c r="J965" s="1494" t="s">
        <v>1134</v>
      </c>
      <c r="K965" s="879"/>
      <c r="L965" s="878"/>
      <c r="M965" s="878"/>
      <c r="N965" s="359"/>
      <c r="O965" s="187"/>
      <c r="P965" s="187"/>
      <c r="Q965" s="187"/>
      <c r="R965" s="187"/>
      <c r="S965" s="187"/>
      <c r="T965" s="187"/>
      <c r="U965" s="187"/>
      <c r="V965" s="187"/>
      <c r="W965" s="187"/>
      <c r="X965" s="187"/>
      <c r="Y965" s="187"/>
      <c r="Z965" s="187"/>
      <c r="AA965" s="187"/>
      <c r="AB965" s="187"/>
      <c r="AC965" s="187"/>
      <c r="AD965" s="187"/>
      <c r="AE965" s="187"/>
      <c r="AF965" s="187"/>
    </row>
    <row r="966" spans="1:32">
      <c r="A966" s="683"/>
      <c r="B966" s="720" t="s">
        <v>772</v>
      </c>
      <c r="C966" s="683" t="s">
        <v>320</v>
      </c>
      <c r="D966" s="719" t="s">
        <v>1978</v>
      </c>
      <c r="E966" s="720" t="s">
        <v>872</v>
      </c>
      <c r="F966" s="685">
        <v>2233</v>
      </c>
      <c r="G966" s="686" t="s">
        <v>236</v>
      </c>
      <c r="H966" s="689">
        <v>400</v>
      </c>
      <c r="I966" s="689"/>
      <c r="J966" s="1494">
        <v>85</v>
      </c>
      <c r="K966" s="690"/>
      <c r="L966" s="689">
        <v>400</v>
      </c>
      <c r="M966" s="689"/>
      <c r="N966" s="359"/>
      <c r="O966" s="187"/>
      <c r="P966" s="187"/>
      <c r="Q966" s="187"/>
      <c r="R966" s="187"/>
      <c r="S966" s="187"/>
      <c r="T966" s="187"/>
      <c r="U966" s="187"/>
      <c r="V966" s="187"/>
      <c r="W966" s="187"/>
      <c r="X966" s="187"/>
      <c r="Y966" s="187"/>
      <c r="Z966" s="187"/>
      <c r="AA966" s="187"/>
      <c r="AB966" s="187"/>
      <c r="AC966" s="187"/>
      <c r="AD966" s="187"/>
      <c r="AE966" s="187"/>
      <c r="AF966" s="187"/>
    </row>
    <row r="967" spans="1:32" ht="51">
      <c r="A967" s="663"/>
      <c r="B967" s="700" t="s">
        <v>772</v>
      </c>
      <c r="C967" s="663" t="s">
        <v>320</v>
      </c>
      <c r="D967" s="678" t="s">
        <v>1978</v>
      </c>
      <c r="E967" s="700" t="s">
        <v>872</v>
      </c>
      <c r="F967" s="679">
        <v>2233</v>
      </c>
      <c r="G967" s="665" t="s">
        <v>3726</v>
      </c>
      <c r="H967" s="660"/>
      <c r="I967" s="660">
        <v>400</v>
      </c>
      <c r="J967" s="1494" t="s">
        <v>1134</v>
      </c>
      <c r="K967" s="661"/>
      <c r="L967" s="660"/>
      <c r="M967" s="660">
        <v>400</v>
      </c>
      <c r="N967" s="359"/>
      <c r="O967" s="187"/>
      <c r="P967" s="187"/>
      <c r="Q967" s="187"/>
      <c r="R967" s="187"/>
      <c r="S967" s="187"/>
      <c r="T967" s="187"/>
      <c r="U967" s="187"/>
      <c r="V967" s="187"/>
      <c r="W967" s="187"/>
      <c r="X967" s="187"/>
      <c r="Y967" s="187"/>
      <c r="Z967" s="187"/>
      <c r="AA967" s="187"/>
      <c r="AB967" s="187"/>
      <c r="AC967" s="187"/>
      <c r="AD967" s="187"/>
      <c r="AE967" s="187"/>
      <c r="AF967" s="187"/>
    </row>
    <row r="968" spans="1:32" ht="20.399999999999999">
      <c r="A968" s="683"/>
      <c r="B968" s="720" t="s">
        <v>772</v>
      </c>
      <c r="C968" s="683" t="s">
        <v>320</v>
      </c>
      <c r="D968" s="719" t="s">
        <v>1978</v>
      </c>
      <c r="E968" s="720" t="s">
        <v>872</v>
      </c>
      <c r="F968" s="685">
        <v>2234</v>
      </c>
      <c r="G968" s="686" t="s">
        <v>1885</v>
      </c>
      <c r="H968" s="689">
        <v>180</v>
      </c>
      <c r="I968" s="689"/>
      <c r="J968" s="1494">
        <v>0</v>
      </c>
      <c r="K968" s="690"/>
      <c r="L968" s="689">
        <v>200</v>
      </c>
      <c r="M968" s="689"/>
      <c r="N968" s="359"/>
      <c r="O968" s="187"/>
      <c r="P968" s="187"/>
      <c r="Q968" s="187"/>
      <c r="R968" s="187"/>
      <c r="S968" s="187"/>
      <c r="T968" s="187"/>
      <c r="U968" s="187"/>
      <c r="V968" s="187"/>
      <c r="W968" s="187"/>
      <c r="X968" s="187"/>
      <c r="Y968" s="187"/>
      <c r="Z968" s="187"/>
      <c r="AA968" s="187"/>
      <c r="AB968" s="187"/>
      <c r="AC968" s="187"/>
      <c r="AD968" s="187"/>
      <c r="AE968" s="187"/>
      <c r="AF968" s="187"/>
    </row>
    <row r="969" spans="1:32">
      <c r="A969" s="663"/>
      <c r="B969" s="700" t="s">
        <v>772</v>
      </c>
      <c r="C969" s="663" t="s">
        <v>320</v>
      </c>
      <c r="D969" s="678" t="s">
        <v>1978</v>
      </c>
      <c r="E969" s="700" t="s">
        <v>872</v>
      </c>
      <c r="F969" s="679">
        <v>2234</v>
      </c>
      <c r="G969" s="665" t="s">
        <v>4712</v>
      </c>
      <c r="H969" s="693"/>
      <c r="I969" s="693">
        <v>180</v>
      </c>
      <c r="J969" s="1494" t="s">
        <v>1134</v>
      </c>
      <c r="K969" s="692"/>
      <c r="L969" s="693"/>
      <c r="M969" s="660">
        <v>200</v>
      </c>
      <c r="N969" s="125" t="s">
        <v>3735</v>
      </c>
      <c r="O969" s="187"/>
      <c r="P969" s="187"/>
      <c r="Q969" s="187"/>
      <c r="R969" s="187"/>
      <c r="S969" s="187"/>
      <c r="T969" s="187"/>
      <c r="U969" s="187"/>
      <c r="V969" s="187"/>
      <c r="W969" s="187"/>
      <c r="X969" s="187"/>
      <c r="Y969" s="187"/>
      <c r="Z969" s="187"/>
      <c r="AA969" s="187"/>
      <c r="AB969" s="187"/>
      <c r="AC969" s="187"/>
      <c r="AD969" s="187"/>
      <c r="AE969" s="187"/>
      <c r="AF969" s="187"/>
    </row>
    <row r="970" spans="1:32">
      <c r="A970" s="683"/>
      <c r="B970" s="720" t="s">
        <v>772</v>
      </c>
      <c r="C970" s="683" t="s">
        <v>320</v>
      </c>
      <c r="D970" s="719" t="s">
        <v>1978</v>
      </c>
      <c r="E970" s="720" t="s">
        <v>872</v>
      </c>
      <c r="F970" s="685">
        <v>2235</v>
      </c>
      <c r="G970" s="686" t="s">
        <v>931</v>
      </c>
      <c r="H970" s="689">
        <v>200</v>
      </c>
      <c r="I970" s="689"/>
      <c r="J970" s="1494">
        <v>0</v>
      </c>
      <c r="K970" s="690"/>
      <c r="L970" s="689">
        <v>200</v>
      </c>
      <c r="M970" s="689"/>
      <c r="N970" s="176"/>
      <c r="O970" s="187"/>
      <c r="P970" s="187"/>
      <c r="Q970" s="187"/>
      <c r="R970" s="187"/>
      <c r="S970" s="187"/>
      <c r="T970" s="187"/>
      <c r="U970" s="187"/>
      <c r="V970" s="187"/>
      <c r="W970" s="187"/>
      <c r="X970" s="187"/>
      <c r="Y970" s="187"/>
      <c r="Z970" s="187"/>
      <c r="AA970" s="187"/>
      <c r="AB970" s="187"/>
      <c r="AC970" s="187"/>
      <c r="AD970" s="187"/>
      <c r="AE970" s="187"/>
      <c r="AF970" s="187"/>
    </row>
    <row r="971" spans="1:32" ht="20.399999999999999">
      <c r="A971" s="663"/>
      <c r="B971" s="700" t="s">
        <v>772</v>
      </c>
      <c r="C971" s="663" t="s">
        <v>320</v>
      </c>
      <c r="D971" s="678" t="s">
        <v>1978</v>
      </c>
      <c r="E971" s="700" t="s">
        <v>872</v>
      </c>
      <c r="F971" s="679">
        <v>2235</v>
      </c>
      <c r="G971" s="665" t="s">
        <v>3727</v>
      </c>
      <c r="H971" s="693"/>
      <c r="I971" s="693">
        <v>200</v>
      </c>
      <c r="J971" s="1494" t="s">
        <v>1134</v>
      </c>
      <c r="K971" s="692"/>
      <c r="L971" s="693"/>
      <c r="M971" s="693">
        <v>200</v>
      </c>
      <c r="N971" s="359" t="s">
        <v>3736</v>
      </c>
    </row>
    <row r="972" spans="1:32" ht="20.399999999999999">
      <c r="A972" s="683"/>
      <c r="B972" s="720" t="s">
        <v>772</v>
      </c>
      <c r="C972" s="683" t="s">
        <v>320</v>
      </c>
      <c r="D972" s="719" t="s">
        <v>1978</v>
      </c>
      <c r="E972" s="720" t="s">
        <v>872</v>
      </c>
      <c r="F972" s="685">
        <v>2236</v>
      </c>
      <c r="G972" s="686" t="s">
        <v>1219</v>
      </c>
      <c r="H972" s="689">
        <v>7</v>
      </c>
      <c r="I972" s="689"/>
      <c r="J972" s="1494">
        <v>6</v>
      </c>
      <c r="K972" s="690"/>
      <c r="L972" s="689">
        <v>7</v>
      </c>
      <c r="M972" s="689"/>
      <c r="N972" s="7"/>
    </row>
    <row r="973" spans="1:32" ht="30.6">
      <c r="A973" s="663"/>
      <c r="B973" s="700" t="s">
        <v>772</v>
      </c>
      <c r="C973" s="663" t="s">
        <v>322</v>
      </c>
      <c r="D973" s="678" t="s">
        <v>1978</v>
      </c>
      <c r="E973" s="700" t="s">
        <v>872</v>
      </c>
      <c r="F973" s="679">
        <v>2236</v>
      </c>
      <c r="G973" s="665" t="s">
        <v>1982</v>
      </c>
      <c r="H973" s="693"/>
      <c r="I973" s="693">
        <v>7</v>
      </c>
      <c r="J973" s="1494" t="s">
        <v>1134</v>
      </c>
      <c r="K973" s="692"/>
      <c r="L973" s="693"/>
      <c r="M973" s="693">
        <v>7</v>
      </c>
      <c r="N973" s="7" t="s">
        <v>3737</v>
      </c>
    </row>
    <row r="974" spans="1:32" ht="30.6">
      <c r="A974" s="683"/>
      <c r="B974" s="720" t="s">
        <v>772</v>
      </c>
      <c r="C974" s="683" t="s">
        <v>322</v>
      </c>
      <c r="D974" s="719" t="s">
        <v>1978</v>
      </c>
      <c r="E974" s="720" t="s">
        <v>872</v>
      </c>
      <c r="F974" s="685">
        <v>2239</v>
      </c>
      <c r="G974" s="686" t="s">
        <v>122</v>
      </c>
      <c r="H974" s="689">
        <v>2131</v>
      </c>
      <c r="I974" s="689"/>
      <c r="J974" s="1494">
        <v>1444</v>
      </c>
      <c r="K974" s="690"/>
      <c r="L974" s="689">
        <v>2021</v>
      </c>
      <c r="M974" s="689"/>
      <c r="N974" s="7"/>
    </row>
    <row r="975" spans="1:32" ht="20.399999999999999">
      <c r="A975" s="663"/>
      <c r="B975" s="700" t="s">
        <v>772</v>
      </c>
      <c r="C975" s="663" t="s">
        <v>322</v>
      </c>
      <c r="D975" s="678" t="s">
        <v>1978</v>
      </c>
      <c r="E975" s="700" t="s">
        <v>872</v>
      </c>
      <c r="F975" s="679">
        <v>2239</v>
      </c>
      <c r="G975" s="665" t="s">
        <v>1379</v>
      </c>
      <c r="H975" s="693"/>
      <c r="I975" s="693">
        <v>75</v>
      </c>
      <c r="J975" s="1494" t="s">
        <v>1134</v>
      </c>
      <c r="K975" s="692"/>
      <c r="L975" s="693"/>
      <c r="M975" s="693">
        <v>75</v>
      </c>
      <c r="N975" s="359"/>
    </row>
    <row r="976" spans="1:32">
      <c r="A976" s="663"/>
      <c r="B976" s="700" t="s">
        <v>772</v>
      </c>
      <c r="C976" s="663" t="s">
        <v>322</v>
      </c>
      <c r="D976" s="678" t="s">
        <v>1978</v>
      </c>
      <c r="E976" s="700" t="s">
        <v>872</v>
      </c>
      <c r="F976" s="679">
        <v>2239</v>
      </c>
      <c r="G976" s="665" t="s">
        <v>612</v>
      </c>
      <c r="H976" s="693"/>
      <c r="I976" s="693">
        <v>10</v>
      </c>
      <c r="J976" s="1494" t="s">
        <v>1134</v>
      </c>
      <c r="K976" s="692"/>
      <c r="L976" s="693"/>
      <c r="M976" s="693"/>
      <c r="N976" s="359" t="s">
        <v>3738</v>
      </c>
    </row>
    <row r="977" spans="1:14">
      <c r="A977" s="663"/>
      <c r="B977" s="700" t="s">
        <v>772</v>
      </c>
      <c r="C977" s="663" t="s">
        <v>322</v>
      </c>
      <c r="D977" s="678" t="s">
        <v>1978</v>
      </c>
      <c r="E977" s="700" t="s">
        <v>872</v>
      </c>
      <c r="F977" s="679">
        <v>2239</v>
      </c>
      <c r="G977" s="665" t="s">
        <v>167</v>
      </c>
      <c r="H977" s="693"/>
      <c r="I977" s="693">
        <v>100</v>
      </c>
      <c r="J977" s="1494" t="s">
        <v>1134</v>
      </c>
      <c r="K977" s="692"/>
      <c r="L977" s="693"/>
      <c r="M977" s="693"/>
      <c r="N977" s="359" t="s">
        <v>3739</v>
      </c>
    </row>
    <row r="978" spans="1:14" ht="51">
      <c r="A978" s="663"/>
      <c r="B978" s="700" t="s">
        <v>772</v>
      </c>
      <c r="C978" s="663" t="s">
        <v>322</v>
      </c>
      <c r="D978" s="678" t="s">
        <v>1978</v>
      </c>
      <c r="E978" s="700" t="s">
        <v>872</v>
      </c>
      <c r="F978" s="679">
        <v>2239</v>
      </c>
      <c r="G978" s="665" t="s">
        <v>3730</v>
      </c>
      <c r="H978" s="693"/>
      <c r="I978" s="693">
        <v>800</v>
      </c>
      <c r="J978" s="1494" t="s">
        <v>1134</v>
      </c>
      <c r="K978" s="692"/>
      <c r="L978" s="693"/>
      <c r="M978" s="693">
        <v>800</v>
      </c>
      <c r="N978" s="359"/>
    </row>
    <row r="979" spans="1:14" ht="20.399999999999999">
      <c r="A979" s="663"/>
      <c r="B979" s="700" t="s">
        <v>772</v>
      </c>
      <c r="C979" s="663" t="s">
        <v>322</v>
      </c>
      <c r="D979" s="678" t="s">
        <v>1978</v>
      </c>
      <c r="E979" s="700" t="s">
        <v>872</v>
      </c>
      <c r="F979" s="679">
        <v>2239</v>
      </c>
      <c r="G979" s="665" t="s">
        <v>2977</v>
      </c>
      <c r="H979" s="693"/>
      <c r="I979" s="693">
        <v>1146</v>
      </c>
      <c r="J979" s="1494" t="s">
        <v>1134</v>
      </c>
      <c r="K979" s="692"/>
      <c r="L979" s="693"/>
      <c r="M979" s="693">
        <v>1146</v>
      </c>
      <c r="N979" s="359"/>
    </row>
    <row r="980" spans="1:14" ht="30.6">
      <c r="A980" s="663"/>
      <c r="B980" s="700" t="s">
        <v>772</v>
      </c>
      <c r="C980" s="663" t="s">
        <v>322</v>
      </c>
      <c r="D980" s="678" t="s">
        <v>1978</v>
      </c>
      <c r="E980" s="700" t="s">
        <v>872</v>
      </c>
      <c r="F980" s="679">
        <v>2239</v>
      </c>
      <c r="G980" s="665" t="s">
        <v>1982</v>
      </c>
      <c r="H980" s="693"/>
      <c r="I980" s="693"/>
      <c r="J980" s="1494" t="s">
        <v>1134</v>
      </c>
      <c r="K980" s="692"/>
      <c r="L980" s="693"/>
      <c r="M980" s="693"/>
      <c r="N980" s="359"/>
    </row>
    <row r="981" spans="1:14" ht="20.399999999999999">
      <c r="A981" s="663"/>
      <c r="B981" s="700" t="s">
        <v>772</v>
      </c>
      <c r="C981" s="663" t="s">
        <v>322</v>
      </c>
      <c r="D981" s="678" t="s">
        <v>1978</v>
      </c>
      <c r="E981" s="700" t="s">
        <v>872</v>
      </c>
      <c r="F981" s="679">
        <v>2239</v>
      </c>
      <c r="G981" s="665" t="s">
        <v>2005</v>
      </c>
      <c r="H981" s="693"/>
      <c r="I981" s="693"/>
      <c r="J981" s="1494" t="s">
        <v>1134</v>
      </c>
      <c r="K981" s="692"/>
      <c r="L981" s="693"/>
      <c r="M981" s="693"/>
      <c r="N981" s="359"/>
    </row>
    <row r="982" spans="1:14" ht="20.399999999999999">
      <c r="A982" s="683"/>
      <c r="B982" s="720" t="s">
        <v>772</v>
      </c>
      <c r="C982" s="683" t="s">
        <v>320</v>
      </c>
      <c r="D982" s="719" t="s">
        <v>1978</v>
      </c>
      <c r="E982" s="720" t="s">
        <v>872</v>
      </c>
      <c r="F982" s="685">
        <v>2243</v>
      </c>
      <c r="G982" s="686" t="s">
        <v>198</v>
      </c>
      <c r="H982" s="689">
        <v>337</v>
      </c>
      <c r="I982" s="689"/>
      <c r="J982" s="1494">
        <v>327</v>
      </c>
      <c r="K982" s="690"/>
      <c r="L982" s="689">
        <v>250</v>
      </c>
      <c r="M982" s="689"/>
      <c r="N982" s="359"/>
    </row>
    <row r="983" spans="1:14" ht="71.400000000000006">
      <c r="A983" s="663"/>
      <c r="B983" s="700" t="s">
        <v>772</v>
      </c>
      <c r="C983" s="663" t="s">
        <v>320</v>
      </c>
      <c r="D983" s="678" t="s">
        <v>1978</v>
      </c>
      <c r="E983" s="700" t="s">
        <v>872</v>
      </c>
      <c r="F983" s="679">
        <v>2243</v>
      </c>
      <c r="G983" s="665" t="s">
        <v>825</v>
      </c>
      <c r="H983" s="693"/>
      <c r="I983" s="693">
        <v>250</v>
      </c>
      <c r="J983" s="1494" t="s">
        <v>1134</v>
      </c>
      <c r="K983" s="692"/>
      <c r="L983" s="693"/>
      <c r="M983" s="693">
        <v>250</v>
      </c>
      <c r="N983" s="3"/>
    </row>
    <row r="984" spans="1:14" ht="20.399999999999999">
      <c r="A984" s="1669"/>
      <c r="B984" s="700" t="s">
        <v>772</v>
      </c>
      <c r="C984" s="663" t="s">
        <v>320</v>
      </c>
      <c r="D984" s="678" t="s">
        <v>1978</v>
      </c>
      <c r="E984" s="700" t="s">
        <v>872</v>
      </c>
      <c r="F984" s="679">
        <v>2243</v>
      </c>
      <c r="G984" s="1671" t="s">
        <v>3722</v>
      </c>
      <c r="H984" s="1829"/>
      <c r="I984" s="1829">
        <v>87</v>
      </c>
      <c r="J984" s="1673"/>
      <c r="K984" s="1781"/>
      <c r="L984" s="1829"/>
      <c r="M984" s="1829"/>
      <c r="N984" s="359"/>
    </row>
    <row r="985" spans="1:14">
      <c r="A985" s="728" t="s">
        <v>709</v>
      </c>
      <c r="B985" s="735" t="s">
        <v>772</v>
      </c>
      <c r="C985" s="728" t="s">
        <v>327</v>
      </c>
      <c r="D985" s="734" t="s">
        <v>1978</v>
      </c>
      <c r="E985" s="735" t="s">
        <v>872</v>
      </c>
      <c r="F985" s="736">
        <v>2244</v>
      </c>
      <c r="G985" s="867" t="s">
        <v>160</v>
      </c>
      <c r="H985" s="689">
        <v>4233.32</v>
      </c>
      <c r="I985" s="689"/>
      <c r="J985" s="1494">
        <v>3813</v>
      </c>
      <c r="K985" s="690"/>
      <c r="L985" s="689">
        <v>4244.8</v>
      </c>
      <c r="M985" s="689"/>
      <c r="N985" s="359"/>
    </row>
    <row r="986" spans="1:14" ht="30.6">
      <c r="A986" s="663" t="s">
        <v>709</v>
      </c>
      <c r="B986" s="700" t="s">
        <v>772</v>
      </c>
      <c r="C986" s="663" t="s">
        <v>327</v>
      </c>
      <c r="D986" s="678" t="s">
        <v>1978</v>
      </c>
      <c r="E986" s="700" t="s">
        <v>872</v>
      </c>
      <c r="F986" s="679">
        <v>2244</v>
      </c>
      <c r="G986" s="665" t="s">
        <v>3731</v>
      </c>
      <c r="H986" s="880"/>
      <c r="I986" s="693">
        <v>33.319999999999993</v>
      </c>
      <c r="J986" s="1494" t="s">
        <v>1134</v>
      </c>
      <c r="K986" s="881"/>
      <c r="L986" s="880"/>
      <c r="M986" s="693">
        <v>44.8</v>
      </c>
      <c r="N986" s="359"/>
    </row>
    <row r="987" spans="1:14" ht="20.399999999999999">
      <c r="A987" s="1263"/>
      <c r="B987" s="700" t="s">
        <v>772</v>
      </c>
      <c r="C987" s="663" t="s">
        <v>327</v>
      </c>
      <c r="D987" s="678" t="s">
        <v>1978</v>
      </c>
      <c r="E987" s="700" t="s">
        <v>872</v>
      </c>
      <c r="F987" s="679">
        <v>2244</v>
      </c>
      <c r="G987" s="1264" t="s">
        <v>2978</v>
      </c>
      <c r="H987" s="1422"/>
      <c r="I987" s="1422">
        <v>4200</v>
      </c>
      <c r="J987" s="1494" t="s">
        <v>1134</v>
      </c>
      <c r="K987" s="1423"/>
      <c r="L987" s="1422"/>
      <c r="M987" s="1422">
        <v>4200</v>
      </c>
      <c r="N987" s="7"/>
    </row>
    <row r="988" spans="1:14">
      <c r="A988" s="728"/>
      <c r="B988" s="735" t="s">
        <v>772</v>
      </c>
      <c r="C988" s="728" t="s">
        <v>327</v>
      </c>
      <c r="D988" s="734" t="s">
        <v>1978</v>
      </c>
      <c r="E988" s="735" t="s">
        <v>872</v>
      </c>
      <c r="F988" s="736">
        <v>2247</v>
      </c>
      <c r="G988" s="867" t="s">
        <v>1181</v>
      </c>
      <c r="H988" s="689">
        <v>713</v>
      </c>
      <c r="I988" s="689"/>
      <c r="J988" s="1494">
        <v>450</v>
      </c>
      <c r="K988" s="690"/>
      <c r="L988" s="689">
        <v>800</v>
      </c>
      <c r="M988" s="689"/>
      <c r="N988" s="7"/>
    </row>
    <row r="989" spans="1:14">
      <c r="A989" s="663"/>
      <c r="B989" s="700" t="s">
        <v>772</v>
      </c>
      <c r="C989" s="663" t="s">
        <v>327</v>
      </c>
      <c r="D989" s="678" t="s">
        <v>1978</v>
      </c>
      <c r="E989" s="700" t="s">
        <v>872</v>
      </c>
      <c r="F989" s="679">
        <v>2247</v>
      </c>
      <c r="G989" s="665" t="s">
        <v>1369</v>
      </c>
      <c r="H989" s="880"/>
      <c r="I989" s="693">
        <v>800</v>
      </c>
      <c r="J989" s="1494" t="s">
        <v>1134</v>
      </c>
      <c r="K989" s="881"/>
      <c r="L989" s="880"/>
      <c r="M989" s="693">
        <v>800</v>
      </c>
      <c r="N989" s="7"/>
    </row>
    <row r="990" spans="1:14" ht="20.399999999999999">
      <c r="A990" s="1669"/>
      <c r="B990" s="700" t="s">
        <v>772</v>
      </c>
      <c r="C990" s="663" t="s">
        <v>327</v>
      </c>
      <c r="D990" s="678" t="s">
        <v>1978</v>
      </c>
      <c r="E990" s="700" t="s">
        <v>872</v>
      </c>
      <c r="F990" s="679">
        <v>2247</v>
      </c>
      <c r="G990" s="1671" t="s">
        <v>3722</v>
      </c>
      <c r="H990" s="1829"/>
      <c r="I990" s="1829">
        <v>-87</v>
      </c>
      <c r="J990" s="1673"/>
      <c r="K990" s="1781"/>
      <c r="L990" s="1829"/>
      <c r="M990" s="1829"/>
      <c r="N990" s="3"/>
    </row>
    <row r="991" spans="1:14">
      <c r="A991" s="728"/>
      <c r="B991" s="735" t="s">
        <v>772</v>
      </c>
      <c r="C991" s="728" t="s">
        <v>327</v>
      </c>
      <c r="D991" s="734" t="s">
        <v>1978</v>
      </c>
      <c r="E991" s="735" t="s">
        <v>872</v>
      </c>
      <c r="F991" s="736">
        <v>2250</v>
      </c>
      <c r="G991" s="867" t="s">
        <v>778</v>
      </c>
      <c r="H991" s="689">
        <v>490</v>
      </c>
      <c r="I991" s="689"/>
      <c r="J991" s="1494">
        <v>471.9</v>
      </c>
      <c r="K991" s="690"/>
      <c r="L991" s="689">
        <v>472</v>
      </c>
      <c r="M991" s="689"/>
      <c r="N991" s="359"/>
    </row>
    <row r="992" spans="1:14" ht="40.799999999999997">
      <c r="A992" s="663"/>
      <c r="B992" s="700" t="s">
        <v>772</v>
      </c>
      <c r="C992" s="663" t="s">
        <v>322</v>
      </c>
      <c r="D992" s="678" t="s">
        <v>1978</v>
      </c>
      <c r="E992" s="700" t="s">
        <v>872</v>
      </c>
      <c r="F992" s="679">
        <v>2250</v>
      </c>
      <c r="G992" s="665" t="s">
        <v>2085</v>
      </c>
      <c r="H992" s="880"/>
      <c r="I992" s="693">
        <v>490</v>
      </c>
      <c r="J992" s="1494" t="s">
        <v>1134</v>
      </c>
      <c r="K992" s="881"/>
      <c r="L992" s="880"/>
      <c r="M992" s="693">
        <v>472</v>
      </c>
      <c r="N992" s="359"/>
    </row>
    <row r="993" spans="1:14">
      <c r="A993" s="683"/>
      <c r="B993" s="720" t="s">
        <v>772</v>
      </c>
      <c r="C993" s="683" t="s">
        <v>320</v>
      </c>
      <c r="D993" s="734" t="s">
        <v>1978</v>
      </c>
      <c r="E993" s="735" t="s">
        <v>872</v>
      </c>
      <c r="F993" s="736">
        <v>2261</v>
      </c>
      <c r="G993" s="686" t="s">
        <v>199</v>
      </c>
      <c r="H993" s="689">
        <v>23738.987999999998</v>
      </c>
      <c r="I993" s="689"/>
      <c r="J993" s="1494">
        <v>20984</v>
      </c>
      <c r="K993" s="690"/>
      <c r="L993" s="689">
        <v>24900</v>
      </c>
      <c r="M993" s="689"/>
      <c r="N993" s="1508"/>
    </row>
    <row r="994" spans="1:14" ht="20.399999999999999">
      <c r="A994" s="663"/>
      <c r="B994" s="700" t="s">
        <v>772</v>
      </c>
      <c r="C994" s="663" t="s">
        <v>320</v>
      </c>
      <c r="D994" s="678" t="s">
        <v>1978</v>
      </c>
      <c r="E994" s="700" t="s">
        <v>872</v>
      </c>
      <c r="F994" s="679">
        <v>2261</v>
      </c>
      <c r="G994" s="665" t="s">
        <v>3732</v>
      </c>
      <c r="H994" s="693"/>
      <c r="I994" s="693">
        <v>13274.16</v>
      </c>
      <c r="J994" s="1494" t="s">
        <v>1134</v>
      </c>
      <c r="K994" s="692"/>
      <c r="L994" s="693"/>
      <c r="M994" s="3521">
        <v>24900</v>
      </c>
      <c r="N994" s="439"/>
    </row>
    <row r="995" spans="1:14" ht="20.399999999999999">
      <c r="A995" s="663"/>
      <c r="B995" s="700" t="s">
        <v>772</v>
      </c>
      <c r="C995" s="663" t="s">
        <v>320</v>
      </c>
      <c r="D995" s="678" t="s">
        <v>1978</v>
      </c>
      <c r="E995" s="700" t="s">
        <v>872</v>
      </c>
      <c r="F995" s="679">
        <v>2261</v>
      </c>
      <c r="G995" s="665" t="s">
        <v>3733</v>
      </c>
      <c r="H995" s="693"/>
      <c r="I995" s="693">
        <v>15810.828</v>
      </c>
      <c r="J995" s="1494" t="s">
        <v>1134</v>
      </c>
      <c r="K995" s="692"/>
      <c r="L995" s="693"/>
      <c r="M995" s="3522"/>
      <c r="N995" s="359"/>
    </row>
    <row r="996" spans="1:14" ht="20.399999999999999">
      <c r="A996" s="663"/>
      <c r="B996" s="700" t="s">
        <v>772</v>
      </c>
      <c r="C996" s="663" t="s">
        <v>320</v>
      </c>
      <c r="D996" s="678" t="s">
        <v>1978</v>
      </c>
      <c r="E996" s="700" t="s">
        <v>872</v>
      </c>
      <c r="F996" s="679">
        <v>2261</v>
      </c>
      <c r="G996" s="665" t="s">
        <v>2977</v>
      </c>
      <c r="H996" s="693"/>
      <c r="I996" s="693">
        <v>-1146</v>
      </c>
      <c r="J996" s="1494" t="s">
        <v>1134</v>
      </c>
      <c r="K996" s="692"/>
      <c r="L996" s="693"/>
      <c r="M996" s="693"/>
      <c r="N996" s="7"/>
    </row>
    <row r="997" spans="1:14" ht="20.399999999999999">
      <c r="A997" s="1263"/>
      <c r="B997" s="700" t="s">
        <v>772</v>
      </c>
      <c r="C997" s="663" t="s">
        <v>320</v>
      </c>
      <c r="D997" s="678" t="s">
        <v>1978</v>
      </c>
      <c r="E997" s="700" t="s">
        <v>872</v>
      </c>
      <c r="F997" s="679">
        <v>2261</v>
      </c>
      <c r="G997" s="1264" t="s">
        <v>2978</v>
      </c>
      <c r="H997" s="1422"/>
      <c r="I997" s="1422">
        <v>-4200</v>
      </c>
      <c r="J997" s="1494" t="s">
        <v>1134</v>
      </c>
      <c r="K997" s="1423"/>
      <c r="L997" s="1422"/>
      <c r="M997" s="1422"/>
      <c r="N997" s="7"/>
    </row>
    <row r="998" spans="1:14">
      <c r="A998" s="683"/>
      <c r="B998" s="720" t="s">
        <v>772</v>
      </c>
      <c r="C998" s="683" t="s">
        <v>322</v>
      </c>
      <c r="D998" s="719" t="s">
        <v>1978</v>
      </c>
      <c r="E998" s="720" t="s">
        <v>872</v>
      </c>
      <c r="F998" s="685">
        <v>2264</v>
      </c>
      <c r="G998" s="686" t="s">
        <v>125</v>
      </c>
      <c r="H998" s="689">
        <v>42</v>
      </c>
      <c r="I998" s="689"/>
      <c r="J998" s="1494">
        <v>34</v>
      </c>
      <c r="K998" s="690"/>
      <c r="L998" s="689">
        <v>42</v>
      </c>
      <c r="M998" s="689"/>
      <c r="N998" s="359"/>
    </row>
    <row r="999" spans="1:14">
      <c r="A999" s="663"/>
      <c r="B999" s="700" t="s">
        <v>772</v>
      </c>
      <c r="C999" s="663" t="s">
        <v>322</v>
      </c>
      <c r="D999" s="678" t="s">
        <v>1978</v>
      </c>
      <c r="E999" s="700" t="s">
        <v>872</v>
      </c>
      <c r="F999" s="679">
        <v>2264</v>
      </c>
      <c r="G999" s="665" t="s">
        <v>1380</v>
      </c>
      <c r="H999" s="693"/>
      <c r="I999" s="693">
        <v>42</v>
      </c>
      <c r="J999" s="1494" t="s">
        <v>1134</v>
      </c>
      <c r="K999" s="692"/>
      <c r="L999" s="693"/>
      <c r="M999" s="693">
        <v>42</v>
      </c>
      <c r="N999" s="359"/>
    </row>
    <row r="1000" spans="1:14">
      <c r="A1000" s="683"/>
      <c r="B1000" s="720" t="s">
        <v>772</v>
      </c>
      <c r="C1000" s="683" t="s">
        <v>322</v>
      </c>
      <c r="D1000" s="719" t="s">
        <v>1978</v>
      </c>
      <c r="E1000" s="720" t="s">
        <v>872</v>
      </c>
      <c r="F1000" s="685">
        <v>2311</v>
      </c>
      <c r="G1000" s="686" t="s">
        <v>129</v>
      </c>
      <c r="H1000" s="689">
        <v>598</v>
      </c>
      <c r="I1000" s="689"/>
      <c r="J1000" s="1494">
        <v>396</v>
      </c>
      <c r="K1000" s="690"/>
      <c r="L1000" s="689">
        <v>840</v>
      </c>
      <c r="M1000" s="687"/>
      <c r="N1000" s="201"/>
    </row>
    <row r="1001" spans="1:14" ht="20.399999999999999">
      <c r="A1001" s="663"/>
      <c r="B1001" s="700" t="s">
        <v>772</v>
      </c>
      <c r="C1001" s="663" t="s">
        <v>322</v>
      </c>
      <c r="D1001" s="678" t="s">
        <v>1978</v>
      </c>
      <c r="E1001" s="700" t="s">
        <v>872</v>
      </c>
      <c r="F1001" s="679">
        <v>2311</v>
      </c>
      <c r="G1001" s="665" t="s">
        <v>1382</v>
      </c>
      <c r="H1001" s="693"/>
      <c r="I1001" s="693">
        <v>250</v>
      </c>
      <c r="J1001" s="1494">
        <v>219</v>
      </c>
      <c r="K1001" s="692"/>
      <c r="L1001" s="691"/>
      <c r="M1001" s="693">
        <v>350</v>
      </c>
      <c r="N1001" s="201"/>
    </row>
    <row r="1002" spans="1:14">
      <c r="A1002" s="663"/>
      <c r="B1002" s="700" t="s">
        <v>772</v>
      </c>
      <c r="C1002" s="663" t="s">
        <v>322</v>
      </c>
      <c r="D1002" s="678" t="s">
        <v>1978</v>
      </c>
      <c r="E1002" s="700" t="s">
        <v>872</v>
      </c>
      <c r="F1002" s="679">
        <v>2311</v>
      </c>
      <c r="G1002" s="665" t="s">
        <v>1370</v>
      </c>
      <c r="H1002" s="693"/>
      <c r="I1002" s="693">
        <v>100</v>
      </c>
      <c r="J1002" s="3523">
        <v>177</v>
      </c>
      <c r="K1002" s="692"/>
      <c r="L1002" s="691"/>
      <c r="M1002" s="693">
        <v>200</v>
      </c>
      <c r="N1002" s="359"/>
    </row>
    <row r="1003" spans="1:14">
      <c r="A1003" s="663"/>
      <c r="B1003" s="700" t="s">
        <v>772</v>
      </c>
      <c r="C1003" s="663" t="s">
        <v>322</v>
      </c>
      <c r="D1003" s="678" t="s">
        <v>1978</v>
      </c>
      <c r="E1003" s="700" t="s">
        <v>872</v>
      </c>
      <c r="F1003" s="679">
        <v>2311</v>
      </c>
      <c r="G1003" s="665" t="s">
        <v>2086</v>
      </c>
      <c r="H1003" s="693"/>
      <c r="I1003" s="693">
        <v>208</v>
      </c>
      <c r="J1003" s="3524"/>
      <c r="K1003" s="692"/>
      <c r="L1003" s="691"/>
      <c r="M1003" s="693">
        <v>250</v>
      </c>
      <c r="N1003" s="359"/>
    </row>
    <row r="1004" spans="1:14" ht="13.8">
      <c r="A1004" s="663"/>
      <c r="B1004" s="700" t="s">
        <v>772</v>
      </c>
      <c r="C1004" s="663" t="s">
        <v>322</v>
      </c>
      <c r="D1004" s="678" t="s">
        <v>1978</v>
      </c>
      <c r="E1004" s="700" t="s">
        <v>872</v>
      </c>
      <c r="F1004" s="679">
        <v>2311</v>
      </c>
      <c r="G1004" s="665" t="s">
        <v>2087</v>
      </c>
      <c r="H1004" s="693"/>
      <c r="I1004" s="693">
        <v>40</v>
      </c>
      <c r="J1004" s="1494" t="s">
        <v>1134</v>
      </c>
      <c r="K1004" s="692"/>
      <c r="L1004" s="691"/>
      <c r="M1004" s="693">
        <v>40</v>
      </c>
      <c r="N1004" s="1844"/>
    </row>
    <row r="1005" spans="1:14">
      <c r="A1005" s="683"/>
      <c r="B1005" s="720" t="s">
        <v>772</v>
      </c>
      <c r="C1005" s="683" t="s">
        <v>320</v>
      </c>
      <c r="D1005" s="719" t="s">
        <v>1978</v>
      </c>
      <c r="E1005" s="720" t="s">
        <v>872</v>
      </c>
      <c r="F1005" s="685">
        <v>2312</v>
      </c>
      <c r="G1005" s="686" t="s">
        <v>200</v>
      </c>
      <c r="H1005" s="689">
        <v>750</v>
      </c>
      <c r="I1005" s="689"/>
      <c r="J1005" s="1494">
        <v>500.07</v>
      </c>
      <c r="K1005" s="690"/>
      <c r="L1005" s="689">
        <v>560</v>
      </c>
      <c r="M1005" s="689"/>
      <c r="N1005" s="7"/>
    </row>
    <row r="1006" spans="1:14">
      <c r="A1006" s="663"/>
      <c r="B1006" s="700" t="s">
        <v>772</v>
      </c>
      <c r="C1006" s="663" t="s">
        <v>320</v>
      </c>
      <c r="D1006" s="678" t="s">
        <v>1978</v>
      </c>
      <c r="E1006" s="700" t="s">
        <v>872</v>
      </c>
      <c r="F1006" s="679">
        <v>2312</v>
      </c>
      <c r="G1006" s="665" t="s">
        <v>2081</v>
      </c>
      <c r="H1006" s="693"/>
      <c r="I1006" s="693"/>
      <c r="J1006" s="1494" t="s">
        <v>1134</v>
      </c>
      <c r="K1006" s="692"/>
      <c r="L1006" s="693"/>
      <c r="M1006" s="693">
        <v>410</v>
      </c>
      <c r="N1006" s="359"/>
    </row>
    <row r="1007" spans="1:14">
      <c r="A1007" s="663"/>
      <c r="B1007" s="700" t="s">
        <v>772</v>
      </c>
      <c r="C1007" s="663" t="s">
        <v>320</v>
      </c>
      <c r="D1007" s="678" t="s">
        <v>1978</v>
      </c>
      <c r="E1007" s="700" t="s">
        <v>872</v>
      </c>
      <c r="F1007" s="679">
        <v>2312</v>
      </c>
      <c r="G1007" s="665" t="s">
        <v>1383</v>
      </c>
      <c r="H1007" s="693"/>
      <c r="I1007" s="693"/>
      <c r="J1007" s="1494" t="s">
        <v>1134</v>
      </c>
      <c r="K1007" s="692"/>
      <c r="L1007" s="693"/>
      <c r="M1007" s="693">
        <v>150</v>
      </c>
      <c r="N1007" s="1686"/>
    </row>
    <row r="1008" spans="1:14">
      <c r="A1008" s="663"/>
      <c r="B1008" s="700" t="s">
        <v>772</v>
      </c>
      <c r="C1008" s="663" t="s">
        <v>320</v>
      </c>
      <c r="D1008" s="678" t="s">
        <v>1978</v>
      </c>
      <c r="E1008" s="700" t="s">
        <v>872</v>
      </c>
      <c r="F1008" s="679">
        <v>2312</v>
      </c>
      <c r="G1008" s="665" t="s">
        <v>1371</v>
      </c>
      <c r="H1008" s="693"/>
      <c r="I1008" s="693">
        <v>500</v>
      </c>
      <c r="J1008" s="1494" t="s">
        <v>1134</v>
      </c>
      <c r="K1008" s="692"/>
      <c r="L1008" s="693"/>
      <c r="M1008" s="693"/>
      <c r="N1008" s="1686"/>
    </row>
    <row r="1009" spans="1:14">
      <c r="A1009" s="663"/>
      <c r="B1009" s="700" t="s">
        <v>772</v>
      </c>
      <c r="C1009" s="663" t="s">
        <v>320</v>
      </c>
      <c r="D1009" s="678" t="s">
        <v>1978</v>
      </c>
      <c r="E1009" s="700" t="s">
        <v>872</v>
      </c>
      <c r="F1009" s="679">
        <v>2312</v>
      </c>
      <c r="G1009" s="665" t="s">
        <v>2081</v>
      </c>
      <c r="H1009" s="693"/>
      <c r="I1009" s="693">
        <v>250</v>
      </c>
      <c r="J1009" s="1494" t="s">
        <v>1134</v>
      </c>
      <c r="K1009" s="692"/>
      <c r="L1009" s="693"/>
      <c r="M1009" s="693"/>
      <c r="N1009" s="1223"/>
    </row>
    <row r="1010" spans="1:14" ht="20.399999999999999">
      <c r="A1010" s="683"/>
      <c r="B1010" s="720" t="s">
        <v>772</v>
      </c>
      <c r="C1010" s="683" t="s">
        <v>320</v>
      </c>
      <c r="D1010" s="719" t="s">
        <v>1978</v>
      </c>
      <c r="E1010" s="720" t="s">
        <v>872</v>
      </c>
      <c r="F1010" s="685">
        <v>2314</v>
      </c>
      <c r="G1010" s="686" t="s">
        <v>1435</v>
      </c>
      <c r="H1010" s="689">
        <v>1550</v>
      </c>
      <c r="I1010" s="689"/>
      <c r="J1010" s="1494">
        <v>550</v>
      </c>
      <c r="K1010" s="690"/>
      <c r="L1010" s="689">
        <v>1750</v>
      </c>
      <c r="M1010" s="689"/>
      <c r="N1010" s="1223"/>
    </row>
    <row r="1011" spans="1:14" ht="20.399999999999999">
      <c r="A1011" s="663"/>
      <c r="B1011" s="700" t="s">
        <v>772</v>
      </c>
      <c r="C1011" s="663" t="s">
        <v>320</v>
      </c>
      <c r="D1011" s="678" t="s">
        <v>1978</v>
      </c>
      <c r="E1011" s="700" t="s">
        <v>872</v>
      </c>
      <c r="F1011" s="679">
        <v>2314</v>
      </c>
      <c r="G1011" s="665" t="s">
        <v>3740</v>
      </c>
      <c r="H1011" s="693"/>
      <c r="I1011" s="693">
        <v>200</v>
      </c>
      <c r="J1011" s="1494" t="s">
        <v>1134</v>
      </c>
      <c r="K1011" s="692"/>
      <c r="L1011" s="693"/>
      <c r="M1011" s="693">
        <v>100</v>
      </c>
      <c r="N1011" s="1223"/>
    </row>
    <row r="1012" spans="1:14" ht="20.399999999999999">
      <c r="A1012" s="663"/>
      <c r="B1012" s="700" t="s">
        <v>772</v>
      </c>
      <c r="C1012" s="663" t="s">
        <v>320</v>
      </c>
      <c r="D1012" s="678" t="s">
        <v>1978</v>
      </c>
      <c r="E1012" s="700" t="s">
        <v>872</v>
      </c>
      <c r="F1012" s="679">
        <v>2314</v>
      </c>
      <c r="G1012" s="665" t="s">
        <v>3741</v>
      </c>
      <c r="H1012" s="693"/>
      <c r="I1012" s="693">
        <v>100</v>
      </c>
      <c r="J1012" s="1494" t="s">
        <v>1134</v>
      </c>
      <c r="K1012" s="692"/>
      <c r="L1012" s="693"/>
      <c r="M1012" s="693">
        <v>150</v>
      </c>
      <c r="N1012" s="1223"/>
    </row>
    <row r="1013" spans="1:14" ht="20.399999999999999">
      <c r="A1013" s="663"/>
      <c r="B1013" s="700" t="s">
        <v>772</v>
      </c>
      <c r="C1013" s="663" t="s">
        <v>320</v>
      </c>
      <c r="D1013" s="678" t="s">
        <v>1978</v>
      </c>
      <c r="E1013" s="700" t="s">
        <v>872</v>
      </c>
      <c r="F1013" s="679">
        <v>2314</v>
      </c>
      <c r="G1013" s="665" t="s">
        <v>1372</v>
      </c>
      <c r="H1013" s="693"/>
      <c r="I1013" s="693">
        <v>400</v>
      </c>
      <c r="J1013" s="1494" t="s">
        <v>1134</v>
      </c>
      <c r="K1013" s="692"/>
      <c r="L1013" s="693"/>
      <c r="M1013" s="693">
        <v>400</v>
      </c>
      <c r="N1013" s="1065"/>
    </row>
    <row r="1014" spans="1:14" ht="20.399999999999999">
      <c r="A1014" s="663"/>
      <c r="B1014" s="700" t="s">
        <v>772</v>
      </c>
      <c r="C1014" s="663" t="s">
        <v>320</v>
      </c>
      <c r="D1014" s="678" t="s">
        <v>1978</v>
      </c>
      <c r="E1014" s="700" t="s">
        <v>872</v>
      </c>
      <c r="F1014" s="679">
        <v>2314</v>
      </c>
      <c r="G1014" s="665" t="s">
        <v>3742</v>
      </c>
      <c r="H1014" s="693"/>
      <c r="I1014" s="693">
        <v>100</v>
      </c>
      <c r="J1014" s="1494" t="s">
        <v>1134</v>
      </c>
      <c r="K1014" s="692"/>
      <c r="L1014" s="693"/>
      <c r="M1014" s="693">
        <v>300</v>
      </c>
      <c r="N1014" s="1223"/>
    </row>
    <row r="1015" spans="1:14" ht="30.6">
      <c r="A1015" s="663"/>
      <c r="B1015" s="700" t="s">
        <v>772</v>
      </c>
      <c r="C1015" s="663" t="s">
        <v>322</v>
      </c>
      <c r="D1015" s="678" t="s">
        <v>1978</v>
      </c>
      <c r="E1015" s="700" t="s">
        <v>872</v>
      </c>
      <c r="F1015" s="679">
        <v>2264</v>
      </c>
      <c r="G1015" s="665" t="s">
        <v>1381</v>
      </c>
      <c r="H1015" s="693"/>
      <c r="I1015" s="693">
        <v>400</v>
      </c>
      <c r="J1015" s="1494" t="s">
        <v>1134</v>
      </c>
      <c r="K1015" s="692"/>
      <c r="L1015" s="693"/>
      <c r="M1015" s="693">
        <v>400</v>
      </c>
      <c r="N1015" s="1223"/>
    </row>
    <row r="1016" spans="1:14" ht="20.399999999999999">
      <c r="A1016" s="663"/>
      <c r="B1016" s="700" t="s">
        <v>772</v>
      </c>
      <c r="C1016" s="663" t="s">
        <v>320</v>
      </c>
      <c r="D1016" s="678" t="s">
        <v>1978</v>
      </c>
      <c r="E1016" s="700" t="s">
        <v>872</v>
      </c>
      <c r="F1016" s="679">
        <v>2314</v>
      </c>
      <c r="G1016" s="665" t="s">
        <v>3743</v>
      </c>
      <c r="H1016" s="693"/>
      <c r="I1016" s="693">
        <v>350</v>
      </c>
      <c r="J1016" s="1494" t="s">
        <v>1134</v>
      </c>
      <c r="K1016" s="692"/>
      <c r="L1016" s="693"/>
      <c r="M1016" s="693">
        <v>400</v>
      </c>
      <c r="N1016" s="1223"/>
    </row>
    <row r="1017" spans="1:14">
      <c r="A1017" s="683"/>
      <c r="B1017" s="720" t="s">
        <v>772</v>
      </c>
      <c r="C1017" s="683" t="s">
        <v>320</v>
      </c>
      <c r="D1017" s="719" t="s">
        <v>1978</v>
      </c>
      <c r="E1017" s="720" t="s">
        <v>872</v>
      </c>
      <c r="F1017" s="685">
        <v>2350</v>
      </c>
      <c r="G1017" s="686" t="s">
        <v>1044</v>
      </c>
      <c r="H1017" s="689">
        <v>450</v>
      </c>
      <c r="I1017" s="689"/>
      <c r="J1017" s="1494">
        <v>319</v>
      </c>
      <c r="K1017" s="690"/>
      <c r="L1017" s="689">
        <v>600</v>
      </c>
      <c r="M1017" s="689"/>
      <c r="N1017" s="1223"/>
    </row>
    <row r="1018" spans="1:14">
      <c r="A1018" s="663"/>
      <c r="B1018" s="700" t="s">
        <v>772</v>
      </c>
      <c r="C1018" s="663" t="s">
        <v>320</v>
      </c>
      <c r="D1018" s="678" t="s">
        <v>1978</v>
      </c>
      <c r="E1018" s="700" t="s">
        <v>872</v>
      </c>
      <c r="F1018" s="679">
        <v>2350</v>
      </c>
      <c r="G1018" s="665" t="s">
        <v>2088</v>
      </c>
      <c r="H1018" s="693"/>
      <c r="I1018" s="693">
        <v>50</v>
      </c>
      <c r="J1018" s="1494" t="s">
        <v>1134</v>
      </c>
      <c r="K1018" s="692"/>
      <c r="L1018" s="693"/>
      <c r="M1018" s="693">
        <v>50</v>
      </c>
      <c r="N1018" s="1223"/>
    </row>
    <row r="1019" spans="1:14" ht="20.399999999999999">
      <c r="A1019" s="663"/>
      <c r="B1019" s="700" t="s">
        <v>772</v>
      </c>
      <c r="C1019" s="663" t="s">
        <v>320</v>
      </c>
      <c r="D1019" s="678" t="s">
        <v>1978</v>
      </c>
      <c r="E1019" s="700" t="s">
        <v>872</v>
      </c>
      <c r="F1019" s="679">
        <v>2350</v>
      </c>
      <c r="G1019" s="665" t="s">
        <v>3744</v>
      </c>
      <c r="H1019" s="693"/>
      <c r="I1019" s="693">
        <v>400</v>
      </c>
      <c r="J1019" s="1494" t="s">
        <v>1134</v>
      </c>
      <c r="K1019" s="692"/>
      <c r="L1019" s="693"/>
      <c r="M1019" s="693">
        <v>500</v>
      </c>
      <c r="N1019" s="1223"/>
    </row>
    <row r="1020" spans="1:14">
      <c r="A1020" s="663"/>
      <c r="B1020" s="700" t="s">
        <v>772</v>
      </c>
      <c r="C1020" s="663" t="s">
        <v>320</v>
      </c>
      <c r="D1020" s="678" t="s">
        <v>1978</v>
      </c>
      <c r="E1020" s="700" t="s">
        <v>872</v>
      </c>
      <c r="F1020" s="679">
        <v>2350</v>
      </c>
      <c r="G1020" s="665" t="s">
        <v>2082</v>
      </c>
      <c r="H1020" s="693"/>
      <c r="I1020" s="693"/>
      <c r="J1020" s="1494" t="s">
        <v>1134</v>
      </c>
      <c r="K1020" s="692"/>
      <c r="L1020" s="693"/>
      <c r="M1020" s="693">
        <v>50</v>
      </c>
      <c r="N1020" s="1686"/>
    </row>
    <row r="1021" spans="1:14">
      <c r="A1021" s="683"/>
      <c r="B1021" s="720" t="s">
        <v>772</v>
      </c>
      <c r="C1021" s="683" t="s">
        <v>322</v>
      </c>
      <c r="D1021" s="719" t="s">
        <v>1978</v>
      </c>
      <c r="E1021" s="720" t="s">
        <v>872</v>
      </c>
      <c r="F1021" s="685">
        <v>2400</v>
      </c>
      <c r="G1021" s="686" t="s">
        <v>201</v>
      </c>
      <c r="H1021" s="689">
        <v>2396</v>
      </c>
      <c r="I1021" s="689"/>
      <c r="J1021" s="1494">
        <v>1843</v>
      </c>
      <c r="K1021" s="690"/>
      <c r="L1021" s="689">
        <v>2000</v>
      </c>
      <c r="M1021" s="689"/>
      <c r="N1021" s="1223"/>
    </row>
    <row r="1022" spans="1:14" ht="40.799999999999997">
      <c r="A1022" s="663"/>
      <c r="B1022" s="700" t="s">
        <v>772</v>
      </c>
      <c r="C1022" s="663" t="s">
        <v>322</v>
      </c>
      <c r="D1022" s="678" t="s">
        <v>1978</v>
      </c>
      <c r="E1022" s="700" t="s">
        <v>872</v>
      </c>
      <c r="F1022" s="679">
        <v>2400</v>
      </c>
      <c r="G1022" s="665" t="s">
        <v>1373</v>
      </c>
      <c r="H1022" s="693"/>
      <c r="I1022" s="693">
        <v>2000</v>
      </c>
      <c r="J1022" s="1494" t="s">
        <v>1134</v>
      </c>
      <c r="K1022" s="692"/>
      <c r="L1022" s="693"/>
      <c r="M1022" s="693">
        <v>2000</v>
      </c>
      <c r="N1022" s="7"/>
    </row>
    <row r="1023" spans="1:14" ht="20.399999999999999">
      <c r="A1023" s="2168"/>
      <c r="B1023" s="700" t="s">
        <v>772</v>
      </c>
      <c r="C1023" s="663" t="s">
        <v>322</v>
      </c>
      <c r="D1023" s="678" t="s">
        <v>1978</v>
      </c>
      <c r="E1023" s="700" t="s">
        <v>872</v>
      </c>
      <c r="F1023" s="679">
        <v>2400</v>
      </c>
      <c r="G1023" s="2177" t="s">
        <v>4792</v>
      </c>
      <c r="H1023" s="2570"/>
      <c r="I1023" s="2570">
        <v>396</v>
      </c>
      <c r="J1023" s="2170"/>
      <c r="K1023" s="2571"/>
      <c r="L1023" s="2570"/>
      <c r="M1023" s="2570"/>
      <c r="N1023" s="7"/>
    </row>
    <row r="1024" spans="1:14">
      <c r="A1024" s="683"/>
      <c r="B1024" s="720" t="s">
        <v>774</v>
      </c>
      <c r="C1024" s="683" t="s">
        <v>324</v>
      </c>
      <c r="D1024" s="719" t="s">
        <v>1978</v>
      </c>
      <c r="E1024" s="720" t="s">
        <v>872</v>
      </c>
      <c r="F1024" s="685">
        <v>5233</v>
      </c>
      <c r="G1024" s="686" t="s">
        <v>202</v>
      </c>
      <c r="H1024" s="689">
        <v>5104</v>
      </c>
      <c r="I1024" s="689"/>
      <c r="J1024" s="1494">
        <v>4277</v>
      </c>
      <c r="K1024" s="690"/>
      <c r="L1024" s="689">
        <v>5500</v>
      </c>
      <c r="M1024" s="689"/>
      <c r="N1024" s="7"/>
    </row>
    <row r="1025" spans="1:14" ht="81.599999999999994">
      <c r="A1025" s="663"/>
      <c r="B1025" s="700" t="s">
        <v>774</v>
      </c>
      <c r="C1025" s="663" t="s">
        <v>324</v>
      </c>
      <c r="D1025" s="678" t="s">
        <v>1978</v>
      </c>
      <c r="E1025" s="700" t="s">
        <v>872</v>
      </c>
      <c r="F1025" s="679">
        <v>5233</v>
      </c>
      <c r="G1025" s="665" t="s">
        <v>2083</v>
      </c>
      <c r="H1025" s="693"/>
      <c r="I1025" s="693">
        <v>5500</v>
      </c>
      <c r="J1025" s="1494" t="s">
        <v>1134</v>
      </c>
      <c r="K1025" s="692"/>
      <c r="L1025" s="693"/>
      <c r="M1025" s="693">
        <v>5500</v>
      </c>
      <c r="N1025" s="7"/>
    </row>
    <row r="1026" spans="1:14" ht="20.399999999999999">
      <c r="A1026" s="2168"/>
      <c r="B1026" s="700" t="s">
        <v>774</v>
      </c>
      <c r="C1026" s="663" t="s">
        <v>324</v>
      </c>
      <c r="D1026" s="678" t="s">
        <v>1978</v>
      </c>
      <c r="E1026" s="700" t="s">
        <v>872</v>
      </c>
      <c r="F1026" s="679">
        <v>5233</v>
      </c>
      <c r="G1026" s="2177" t="s">
        <v>4792</v>
      </c>
      <c r="H1026" s="2570"/>
      <c r="I1026" s="2570">
        <v>-396</v>
      </c>
      <c r="J1026" s="2170"/>
      <c r="K1026" s="2571"/>
      <c r="L1026" s="2570"/>
      <c r="M1026" s="2570"/>
      <c r="N1026" s="7"/>
    </row>
    <row r="1027" spans="1:14">
      <c r="A1027" s="683"/>
      <c r="B1027" s="720" t="s">
        <v>774</v>
      </c>
      <c r="C1027" s="683" t="s">
        <v>324</v>
      </c>
      <c r="D1027" s="719" t="s">
        <v>1978</v>
      </c>
      <c r="E1027" s="720" t="s">
        <v>872</v>
      </c>
      <c r="F1027" s="685">
        <v>5238</v>
      </c>
      <c r="G1027" s="686" t="s">
        <v>139</v>
      </c>
      <c r="H1027" s="689">
        <v>5481</v>
      </c>
      <c r="I1027" s="689"/>
      <c r="J1027" s="1494">
        <v>5480.37</v>
      </c>
      <c r="K1027" s="690"/>
      <c r="L1027" s="689">
        <v>1600</v>
      </c>
      <c r="M1027" s="689"/>
      <c r="N1027" s="7"/>
    </row>
    <row r="1028" spans="1:14" ht="30.6">
      <c r="A1028" s="663"/>
      <c r="B1028" s="700" t="s">
        <v>774</v>
      </c>
      <c r="C1028" s="663" t="s">
        <v>324</v>
      </c>
      <c r="D1028" s="678" t="s">
        <v>1978</v>
      </c>
      <c r="E1028" s="700" t="s">
        <v>872</v>
      </c>
      <c r="F1028" s="679">
        <v>5238</v>
      </c>
      <c r="G1028" s="665" t="s">
        <v>3745</v>
      </c>
      <c r="H1028" s="693"/>
      <c r="I1028" s="693">
        <v>1600</v>
      </c>
      <c r="J1028" s="1494" t="s">
        <v>1134</v>
      </c>
      <c r="K1028" s="692"/>
      <c r="L1028" s="693"/>
      <c r="M1028" s="693">
        <v>1600</v>
      </c>
      <c r="N1028" s="7"/>
    </row>
    <row r="1029" spans="1:14" ht="20.399999999999999">
      <c r="A1029" s="1263"/>
      <c r="B1029" s="700" t="s">
        <v>774</v>
      </c>
      <c r="C1029" s="663" t="s">
        <v>324</v>
      </c>
      <c r="D1029" s="678" t="s">
        <v>1978</v>
      </c>
      <c r="E1029" s="700" t="s">
        <v>872</v>
      </c>
      <c r="F1029" s="679">
        <v>5238</v>
      </c>
      <c r="G1029" s="1264" t="s">
        <v>2988</v>
      </c>
      <c r="H1029" s="1422"/>
      <c r="I1029" s="1422">
        <v>3824</v>
      </c>
      <c r="J1029" s="1494" t="s">
        <v>1134</v>
      </c>
      <c r="K1029" s="1423"/>
      <c r="L1029" s="1422"/>
      <c r="M1029" s="693"/>
      <c r="N1029" s="7"/>
    </row>
    <row r="1030" spans="1:14" ht="20.399999999999999">
      <c r="A1030" s="1263"/>
      <c r="B1030" s="700" t="s">
        <v>774</v>
      </c>
      <c r="C1030" s="663" t="s">
        <v>324</v>
      </c>
      <c r="D1030" s="678" t="s">
        <v>1978</v>
      </c>
      <c r="E1030" s="700" t="s">
        <v>872</v>
      </c>
      <c r="F1030" s="679">
        <v>5238</v>
      </c>
      <c r="G1030" s="1129" t="s">
        <v>3085</v>
      </c>
      <c r="H1030" s="1443"/>
      <c r="I1030" s="1443">
        <v>57</v>
      </c>
      <c r="J1030" s="1494" t="s">
        <v>1134</v>
      </c>
      <c r="K1030" s="1437"/>
      <c r="L1030" s="1443"/>
      <c r="M1030" s="693"/>
      <c r="N1030" s="7"/>
    </row>
    <row r="1031" spans="1:14">
      <c r="A1031" s="683"/>
      <c r="B1031" s="720" t="s">
        <v>774</v>
      </c>
      <c r="C1031" s="683" t="s">
        <v>340</v>
      </c>
      <c r="D1031" s="719" t="s">
        <v>1978</v>
      </c>
      <c r="E1031" s="720" t="s">
        <v>872</v>
      </c>
      <c r="F1031" s="685">
        <v>5239</v>
      </c>
      <c r="G1031" s="686" t="s">
        <v>138</v>
      </c>
      <c r="H1031" s="689">
        <v>1119</v>
      </c>
      <c r="I1031" s="689"/>
      <c r="J1031" s="1494">
        <v>0</v>
      </c>
      <c r="K1031" s="690"/>
      <c r="L1031" s="689">
        <v>2500</v>
      </c>
      <c r="M1031" s="689"/>
      <c r="N1031" s="439"/>
    </row>
    <row r="1032" spans="1:14" ht="30.6">
      <c r="A1032" s="663"/>
      <c r="B1032" s="700" t="s">
        <v>774</v>
      </c>
      <c r="C1032" s="663" t="s">
        <v>340</v>
      </c>
      <c r="D1032" s="678" t="s">
        <v>1978</v>
      </c>
      <c r="E1032" s="700" t="s">
        <v>872</v>
      </c>
      <c r="F1032" s="679">
        <v>5239</v>
      </c>
      <c r="G1032" s="665" t="s">
        <v>3746</v>
      </c>
      <c r="H1032" s="693"/>
      <c r="I1032" s="693"/>
      <c r="J1032" s="1494" t="s">
        <v>1134</v>
      </c>
      <c r="K1032" s="692"/>
      <c r="L1032" s="693"/>
      <c r="M1032" s="693">
        <v>2500</v>
      </c>
      <c r="N1032" s="439"/>
    </row>
    <row r="1033" spans="1:14">
      <c r="A1033" s="1263"/>
      <c r="B1033" s="700" t="s">
        <v>774</v>
      </c>
      <c r="C1033" s="663" t="s">
        <v>340</v>
      </c>
      <c r="D1033" s="678" t="s">
        <v>1978</v>
      </c>
      <c r="E1033" s="700" t="s">
        <v>872</v>
      </c>
      <c r="F1033" s="679">
        <v>5239</v>
      </c>
      <c r="G1033" s="665" t="s">
        <v>2084</v>
      </c>
      <c r="H1033" s="693"/>
      <c r="I1033" s="693">
        <v>5000</v>
      </c>
      <c r="J1033" s="1494" t="s">
        <v>1134</v>
      </c>
      <c r="K1033" s="1423"/>
      <c r="L1033" s="1422"/>
      <c r="M1033" s="1422"/>
      <c r="N1033" s="439"/>
    </row>
    <row r="1034" spans="1:14" ht="20.399999999999999">
      <c r="A1034" s="603"/>
      <c r="B1034" s="700" t="s">
        <v>774</v>
      </c>
      <c r="C1034" s="663" t="s">
        <v>340</v>
      </c>
      <c r="D1034" s="678" t="s">
        <v>1978</v>
      </c>
      <c r="E1034" s="700" t="s">
        <v>872</v>
      </c>
      <c r="F1034" s="679">
        <v>5239</v>
      </c>
      <c r="G1034" s="1264" t="s">
        <v>2988</v>
      </c>
      <c r="H1034" s="1422"/>
      <c r="I1034" s="1422">
        <v>-3824</v>
      </c>
      <c r="J1034" s="1494" t="s">
        <v>1134</v>
      </c>
      <c r="K1034" s="1437"/>
      <c r="L1034" s="1443"/>
      <c r="M1034" s="1443"/>
      <c r="N1034" s="126"/>
    </row>
    <row r="1035" spans="1:14" ht="20.399999999999999">
      <c r="A1035" s="663"/>
      <c r="B1035" s="700" t="s">
        <v>774</v>
      </c>
      <c r="C1035" s="663" t="s">
        <v>340</v>
      </c>
      <c r="D1035" s="678" t="s">
        <v>1978</v>
      </c>
      <c r="E1035" s="700" t="s">
        <v>872</v>
      </c>
      <c r="F1035" s="679">
        <v>5239</v>
      </c>
      <c r="G1035" s="1129" t="s">
        <v>3085</v>
      </c>
      <c r="H1035" s="1443"/>
      <c r="I1035" s="1443">
        <v>-57</v>
      </c>
      <c r="J1035" s="1494" t="s">
        <v>1134</v>
      </c>
      <c r="K1035" s="692"/>
      <c r="L1035" s="693"/>
      <c r="M1035" s="693"/>
      <c r="N1035" s="7"/>
    </row>
    <row r="1036" spans="1:14">
      <c r="A1036" s="683"/>
      <c r="B1036" s="720" t="s">
        <v>772</v>
      </c>
      <c r="C1036" s="683" t="s">
        <v>322</v>
      </c>
      <c r="D1036" s="719" t="s">
        <v>1978</v>
      </c>
      <c r="E1036" s="720" t="s">
        <v>872</v>
      </c>
      <c r="F1036" s="685">
        <v>7210</v>
      </c>
      <c r="G1036" s="686" t="s">
        <v>203</v>
      </c>
      <c r="H1036" s="689">
        <v>590</v>
      </c>
      <c r="I1036" s="689"/>
      <c r="J1036" s="1494">
        <v>590</v>
      </c>
      <c r="K1036" s="690"/>
      <c r="L1036" s="689">
        <v>590</v>
      </c>
      <c r="M1036" s="689"/>
      <c r="N1036" s="7"/>
    </row>
    <row r="1037" spans="1:14" ht="30.6">
      <c r="A1037" s="663"/>
      <c r="B1037" s="700" t="s">
        <v>772</v>
      </c>
      <c r="C1037" s="663" t="s">
        <v>322</v>
      </c>
      <c r="D1037" s="678" t="s">
        <v>1978</v>
      </c>
      <c r="E1037" s="700" t="s">
        <v>872</v>
      </c>
      <c r="F1037" s="679">
        <v>7210</v>
      </c>
      <c r="G1037" s="665" t="s">
        <v>2590</v>
      </c>
      <c r="H1037" s="693"/>
      <c r="I1037" s="693">
        <v>590</v>
      </c>
      <c r="J1037" s="1494" t="s">
        <v>1134</v>
      </c>
      <c r="K1037" s="692"/>
      <c r="L1037" s="693"/>
      <c r="M1037" s="693">
        <v>590</v>
      </c>
      <c r="N1037" s="126"/>
    </row>
    <row r="1038" spans="1:14">
      <c r="A1038" s="683"/>
      <c r="B1038" s="720" t="s">
        <v>436</v>
      </c>
      <c r="C1038" s="683" t="s">
        <v>427</v>
      </c>
      <c r="D1038" s="719" t="s">
        <v>1978</v>
      </c>
      <c r="E1038" s="1415" t="s">
        <v>873</v>
      </c>
      <c r="F1038" s="1698">
        <v>1119</v>
      </c>
      <c r="G1038" s="1691" t="s">
        <v>109</v>
      </c>
      <c r="H1038" s="1692">
        <v>39671.520000000004</v>
      </c>
      <c r="I1038" s="1692"/>
      <c r="J1038" s="1684">
        <v>30169</v>
      </c>
      <c r="K1038" s="1694"/>
      <c r="L1038" s="1692">
        <v>42329.735999999997</v>
      </c>
      <c r="M1038" s="1692"/>
      <c r="N1038" s="7"/>
    </row>
    <row r="1039" spans="1:14">
      <c r="A1039" s="663"/>
      <c r="B1039" s="700" t="s">
        <v>436</v>
      </c>
      <c r="C1039" s="663" t="s">
        <v>427</v>
      </c>
      <c r="D1039" s="678" t="s">
        <v>1978</v>
      </c>
      <c r="E1039" s="1407" t="s">
        <v>873</v>
      </c>
      <c r="F1039" s="1413">
        <v>1119</v>
      </c>
      <c r="G1039" s="1803" t="s">
        <v>436</v>
      </c>
      <c r="H1039" s="1683"/>
      <c r="I1039" s="1683">
        <v>39671.520000000004</v>
      </c>
      <c r="J1039" s="1684" t="s">
        <v>1134</v>
      </c>
      <c r="K1039" s="1685"/>
      <c r="L1039" s="1683"/>
      <c r="M1039" s="1683">
        <v>42329.735999999997</v>
      </c>
      <c r="N1039" s="125" t="s">
        <v>3749</v>
      </c>
    </row>
    <row r="1040" spans="1:14">
      <c r="A1040" s="683"/>
      <c r="B1040" s="720" t="s">
        <v>436</v>
      </c>
      <c r="C1040" s="683" t="s">
        <v>427</v>
      </c>
      <c r="D1040" s="719" t="s">
        <v>1978</v>
      </c>
      <c r="E1040" s="1406" t="s">
        <v>873</v>
      </c>
      <c r="F1040" s="1698">
        <v>1147</v>
      </c>
      <c r="G1040" s="1691" t="s">
        <v>111</v>
      </c>
      <c r="H1040" s="1692">
        <v>2975.364</v>
      </c>
      <c r="I1040" s="1692"/>
      <c r="J1040" s="1684">
        <v>681</v>
      </c>
      <c r="K1040" s="1694"/>
      <c r="L1040" s="1692">
        <v>2498.3562999999999</v>
      </c>
      <c r="M1040" s="1692"/>
      <c r="N1040" s="7"/>
    </row>
    <row r="1041" spans="1:14">
      <c r="A1041" s="663"/>
      <c r="B1041" s="700" t="s">
        <v>436</v>
      </c>
      <c r="C1041" s="663" t="s">
        <v>427</v>
      </c>
      <c r="D1041" s="678" t="s">
        <v>1978</v>
      </c>
      <c r="E1041" s="1407" t="s">
        <v>873</v>
      </c>
      <c r="F1041" s="1413">
        <v>1147</v>
      </c>
      <c r="G1041" s="1803" t="s">
        <v>436</v>
      </c>
      <c r="H1041" s="1683"/>
      <c r="I1041" s="1683">
        <v>2975.364</v>
      </c>
      <c r="J1041" s="1684" t="s">
        <v>1134</v>
      </c>
      <c r="K1041" s="1685"/>
      <c r="L1041" s="1683"/>
      <c r="M1041" s="1683">
        <v>2498.3562999999999</v>
      </c>
      <c r="N1041" s="7"/>
    </row>
    <row r="1042" spans="1:14">
      <c r="A1042" s="683"/>
      <c r="B1042" s="720" t="s">
        <v>436</v>
      </c>
      <c r="C1042" s="683" t="s">
        <v>427</v>
      </c>
      <c r="D1042" s="719" t="s">
        <v>1978</v>
      </c>
      <c r="E1042" s="1406" t="s">
        <v>873</v>
      </c>
      <c r="F1042" s="1698">
        <v>1148</v>
      </c>
      <c r="G1042" s="1691" t="s">
        <v>112</v>
      </c>
      <c r="H1042" s="1692">
        <v>500</v>
      </c>
      <c r="I1042" s="1692"/>
      <c r="J1042" s="1684">
        <v>0</v>
      </c>
      <c r="K1042" s="1694"/>
      <c r="L1042" s="1692">
        <v>500</v>
      </c>
      <c r="M1042" s="1692"/>
      <c r="N1042" s="7"/>
    </row>
    <row r="1043" spans="1:14">
      <c r="A1043" s="663"/>
      <c r="B1043" s="700" t="s">
        <v>436</v>
      </c>
      <c r="C1043" s="663" t="s">
        <v>427</v>
      </c>
      <c r="D1043" s="678" t="s">
        <v>1978</v>
      </c>
      <c r="E1043" s="1407" t="s">
        <v>873</v>
      </c>
      <c r="F1043" s="1413">
        <v>1148</v>
      </c>
      <c r="G1043" s="1803" t="s">
        <v>436</v>
      </c>
      <c r="H1043" s="1683"/>
      <c r="I1043" s="1683">
        <v>500</v>
      </c>
      <c r="J1043" s="1684" t="s">
        <v>1134</v>
      </c>
      <c r="K1043" s="1685"/>
      <c r="L1043" s="1683"/>
      <c r="M1043" s="1683">
        <v>500</v>
      </c>
      <c r="N1043" s="7"/>
    </row>
    <row r="1044" spans="1:14">
      <c r="A1044" s="683"/>
      <c r="B1044" s="720" t="s">
        <v>772</v>
      </c>
      <c r="C1044" s="683" t="s">
        <v>322</v>
      </c>
      <c r="D1044" s="719" t="s">
        <v>1978</v>
      </c>
      <c r="E1044" s="1406" t="s">
        <v>873</v>
      </c>
      <c r="F1044" s="1698">
        <v>1150</v>
      </c>
      <c r="G1044" s="1691" t="s">
        <v>476</v>
      </c>
      <c r="H1044" s="1692">
        <v>1500</v>
      </c>
      <c r="I1044" s="1692"/>
      <c r="J1044" s="1684">
        <v>427</v>
      </c>
      <c r="K1044" s="1694"/>
      <c r="L1044" s="1692">
        <v>1500</v>
      </c>
      <c r="M1044" s="1692"/>
      <c r="N1044" s="1508"/>
    </row>
    <row r="1045" spans="1:14">
      <c r="A1045" s="663"/>
      <c r="B1045" s="700" t="s">
        <v>772</v>
      </c>
      <c r="C1045" s="663" t="s">
        <v>322</v>
      </c>
      <c r="D1045" s="678" t="s">
        <v>1978</v>
      </c>
      <c r="E1045" s="1407" t="s">
        <v>873</v>
      </c>
      <c r="F1045" s="1413">
        <v>1150</v>
      </c>
      <c r="G1045" s="1803" t="s">
        <v>2060</v>
      </c>
      <c r="H1045" s="1683"/>
      <c r="I1045" s="1683">
        <v>1000</v>
      </c>
      <c r="J1045" s="1684" t="s">
        <v>1134</v>
      </c>
      <c r="K1045" s="1685"/>
      <c r="L1045" s="1683"/>
      <c r="M1045" s="1683">
        <v>1000</v>
      </c>
      <c r="N1045" s="7"/>
    </row>
    <row r="1046" spans="1:14" ht="13.8">
      <c r="A1046" s="663"/>
      <c r="B1046" s="700" t="s">
        <v>772</v>
      </c>
      <c r="C1046" s="663" t="s">
        <v>322</v>
      </c>
      <c r="D1046" s="678" t="s">
        <v>1978</v>
      </c>
      <c r="E1046" s="1407" t="s">
        <v>873</v>
      </c>
      <c r="F1046" s="1413">
        <v>1150</v>
      </c>
      <c r="G1046" s="1803" t="s">
        <v>2061</v>
      </c>
      <c r="H1046" s="1683"/>
      <c r="I1046" s="1683">
        <v>500</v>
      </c>
      <c r="J1046" s="1684" t="s">
        <v>1134</v>
      </c>
      <c r="K1046" s="1685"/>
      <c r="L1046" s="1683"/>
      <c r="M1046" s="1683">
        <v>500</v>
      </c>
      <c r="N1046" s="213"/>
    </row>
    <row r="1047" spans="1:14">
      <c r="A1047" s="683"/>
      <c r="B1047" s="720" t="s">
        <v>436</v>
      </c>
      <c r="C1047" s="683" t="s">
        <v>427</v>
      </c>
      <c r="D1047" s="719" t="s">
        <v>1978</v>
      </c>
      <c r="E1047" s="1406" t="s">
        <v>873</v>
      </c>
      <c r="F1047" s="1698">
        <v>1170</v>
      </c>
      <c r="G1047" s="1691" t="s">
        <v>475</v>
      </c>
      <c r="H1047" s="1692">
        <v>45</v>
      </c>
      <c r="I1047" s="1692"/>
      <c r="J1047" s="1684">
        <v>45</v>
      </c>
      <c r="K1047" s="1694"/>
      <c r="L1047" s="1692">
        <v>45</v>
      </c>
      <c r="M1047" s="1692"/>
      <c r="N1047" s="7"/>
    </row>
    <row r="1048" spans="1:14" ht="13.8">
      <c r="A1048" s="663"/>
      <c r="B1048" s="700" t="s">
        <v>436</v>
      </c>
      <c r="C1048" s="663" t="s">
        <v>427</v>
      </c>
      <c r="D1048" s="678" t="s">
        <v>1978</v>
      </c>
      <c r="E1048" s="1407" t="s">
        <v>873</v>
      </c>
      <c r="F1048" s="1413">
        <v>1170</v>
      </c>
      <c r="G1048" s="1803" t="s">
        <v>1360</v>
      </c>
      <c r="H1048" s="1683"/>
      <c r="I1048" s="1683">
        <v>45</v>
      </c>
      <c r="J1048" s="1684" t="s">
        <v>1134</v>
      </c>
      <c r="K1048" s="1685"/>
      <c r="L1048" s="1683"/>
      <c r="M1048" s="1683">
        <v>45</v>
      </c>
      <c r="N1048" s="213"/>
    </row>
    <row r="1049" spans="1:14">
      <c r="A1049" s="683"/>
      <c r="B1049" s="720" t="s">
        <v>436</v>
      </c>
      <c r="C1049" s="683" t="s">
        <v>427</v>
      </c>
      <c r="D1049" s="719" t="s">
        <v>1978</v>
      </c>
      <c r="E1049" s="1406" t="s">
        <v>873</v>
      </c>
      <c r="F1049" s="1698">
        <v>1210</v>
      </c>
      <c r="G1049" s="1691" t="s">
        <v>113</v>
      </c>
      <c r="H1049" s="1692">
        <v>9927.8210217199994</v>
      </c>
      <c r="I1049" s="1692"/>
      <c r="J1049" s="1684">
        <v>7500</v>
      </c>
      <c r="K1049" s="1694"/>
      <c r="L1049" s="1692">
        <v>10553.5148534865</v>
      </c>
      <c r="M1049" s="1692"/>
      <c r="N1049" s="7"/>
    </row>
    <row r="1050" spans="1:14">
      <c r="A1050" s="663"/>
      <c r="B1050" s="700" t="s">
        <v>436</v>
      </c>
      <c r="C1050" s="663" t="s">
        <v>427</v>
      </c>
      <c r="D1050" s="678" t="s">
        <v>1978</v>
      </c>
      <c r="E1050" s="1407" t="s">
        <v>873</v>
      </c>
      <c r="F1050" s="1413">
        <v>1210</v>
      </c>
      <c r="G1050" s="1803" t="s">
        <v>436</v>
      </c>
      <c r="H1050" s="1683"/>
      <c r="I1050" s="1683">
        <v>9927.8210217199994</v>
      </c>
      <c r="J1050" s="1684" t="s">
        <v>1134</v>
      </c>
      <c r="K1050" s="1685"/>
      <c r="L1050" s="1683"/>
      <c r="M1050" s="1683">
        <v>10553.5148534865</v>
      </c>
      <c r="N1050" s="3"/>
    </row>
    <row r="1051" spans="1:14">
      <c r="A1051" s="683"/>
      <c r="B1051" s="720" t="s">
        <v>436</v>
      </c>
      <c r="C1051" s="683" t="s">
        <v>427</v>
      </c>
      <c r="D1051" s="719" t="s">
        <v>1978</v>
      </c>
      <c r="E1051" s="1406" t="s">
        <v>873</v>
      </c>
      <c r="F1051" s="1698">
        <v>1221</v>
      </c>
      <c r="G1051" s="1691" t="s">
        <v>114</v>
      </c>
      <c r="H1051" s="1692">
        <v>2175.49689588</v>
      </c>
      <c r="I1051" s="1692"/>
      <c r="J1051" s="1684">
        <v>1899.76</v>
      </c>
      <c r="K1051" s="1694"/>
      <c r="L1051" s="1692">
        <v>2319.1871501835003</v>
      </c>
      <c r="M1051" s="1692"/>
      <c r="N1051" s="7"/>
    </row>
    <row r="1052" spans="1:14">
      <c r="A1052" s="663"/>
      <c r="B1052" s="700" t="s">
        <v>436</v>
      </c>
      <c r="C1052" s="663" t="s">
        <v>427</v>
      </c>
      <c r="D1052" s="678" t="s">
        <v>1978</v>
      </c>
      <c r="E1052" s="1407" t="s">
        <v>873</v>
      </c>
      <c r="F1052" s="1413">
        <v>1221</v>
      </c>
      <c r="G1052" s="1803" t="s">
        <v>436</v>
      </c>
      <c r="H1052" s="1683"/>
      <c r="I1052" s="1683">
        <v>2175.49689588</v>
      </c>
      <c r="J1052" s="1684" t="s">
        <v>1134</v>
      </c>
      <c r="K1052" s="1685"/>
      <c r="L1052" s="1683"/>
      <c r="M1052" s="1683">
        <v>2319.1871501835003</v>
      </c>
      <c r="N1052" s="7"/>
    </row>
    <row r="1053" spans="1:14" ht="30.6">
      <c r="A1053" s="683"/>
      <c r="B1053" s="720" t="s">
        <v>436</v>
      </c>
      <c r="C1053" s="683" t="s">
        <v>427</v>
      </c>
      <c r="D1053" s="719" t="s">
        <v>1978</v>
      </c>
      <c r="E1053" s="720" t="s">
        <v>873</v>
      </c>
      <c r="F1053" s="685">
        <v>1228</v>
      </c>
      <c r="G1053" s="686" t="s">
        <v>151</v>
      </c>
      <c r="H1053" s="689">
        <v>300</v>
      </c>
      <c r="I1053" s="689"/>
      <c r="J1053" s="1494">
        <v>200</v>
      </c>
      <c r="K1053" s="690"/>
      <c r="L1053" s="689">
        <v>300</v>
      </c>
      <c r="M1053" s="689"/>
      <c r="N1053" s="7"/>
    </row>
    <row r="1054" spans="1:14" ht="20.399999999999999">
      <c r="A1054" s="663"/>
      <c r="B1054" s="700" t="s">
        <v>436</v>
      </c>
      <c r="C1054" s="663" t="s">
        <v>427</v>
      </c>
      <c r="D1054" s="678" t="s">
        <v>1978</v>
      </c>
      <c r="E1054" s="700" t="s">
        <v>873</v>
      </c>
      <c r="F1054" s="679">
        <v>1228</v>
      </c>
      <c r="G1054" s="608" t="s">
        <v>2723</v>
      </c>
      <c r="H1054" s="1130"/>
      <c r="I1054" s="1130">
        <v>300</v>
      </c>
      <c r="J1054" s="1494" t="s">
        <v>1134</v>
      </c>
      <c r="K1054" s="646"/>
      <c r="L1054" s="1130"/>
      <c r="M1054" s="1130">
        <v>300</v>
      </c>
      <c r="N1054" s="7"/>
    </row>
    <row r="1055" spans="1:14">
      <c r="A1055" s="663"/>
      <c r="B1055" s="700" t="s">
        <v>436</v>
      </c>
      <c r="C1055" s="663" t="s">
        <v>427</v>
      </c>
      <c r="D1055" s="678" t="s">
        <v>1978</v>
      </c>
      <c r="E1055" s="700" t="s">
        <v>873</v>
      </c>
      <c r="F1055" s="679">
        <v>1228</v>
      </c>
      <c r="G1055" s="608"/>
      <c r="H1055" s="1130"/>
      <c r="I1055" s="1130"/>
      <c r="J1055" s="1494" t="s">
        <v>1134</v>
      </c>
      <c r="K1055" s="646"/>
      <c r="L1055" s="1130"/>
      <c r="M1055" s="1130"/>
      <c r="N1055" s="7" t="s">
        <v>3756</v>
      </c>
    </row>
    <row r="1056" spans="1:14">
      <c r="A1056" s="683"/>
      <c r="B1056" s="720" t="s">
        <v>772</v>
      </c>
      <c r="C1056" s="683" t="s">
        <v>322</v>
      </c>
      <c r="D1056" s="719" t="s">
        <v>1978</v>
      </c>
      <c r="E1056" s="720" t="s">
        <v>873</v>
      </c>
      <c r="F1056" s="685">
        <v>2111</v>
      </c>
      <c r="G1056" s="686" t="s">
        <v>1190</v>
      </c>
      <c r="H1056" s="689">
        <v>32</v>
      </c>
      <c r="I1056" s="689"/>
      <c r="J1056" s="1494">
        <v>0</v>
      </c>
      <c r="K1056" s="690"/>
      <c r="L1056" s="689">
        <v>32</v>
      </c>
      <c r="M1056" s="689"/>
      <c r="N1056" s="7"/>
    </row>
    <row r="1057" spans="1:32" ht="11.4" customHeight="1">
      <c r="A1057" s="663"/>
      <c r="B1057" s="700" t="s">
        <v>772</v>
      </c>
      <c r="C1057" s="663" t="s">
        <v>322</v>
      </c>
      <c r="D1057" s="678" t="s">
        <v>1978</v>
      </c>
      <c r="E1057" s="700" t="s">
        <v>873</v>
      </c>
      <c r="F1057" s="679">
        <v>2111</v>
      </c>
      <c r="G1057" s="882" t="s">
        <v>1359</v>
      </c>
      <c r="H1057" s="693"/>
      <c r="I1057" s="693">
        <v>32</v>
      </c>
      <c r="J1057" s="1494" t="s">
        <v>1134</v>
      </c>
      <c r="K1057" s="692"/>
      <c r="L1057" s="693"/>
      <c r="M1057" s="693">
        <v>32</v>
      </c>
      <c r="N1057" s="7"/>
    </row>
    <row r="1058" spans="1:32" ht="20.399999999999999">
      <c r="A1058" s="683"/>
      <c r="B1058" s="720" t="s">
        <v>772</v>
      </c>
      <c r="C1058" s="683" t="s">
        <v>322</v>
      </c>
      <c r="D1058" s="719" t="s">
        <v>1978</v>
      </c>
      <c r="E1058" s="720" t="s">
        <v>873</v>
      </c>
      <c r="F1058" s="685">
        <v>2112</v>
      </c>
      <c r="G1058" s="686" t="s">
        <v>1043</v>
      </c>
      <c r="H1058" s="689">
        <v>50</v>
      </c>
      <c r="I1058" s="689"/>
      <c r="J1058" s="1494">
        <v>0</v>
      </c>
      <c r="K1058" s="690"/>
      <c r="L1058" s="689">
        <v>50</v>
      </c>
      <c r="M1058" s="689"/>
      <c r="N1058" s="16"/>
    </row>
    <row r="1059" spans="1:32">
      <c r="A1059" s="663"/>
      <c r="B1059" s="700" t="s">
        <v>772</v>
      </c>
      <c r="C1059" s="663" t="s">
        <v>322</v>
      </c>
      <c r="D1059" s="678" t="s">
        <v>1978</v>
      </c>
      <c r="E1059" s="700" t="s">
        <v>873</v>
      </c>
      <c r="F1059" s="679">
        <v>2112</v>
      </c>
      <c r="G1059" s="882" t="s">
        <v>5350</v>
      </c>
      <c r="H1059" s="693"/>
      <c r="I1059" s="693">
        <v>50</v>
      </c>
      <c r="J1059" s="1494" t="s">
        <v>1134</v>
      </c>
      <c r="K1059" s="692"/>
      <c r="L1059" s="693"/>
      <c r="M1059" s="693">
        <v>50</v>
      </c>
      <c r="N1059" s="16"/>
    </row>
    <row r="1060" spans="1:32" ht="11.4" customHeight="1">
      <c r="A1060" s="683"/>
      <c r="B1060" s="720" t="s">
        <v>772</v>
      </c>
      <c r="C1060" s="683" t="s">
        <v>322</v>
      </c>
      <c r="D1060" s="719" t="s">
        <v>1978</v>
      </c>
      <c r="E1060" s="720" t="s">
        <v>873</v>
      </c>
      <c r="F1060" s="685">
        <v>2210</v>
      </c>
      <c r="G1060" s="686" t="s">
        <v>572</v>
      </c>
      <c r="H1060" s="689">
        <v>300</v>
      </c>
      <c r="I1060" s="689"/>
      <c r="J1060" s="1494">
        <v>194</v>
      </c>
      <c r="K1060" s="690"/>
      <c r="L1060" s="689">
        <v>300</v>
      </c>
      <c r="M1060" s="689"/>
      <c r="N1060" s="7"/>
    </row>
    <row r="1061" spans="1:32">
      <c r="A1061" s="663"/>
      <c r="B1061" s="700" t="s">
        <v>772</v>
      </c>
      <c r="C1061" s="663" t="s">
        <v>322</v>
      </c>
      <c r="D1061" s="678" t="s">
        <v>1978</v>
      </c>
      <c r="E1061" s="700" t="s">
        <v>873</v>
      </c>
      <c r="F1061" s="679">
        <v>2210</v>
      </c>
      <c r="G1061" s="675" t="s">
        <v>915</v>
      </c>
      <c r="H1061" s="693"/>
      <c r="I1061" s="693"/>
      <c r="J1061" s="1494" t="s">
        <v>1134</v>
      </c>
      <c r="K1061" s="692"/>
      <c r="L1061" s="693"/>
      <c r="M1061" s="693"/>
      <c r="N1061" s="7" t="s">
        <v>2064</v>
      </c>
    </row>
    <row r="1062" spans="1:32" ht="20.399999999999999">
      <c r="A1062" s="663"/>
      <c r="B1062" s="700" t="s">
        <v>772</v>
      </c>
      <c r="C1062" s="663" t="s">
        <v>322</v>
      </c>
      <c r="D1062" s="678" t="s">
        <v>1978</v>
      </c>
      <c r="E1062" s="700" t="s">
        <v>873</v>
      </c>
      <c r="F1062" s="679">
        <v>2210</v>
      </c>
      <c r="G1062" s="882" t="s">
        <v>916</v>
      </c>
      <c r="H1062" s="693"/>
      <c r="I1062" s="693">
        <v>300</v>
      </c>
      <c r="J1062" s="1494" t="s">
        <v>1134</v>
      </c>
      <c r="K1062" s="692"/>
      <c r="L1062" s="693"/>
      <c r="M1062" s="693">
        <v>300</v>
      </c>
      <c r="N1062" s="7"/>
    </row>
    <row r="1063" spans="1:32" ht="20.399999999999999">
      <c r="A1063" s="683"/>
      <c r="B1063" s="720" t="s">
        <v>772</v>
      </c>
      <c r="C1063" s="683" t="s">
        <v>322</v>
      </c>
      <c r="D1063" s="719" t="s">
        <v>1978</v>
      </c>
      <c r="E1063" s="720" t="s">
        <v>873</v>
      </c>
      <c r="F1063" s="685">
        <v>2234</v>
      </c>
      <c r="G1063" s="686" t="s">
        <v>1993</v>
      </c>
      <c r="H1063" s="689">
        <v>100</v>
      </c>
      <c r="I1063" s="689"/>
      <c r="J1063" s="1494">
        <v>0</v>
      </c>
      <c r="K1063" s="690"/>
      <c r="L1063" s="689">
        <v>100</v>
      </c>
      <c r="M1063" s="689"/>
      <c r="N1063" s="16"/>
    </row>
    <row r="1064" spans="1:32">
      <c r="A1064" s="663"/>
      <c r="B1064" s="700" t="s">
        <v>772</v>
      </c>
      <c r="C1064" s="663" t="s">
        <v>322</v>
      </c>
      <c r="D1064" s="678" t="s">
        <v>1978</v>
      </c>
      <c r="E1064" s="700" t="s">
        <v>873</v>
      </c>
      <c r="F1064" s="679">
        <v>2234</v>
      </c>
      <c r="G1064" s="675" t="s">
        <v>2062</v>
      </c>
      <c r="H1064" s="693"/>
      <c r="I1064" s="693">
        <v>100</v>
      </c>
      <c r="J1064" s="1494" t="s">
        <v>1134</v>
      </c>
      <c r="K1064" s="692"/>
      <c r="L1064" s="693"/>
      <c r="M1064" s="693">
        <v>100</v>
      </c>
      <c r="N1064" s="263"/>
      <c r="O1064" s="7"/>
      <c r="P1064" s="7"/>
      <c r="Q1064" s="7"/>
      <c r="R1064" s="7"/>
      <c r="S1064" s="7"/>
      <c r="T1064" s="7"/>
      <c r="U1064" s="7"/>
      <c r="V1064" s="7"/>
      <c r="W1064" s="7"/>
      <c r="X1064" s="7"/>
      <c r="Y1064" s="7"/>
      <c r="Z1064" s="7"/>
      <c r="AA1064" s="7"/>
      <c r="AB1064" s="7"/>
      <c r="AC1064" s="7"/>
      <c r="AD1064" s="7"/>
      <c r="AE1064" s="7"/>
      <c r="AF1064" s="7"/>
    </row>
    <row r="1065" spans="1:32">
      <c r="A1065" s="683"/>
      <c r="B1065" s="720" t="s">
        <v>772</v>
      </c>
      <c r="C1065" s="683" t="s">
        <v>322</v>
      </c>
      <c r="D1065" s="719" t="s">
        <v>1978</v>
      </c>
      <c r="E1065" s="720" t="s">
        <v>873</v>
      </c>
      <c r="F1065" s="685">
        <v>2235</v>
      </c>
      <c r="G1065" s="686" t="s">
        <v>931</v>
      </c>
      <c r="H1065" s="689">
        <v>300</v>
      </c>
      <c r="I1065" s="689"/>
      <c r="J1065" s="1494">
        <v>42</v>
      </c>
      <c r="K1065" s="690"/>
      <c r="L1065" s="689">
        <v>300</v>
      </c>
      <c r="M1065" s="689"/>
      <c r="N1065" s="16"/>
      <c r="O1065" s="187"/>
      <c r="P1065" s="187"/>
      <c r="Q1065" s="187"/>
      <c r="R1065" s="187"/>
      <c r="S1065" s="187"/>
      <c r="T1065" s="187"/>
      <c r="U1065" s="187"/>
      <c r="V1065" s="187"/>
      <c r="W1065" s="187"/>
      <c r="X1065" s="187"/>
      <c r="Y1065" s="187"/>
      <c r="Z1065" s="187"/>
      <c r="AA1065" s="187"/>
      <c r="AB1065" s="187"/>
      <c r="AC1065" s="187"/>
      <c r="AD1065" s="187"/>
      <c r="AE1065" s="187"/>
      <c r="AF1065" s="187"/>
    </row>
    <row r="1066" spans="1:32">
      <c r="A1066" s="663"/>
      <c r="B1066" s="700" t="s">
        <v>772</v>
      </c>
      <c r="C1066" s="663" t="s">
        <v>322</v>
      </c>
      <c r="D1066" s="678" t="s">
        <v>1978</v>
      </c>
      <c r="E1066" s="700" t="s">
        <v>873</v>
      </c>
      <c r="F1066" s="679">
        <v>2235</v>
      </c>
      <c r="G1066" s="675" t="s">
        <v>1662</v>
      </c>
      <c r="H1066" s="693"/>
      <c r="I1066" s="693">
        <v>300</v>
      </c>
      <c r="J1066" s="1494" t="s">
        <v>1134</v>
      </c>
      <c r="K1066" s="692"/>
      <c r="L1066" s="693"/>
      <c r="M1066" s="693">
        <v>300</v>
      </c>
      <c r="N1066" s="7"/>
      <c r="O1066" s="7"/>
      <c r="P1066" s="7"/>
      <c r="Q1066" s="7"/>
      <c r="R1066" s="7"/>
      <c r="S1066" s="7"/>
      <c r="T1066" s="7"/>
      <c r="U1066" s="7"/>
      <c r="V1066" s="7"/>
      <c r="W1066" s="7"/>
      <c r="X1066" s="7"/>
      <c r="Y1066" s="7"/>
      <c r="Z1066" s="7"/>
      <c r="AA1066" s="7"/>
      <c r="AB1066" s="7"/>
      <c r="AC1066" s="7"/>
      <c r="AD1066" s="7"/>
      <c r="AE1066" s="7"/>
      <c r="AF1066" s="7"/>
    </row>
    <row r="1067" spans="1:32">
      <c r="A1067" s="663"/>
      <c r="B1067" s="700" t="s">
        <v>772</v>
      </c>
      <c r="C1067" s="663" t="s">
        <v>322</v>
      </c>
      <c r="D1067" s="678" t="s">
        <v>1978</v>
      </c>
      <c r="E1067" s="700" t="s">
        <v>873</v>
      </c>
      <c r="F1067" s="679">
        <v>2235</v>
      </c>
      <c r="G1067" s="883"/>
      <c r="H1067" s="693"/>
      <c r="I1067" s="884"/>
      <c r="J1067" s="1494" t="s">
        <v>1134</v>
      </c>
      <c r="K1067" s="692"/>
      <c r="L1067" s="693"/>
      <c r="M1067" s="693"/>
      <c r="N1067" s="7"/>
    </row>
    <row r="1068" spans="1:32" ht="30.6">
      <c r="A1068" s="683"/>
      <c r="B1068" s="720" t="s">
        <v>772</v>
      </c>
      <c r="C1068" s="683" t="s">
        <v>322</v>
      </c>
      <c r="D1068" s="719" t="s">
        <v>1978</v>
      </c>
      <c r="E1068" s="720" t="s">
        <v>873</v>
      </c>
      <c r="F1068" s="685">
        <v>2239</v>
      </c>
      <c r="G1068" s="686" t="s">
        <v>122</v>
      </c>
      <c r="H1068" s="689">
        <v>13</v>
      </c>
      <c r="I1068" s="689"/>
      <c r="J1068" s="1494">
        <v>0</v>
      </c>
      <c r="K1068" s="690"/>
      <c r="L1068" s="689">
        <v>400</v>
      </c>
      <c r="M1068" s="689"/>
      <c r="N1068" s="1240"/>
      <c r="O1068" s="7"/>
      <c r="P1068" s="7"/>
      <c r="Q1068" s="7"/>
      <c r="R1068" s="7"/>
      <c r="S1068" s="7"/>
      <c r="T1068" s="7"/>
      <c r="U1068" s="7"/>
      <c r="V1068" s="7"/>
      <c r="W1068" s="7"/>
      <c r="X1068" s="7"/>
      <c r="Y1068" s="7"/>
      <c r="Z1068" s="7"/>
      <c r="AA1068" s="7"/>
      <c r="AB1068" s="7"/>
      <c r="AC1068" s="7"/>
      <c r="AD1068" s="7"/>
      <c r="AE1068" s="7"/>
      <c r="AF1068" s="7"/>
    </row>
    <row r="1069" spans="1:32">
      <c r="A1069" s="663"/>
      <c r="B1069" s="700" t="s">
        <v>772</v>
      </c>
      <c r="C1069" s="663" t="s">
        <v>322</v>
      </c>
      <c r="D1069" s="678" t="s">
        <v>1978</v>
      </c>
      <c r="E1069" s="700" t="s">
        <v>873</v>
      </c>
      <c r="F1069" s="679">
        <v>2239</v>
      </c>
      <c r="G1069" s="675" t="s">
        <v>917</v>
      </c>
      <c r="H1069" s="693"/>
      <c r="I1069" s="693">
        <v>400</v>
      </c>
      <c r="J1069" s="1494" t="s">
        <v>1134</v>
      </c>
      <c r="K1069" s="692"/>
      <c r="L1069" s="693"/>
      <c r="M1069" s="693">
        <v>400</v>
      </c>
      <c r="N1069" s="7"/>
    </row>
    <row r="1070" spans="1:32" ht="20.399999999999999">
      <c r="A1070" s="663"/>
      <c r="B1070" s="700" t="s">
        <v>772</v>
      </c>
      <c r="C1070" s="663" t="s">
        <v>322</v>
      </c>
      <c r="D1070" s="678" t="s">
        <v>1978</v>
      </c>
      <c r="E1070" s="700" t="s">
        <v>873</v>
      </c>
      <c r="F1070" s="679">
        <v>2239</v>
      </c>
      <c r="G1070" s="822" t="s">
        <v>1853</v>
      </c>
      <c r="H1070" s="693"/>
      <c r="I1070" s="693">
        <v>472</v>
      </c>
      <c r="J1070" s="1494" t="s">
        <v>1134</v>
      </c>
      <c r="K1070" s="692"/>
      <c r="L1070" s="693"/>
      <c r="M1070" s="1845">
        <v>0</v>
      </c>
      <c r="N1070" s="7"/>
      <c r="O1070" s="7"/>
      <c r="P1070" s="7"/>
      <c r="Q1070" s="7"/>
      <c r="R1070" s="7"/>
      <c r="S1070" s="7"/>
      <c r="T1070" s="7"/>
      <c r="U1070" s="7"/>
      <c r="V1070" s="7"/>
      <c r="W1070" s="7"/>
      <c r="X1070" s="7"/>
      <c r="Y1070" s="7"/>
      <c r="Z1070" s="7"/>
      <c r="AA1070" s="7"/>
      <c r="AB1070" s="7"/>
      <c r="AC1070" s="7"/>
      <c r="AD1070" s="7"/>
      <c r="AE1070" s="7"/>
      <c r="AF1070" s="7"/>
    </row>
    <row r="1071" spans="1:32" ht="20.399999999999999">
      <c r="A1071" s="663"/>
      <c r="B1071" s="700" t="s">
        <v>772</v>
      </c>
      <c r="C1071" s="663" t="s">
        <v>322</v>
      </c>
      <c r="D1071" s="678" t="s">
        <v>1978</v>
      </c>
      <c r="E1071" s="700" t="s">
        <v>873</v>
      </c>
      <c r="F1071" s="679">
        <v>2239</v>
      </c>
      <c r="G1071" s="675" t="s">
        <v>3747</v>
      </c>
      <c r="H1071" s="693"/>
      <c r="I1071" s="693">
        <v>-859</v>
      </c>
      <c r="J1071" s="1494" t="s">
        <v>1134</v>
      </c>
      <c r="K1071" s="692"/>
      <c r="L1071" s="693"/>
      <c r="M1071" s="693"/>
      <c r="N1071" s="7" t="s">
        <v>3751</v>
      </c>
    </row>
    <row r="1072" spans="1:32">
      <c r="A1072" s="728"/>
      <c r="B1072" s="735" t="s">
        <v>772</v>
      </c>
      <c r="C1072" s="728" t="s">
        <v>327</v>
      </c>
      <c r="D1072" s="719" t="s">
        <v>1978</v>
      </c>
      <c r="E1072" s="735" t="s">
        <v>873</v>
      </c>
      <c r="F1072" s="736">
        <v>2244</v>
      </c>
      <c r="G1072" s="867" t="s">
        <v>330</v>
      </c>
      <c r="H1072" s="689">
        <v>600</v>
      </c>
      <c r="I1072" s="689"/>
      <c r="J1072" s="1494">
        <v>332</v>
      </c>
      <c r="K1072" s="690"/>
      <c r="L1072" s="689">
        <v>600</v>
      </c>
      <c r="M1072" s="689"/>
      <c r="N1072" s="7" t="s">
        <v>3752</v>
      </c>
    </row>
    <row r="1073" spans="1:32">
      <c r="A1073" s="663"/>
      <c r="B1073" s="700" t="s">
        <v>772</v>
      </c>
      <c r="C1073" s="663" t="s">
        <v>327</v>
      </c>
      <c r="D1073" s="678" t="s">
        <v>1978</v>
      </c>
      <c r="E1073" s="700" t="s">
        <v>873</v>
      </c>
      <c r="F1073" s="679">
        <v>2244</v>
      </c>
      <c r="G1073" s="665" t="s">
        <v>926</v>
      </c>
      <c r="H1073" s="880"/>
      <c r="I1073" s="693">
        <v>600</v>
      </c>
      <c r="J1073" s="1494" t="s">
        <v>1134</v>
      </c>
      <c r="K1073" s="881"/>
      <c r="L1073" s="880"/>
      <c r="M1073" s="693">
        <v>600</v>
      </c>
      <c r="N1073" s="7"/>
    </row>
    <row r="1074" spans="1:32" ht="11.4" customHeight="1">
      <c r="A1074" s="663"/>
      <c r="B1074" s="700" t="s">
        <v>772</v>
      </c>
      <c r="C1074" s="663" t="s">
        <v>327</v>
      </c>
      <c r="D1074" s="678" t="s">
        <v>1978</v>
      </c>
      <c r="E1074" s="700" t="s">
        <v>873</v>
      </c>
      <c r="F1074" s="679">
        <v>2244</v>
      </c>
      <c r="G1074" s="665"/>
      <c r="H1074" s="880"/>
      <c r="I1074" s="693"/>
      <c r="J1074" s="1494" t="s">
        <v>1134</v>
      </c>
      <c r="K1074" s="881"/>
      <c r="L1074" s="880"/>
      <c r="M1074" s="693"/>
      <c r="N1074" s="7"/>
    </row>
    <row r="1075" spans="1:32">
      <c r="A1075" s="683"/>
      <c r="B1075" s="720" t="s">
        <v>772</v>
      </c>
      <c r="C1075" s="683" t="s">
        <v>320</v>
      </c>
      <c r="D1075" s="719" t="s">
        <v>1978</v>
      </c>
      <c r="E1075" s="720" t="s">
        <v>873</v>
      </c>
      <c r="F1075" s="685">
        <v>2247</v>
      </c>
      <c r="G1075" s="686" t="s">
        <v>1181</v>
      </c>
      <c r="H1075" s="689">
        <v>600</v>
      </c>
      <c r="I1075" s="689"/>
      <c r="J1075" s="1494">
        <v>450</v>
      </c>
      <c r="K1075" s="690"/>
      <c r="L1075" s="689">
        <v>600</v>
      </c>
      <c r="M1075" s="689"/>
      <c r="N1075" s="7"/>
    </row>
    <row r="1076" spans="1:32">
      <c r="A1076" s="663"/>
      <c r="B1076" s="700" t="s">
        <v>772</v>
      </c>
      <c r="C1076" s="663" t="s">
        <v>320</v>
      </c>
      <c r="D1076" s="678" t="s">
        <v>1978</v>
      </c>
      <c r="E1076" s="700" t="s">
        <v>873</v>
      </c>
      <c r="F1076" s="679">
        <v>2247</v>
      </c>
      <c r="G1076" s="665" t="s">
        <v>1361</v>
      </c>
      <c r="H1076" s="693"/>
      <c r="I1076" s="693">
        <v>600</v>
      </c>
      <c r="J1076" s="1494" t="s">
        <v>1134</v>
      </c>
      <c r="K1076" s="692"/>
      <c r="L1076" s="693"/>
      <c r="M1076" s="693">
        <v>600</v>
      </c>
      <c r="N1076" s="7" t="s">
        <v>3754</v>
      </c>
    </row>
    <row r="1077" spans="1:32" ht="11.4" customHeight="1">
      <c r="A1077" s="683"/>
      <c r="B1077" s="720" t="s">
        <v>772</v>
      </c>
      <c r="C1077" s="683" t="s">
        <v>320</v>
      </c>
      <c r="D1077" s="719" t="s">
        <v>1978</v>
      </c>
      <c r="E1077" s="735" t="s">
        <v>873</v>
      </c>
      <c r="F1077" s="736">
        <v>2250</v>
      </c>
      <c r="G1077" s="686" t="s">
        <v>735</v>
      </c>
      <c r="H1077" s="689">
        <v>472</v>
      </c>
      <c r="I1077" s="689"/>
      <c r="J1077" s="1494">
        <v>471.9</v>
      </c>
      <c r="K1077" s="690"/>
      <c r="L1077" s="689">
        <v>472</v>
      </c>
      <c r="M1077" s="689"/>
      <c r="N1077" s="7"/>
    </row>
    <row r="1078" spans="1:32" ht="20.399999999999999">
      <c r="A1078" s="663"/>
      <c r="B1078" s="700" t="s">
        <v>772</v>
      </c>
      <c r="C1078" s="663" t="s">
        <v>320</v>
      </c>
      <c r="D1078" s="678" t="s">
        <v>1978</v>
      </c>
      <c r="E1078" s="700" t="s">
        <v>873</v>
      </c>
      <c r="F1078" s="679">
        <v>2250</v>
      </c>
      <c r="G1078" s="883" t="s">
        <v>1287</v>
      </c>
      <c r="H1078" s="693"/>
      <c r="I1078" s="693">
        <v>472</v>
      </c>
      <c r="J1078" s="1494" t="s">
        <v>1134</v>
      </c>
      <c r="K1078" s="692"/>
      <c r="L1078" s="693"/>
      <c r="M1078" s="693">
        <v>472</v>
      </c>
      <c r="N1078" s="16"/>
    </row>
    <row r="1079" spans="1:32">
      <c r="A1079" s="683"/>
      <c r="B1079" s="720" t="s">
        <v>772</v>
      </c>
      <c r="C1079" s="683" t="s">
        <v>320</v>
      </c>
      <c r="D1079" s="719" t="s">
        <v>1978</v>
      </c>
      <c r="E1079" s="735" t="s">
        <v>873</v>
      </c>
      <c r="F1079" s="736">
        <v>2264</v>
      </c>
      <c r="G1079" s="686" t="s">
        <v>1288</v>
      </c>
      <c r="H1079" s="689">
        <v>0</v>
      </c>
      <c r="I1079" s="689"/>
      <c r="J1079" s="1494" t="s">
        <v>1134</v>
      </c>
      <c r="K1079" s="690"/>
      <c r="L1079" s="689">
        <v>0</v>
      </c>
      <c r="M1079" s="689"/>
      <c r="N1079" s="14"/>
    </row>
    <row r="1080" spans="1:32" ht="20.399999999999999">
      <c r="A1080" s="663"/>
      <c r="B1080" s="700" t="s">
        <v>772</v>
      </c>
      <c r="C1080" s="663" t="s">
        <v>320</v>
      </c>
      <c r="D1080" s="678" t="s">
        <v>1978</v>
      </c>
      <c r="E1080" s="700" t="s">
        <v>873</v>
      </c>
      <c r="F1080" s="679">
        <v>2264</v>
      </c>
      <c r="G1080" s="665" t="s">
        <v>1943</v>
      </c>
      <c r="H1080" s="693"/>
      <c r="I1080" s="693"/>
      <c r="J1080" s="1494" t="s">
        <v>1134</v>
      </c>
      <c r="K1080" s="692"/>
      <c r="L1080" s="693"/>
      <c r="M1080" s="693"/>
      <c r="N1080" s="14"/>
    </row>
    <row r="1081" spans="1:32">
      <c r="A1081" s="683"/>
      <c r="B1081" s="720" t="s">
        <v>772</v>
      </c>
      <c r="C1081" s="683" t="s">
        <v>322</v>
      </c>
      <c r="D1081" s="719" t="s">
        <v>1978</v>
      </c>
      <c r="E1081" s="720" t="s">
        <v>873</v>
      </c>
      <c r="F1081" s="685">
        <v>2311</v>
      </c>
      <c r="G1081" s="686" t="s">
        <v>129</v>
      </c>
      <c r="H1081" s="689">
        <v>960</v>
      </c>
      <c r="I1081" s="689"/>
      <c r="J1081" s="1494">
        <v>425</v>
      </c>
      <c r="K1081" s="690"/>
      <c r="L1081" s="689">
        <v>1000</v>
      </c>
      <c r="M1081" s="689"/>
      <c r="N1081" s="14"/>
    </row>
    <row r="1082" spans="1:32">
      <c r="A1082" s="663"/>
      <c r="B1082" s="700" t="s">
        <v>772</v>
      </c>
      <c r="C1082" s="663" t="s">
        <v>322</v>
      </c>
      <c r="D1082" s="678" t="s">
        <v>1978</v>
      </c>
      <c r="E1082" s="700" t="s">
        <v>873</v>
      </c>
      <c r="F1082" s="679">
        <v>2311</v>
      </c>
      <c r="G1082" s="675" t="s">
        <v>918</v>
      </c>
      <c r="H1082" s="693"/>
      <c r="I1082" s="693">
        <v>500</v>
      </c>
      <c r="J1082" s="1494" t="s">
        <v>1134</v>
      </c>
      <c r="K1082" s="692"/>
      <c r="L1082" s="693"/>
      <c r="M1082" s="693">
        <v>500</v>
      </c>
      <c r="N1082" s="14"/>
    </row>
    <row r="1083" spans="1:32">
      <c r="A1083" s="663"/>
      <c r="B1083" s="700" t="s">
        <v>772</v>
      </c>
      <c r="C1083" s="663" t="s">
        <v>322</v>
      </c>
      <c r="D1083" s="678" t="s">
        <v>1978</v>
      </c>
      <c r="E1083" s="700" t="s">
        <v>873</v>
      </c>
      <c r="F1083" s="679">
        <v>2311</v>
      </c>
      <c r="G1083" s="675" t="s">
        <v>1306</v>
      </c>
      <c r="H1083" s="693"/>
      <c r="I1083" s="693">
        <v>500</v>
      </c>
      <c r="J1083" s="1494" t="s">
        <v>1134</v>
      </c>
      <c r="K1083" s="692"/>
      <c r="L1083" s="693"/>
      <c r="M1083" s="693">
        <v>500</v>
      </c>
      <c r="N1083" s="14"/>
      <c r="O1083" s="187"/>
      <c r="P1083" s="187"/>
      <c r="Q1083" s="187"/>
      <c r="R1083" s="187"/>
      <c r="S1083" s="187"/>
      <c r="T1083" s="187"/>
      <c r="U1083" s="187"/>
      <c r="V1083" s="187"/>
      <c r="W1083" s="187"/>
      <c r="X1083" s="187"/>
      <c r="Y1083" s="187"/>
      <c r="Z1083" s="187"/>
      <c r="AA1083" s="187"/>
      <c r="AB1083" s="187"/>
      <c r="AC1083" s="187"/>
      <c r="AD1083" s="187"/>
      <c r="AE1083" s="187"/>
      <c r="AF1083" s="187"/>
    </row>
    <row r="1084" spans="1:32" ht="20.399999999999999">
      <c r="A1084" s="663"/>
      <c r="B1084" s="700" t="s">
        <v>772</v>
      </c>
      <c r="C1084" s="663" t="s">
        <v>322</v>
      </c>
      <c r="D1084" s="678" t="s">
        <v>1978</v>
      </c>
      <c r="E1084" s="700" t="s">
        <v>873</v>
      </c>
      <c r="F1084" s="679">
        <v>2311</v>
      </c>
      <c r="G1084" s="883" t="s">
        <v>3286</v>
      </c>
      <c r="H1084" s="693"/>
      <c r="I1084" s="884">
        <v>-40</v>
      </c>
      <c r="J1084" s="1494" t="s">
        <v>1134</v>
      </c>
      <c r="K1084" s="692"/>
      <c r="L1084" s="693"/>
      <c r="M1084" s="693"/>
      <c r="N1084" s="14"/>
      <c r="O1084" s="187"/>
      <c r="P1084" s="187"/>
      <c r="Q1084" s="187"/>
      <c r="R1084" s="187"/>
      <c r="S1084" s="187"/>
      <c r="T1084" s="187"/>
      <c r="U1084" s="187"/>
      <c r="V1084" s="187"/>
      <c r="W1084" s="187"/>
      <c r="X1084" s="187"/>
      <c r="Y1084" s="187"/>
      <c r="Z1084" s="187"/>
      <c r="AA1084" s="187"/>
      <c r="AB1084" s="187"/>
      <c r="AC1084" s="187"/>
      <c r="AD1084" s="187"/>
      <c r="AE1084" s="187"/>
      <c r="AF1084" s="187"/>
    </row>
    <row r="1085" spans="1:32">
      <c r="A1085" s="683"/>
      <c r="B1085" s="720" t="s">
        <v>772</v>
      </c>
      <c r="C1085" s="683" t="s">
        <v>320</v>
      </c>
      <c r="D1085" s="719" t="s">
        <v>1978</v>
      </c>
      <c r="E1085" s="720" t="s">
        <v>873</v>
      </c>
      <c r="F1085" s="685">
        <v>2312</v>
      </c>
      <c r="G1085" s="686" t="s">
        <v>200</v>
      </c>
      <c r="H1085" s="689">
        <v>2078</v>
      </c>
      <c r="I1085" s="689"/>
      <c r="J1085" s="1494">
        <v>2047</v>
      </c>
      <c r="K1085" s="690"/>
      <c r="L1085" s="689">
        <v>700</v>
      </c>
      <c r="M1085" s="689"/>
      <c r="N1085" s="14"/>
      <c r="O1085" s="187"/>
      <c r="P1085" s="187"/>
      <c r="Q1085" s="187"/>
      <c r="R1085" s="187"/>
      <c r="S1085" s="187"/>
      <c r="T1085" s="187"/>
      <c r="U1085" s="187"/>
      <c r="V1085" s="187"/>
      <c r="W1085" s="187"/>
      <c r="X1085" s="187"/>
      <c r="Y1085" s="187"/>
      <c r="Z1085" s="187"/>
      <c r="AA1085" s="187"/>
      <c r="AB1085" s="187"/>
      <c r="AC1085" s="187"/>
      <c r="AD1085" s="187"/>
      <c r="AE1085" s="187"/>
      <c r="AF1085" s="187"/>
    </row>
    <row r="1086" spans="1:32">
      <c r="A1086" s="663"/>
      <c r="B1086" s="700" t="s">
        <v>772</v>
      </c>
      <c r="C1086" s="663" t="s">
        <v>320</v>
      </c>
      <c r="D1086" s="678" t="s">
        <v>1978</v>
      </c>
      <c r="E1086" s="700" t="s">
        <v>873</v>
      </c>
      <c r="F1086" s="679">
        <v>2312</v>
      </c>
      <c r="G1086" s="675" t="s">
        <v>3755</v>
      </c>
      <c r="H1086" s="693"/>
      <c r="I1086" s="884"/>
      <c r="J1086" s="1494" t="s">
        <v>1134</v>
      </c>
      <c r="K1086" s="692"/>
      <c r="L1086" s="693"/>
      <c r="M1086" s="693">
        <v>500</v>
      </c>
      <c r="N1086" s="14"/>
      <c r="O1086" s="7"/>
      <c r="P1086" s="7"/>
      <c r="Q1086" s="7"/>
      <c r="R1086" s="7"/>
      <c r="S1086" s="7"/>
      <c r="T1086" s="7"/>
      <c r="U1086" s="7"/>
      <c r="V1086" s="7"/>
      <c r="W1086" s="7"/>
      <c r="X1086" s="7"/>
      <c r="Y1086" s="7"/>
      <c r="Z1086" s="7"/>
      <c r="AA1086" s="7"/>
      <c r="AB1086" s="7"/>
      <c r="AC1086" s="7"/>
      <c r="AD1086" s="7"/>
      <c r="AE1086" s="7"/>
      <c r="AF1086" s="7"/>
    </row>
    <row r="1087" spans="1:32">
      <c r="A1087" s="2679"/>
      <c r="B1087" s="700" t="s">
        <v>772</v>
      </c>
      <c r="C1087" s="663" t="s">
        <v>320</v>
      </c>
      <c r="D1087" s="678" t="s">
        <v>1978</v>
      </c>
      <c r="E1087" s="700" t="s">
        <v>873</v>
      </c>
      <c r="F1087" s="679">
        <v>2312</v>
      </c>
      <c r="G1087" s="2723" t="s">
        <v>5328</v>
      </c>
      <c r="H1087" s="3284"/>
      <c r="I1087" s="3285"/>
      <c r="J1087" s="2607"/>
      <c r="K1087" s="3286"/>
      <c r="L1087" s="3284"/>
      <c r="M1087" s="3284">
        <v>200</v>
      </c>
      <c r="N1087" s="14"/>
      <c r="O1087" s="187"/>
      <c r="P1087" s="187"/>
      <c r="Q1087" s="187"/>
      <c r="R1087" s="187"/>
      <c r="S1087" s="187"/>
      <c r="T1087" s="187"/>
      <c r="U1087" s="187"/>
      <c r="V1087" s="187"/>
      <c r="W1087" s="187"/>
      <c r="X1087" s="187"/>
      <c r="Y1087" s="187"/>
      <c r="Z1087" s="187"/>
      <c r="AA1087" s="187"/>
      <c r="AB1087" s="187"/>
      <c r="AC1087" s="187"/>
      <c r="AD1087" s="187"/>
      <c r="AE1087" s="187"/>
      <c r="AF1087" s="187"/>
    </row>
    <row r="1088" spans="1:32" ht="20.399999999999999">
      <c r="A1088" s="663"/>
      <c r="B1088" s="700" t="s">
        <v>772</v>
      </c>
      <c r="C1088" s="663" t="s">
        <v>320</v>
      </c>
      <c r="D1088" s="678" t="s">
        <v>1978</v>
      </c>
      <c r="E1088" s="700" t="s">
        <v>873</v>
      </c>
      <c r="F1088" s="679">
        <v>2312</v>
      </c>
      <c r="G1088" s="675" t="s">
        <v>3747</v>
      </c>
      <c r="H1088" s="693"/>
      <c r="I1088" s="884">
        <v>859</v>
      </c>
      <c r="J1088" s="1494" t="s">
        <v>1134</v>
      </c>
      <c r="K1088" s="692"/>
      <c r="L1088" s="693"/>
      <c r="M1088" s="693"/>
      <c r="N1088" s="14"/>
      <c r="O1088" s="187"/>
      <c r="P1088" s="187"/>
      <c r="Q1088" s="187"/>
      <c r="R1088" s="187"/>
      <c r="S1088" s="187"/>
      <c r="T1088" s="187"/>
      <c r="U1088" s="187"/>
      <c r="V1088" s="187"/>
      <c r="W1088" s="187"/>
      <c r="X1088" s="187"/>
      <c r="Y1088" s="187"/>
      <c r="Z1088" s="187"/>
      <c r="AA1088" s="187"/>
      <c r="AB1088" s="187"/>
      <c r="AC1088" s="187"/>
      <c r="AD1088" s="187"/>
      <c r="AE1088" s="187"/>
      <c r="AF1088" s="187"/>
    </row>
    <row r="1089" spans="1:32" ht="20.399999999999999">
      <c r="A1089" s="663"/>
      <c r="B1089" s="700" t="s">
        <v>772</v>
      </c>
      <c r="C1089" s="663" t="s">
        <v>320</v>
      </c>
      <c r="D1089" s="678" t="s">
        <v>1978</v>
      </c>
      <c r="E1089" s="700" t="s">
        <v>873</v>
      </c>
      <c r="F1089" s="679">
        <v>2312</v>
      </c>
      <c r="G1089" s="883" t="s">
        <v>3748</v>
      </c>
      <c r="H1089" s="693"/>
      <c r="I1089" s="884">
        <v>1219</v>
      </c>
      <c r="J1089" s="1494" t="s">
        <v>1134</v>
      </c>
      <c r="K1089" s="692"/>
      <c r="L1089" s="693"/>
      <c r="M1089" s="693"/>
      <c r="N1089" s="14"/>
      <c r="O1089" s="187"/>
      <c r="P1089" s="187"/>
      <c r="Q1089" s="187"/>
      <c r="R1089" s="187"/>
      <c r="S1089" s="187"/>
      <c r="T1089" s="187"/>
      <c r="U1089" s="187"/>
      <c r="V1089" s="187"/>
      <c r="W1089" s="187"/>
      <c r="X1089" s="187"/>
      <c r="Y1089" s="187"/>
      <c r="Z1089" s="187"/>
      <c r="AA1089" s="187"/>
      <c r="AB1089" s="187"/>
      <c r="AC1089" s="187"/>
      <c r="AD1089" s="187"/>
      <c r="AE1089" s="187"/>
      <c r="AF1089" s="187"/>
    </row>
    <row r="1090" spans="1:32">
      <c r="A1090" s="683"/>
      <c r="B1090" s="720" t="s">
        <v>772</v>
      </c>
      <c r="C1090" s="683" t="s">
        <v>320</v>
      </c>
      <c r="D1090" s="719" t="s">
        <v>1978</v>
      </c>
      <c r="E1090" s="720" t="s">
        <v>873</v>
      </c>
      <c r="F1090" s="685">
        <v>2314</v>
      </c>
      <c r="G1090" s="686" t="s">
        <v>135</v>
      </c>
      <c r="H1090" s="689">
        <v>150</v>
      </c>
      <c r="I1090" s="689"/>
      <c r="J1090" s="1494">
        <v>30</v>
      </c>
      <c r="K1090" s="690"/>
      <c r="L1090" s="689">
        <v>150</v>
      </c>
      <c r="M1090" s="689"/>
      <c r="N1090" s="14"/>
      <c r="O1090" s="7"/>
      <c r="P1090" s="7"/>
      <c r="Q1090" s="7"/>
      <c r="R1090" s="7"/>
      <c r="S1090" s="7"/>
      <c r="T1090" s="7"/>
      <c r="U1090" s="7"/>
      <c r="V1090" s="7"/>
      <c r="W1090" s="7"/>
      <c r="X1090" s="7"/>
      <c r="Y1090" s="7"/>
      <c r="Z1090" s="7"/>
      <c r="AA1090" s="7"/>
      <c r="AB1090" s="7"/>
      <c r="AC1090" s="7"/>
      <c r="AD1090" s="7"/>
      <c r="AE1090" s="7"/>
      <c r="AF1090" s="7"/>
    </row>
    <row r="1091" spans="1:32">
      <c r="A1091" s="663"/>
      <c r="B1091" s="700" t="s">
        <v>772</v>
      </c>
      <c r="C1091" s="663" t="s">
        <v>320</v>
      </c>
      <c r="D1091" s="678" t="s">
        <v>1978</v>
      </c>
      <c r="E1091" s="700" t="s">
        <v>873</v>
      </c>
      <c r="F1091" s="679">
        <v>2314</v>
      </c>
      <c r="G1091" s="675" t="s">
        <v>2063</v>
      </c>
      <c r="H1091" s="693"/>
      <c r="I1091" s="693">
        <v>150</v>
      </c>
      <c r="J1091" s="1494" t="s">
        <v>1134</v>
      </c>
      <c r="K1091" s="692"/>
      <c r="L1091" s="693"/>
      <c r="M1091" s="693">
        <v>150</v>
      </c>
      <c r="N1091" s="306"/>
      <c r="O1091" s="187"/>
      <c r="P1091" s="187"/>
      <c r="Q1091" s="187"/>
      <c r="R1091" s="187"/>
      <c r="S1091" s="187"/>
      <c r="T1091" s="187"/>
      <c r="U1091" s="187"/>
      <c r="V1091" s="187"/>
      <c r="W1091" s="187"/>
      <c r="X1091" s="187"/>
      <c r="Y1091" s="187"/>
      <c r="Z1091" s="187"/>
      <c r="AA1091" s="187"/>
      <c r="AB1091" s="187"/>
      <c r="AC1091" s="187"/>
      <c r="AD1091" s="187"/>
      <c r="AE1091" s="187"/>
      <c r="AF1091" s="187"/>
    </row>
    <row r="1092" spans="1:32">
      <c r="A1092" s="683"/>
      <c r="B1092" s="720" t="s">
        <v>772</v>
      </c>
      <c r="C1092" s="683" t="s">
        <v>320</v>
      </c>
      <c r="D1092" s="719" t="s">
        <v>1978</v>
      </c>
      <c r="E1092" s="720" t="s">
        <v>873</v>
      </c>
      <c r="F1092" s="685">
        <v>2350</v>
      </c>
      <c r="G1092" s="686" t="s">
        <v>133</v>
      </c>
      <c r="H1092" s="689">
        <v>270</v>
      </c>
      <c r="I1092" s="689"/>
      <c r="J1092" s="1494">
        <v>21</v>
      </c>
      <c r="K1092" s="690"/>
      <c r="L1092" s="689">
        <v>300</v>
      </c>
      <c r="M1092" s="689"/>
      <c r="N1092" s="306"/>
      <c r="O1092" s="187"/>
      <c r="P1092" s="187"/>
      <c r="Q1092" s="187"/>
      <c r="R1092" s="187"/>
      <c r="S1092" s="187"/>
      <c r="T1092" s="187"/>
      <c r="U1092" s="187"/>
      <c r="V1092" s="187"/>
      <c r="W1092" s="187"/>
      <c r="X1092" s="187"/>
      <c r="Y1092" s="187"/>
      <c r="Z1092" s="187"/>
      <c r="AA1092" s="187"/>
      <c r="AB1092" s="187"/>
      <c r="AC1092" s="187"/>
      <c r="AD1092" s="187"/>
      <c r="AE1092" s="187"/>
      <c r="AF1092" s="187"/>
    </row>
    <row r="1093" spans="1:32">
      <c r="A1093" s="663"/>
      <c r="B1093" s="700" t="s">
        <v>772</v>
      </c>
      <c r="C1093" s="663" t="s">
        <v>320</v>
      </c>
      <c r="D1093" s="678" t="s">
        <v>1978</v>
      </c>
      <c r="E1093" s="700" t="s">
        <v>873</v>
      </c>
      <c r="F1093" s="679">
        <v>2350</v>
      </c>
      <c r="G1093" s="675" t="s">
        <v>919</v>
      </c>
      <c r="H1093" s="693"/>
      <c r="I1093" s="693">
        <v>300</v>
      </c>
      <c r="J1093" s="1494" t="s">
        <v>1134</v>
      </c>
      <c r="K1093" s="692"/>
      <c r="L1093" s="693"/>
      <c r="M1093" s="693">
        <v>300</v>
      </c>
      <c r="N1093" s="306"/>
      <c r="O1093" s="187"/>
      <c r="P1093" s="187"/>
      <c r="Q1093" s="187"/>
      <c r="R1093" s="187"/>
      <c r="S1093" s="187"/>
      <c r="T1093" s="187"/>
      <c r="U1093" s="187"/>
      <c r="V1093" s="187"/>
      <c r="W1093" s="187"/>
      <c r="X1093" s="187"/>
      <c r="Y1093" s="187"/>
      <c r="Z1093" s="187"/>
      <c r="AA1093" s="187"/>
      <c r="AB1093" s="187"/>
      <c r="AC1093" s="187"/>
      <c r="AD1093" s="187"/>
      <c r="AE1093" s="187"/>
      <c r="AF1093" s="187"/>
    </row>
    <row r="1094" spans="1:32">
      <c r="A1094" s="603"/>
      <c r="B1094" s="700" t="s">
        <v>772</v>
      </c>
      <c r="C1094" s="663" t="s">
        <v>320</v>
      </c>
      <c r="D1094" s="678" t="s">
        <v>1978</v>
      </c>
      <c r="E1094" s="700" t="s">
        <v>873</v>
      </c>
      <c r="F1094" s="679">
        <v>2350</v>
      </c>
      <c r="G1094" s="1452" t="s">
        <v>3086</v>
      </c>
      <c r="H1094" s="1443"/>
      <c r="I1094" s="1443">
        <v>-30</v>
      </c>
      <c r="J1094" s="1494" t="s">
        <v>1134</v>
      </c>
      <c r="K1094" s="1437"/>
      <c r="L1094" s="1443"/>
      <c r="M1094" s="1443"/>
      <c r="N1094" s="306"/>
      <c r="O1094" s="187"/>
      <c r="P1094" s="187"/>
      <c r="Q1094" s="187"/>
      <c r="R1094" s="187"/>
      <c r="S1094" s="187"/>
      <c r="T1094" s="187"/>
      <c r="U1094" s="187"/>
      <c r="V1094" s="187"/>
      <c r="W1094" s="187"/>
      <c r="X1094" s="187"/>
      <c r="Y1094" s="187"/>
      <c r="Z1094" s="187"/>
      <c r="AA1094" s="187"/>
      <c r="AB1094" s="187"/>
      <c r="AC1094" s="187"/>
      <c r="AD1094" s="187"/>
      <c r="AE1094" s="187"/>
      <c r="AF1094" s="187"/>
    </row>
    <row r="1095" spans="1:32">
      <c r="A1095" s="683"/>
      <c r="B1095" s="720" t="s">
        <v>772</v>
      </c>
      <c r="C1095" s="683" t="s">
        <v>322</v>
      </c>
      <c r="D1095" s="719" t="s">
        <v>1978</v>
      </c>
      <c r="E1095" s="720" t="s">
        <v>873</v>
      </c>
      <c r="F1095" s="685">
        <v>2400</v>
      </c>
      <c r="G1095" s="686" t="s">
        <v>201</v>
      </c>
      <c r="H1095" s="689">
        <v>2000</v>
      </c>
      <c r="I1095" s="689"/>
      <c r="J1095" s="1494">
        <v>1202</v>
      </c>
      <c r="K1095" s="690"/>
      <c r="L1095" s="689">
        <v>2000</v>
      </c>
      <c r="M1095" s="689"/>
      <c r="N1095" s="14"/>
      <c r="O1095" s="7"/>
      <c r="P1095" s="7"/>
      <c r="Q1095" s="7"/>
      <c r="R1095" s="7"/>
      <c r="S1095" s="7"/>
      <c r="T1095" s="7"/>
      <c r="U1095" s="7"/>
      <c r="V1095" s="7"/>
      <c r="W1095" s="7"/>
      <c r="X1095" s="7"/>
      <c r="Y1095" s="7"/>
      <c r="Z1095" s="7"/>
      <c r="AA1095" s="7"/>
      <c r="AB1095" s="7"/>
      <c r="AC1095" s="7"/>
      <c r="AD1095" s="7"/>
      <c r="AE1095" s="7"/>
      <c r="AF1095" s="7"/>
    </row>
    <row r="1096" spans="1:32" ht="11.4" customHeight="1">
      <c r="A1096" s="663"/>
      <c r="B1096" s="700" t="s">
        <v>772</v>
      </c>
      <c r="C1096" s="663" t="s">
        <v>322</v>
      </c>
      <c r="D1096" s="678" t="s">
        <v>1978</v>
      </c>
      <c r="E1096" s="700" t="s">
        <v>873</v>
      </c>
      <c r="F1096" s="679">
        <v>2400</v>
      </c>
      <c r="G1096" s="665"/>
      <c r="H1096" s="693"/>
      <c r="I1096" s="693">
        <v>2000</v>
      </c>
      <c r="J1096" s="1494" t="s">
        <v>1134</v>
      </c>
      <c r="K1096" s="692"/>
      <c r="L1096" s="693"/>
      <c r="M1096" s="693">
        <v>2000</v>
      </c>
      <c r="N1096" s="14"/>
      <c r="O1096" s="187"/>
      <c r="P1096" s="187"/>
      <c r="Q1096" s="187"/>
      <c r="R1096" s="187"/>
      <c r="S1096" s="187"/>
      <c r="T1096" s="187"/>
      <c r="U1096" s="187"/>
      <c r="V1096" s="187"/>
      <c r="W1096" s="187"/>
      <c r="X1096" s="187"/>
      <c r="Y1096" s="187"/>
      <c r="Z1096" s="187"/>
      <c r="AA1096" s="187"/>
      <c r="AB1096" s="187"/>
      <c r="AC1096" s="187"/>
      <c r="AD1096" s="187"/>
      <c r="AE1096" s="187"/>
      <c r="AF1096" s="187"/>
    </row>
    <row r="1097" spans="1:32" ht="20.399999999999999">
      <c r="A1097" s="683"/>
      <c r="B1097" s="720" t="s">
        <v>772</v>
      </c>
      <c r="C1097" s="683" t="s">
        <v>322</v>
      </c>
      <c r="D1097" s="719" t="s">
        <v>1978</v>
      </c>
      <c r="E1097" s="720" t="s">
        <v>873</v>
      </c>
      <c r="F1097" s="685">
        <v>2512</v>
      </c>
      <c r="G1097" s="686" t="s">
        <v>779</v>
      </c>
      <c r="H1097" s="689">
        <v>70</v>
      </c>
      <c r="I1097" s="689"/>
      <c r="J1097" s="1494">
        <v>50</v>
      </c>
      <c r="K1097" s="690"/>
      <c r="L1097" s="689">
        <v>70</v>
      </c>
      <c r="M1097" s="689"/>
      <c r="N1097" s="14"/>
      <c r="O1097" s="187"/>
      <c r="P1097" s="187"/>
      <c r="Q1097" s="187"/>
      <c r="R1097" s="187"/>
      <c r="S1097" s="187"/>
      <c r="T1097" s="187"/>
      <c r="U1097" s="187"/>
      <c r="V1097" s="187"/>
      <c r="W1097" s="187"/>
      <c r="X1097" s="187"/>
      <c r="Y1097" s="187"/>
      <c r="Z1097" s="187"/>
      <c r="AA1097" s="187"/>
      <c r="AB1097" s="187"/>
      <c r="AC1097" s="187"/>
      <c r="AD1097" s="187"/>
      <c r="AE1097" s="187"/>
      <c r="AF1097" s="187"/>
    </row>
    <row r="1098" spans="1:32">
      <c r="A1098" s="603"/>
      <c r="B1098" s="700" t="s">
        <v>772</v>
      </c>
      <c r="C1098" s="663" t="s">
        <v>320</v>
      </c>
      <c r="D1098" s="678" t="s">
        <v>1978</v>
      </c>
      <c r="E1098" s="700" t="s">
        <v>873</v>
      </c>
      <c r="F1098" s="679">
        <v>2512</v>
      </c>
      <c r="G1098" s="1452" t="s">
        <v>5351</v>
      </c>
      <c r="H1098" s="1443"/>
      <c r="I1098" s="1443">
        <v>30</v>
      </c>
      <c r="J1098" s="1494" t="s">
        <v>1134</v>
      </c>
      <c r="K1098" s="1437"/>
      <c r="L1098" s="1443"/>
      <c r="M1098" s="1443">
        <v>70</v>
      </c>
      <c r="N1098" s="14"/>
      <c r="O1098" s="187"/>
      <c r="P1098" s="187"/>
      <c r="Q1098" s="187"/>
      <c r="R1098" s="187"/>
      <c r="S1098" s="187"/>
      <c r="T1098" s="187"/>
      <c r="U1098" s="187"/>
      <c r="V1098" s="187"/>
      <c r="W1098" s="187"/>
      <c r="X1098" s="187"/>
      <c r="Y1098" s="187"/>
      <c r="Z1098" s="187"/>
      <c r="AA1098" s="187"/>
      <c r="AB1098" s="187"/>
      <c r="AC1098" s="187"/>
      <c r="AD1098" s="187"/>
      <c r="AE1098" s="187"/>
      <c r="AF1098" s="187"/>
    </row>
    <row r="1099" spans="1:32" ht="20.399999999999999">
      <c r="A1099" s="603"/>
      <c r="B1099" s="700" t="s">
        <v>772</v>
      </c>
      <c r="C1099" s="663" t="s">
        <v>320</v>
      </c>
      <c r="D1099" s="678" t="s">
        <v>1978</v>
      </c>
      <c r="E1099" s="700" t="s">
        <v>873</v>
      </c>
      <c r="F1099" s="679">
        <v>2512</v>
      </c>
      <c r="G1099" s="1452" t="s">
        <v>3286</v>
      </c>
      <c r="H1099" s="1443"/>
      <c r="I1099" s="1443">
        <v>40</v>
      </c>
      <c r="J1099" s="1494" t="s">
        <v>1134</v>
      </c>
      <c r="K1099" s="1437"/>
      <c r="L1099" s="1443"/>
      <c r="M1099" s="1443"/>
      <c r="N1099" s="14"/>
      <c r="O1099" s="187"/>
      <c r="P1099" s="187"/>
      <c r="Q1099" s="187"/>
      <c r="R1099" s="187"/>
      <c r="S1099" s="187"/>
      <c r="T1099" s="187"/>
      <c r="U1099" s="187"/>
      <c r="V1099" s="187"/>
      <c r="W1099" s="187"/>
      <c r="X1099" s="187"/>
      <c r="Y1099" s="187"/>
      <c r="Z1099" s="187"/>
      <c r="AA1099" s="187"/>
      <c r="AB1099" s="187"/>
      <c r="AC1099" s="187"/>
      <c r="AD1099" s="187"/>
      <c r="AE1099" s="187"/>
      <c r="AF1099" s="187"/>
    </row>
    <row r="1100" spans="1:32" ht="11.4" customHeight="1">
      <c r="A1100" s="683"/>
      <c r="B1100" s="720" t="s">
        <v>772</v>
      </c>
      <c r="C1100" s="683" t="s">
        <v>324</v>
      </c>
      <c r="D1100" s="719" t="s">
        <v>1978</v>
      </c>
      <c r="E1100" s="720" t="s">
        <v>873</v>
      </c>
      <c r="F1100" s="685">
        <v>5233</v>
      </c>
      <c r="G1100" s="686" t="s">
        <v>202</v>
      </c>
      <c r="H1100" s="689">
        <v>5500</v>
      </c>
      <c r="I1100" s="689"/>
      <c r="J1100" s="1494">
        <v>4558</v>
      </c>
      <c r="K1100" s="690"/>
      <c r="L1100" s="689">
        <v>5500</v>
      </c>
      <c r="M1100" s="689"/>
      <c r="N1100" s="14"/>
      <c r="O1100" s="187"/>
      <c r="P1100" s="187"/>
      <c r="Q1100" s="187"/>
      <c r="R1100" s="187"/>
      <c r="S1100" s="187"/>
      <c r="T1100" s="187"/>
      <c r="U1100" s="187"/>
      <c r="V1100" s="187"/>
      <c r="W1100" s="187"/>
      <c r="X1100" s="187"/>
      <c r="Y1100" s="187"/>
      <c r="Z1100" s="187"/>
      <c r="AA1100" s="187"/>
      <c r="AB1100" s="187"/>
      <c r="AC1100" s="187"/>
      <c r="AD1100" s="187"/>
      <c r="AE1100" s="187"/>
      <c r="AF1100" s="187"/>
    </row>
    <row r="1101" spans="1:32" s="199" customFormat="1" ht="12" thickBot="1">
      <c r="A1101" s="663"/>
      <c r="B1101" s="700" t="s">
        <v>772</v>
      </c>
      <c r="C1101" s="663" t="s">
        <v>324</v>
      </c>
      <c r="D1101" s="678" t="s">
        <v>1978</v>
      </c>
      <c r="E1101" s="700" t="s">
        <v>873</v>
      </c>
      <c r="F1101" s="679">
        <v>5233</v>
      </c>
      <c r="G1101" s="885"/>
      <c r="H1101" s="693"/>
      <c r="I1101" s="693">
        <v>5500</v>
      </c>
      <c r="J1101" s="1494" t="s">
        <v>1134</v>
      </c>
      <c r="K1101" s="692"/>
      <c r="L1101" s="693"/>
      <c r="M1101" s="693">
        <v>5500</v>
      </c>
      <c r="N1101" s="14" t="s">
        <v>2140</v>
      </c>
      <c r="O1101" s="1507"/>
      <c r="P1101" s="1507"/>
      <c r="Q1101" s="1507"/>
      <c r="R1101" s="1507"/>
      <c r="S1101" s="1507"/>
      <c r="T1101" s="1507"/>
      <c r="U1101" s="1507"/>
      <c r="V1101" s="1507"/>
      <c r="W1101" s="1507"/>
      <c r="X1101" s="1507"/>
      <c r="Y1101" s="1507"/>
      <c r="Z1101" s="1507"/>
      <c r="AA1101" s="1507"/>
      <c r="AB1101" s="1507"/>
      <c r="AC1101" s="1507"/>
      <c r="AD1101" s="1507"/>
      <c r="AE1101" s="1507"/>
      <c r="AF1101" s="1507"/>
    </row>
    <row r="1102" spans="1:32">
      <c r="A1102" s="683"/>
      <c r="B1102" s="720" t="s">
        <v>774</v>
      </c>
      <c r="C1102" s="683" t="s">
        <v>324</v>
      </c>
      <c r="D1102" s="719" t="s">
        <v>1978</v>
      </c>
      <c r="E1102" s="720" t="s">
        <v>873</v>
      </c>
      <c r="F1102" s="685">
        <v>5238</v>
      </c>
      <c r="G1102" s="686" t="s">
        <v>139</v>
      </c>
      <c r="H1102" s="689">
        <v>1981</v>
      </c>
      <c r="I1102" s="689"/>
      <c r="J1102" s="1494">
        <v>1219</v>
      </c>
      <c r="K1102" s="690"/>
      <c r="L1102" s="689">
        <v>3800</v>
      </c>
      <c r="M1102" s="689"/>
      <c r="N1102" s="14"/>
      <c r="O1102" s="187"/>
      <c r="P1102" s="187"/>
      <c r="Q1102" s="187"/>
      <c r="R1102" s="187"/>
      <c r="S1102" s="187"/>
      <c r="T1102" s="187"/>
      <c r="U1102" s="187"/>
      <c r="V1102" s="187"/>
      <c r="W1102" s="187"/>
      <c r="X1102" s="187"/>
      <c r="Y1102" s="187"/>
      <c r="Z1102" s="187"/>
      <c r="AA1102" s="187"/>
      <c r="AB1102" s="187"/>
      <c r="AC1102" s="187"/>
      <c r="AD1102" s="187"/>
      <c r="AE1102" s="187"/>
      <c r="AF1102" s="187"/>
    </row>
    <row r="1103" spans="1:32" ht="11.4" customHeight="1">
      <c r="A1103" s="663"/>
      <c r="B1103" s="700" t="s">
        <v>774</v>
      </c>
      <c r="C1103" s="663" t="s">
        <v>324</v>
      </c>
      <c r="D1103" s="678" t="s">
        <v>1978</v>
      </c>
      <c r="E1103" s="700" t="s">
        <v>873</v>
      </c>
      <c r="F1103" s="679">
        <v>5238</v>
      </c>
      <c r="G1103" s="883" t="s">
        <v>3750</v>
      </c>
      <c r="H1103" s="693"/>
      <c r="I1103" s="884"/>
      <c r="J1103" s="1494" t="s">
        <v>1134</v>
      </c>
      <c r="K1103" s="692"/>
      <c r="L1103" s="693"/>
      <c r="M1103" s="693">
        <v>1000</v>
      </c>
      <c r="N1103" s="306"/>
      <c r="O1103" s="187"/>
      <c r="P1103" s="187"/>
      <c r="Q1103" s="187"/>
      <c r="R1103" s="187"/>
      <c r="S1103" s="187"/>
      <c r="T1103" s="187"/>
      <c r="U1103" s="187"/>
      <c r="V1103" s="187"/>
      <c r="W1103" s="187"/>
      <c r="X1103" s="187"/>
      <c r="Y1103" s="187"/>
      <c r="Z1103" s="187"/>
      <c r="AA1103" s="187"/>
      <c r="AB1103" s="187"/>
      <c r="AC1103" s="187"/>
      <c r="AD1103" s="187"/>
      <c r="AE1103" s="187"/>
      <c r="AF1103" s="187"/>
    </row>
    <row r="1104" spans="1:32">
      <c r="A1104" s="663"/>
      <c r="B1104" s="700" t="s">
        <v>774</v>
      </c>
      <c r="C1104" s="663" t="s">
        <v>324</v>
      </c>
      <c r="D1104" s="678" t="s">
        <v>1978</v>
      </c>
      <c r="E1104" s="700" t="s">
        <v>873</v>
      </c>
      <c r="F1104" s="679">
        <v>5238</v>
      </c>
      <c r="G1104" s="883" t="s">
        <v>2772</v>
      </c>
      <c r="H1104" s="693"/>
      <c r="I1104" s="884"/>
      <c r="J1104" s="1494" t="s">
        <v>1134</v>
      </c>
      <c r="K1104" s="692"/>
      <c r="L1104" s="693"/>
      <c r="M1104" s="693">
        <v>2800</v>
      </c>
      <c r="N1104" s="306"/>
      <c r="O1104" s="187"/>
      <c r="P1104" s="187"/>
      <c r="Q1104" s="187"/>
      <c r="R1104" s="187"/>
      <c r="S1104" s="187"/>
      <c r="T1104" s="187"/>
      <c r="U1104" s="187"/>
      <c r="V1104" s="187"/>
      <c r="W1104" s="187"/>
      <c r="X1104" s="187"/>
      <c r="Y1104" s="187"/>
      <c r="Z1104" s="187"/>
      <c r="AA1104" s="187"/>
      <c r="AB1104" s="187"/>
      <c r="AC1104" s="187"/>
      <c r="AD1104" s="187"/>
      <c r="AE1104" s="187"/>
      <c r="AF1104" s="187"/>
    </row>
    <row r="1105" spans="1:32">
      <c r="A1105" s="663"/>
      <c r="B1105" s="700" t="s">
        <v>774</v>
      </c>
      <c r="C1105" s="663" t="s">
        <v>324</v>
      </c>
      <c r="D1105" s="678" t="s">
        <v>1978</v>
      </c>
      <c r="E1105" s="700" t="s">
        <v>873</v>
      </c>
      <c r="F1105" s="679">
        <v>5238</v>
      </c>
      <c r="G1105" s="665" t="s">
        <v>2772</v>
      </c>
      <c r="H1105" s="693"/>
      <c r="I1105" s="693">
        <v>3200</v>
      </c>
      <c r="J1105" s="1494" t="s">
        <v>1134</v>
      </c>
      <c r="K1105" s="692"/>
      <c r="L1105" s="693"/>
      <c r="M1105" s="693"/>
      <c r="N1105" s="14"/>
      <c r="O1105" s="187"/>
      <c r="P1105" s="187"/>
      <c r="Q1105" s="187"/>
      <c r="R1105" s="187"/>
      <c r="S1105" s="187"/>
      <c r="T1105" s="187"/>
      <c r="U1105" s="187"/>
      <c r="V1105" s="187"/>
      <c r="W1105" s="187"/>
      <c r="X1105" s="187"/>
      <c r="Y1105" s="187"/>
      <c r="Z1105" s="187"/>
      <c r="AA1105" s="187"/>
      <c r="AB1105" s="187"/>
      <c r="AC1105" s="187"/>
      <c r="AD1105" s="187"/>
      <c r="AE1105" s="187"/>
      <c r="AF1105" s="187"/>
    </row>
    <row r="1106" spans="1:32" ht="20.399999999999999">
      <c r="A1106" s="663"/>
      <c r="B1106" s="700" t="s">
        <v>774</v>
      </c>
      <c r="C1106" s="663" t="s">
        <v>324</v>
      </c>
      <c r="D1106" s="678" t="s">
        <v>1978</v>
      </c>
      <c r="E1106" s="700" t="s">
        <v>873</v>
      </c>
      <c r="F1106" s="679">
        <v>5238</v>
      </c>
      <c r="G1106" s="883" t="s">
        <v>3748</v>
      </c>
      <c r="H1106" s="693"/>
      <c r="I1106" s="884">
        <v>-1219</v>
      </c>
      <c r="J1106" s="1494" t="s">
        <v>1134</v>
      </c>
      <c r="K1106" s="692"/>
      <c r="L1106" s="693"/>
      <c r="M1106" s="693"/>
      <c r="N1106" s="306"/>
      <c r="O1106" s="187"/>
      <c r="P1106" s="187"/>
      <c r="Q1106" s="187"/>
      <c r="R1106" s="187"/>
      <c r="S1106" s="187"/>
      <c r="T1106" s="187"/>
      <c r="U1106" s="187"/>
      <c r="V1106" s="187"/>
      <c r="W1106" s="187"/>
      <c r="X1106" s="187"/>
      <c r="Y1106" s="187"/>
      <c r="Z1106" s="187"/>
      <c r="AA1106" s="187"/>
      <c r="AB1106" s="187"/>
      <c r="AC1106" s="187"/>
      <c r="AD1106" s="187"/>
      <c r="AE1106" s="187"/>
      <c r="AF1106" s="187"/>
    </row>
    <row r="1107" spans="1:32">
      <c r="A1107" s="683"/>
      <c r="B1107" s="720" t="s">
        <v>774</v>
      </c>
      <c r="C1107" s="683" t="s">
        <v>340</v>
      </c>
      <c r="D1107" s="719" t="s">
        <v>1978</v>
      </c>
      <c r="E1107" s="720" t="s">
        <v>873</v>
      </c>
      <c r="F1107" s="685">
        <v>5239</v>
      </c>
      <c r="G1107" s="686" t="s">
        <v>138</v>
      </c>
      <c r="H1107" s="689">
        <v>0</v>
      </c>
      <c r="I1107" s="689"/>
      <c r="J1107" s="1494" t="s">
        <v>1134</v>
      </c>
      <c r="K1107" s="690"/>
      <c r="L1107" s="689">
        <v>900</v>
      </c>
      <c r="M1107" s="689"/>
      <c r="N1107" s="306"/>
      <c r="O1107" s="187"/>
      <c r="P1107" s="187"/>
      <c r="Q1107" s="187"/>
      <c r="R1107" s="187"/>
      <c r="S1107" s="187"/>
      <c r="T1107" s="187"/>
      <c r="U1107" s="187"/>
      <c r="V1107" s="187"/>
      <c r="W1107" s="187"/>
      <c r="X1107" s="187"/>
      <c r="Y1107" s="187"/>
      <c r="Z1107" s="187"/>
      <c r="AA1107" s="187"/>
      <c r="AB1107" s="187"/>
      <c r="AC1107" s="187"/>
      <c r="AD1107" s="187"/>
      <c r="AE1107" s="187"/>
      <c r="AF1107" s="187"/>
    </row>
    <row r="1108" spans="1:32">
      <c r="A1108" s="663"/>
      <c r="B1108" s="700" t="s">
        <v>774</v>
      </c>
      <c r="C1108" s="663" t="s">
        <v>340</v>
      </c>
      <c r="D1108" s="678" t="s">
        <v>1978</v>
      </c>
      <c r="E1108" s="700" t="s">
        <v>873</v>
      </c>
      <c r="F1108" s="679">
        <v>5239</v>
      </c>
      <c r="G1108" s="665" t="s">
        <v>3753</v>
      </c>
      <c r="H1108" s="693"/>
      <c r="I1108" s="693"/>
      <c r="J1108" s="1494" t="s">
        <v>1134</v>
      </c>
      <c r="K1108" s="692"/>
      <c r="L1108" s="693"/>
      <c r="M1108" s="693">
        <v>900</v>
      </c>
      <c r="N1108" s="14"/>
      <c r="O1108" s="187"/>
      <c r="P1108" s="187"/>
      <c r="Q1108" s="187"/>
      <c r="R1108" s="187"/>
      <c r="S1108" s="187"/>
      <c r="T1108" s="187"/>
      <c r="U1108" s="187"/>
      <c r="V1108" s="187"/>
      <c r="W1108" s="187"/>
      <c r="X1108" s="187"/>
      <c r="Y1108" s="187"/>
      <c r="Z1108" s="187"/>
      <c r="AA1108" s="187"/>
      <c r="AB1108" s="187"/>
      <c r="AC1108" s="187"/>
      <c r="AD1108" s="187"/>
      <c r="AE1108" s="187"/>
      <c r="AF1108" s="187"/>
    </row>
    <row r="1109" spans="1:32">
      <c r="A1109" s="683"/>
      <c r="B1109" s="720" t="s">
        <v>772</v>
      </c>
      <c r="C1109" s="683" t="s">
        <v>322</v>
      </c>
      <c r="D1109" s="719" t="s">
        <v>1978</v>
      </c>
      <c r="E1109" s="720" t="s">
        <v>873</v>
      </c>
      <c r="F1109" s="685">
        <v>7210</v>
      </c>
      <c r="G1109" s="686" t="s">
        <v>203</v>
      </c>
      <c r="H1109" s="689">
        <v>500</v>
      </c>
      <c r="I1109" s="689"/>
      <c r="J1109" s="1494">
        <v>500</v>
      </c>
      <c r="K1109" s="690"/>
      <c r="L1109" s="689">
        <v>500</v>
      </c>
      <c r="M1109" s="689"/>
      <c r="N1109" s="14"/>
      <c r="O1109" s="187"/>
      <c r="P1109" s="187"/>
      <c r="Q1109" s="187"/>
      <c r="R1109" s="187"/>
      <c r="S1109" s="187"/>
      <c r="T1109" s="187"/>
      <c r="U1109" s="187"/>
      <c r="V1109" s="187"/>
      <c r="W1109" s="187"/>
      <c r="X1109" s="187"/>
      <c r="Y1109" s="187"/>
      <c r="Z1109" s="187"/>
      <c r="AA1109" s="187"/>
      <c r="AB1109" s="187"/>
      <c r="AC1109" s="187"/>
      <c r="AD1109" s="187"/>
      <c r="AE1109" s="187"/>
      <c r="AF1109" s="187"/>
    </row>
    <row r="1110" spans="1:32" ht="30.6">
      <c r="A1110" s="663"/>
      <c r="B1110" s="700" t="s">
        <v>772</v>
      </c>
      <c r="C1110" s="663" t="s">
        <v>322</v>
      </c>
      <c r="D1110" s="678" t="s">
        <v>1978</v>
      </c>
      <c r="E1110" s="700" t="s">
        <v>873</v>
      </c>
      <c r="F1110" s="679">
        <v>7210</v>
      </c>
      <c r="G1110" s="822" t="s">
        <v>874</v>
      </c>
      <c r="H1110" s="693"/>
      <c r="I1110" s="693">
        <v>500</v>
      </c>
      <c r="J1110" s="1494" t="s">
        <v>1134</v>
      </c>
      <c r="K1110" s="692"/>
      <c r="L1110" s="693"/>
      <c r="M1110" s="693">
        <v>500</v>
      </c>
      <c r="N1110" s="14"/>
      <c r="O1110" s="187"/>
      <c r="P1110" s="187"/>
      <c r="Q1110" s="187"/>
      <c r="R1110" s="187"/>
      <c r="S1110" s="187"/>
      <c r="T1110" s="187"/>
      <c r="U1110" s="187"/>
      <c r="V1110" s="187"/>
      <c r="W1110" s="187"/>
      <c r="X1110" s="187"/>
      <c r="Y1110" s="187"/>
      <c r="Z1110" s="187"/>
      <c r="AA1110" s="187"/>
      <c r="AB1110" s="187"/>
      <c r="AC1110" s="187"/>
      <c r="AD1110" s="187"/>
      <c r="AE1110" s="187"/>
      <c r="AF1110" s="187"/>
    </row>
    <row r="1111" spans="1:32">
      <c r="A1111" s="849"/>
      <c r="B1111" s="3129" t="s">
        <v>436</v>
      </c>
      <c r="C1111" s="683" t="s">
        <v>427</v>
      </c>
      <c r="D1111" s="719" t="s">
        <v>1980</v>
      </c>
      <c r="E1111" s="1415" t="s">
        <v>1954</v>
      </c>
      <c r="F1111" s="685">
        <v>1119</v>
      </c>
      <c r="G1111" s="686" t="s">
        <v>756</v>
      </c>
      <c r="H1111" s="689">
        <v>195421.1999999999</v>
      </c>
      <c r="I1111" s="689"/>
      <c r="J1111" s="1494">
        <v>122259</v>
      </c>
      <c r="K1111" s="690"/>
      <c r="L1111" s="1962">
        <v>196686.42879999988</v>
      </c>
      <c r="M1111" s="1962"/>
      <c r="N1111" s="14"/>
      <c r="O1111" s="187"/>
      <c r="P1111" s="187"/>
      <c r="Q1111" s="187"/>
      <c r="R1111" s="187"/>
      <c r="S1111" s="187"/>
      <c r="T1111" s="187"/>
      <c r="U1111" s="187"/>
      <c r="V1111" s="187"/>
      <c r="W1111" s="187"/>
      <c r="X1111" s="187"/>
      <c r="Y1111" s="187"/>
      <c r="Z1111" s="187"/>
      <c r="AA1111" s="187"/>
      <c r="AB1111" s="187"/>
      <c r="AC1111" s="187"/>
      <c r="AD1111" s="187"/>
      <c r="AE1111" s="187"/>
      <c r="AF1111" s="187"/>
    </row>
    <row r="1112" spans="1:32">
      <c r="A1112" s="663"/>
      <c r="B1112" s="3130" t="s">
        <v>436</v>
      </c>
      <c r="C1112" s="663" t="s">
        <v>427</v>
      </c>
      <c r="D1112" s="678" t="s">
        <v>1980</v>
      </c>
      <c r="E1112" s="1407" t="s">
        <v>1954</v>
      </c>
      <c r="F1112" s="679">
        <v>1119</v>
      </c>
      <c r="G1112" s="845" t="s">
        <v>436</v>
      </c>
      <c r="H1112" s="846"/>
      <c r="I1112" s="847">
        <v>195421.1999999999</v>
      </c>
      <c r="J1112" s="1494" t="s">
        <v>1134</v>
      </c>
      <c r="K1112" s="886"/>
      <c r="L1112" s="3274"/>
      <c r="M1112" s="3275">
        <v>196686.42879999988</v>
      </c>
      <c r="N1112" s="14"/>
      <c r="O1112" s="187"/>
      <c r="P1112" s="187"/>
      <c r="Q1112" s="187"/>
      <c r="R1112" s="187"/>
      <c r="S1112" s="187"/>
      <c r="T1112" s="187"/>
      <c r="U1112" s="187"/>
      <c r="V1112" s="187"/>
      <c r="W1112" s="187"/>
      <c r="X1112" s="187"/>
      <c r="Y1112" s="187"/>
      <c r="Z1112" s="187"/>
      <c r="AA1112" s="187"/>
      <c r="AB1112" s="187"/>
      <c r="AC1112" s="187"/>
      <c r="AD1112" s="187"/>
      <c r="AE1112" s="187"/>
      <c r="AF1112" s="187"/>
    </row>
    <row r="1113" spans="1:32" ht="11.4" customHeight="1">
      <c r="A1113" s="663"/>
      <c r="B1113" s="3130" t="s">
        <v>436</v>
      </c>
      <c r="C1113" s="663" t="s">
        <v>427</v>
      </c>
      <c r="D1113" s="678" t="s">
        <v>1980</v>
      </c>
      <c r="E1113" s="1407" t="s">
        <v>1954</v>
      </c>
      <c r="F1113" s="679">
        <v>1119</v>
      </c>
      <c r="G1113" s="845" t="s">
        <v>1859</v>
      </c>
      <c r="H1113" s="846"/>
      <c r="I1113" s="847"/>
      <c r="J1113" s="1494" t="s">
        <v>1134</v>
      </c>
      <c r="K1113" s="886"/>
      <c r="L1113" s="3274"/>
      <c r="M1113" s="3275"/>
      <c r="N1113" s="14"/>
      <c r="O1113" s="187"/>
      <c r="P1113" s="187"/>
      <c r="Q1113" s="187"/>
      <c r="R1113" s="187"/>
      <c r="S1113" s="187"/>
      <c r="T1113" s="187"/>
      <c r="U1113" s="187"/>
      <c r="V1113" s="187"/>
      <c r="W1113" s="187"/>
      <c r="X1113" s="187"/>
      <c r="Y1113" s="187"/>
      <c r="Z1113" s="187"/>
      <c r="AA1113" s="187"/>
      <c r="AB1113" s="187"/>
      <c r="AC1113" s="187"/>
      <c r="AD1113" s="187"/>
      <c r="AE1113" s="187"/>
      <c r="AF1113" s="187"/>
    </row>
    <row r="1114" spans="1:32">
      <c r="A1114" s="849"/>
      <c r="B1114" s="3129" t="s">
        <v>326</v>
      </c>
      <c r="C1114" s="683" t="s">
        <v>321</v>
      </c>
      <c r="D1114" s="719" t="s">
        <v>1980</v>
      </c>
      <c r="E1114" s="1406" t="s">
        <v>1955</v>
      </c>
      <c r="F1114" s="824">
        <v>1119</v>
      </c>
      <c r="G1114" s="800" t="s">
        <v>757</v>
      </c>
      <c r="H1114" s="1373">
        <v>245555.59999999998</v>
      </c>
      <c r="I1114" s="706"/>
      <c r="J1114" s="1494">
        <v>184450.1</v>
      </c>
      <c r="K1114" s="802"/>
      <c r="L1114" s="3273">
        <v>266750</v>
      </c>
      <c r="M1114" s="1962"/>
      <c r="N1114" s="14"/>
      <c r="O1114" s="187"/>
      <c r="P1114" s="187"/>
      <c r="Q1114" s="187"/>
      <c r="R1114" s="187"/>
      <c r="S1114" s="187"/>
      <c r="T1114" s="187"/>
      <c r="U1114" s="187"/>
      <c r="V1114" s="187"/>
      <c r="W1114" s="187"/>
      <c r="X1114" s="187"/>
      <c r="Y1114" s="187"/>
      <c r="Z1114" s="187"/>
      <c r="AA1114" s="187"/>
      <c r="AB1114" s="187"/>
      <c r="AC1114" s="187"/>
      <c r="AD1114" s="187"/>
      <c r="AE1114" s="187"/>
      <c r="AF1114" s="187"/>
    </row>
    <row r="1115" spans="1:32">
      <c r="A1115" s="760"/>
      <c r="B1115" s="3130" t="s">
        <v>326</v>
      </c>
      <c r="C1115" s="663" t="s">
        <v>321</v>
      </c>
      <c r="D1115" s="678" t="s">
        <v>1980</v>
      </c>
      <c r="E1115" s="1407" t="s">
        <v>1955</v>
      </c>
      <c r="F1115" s="795">
        <v>1119</v>
      </c>
      <c r="G1115" s="1374"/>
      <c r="H1115" s="1375"/>
      <c r="I1115" s="1376">
        <v>245567.59999999998</v>
      </c>
      <c r="J1115" s="1494" t="s">
        <v>1134</v>
      </c>
      <c r="K1115" s="1377"/>
      <c r="L1115" s="3276"/>
      <c r="M1115" s="3275">
        <v>266750</v>
      </c>
      <c r="N1115" s="14"/>
      <c r="O1115" s="187"/>
      <c r="P1115" s="187"/>
      <c r="Q1115" s="187"/>
      <c r="R1115" s="187"/>
      <c r="S1115" s="187"/>
      <c r="T1115" s="187"/>
      <c r="U1115" s="187"/>
      <c r="V1115" s="187"/>
      <c r="W1115" s="187"/>
      <c r="X1115" s="187"/>
      <c r="Y1115" s="187"/>
      <c r="Z1115" s="187"/>
      <c r="AA1115" s="187"/>
      <c r="AB1115" s="187"/>
      <c r="AC1115" s="187"/>
      <c r="AD1115" s="187"/>
      <c r="AE1115" s="187"/>
      <c r="AF1115" s="187"/>
    </row>
    <row r="1116" spans="1:32" ht="20.399999999999999">
      <c r="A1116" s="760"/>
      <c r="B1116" s="3130" t="s">
        <v>326</v>
      </c>
      <c r="C1116" s="663" t="s">
        <v>321</v>
      </c>
      <c r="D1116" s="678" t="s">
        <v>1980</v>
      </c>
      <c r="E1116" s="1407" t="s">
        <v>1955</v>
      </c>
      <c r="F1116" s="795">
        <v>1119</v>
      </c>
      <c r="G1116" s="1374" t="s">
        <v>3029</v>
      </c>
      <c r="H1116" s="1375"/>
      <c r="I1116" s="1376">
        <v>-12</v>
      </c>
      <c r="J1116" s="1494" t="s">
        <v>1134</v>
      </c>
      <c r="K1116" s="1377"/>
      <c r="L1116" s="3276"/>
      <c r="M1116" s="3275"/>
      <c r="N1116" s="14"/>
      <c r="O1116" s="187"/>
      <c r="P1116" s="187"/>
      <c r="Q1116" s="187"/>
      <c r="R1116" s="187"/>
      <c r="S1116" s="187"/>
      <c r="T1116" s="187"/>
      <c r="U1116" s="187"/>
      <c r="V1116" s="187"/>
      <c r="W1116" s="187"/>
      <c r="X1116" s="187"/>
      <c r="Y1116" s="187"/>
      <c r="Z1116" s="187"/>
      <c r="AA1116" s="187"/>
      <c r="AB1116" s="187"/>
      <c r="AC1116" s="187"/>
      <c r="AD1116" s="187"/>
      <c r="AE1116" s="187"/>
      <c r="AF1116" s="187"/>
    </row>
    <row r="1117" spans="1:32">
      <c r="A1117" s="760"/>
      <c r="B1117" s="3130" t="s">
        <v>326</v>
      </c>
      <c r="C1117" s="663" t="s">
        <v>321</v>
      </c>
      <c r="D1117" s="678" t="s">
        <v>1980</v>
      </c>
      <c r="E1117" s="1407" t="s">
        <v>1955</v>
      </c>
      <c r="F1117" s="795">
        <v>1119</v>
      </c>
      <c r="G1117" s="1374" t="s">
        <v>1297</v>
      </c>
      <c r="H1117" s="1375"/>
      <c r="I1117" s="1376"/>
      <c r="J1117" s="1494" t="s">
        <v>1134</v>
      </c>
      <c r="K1117" s="1377"/>
      <c r="L1117" s="3276"/>
      <c r="M1117" s="3275"/>
      <c r="N1117" s="14"/>
      <c r="O1117" s="187"/>
      <c r="P1117" s="187"/>
      <c r="Q1117" s="187"/>
      <c r="R1117" s="187"/>
      <c r="S1117" s="187"/>
      <c r="T1117" s="187"/>
      <c r="U1117" s="187"/>
      <c r="V1117" s="187"/>
      <c r="W1117" s="187"/>
      <c r="X1117" s="187"/>
      <c r="Y1117" s="187"/>
      <c r="Z1117" s="187"/>
      <c r="AA1117" s="187"/>
      <c r="AB1117" s="187"/>
      <c r="AC1117" s="187"/>
      <c r="AD1117" s="187"/>
      <c r="AE1117" s="187"/>
      <c r="AF1117" s="187"/>
    </row>
    <row r="1118" spans="1:32" ht="20.399999999999999">
      <c r="A1118" s="760"/>
      <c r="B1118" s="3130" t="s">
        <v>326</v>
      </c>
      <c r="C1118" s="663" t="s">
        <v>321</v>
      </c>
      <c r="D1118" s="678" t="s">
        <v>1980</v>
      </c>
      <c r="E1118" s="1407" t="s">
        <v>1955</v>
      </c>
      <c r="F1118" s="795">
        <v>1119</v>
      </c>
      <c r="G1118" s="1374" t="s">
        <v>2044</v>
      </c>
      <c r="H1118" s="1375"/>
      <c r="I1118" s="1376"/>
      <c r="J1118" s="1494" t="s">
        <v>1134</v>
      </c>
      <c r="K1118" s="1377"/>
      <c r="L1118" s="3276"/>
      <c r="M1118" s="3275"/>
      <c r="N1118" s="14"/>
      <c r="O1118" s="187"/>
      <c r="P1118" s="187"/>
      <c r="Q1118" s="187"/>
      <c r="R1118" s="187"/>
      <c r="S1118" s="187"/>
      <c r="T1118" s="187"/>
      <c r="U1118" s="187"/>
      <c r="V1118" s="187"/>
      <c r="W1118" s="187"/>
      <c r="X1118" s="187"/>
      <c r="Y1118" s="187"/>
      <c r="Z1118" s="187"/>
      <c r="AA1118" s="187"/>
      <c r="AB1118" s="187"/>
      <c r="AC1118" s="187"/>
      <c r="AD1118" s="187"/>
      <c r="AE1118" s="187"/>
      <c r="AF1118" s="187"/>
    </row>
    <row r="1119" spans="1:32" ht="30.6">
      <c r="A1119" s="849"/>
      <c r="B1119" s="3129" t="s">
        <v>326</v>
      </c>
      <c r="C1119" s="683" t="s">
        <v>321</v>
      </c>
      <c r="D1119" s="719" t="s">
        <v>1980</v>
      </c>
      <c r="E1119" s="720" t="s">
        <v>1955</v>
      </c>
      <c r="F1119" s="824">
        <v>7245</v>
      </c>
      <c r="G1119" s="800" t="s">
        <v>521</v>
      </c>
      <c r="H1119" s="802">
        <v>12</v>
      </c>
      <c r="I1119" s="706"/>
      <c r="J1119" s="1494">
        <v>11.65</v>
      </c>
      <c r="K1119" s="802"/>
      <c r="L1119" s="837">
        <v>23</v>
      </c>
      <c r="M1119" s="837"/>
      <c r="N1119" s="14"/>
      <c r="O1119" s="187"/>
      <c r="P1119" s="187"/>
      <c r="Q1119" s="187"/>
      <c r="R1119" s="187"/>
      <c r="S1119" s="187"/>
      <c r="T1119" s="187"/>
      <c r="U1119" s="187"/>
      <c r="V1119" s="187"/>
      <c r="W1119" s="187"/>
      <c r="X1119" s="187"/>
      <c r="Y1119" s="187"/>
      <c r="Z1119" s="187"/>
      <c r="AA1119" s="187"/>
      <c r="AB1119" s="187"/>
      <c r="AC1119" s="187"/>
      <c r="AD1119" s="187"/>
      <c r="AE1119" s="187"/>
      <c r="AF1119" s="187"/>
    </row>
    <row r="1120" spans="1:32">
      <c r="A1120" s="760"/>
      <c r="B1120" s="3130" t="s">
        <v>326</v>
      </c>
      <c r="C1120" s="663" t="s">
        <v>321</v>
      </c>
      <c r="D1120" s="678" t="s">
        <v>1980</v>
      </c>
      <c r="E1120" s="700" t="s">
        <v>1955</v>
      </c>
      <c r="F1120" s="795">
        <v>7245</v>
      </c>
      <c r="G1120" s="1374" t="s">
        <v>5170</v>
      </c>
      <c r="H1120" s="1375"/>
      <c r="I1120" s="1376">
        <v>12</v>
      </c>
      <c r="J1120" s="1494" t="s">
        <v>1134</v>
      </c>
      <c r="K1120" s="1377"/>
      <c r="L1120" s="3014"/>
      <c r="M1120" s="3013">
        <v>23</v>
      </c>
      <c r="N1120" s="14"/>
      <c r="O1120" s="187"/>
      <c r="P1120" s="187"/>
      <c r="Q1120" s="187"/>
      <c r="R1120" s="187"/>
      <c r="S1120" s="187"/>
      <c r="T1120" s="187"/>
      <c r="U1120" s="187"/>
      <c r="V1120" s="187"/>
      <c r="W1120" s="187"/>
      <c r="X1120" s="187"/>
      <c r="Y1120" s="187"/>
      <c r="Z1120" s="187"/>
      <c r="AA1120" s="187"/>
      <c r="AB1120" s="187"/>
      <c r="AC1120" s="187"/>
      <c r="AD1120" s="187"/>
      <c r="AE1120" s="187"/>
      <c r="AF1120" s="187"/>
    </row>
    <row r="1121" spans="1:32" ht="11.4" customHeight="1">
      <c r="A1121" s="849"/>
      <c r="B1121" s="3129" t="s">
        <v>326</v>
      </c>
      <c r="C1121" s="683" t="s">
        <v>321</v>
      </c>
      <c r="D1121" s="719" t="s">
        <v>1980</v>
      </c>
      <c r="E1121" s="1406" t="s">
        <v>1955</v>
      </c>
      <c r="F1121" s="824">
        <v>1146</v>
      </c>
      <c r="G1121" s="800" t="s">
        <v>579</v>
      </c>
      <c r="H1121" s="802">
        <v>2918</v>
      </c>
      <c r="I1121" s="706"/>
      <c r="J1121" s="1494">
        <v>0</v>
      </c>
      <c r="K1121" s="802"/>
      <c r="L1121" s="3273">
        <v>2918</v>
      </c>
      <c r="M1121" s="1962"/>
      <c r="N1121" s="14"/>
      <c r="O1121" s="187"/>
      <c r="P1121" s="187"/>
      <c r="Q1121" s="187"/>
      <c r="R1121" s="187"/>
      <c r="S1121" s="187"/>
      <c r="T1121" s="187"/>
      <c r="U1121" s="187"/>
      <c r="V1121" s="187"/>
      <c r="W1121" s="187"/>
      <c r="X1121" s="187"/>
      <c r="Y1121" s="187"/>
      <c r="Z1121" s="187"/>
      <c r="AA1121" s="187"/>
      <c r="AB1121" s="187"/>
      <c r="AC1121" s="187"/>
      <c r="AD1121" s="187"/>
      <c r="AE1121" s="187"/>
      <c r="AF1121" s="187"/>
    </row>
    <row r="1122" spans="1:32">
      <c r="A1122" s="760"/>
      <c r="B1122" s="3130" t="s">
        <v>326</v>
      </c>
      <c r="C1122" s="663" t="s">
        <v>321</v>
      </c>
      <c r="D1122" s="678" t="s">
        <v>1980</v>
      </c>
      <c r="E1122" s="1407" t="s">
        <v>1955</v>
      </c>
      <c r="F1122" s="795">
        <v>1146</v>
      </c>
      <c r="G1122" s="1374"/>
      <c r="H1122" s="1375"/>
      <c r="I1122" s="1376">
        <v>2918</v>
      </c>
      <c r="J1122" s="1494" t="s">
        <v>1134</v>
      </c>
      <c r="K1122" s="1377"/>
      <c r="L1122" s="3274"/>
      <c r="M1122" s="3275">
        <v>2918</v>
      </c>
      <c r="N1122" s="306"/>
      <c r="O1122" s="187"/>
      <c r="P1122" s="187"/>
      <c r="Q1122" s="187"/>
      <c r="R1122" s="187"/>
      <c r="S1122" s="187"/>
      <c r="T1122" s="187"/>
      <c r="U1122" s="187"/>
      <c r="V1122" s="187"/>
      <c r="W1122" s="187"/>
      <c r="X1122" s="187"/>
      <c r="Y1122" s="187"/>
      <c r="Z1122" s="187"/>
      <c r="AA1122" s="187"/>
      <c r="AB1122" s="187"/>
      <c r="AC1122" s="187"/>
      <c r="AD1122" s="187"/>
      <c r="AE1122" s="187"/>
      <c r="AF1122" s="187"/>
    </row>
    <row r="1123" spans="1:32" ht="20.399999999999999">
      <c r="A1123" s="849"/>
      <c r="B1123" s="3129" t="s">
        <v>436</v>
      </c>
      <c r="C1123" s="683" t="s">
        <v>427</v>
      </c>
      <c r="D1123" s="719" t="s">
        <v>1980</v>
      </c>
      <c r="E1123" s="720" t="s">
        <v>1954</v>
      </c>
      <c r="F1123" s="824">
        <v>1146</v>
      </c>
      <c r="G1123" s="800" t="s">
        <v>579</v>
      </c>
      <c r="H1123" s="706">
        <v>2500</v>
      </c>
      <c r="I1123" s="706"/>
      <c r="J1123" s="1654">
        <v>1614</v>
      </c>
      <c r="K1123" s="802"/>
      <c r="L1123" s="713">
        <v>2500</v>
      </c>
      <c r="M1123" s="713"/>
      <c r="N1123" s="381"/>
      <c r="O1123" s="187"/>
      <c r="P1123" s="187"/>
      <c r="Q1123" s="187"/>
      <c r="R1123" s="187"/>
      <c r="S1123" s="187"/>
      <c r="T1123" s="187"/>
      <c r="U1123" s="187"/>
      <c r="V1123" s="187"/>
      <c r="W1123" s="187"/>
      <c r="X1123" s="187"/>
      <c r="Y1123" s="187"/>
      <c r="Z1123" s="187"/>
      <c r="AA1123" s="187"/>
      <c r="AB1123" s="187"/>
      <c r="AC1123" s="187"/>
      <c r="AD1123" s="187"/>
      <c r="AE1123" s="187"/>
      <c r="AF1123" s="187"/>
    </row>
    <row r="1124" spans="1:32" ht="20.399999999999999">
      <c r="A1124" s="760"/>
      <c r="B1124" s="3130" t="s">
        <v>436</v>
      </c>
      <c r="C1124" s="663" t="s">
        <v>427</v>
      </c>
      <c r="D1124" s="678" t="s">
        <v>1980</v>
      </c>
      <c r="E1124" s="700" t="s">
        <v>1954</v>
      </c>
      <c r="F1124" s="795">
        <v>1146</v>
      </c>
      <c r="G1124" s="1374" t="s">
        <v>579</v>
      </c>
      <c r="H1124" s="1375"/>
      <c r="I1124" s="1376">
        <v>500</v>
      </c>
      <c r="J1124" s="1654" t="s">
        <v>1134</v>
      </c>
      <c r="K1124" s="1377"/>
      <c r="L1124" s="2212"/>
      <c r="M1124" s="2213">
        <v>2500</v>
      </c>
      <c r="N1124" s="359"/>
      <c r="O1124" s="187"/>
      <c r="P1124" s="187"/>
      <c r="Q1124" s="187"/>
      <c r="R1124" s="187"/>
      <c r="S1124" s="187"/>
      <c r="T1124" s="187"/>
      <c r="U1124" s="187"/>
      <c r="V1124" s="187"/>
      <c r="W1124" s="187"/>
      <c r="X1124" s="187"/>
      <c r="Y1124" s="187"/>
      <c r="Z1124" s="187"/>
      <c r="AA1124" s="187"/>
      <c r="AB1124" s="187"/>
      <c r="AC1124" s="187"/>
      <c r="AD1124" s="187"/>
      <c r="AE1124" s="187"/>
      <c r="AF1124" s="187"/>
    </row>
    <row r="1125" spans="1:32" ht="20.399999999999999">
      <c r="A1125" s="760"/>
      <c r="B1125" s="3130" t="s">
        <v>436</v>
      </c>
      <c r="C1125" s="663" t="s">
        <v>427</v>
      </c>
      <c r="D1125" s="678" t="s">
        <v>1980</v>
      </c>
      <c r="E1125" s="700" t="s">
        <v>1954</v>
      </c>
      <c r="F1125" s="795">
        <v>1146</v>
      </c>
      <c r="G1125" s="1374" t="s">
        <v>3068</v>
      </c>
      <c r="H1125" s="1375"/>
      <c r="I1125" s="1376">
        <v>1000</v>
      </c>
      <c r="J1125" s="1654" t="s">
        <v>1134</v>
      </c>
      <c r="K1125" s="1377"/>
      <c r="L1125" s="2212"/>
      <c r="M1125" s="2213"/>
      <c r="N1125" s="359"/>
      <c r="O1125" s="187"/>
      <c r="P1125" s="187"/>
      <c r="Q1125" s="187"/>
      <c r="R1125" s="187"/>
      <c r="S1125" s="187"/>
      <c r="T1125" s="187"/>
      <c r="U1125" s="187"/>
      <c r="V1125" s="187"/>
      <c r="W1125" s="187"/>
      <c r="X1125" s="187"/>
      <c r="Y1125" s="187"/>
      <c r="Z1125" s="187"/>
      <c r="AA1125" s="187"/>
      <c r="AB1125" s="187"/>
      <c r="AC1125" s="187"/>
      <c r="AD1125" s="187"/>
      <c r="AE1125" s="187"/>
      <c r="AF1125" s="187"/>
    </row>
    <row r="1126" spans="1:32" ht="20.399999999999999">
      <c r="A1126" s="760"/>
      <c r="B1126" s="3130" t="s">
        <v>436</v>
      </c>
      <c r="C1126" s="663" t="s">
        <v>427</v>
      </c>
      <c r="D1126" s="678" t="s">
        <v>1980</v>
      </c>
      <c r="E1126" s="700" t="s">
        <v>1954</v>
      </c>
      <c r="F1126" s="795">
        <v>1146</v>
      </c>
      <c r="G1126" s="1374" t="s">
        <v>3068</v>
      </c>
      <c r="H1126" s="1375"/>
      <c r="I1126" s="1376">
        <v>1000</v>
      </c>
      <c r="J1126" s="1654" t="s">
        <v>1134</v>
      </c>
      <c r="K1126" s="1377"/>
      <c r="L1126" s="2212"/>
      <c r="M1126" s="2213"/>
      <c r="N1126" s="176" t="s">
        <v>4226</v>
      </c>
      <c r="O1126" s="187"/>
      <c r="P1126" s="187"/>
      <c r="Q1126" s="187"/>
      <c r="R1126" s="187"/>
      <c r="S1126" s="187"/>
      <c r="T1126" s="187"/>
      <c r="U1126" s="187"/>
      <c r="V1126" s="187"/>
      <c r="W1126" s="187"/>
      <c r="X1126" s="187"/>
      <c r="Y1126" s="187"/>
      <c r="Z1126" s="187"/>
      <c r="AA1126" s="187"/>
      <c r="AB1126" s="187"/>
      <c r="AC1126" s="187"/>
      <c r="AD1126" s="187"/>
      <c r="AE1126" s="187"/>
      <c r="AF1126" s="187"/>
    </row>
    <row r="1127" spans="1:32">
      <c r="A1127" s="849"/>
      <c r="B1127" s="3129" t="s">
        <v>436</v>
      </c>
      <c r="C1127" s="683" t="s">
        <v>427</v>
      </c>
      <c r="D1127" s="719" t="s">
        <v>1980</v>
      </c>
      <c r="E1127" s="1406" t="s">
        <v>1954</v>
      </c>
      <c r="F1127" s="685">
        <v>1147</v>
      </c>
      <c r="G1127" s="686" t="s">
        <v>371</v>
      </c>
      <c r="H1127" s="689">
        <v>33072.459999999992</v>
      </c>
      <c r="I1127" s="689"/>
      <c r="J1127" s="1494">
        <v>2559</v>
      </c>
      <c r="K1127" s="690"/>
      <c r="L1127" s="1962">
        <v>48622.041239999991</v>
      </c>
      <c r="M1127" s="1962"/>
      <c r="N1127" s="16"/>
      <c r="O1127" s="187"/>
      <c r="P1127" s="187"/>
      <c r="Q1127" s="187"/>
      <c r="R1127" s="187"/>
      <c r="S1127" s="187"/>
      <c r="T1127" s="187"/>
      <c r="U1127" s="187"/>
      <c r="V1127" s="187"/>
      <c r="W1127" s="187"/>
      <c r="X1127" s="187"/>
      <c r="Y1127" s="187"/>
      <c r="Z1127" s="187"/>
      <c r="AA1127" s="187"/>
      <c r="AB1127" s="187"/>
      <c r="AC1127" s="187"/>
      <c r="AD1127" s="187"/>
      <c r="AE1127" s="187"/>
      <c r="AF1127" s="187"/>
    </row>
    <row r="1128" spans="1:32">
      <c r="A1128" s="760"/>
      <c r="B1128" s="3130" t="s">
        <v>436</v>
      </c>
      <c r="C1128" s="663" t="s">
        <v>427</v>
      </c>
      <c r="D1128" s="678" t="s">
        <v>1980</v>
      </c>
      <c r="E1128" s="1407" t="s">
        <v>1954</v>
      </c>
      <c r="F1128" s="679">
        <v>1147</v>
      </c>
      <c r="G1128" s="845" t="s">
        <v>371</v>
      </c>
      <c r="H1128" s="846"/>
      <c r="I1128" s="847">
        <v>47372.459999999992</v>
      </c>
      <c r="J1128" s="1494" t="s">
        <v>1134</v>
      </c>
      <c r="K1128" s="886"/>
      <c r="L1128" s="3274"/>
      <c r="M1128" s="3275">
        <v>48622.041239999991</v>
      </c>
      <c r="N1128" s="381"/>
      <c r="O1128" s="187"/>
      <c r="P1128" s="187"/>
      <c r="Q1128" s="187"/>
      <c r="R1128" s="187"/>
      <c r="S1128" s="187"/>
      <c r="T1128" s="187"/>
      <c r="U1128" s="187"/>
      <c r="V1128" s="187"/>
      <c r="W1128" s="187"/>
      <c r="X1128" s="187"/>
      <c r="Y1128" s="187"/>
      <c r="Z1128" s="187"/>
      <c r="AA1128" s="187"/>
      <c r="AB1128" s="187"/>
      <c r="AC1128" s="187"/>
      <c r="AD1128" s="187"/>
      <c r="AE1128" s="187"/>
      <c r="AF1128" s="187"/>
    </row>
    <row r="1129" spans="1:32" ht="20.399999999999999">
      <c r="A1129" s="760"/>
      <c r="B1129" s="3130" t="s">
        <v>436</v>
      </c>
      <c r="C1129" s="663" t="s">
        <v>427</v>
      </c>
      <c r="D1129" s="678" t="s">
        <v>1980</v>
      </c>
      <c r="E1129" s="1407" t="s">
        <v>1954</v>
      </c>
      <c r="F1129" s="679">
        <v>1147</v>
      </c>
      <c r="G1129" s="845" t="s">
        <v>3068</v>
      </c>
      <c r="H1129" s="846"/>
      <c r="I1129" s="847">
        <v>-1000</v>
      </c>
      <c r="J1129" s="1494" t="s">
        <v>1134</v>
      </c>
      <c r="K1129" s="886"/>
      <c r="L1129" s="3274"/>
      <c r="M1129" s="3275"/>
      <c r="N1129" s="381"/>
      <c r="O1129" s="187"/>
      <c r="P1129" s="187"/>
      <c r="Q1129" s="187"/>
      <c r="R1129" s="187"/>
      <c r="S1129" s="187"/>
      <c r="T1129" s="187"/>
      <c r="U1129" s="187"/>
      <c r="V1129" s="187"/>
      <c r="W1129" s="187"/>
      <c r="X1129" s="187"/>
      <c r="Y1129" s="187"/>
      <c r="Z1129" s="187"/>
      <c r="AA1129" s="187"/>
      <c r="AB1129" s="187"/>
      <c r="AC1129" s="187"/>
      <c r="AD1129" s="187"/>
      <c r="AE1129" s="187"/>
      <c r="AF1129" s="187"/>
    </row>
    <row r="1130" spans="1:32" ht="20.399999999999999">
      <c r="A1130" s="760"/>
      <c r="B1130" s="3130" t="s">
        <v>436</v>
      </c>
      <c r="C1130" s="663" t="s">
        <v>427</v>
      </c>
      <c r="D1130" s="678" t="s">
        <v>1980</v>
      </c>
      <c r="E1130" s="1407" t="s">
        <v>1954</v>
      </c>
      <c r="F1130" s="679">
        <v>1147</v>
      </c>
      <c r="G1130" s="845" t="s">
        <v>3226</v>
      </c>
      <c r="H1130" s="846"/>
      <c r="I1130" s="847">
        <v>-12000</v>
      </c>
      <c r="J1130" s="1494" t="s">
        <v>1134</v>
      </c>
      <c r="K1130" s="886"/>
      <c r="L1130" s="3274"/>
      <c r="M1130" s="3275"/>
      <c r="N1130" s="381"/>
      <c r="O1130" s="187"/>
      <c r="P1130" s="187"/>
      <c r="Q1130" s="187"/>
      <c r="R1130" s="187"/>
      <c r="S1130" s="187"/>
      <c r="T1130" s="187"/>
      <c r="U1130" s="187"/>
      <c r="V1130" s="187"/>
      <c r="W1130" s="187"/>
      <c r="X1130" s="187"/>
      <c r="Y1130" s="187"/>
      <c r="Z1130" s="187"/>
      <c r="AA1130" s="187"/>
      <c r="AB1130" s="187"/>
      <c r="AC1130" s="187"/>
      <c r="AD1130" s="187"/>
      <c r="AE1130" s="187"/>
      <c r="AF1130" s="187"/>
    </row>
    <row r="1131" spans="1:32" ht="20.399999999999999">
      <c r="A1131" s="760"/>
      <c r="B1131" s="3130" t="s">
        <v>436</v>
      </c>
      <c r="C1131" s="663" t="s">
        <v>427</v>
      </c>
      <c r="D1131" s="678" t="s">
        <v>1980</v>
      </c>
      <c r="E1131" s="1407" t="s">
        <v>1954</v>
      </c>
      <c r="F1131" s="679">
        <v>1147</v>
      </c>
      <c r="G1131" s="845" t="s">
        <v>3227</v>
      </c>
      <c r="H1131" s="846"/>
      <c r="I1131" s="847">
        <v>-300</v>
      </c>
      <c r="J1131" s="1494" t="s">
        <v>1134</v>
      </c>
      <c r="K1131" s="886"/>
      <c r="L1131" s="3274"/>
      <c r="M1131" s="3275"/>
      <c r="N1131" s="381"/>
      <c r="O1131" s="187"/>
      <c r="P1131" s="187"/>
      <c r="Q1131" s="187"/>
      <c r="R1131" s="187"/>
      <c r="S1131" s="187"/>
      <c r="T1131" s="187"/>
      <c r="U1131" s="187"/>
      <c r="V1131" s="187"/>
      <c r="W1131" s="187"/>
      <c r="X1131" s="187"/>
      <c r="Y1131" s="187"/>
      <c r="Z1131" s="187"/>
      <c r="AA1131" s="187"/>
      <c r="AB1131" s="187"/>
      <c r="AC1131" s="187"/>
      <c r="AD1131" s="187"/>
      <c r="AE1131" s="187"/>
      <c r="AF1131" s="187"/>
    </row>
    <row r="1132" spans="1:32" ht="20.399999999999999">
      <c r="A1132" s="760"/>
      <c r="B1132" s="3130" t="s">
        <v>436</v>
      </c>
      <c r="C1132" s="663" t="s">
        <v>427</v>
      </c>
      <c r="D1132" s="678" t="s">
        <v>1980</v>
      </c>
      <c r="E1132" s="1407" t="s">
        <v>1954</v>
      </c>
      <c r="F1132" s="679">
        <v>1147</v>
      </c>
      <c r="G1132" s="845" t="s">
        <v>3068</v>
      </c>
      <c r="H1132" s="846"/>
      <c r="I1132" s="847">
        <v>-1000</v>
      </c>
      <c r="J1132" s="1494" t="s">
        <v>1134</v>
      </c>
      <c r="K1132" s="886"/>
      <c r="L1132" s="3274"/>
      <c r="M1132" s="3275"/>
      <c r="N1132" s="381"/>
      <c r="O1132" s="187"/>
      <c r="P1132" s="187"/>
      <c r="Q1132" s="187"/>
      <c r="R1132" s="187"/>
      <c r="S1132" s="187"/>
      <c r="T1132" s="187"/>
      <c r="U1132" s="187"/>
      <c r="V1132" s="187"/>
      <c r="W1132" s="187"/>
      <c r="X1132" s="187"/>
      <c r="Y1132" s="187"/>
      <c r="Z1132" s="187"/>
      <c r="AA1132" s="187"/>
      <c r="AB1132" s="187"/>
      <c r="AC1132" s="187"/>
      <c r="AD1132" s="187"/>
      <c r="AE1132" s="187"/>
      <c r="AF1132" s="187"/>
    </row>
    <row r="1133" spans="1:32">
      <c r="A1133" s="849"/>
      <c r="B1133" s="3129" t="s">
        <v>326</v>
      </c>
      <c r="C1133" s="683" t="s">
        <v>321</v>
      </c>
      <c r="D1133" s="719" t="s">
        <v>1980</v>
      </c>
      <c r="E1133" s="1406" t="s">
        <v>1955</v>
      </c>
      <c r="F1133" s="824">
        <v>1147</v>
      </c>
      <c r="G1133" s="800" t="s">
        <v>371</v>
      </c>
      <c r="H1133" s="802">
        <v>5000</v>
      </c>
      <c r="I1133" s="706"/>
      <c r="J1133" s="1494">
        <v>2123.9899999999998</v>
      </c>
      <c r="K1133" s="802"/>
      <c r="L1133" s="3273">
        <v>5000</v>
      </c>
      <c r="M1133" s="1962"/>
      <c r="N1133" s="381"/>
      <c r="O1133" s="4"/>
      <c r="P1133" s="4"/>
      <c r="Q1133" s="4"/>
      <c r="R1133" s="4"/>
      <c r="S1133" s="4"/>
      <c r="T1133" s="4"/>
      <c r="U1133" s="4"/>
      <c r="V1133" s="4"/>
      <c r="W1133" s="4"/>
      <c r="X1133" s="4"/>
      <c r="Y1133" s="4"/>
      <c r="Z1133" s="4"/>
      <c r="AA1133" s="4"/>
      <c r="AB1133" s="4"/>
      <c r="AC1133" s="4"/>
      <c r="AD1133" s="4"/>
      <c r="AE1133" s="4"/>
      <c r="AF1133" s="4"/>
    </row>
    <row r="1134" spans="1:32">
      <c r="A1134" s="760"/>
      <c r="B1134" s="3130" t="s">
        <v>326</v>
      </c>
      <c r="C1134" s="663" t="s">
        <v>321</v>
      </c>
      <c r="D1134" s="678" t="s">
        <v>1980</v>
      </c>
      <c r="E1134" s="1407" t="s">
        <v>1955</v>
      </c>
      <c r="F1134" s="795">
        <v>1147</v>
      </c>
      <c r="G1134" s="1374"/>
      <c r="H1134" s="1375"/>
      <c r="I1134" s="1376">
        <v>5000</v>
      </c>
      <c r="J1134" s="1494" t="s">
        <v>1134</v>
      </c>
      <c r="K1134" s="1377"/>
      <c r="L1134" s="3274"/>
      <c r="M1134" s="3275">
        <v>5000</v>
      </c>
      <c r="N1134" s="381"/>
      <c r="O1134" s="187"/>
      <c r="P1134" s="187"/>
      <c r="Q1134" s="187"/>
      <c r="R1134" s="187"/>
      <c r="S1134" s="187"/>
      <c r="T1134" s="187"/>
      <c r="U1134" s="187"/>
      <c r="V1134" s="187"/>
      <c r="W1134" s="187"/>
      <c r="X1134" s="187"/>
      <c r="Y1134" s="187"/>
      <c r="Z1134" s="187"/>
      <c r="AA1134" s="187"/>
      <c r="AB1134" s="187"/>
      <c r="AC1134" s="187"/>
      <c r="AD1134" s="187"/>
      <c r="AE1134" s="187"/>
      <c r="AF1134" s="187"/>
    </row>
    <row r="1135" spans="1:32">
      <c r="A1135" s="849"/>
      <c r="B1135" s="3129" t="s">
        <v>436</v>
      </c>
      <c r="C1135" s="683" t="s">
        <v>427</v>
      </c>
      <c r="D1135" s="719" t="s">
        <v>1980</v>
      </c>
      <c r="E1135" s="720" t="s">
        <v>1954</v>
      </c>
      <c r="F1135" s="824">
        <v>1148</v>
      </c>
      <c r="G1135" s="800" t="s">
        <v>758</v>
      </c>
      <c r="H1135" s="706">
        <v>5000</v>
      </c>
      <c r="I1135" s="706"/>
      <c r="J1135" s="1654">
        <v>600</v>
      </c>
      <c r="K1135" s="802"/>
      <c r="L1135" s="713">
        <v>5000</v>
      </c>
      <c r="M1135" s="713"/>
      <c r="N1135" s="381"/>
      <c r="O1135" s="4"/>
      <c r="P1135" s="4"/>
      <c r="Q1135" s="4"/>
      <c r="R1135" s="4"/>
      <c r="S1135" s="4"/>
      <c r="T1135" s="4"/>
      <c r="U1135" s="4"/>
      <c r="V1135" s="4"/>
      <c r="W1135" s="4"/>
      <c r="X1135" s="4"/>
      <c r="Y1135" s="4"/>
      <c r="Z1135" s="4"/>
      <c r="AA1135" s="4"/>
      <c r="AB1135" s="4"/>
      <c r="AC1135" s="4"/>
      <c r="AD1135" s="4"/>
      <c r="AE1135" s="4"/>
      <c r="AF1135" s="4"/>
    </row>
    <row r="1136" spans="1:32">
      <c r="A1136" s="663"/>
      <c r="B1136" s="3130" t="s">
        <v>436</v>
      </c>
      <c r="C1136" s="663" t="s">
        <v>427</v>
      </c>
      <c r="D1136" s="678" t="s">
        <v>1980</v>
      </c>
      <c r="E1136" s="700" t="s">
        <v>1954</v>
      </c>
      <c r="F1136" s="795">
        <v>1148</v>
      </c>
      <c r="G1136" s="1374" t="s">
        <v>436</v>
      </c>
      <c r="H1136" s="1375"/>
      <c r="I1136" s="1376">
        <v>5000</v>
      </c>
      <c r="J1136" s="1654" t="s">
        <v>1134</v>
      </c>
      <c r="K1136" s="1377"/>
      <c r="L1136" s="1375"/>
      <c r="M1136" s="1376">
        <v>5000</v>
      </c>
      <c r="N1136" s="381"/>
      <c r="O1136" s="187"/>
      <c r="P1136" s="187"/>
      <c r="Q1136" s="187"/>
      <c r="R1136" s="187"/>
      <c r="S1136" s="187"/>
      <c r="T1136" s="187"/>
      <c r="U1136" s="187"/>
      <c r="V1136" s="187"/>
      <c r="W1136" s="187"/>
      <c r="X1136" s="187"/>
      <c r="Y1136" s="187"/>
      <c r="Z1136" s="187"/>
      <c r="AA1136" s="187"/>
      <c r="AB1136" s="187"/>
      <c r="AC1136" s="187"/>
      <c r="AD1136" s="187"/>
      <c r="AE1136" s="187"/>
      <c r="AF1136" s="187"/>
    </row>
    <row r="1137" spans="1:32">
      <c r="A1137" s="849"/>
      <c r="B1137" s="3129" t="s">
        <v>326</v>
      </c>
      <c r="C1137" s="683" t="s">
        <v>321</v>
      </c>
      <c r="D1137" s="719" t="s">
        <v>1980</v>
      </c>
      <c r="E1137" s="1406" t="s">
        <v>1955</v>
      </c>
      <c r="F1137" s="824">
        <v>1148</v>
      </c>
      <c r="G1137" s="800" t="s">
        <v>758</v>
      </c>
      <c r="H1137" s="802"/>
      <c r="I1137" s="706"/>
      <c r="J1137" s="1494" t="s">
        <v>1134</v>
      </c>
      <c r="K1137" s="802"/>
      <c r="L1137" s="1962"/>
      <c r="M1137" s="1962"/>
      <c r="N1137" s="381"/>
      <c r="O1137" s="187"/>
      <c r="P1137" s="187"/>
      <c r="Q1137" s="187"/>
      <c r="R1137" s="187"/>
      <c r="S1137" s="187"/>
      <c r="T1137" s="187"/>
      <c r="U1137" s="187"/>
      <c r="V1137" s="187"/>
      <c r="W1137" s="187"/>
      <c r="X1137" s="187"/>
      <c r="Y1137" s="187"/>
      <c r="Z1137" s="187"/>
      <c r="AA1137" s="187"/>
      <c r="AB1137" s="187"/>
      <c r="AC1137" s="187"/>
      <c r="AD1137" s="187"/>
      <c r="AE1137" s="187"/>
      <c r="AF1137" s="187"/>
    </row>
    <row r="1138" spans="1:32" ht="51">
      <c r="A1138" s="849"/>
      <c r="B1138" s="3129" t="s">
        <v>772</v>
      </c>
      <c r="C1138" s="683" t="s">
        <v>427</v>
      </c>
      <c r="D1138" s="719" t="s">
        <v>1980</v>
      </c>
      <c r="E1138" s="720" t="s">
        <v>1954</v>
      </c>
      <c r="F1138" s="824">
        <v>1150</v>
      </c>
      <c r="G1138" s="800" t="s">
        <v>1041</v>
      </c>
      <c r="H1138" s="706">
        <v>1113</v>
      </c>
      <c r="I1138" s="706"/>
      <c r="J1138" s="1654">
        <v>900</v>
      </c>
      <c r="K1138" s="802"/>
      <c r="L1138" s="713">
        <v>1113</v>
      </c>
      <c r="M1138" s="713"/>
      <c r="N1138" s="381"/>
      <c r="O1138" s="187"/>
      <c r="P1138" s="187"/>
      <c r="Q1138" s="187"/>
      <c r="R1138" s="187"/>
      <c r="S1138" s="187"/>
      <c r="T1138" s="187"/>
      <c r="U1138" s="187"/>
      <c r="V1138" s="187"/>
      <c r="W1138" s="187"/>
      <c r="X1138" s="187"/>
      <c r="Y1138" s="187"/>
      <c r="Z1138" s="187"/>
      <c r="AA1138" s="187"/>
      <c r="AB1138" s="187"/>
      <c r="AC1138" s="187"/>
      <c r="AD1138" s="187"/>
      <c r="AE1138" s="187"/>
      <c r="AF1138" s="187"/>
    </row>
    <row r="1139" spans="1:32" ht="20.399999999999999">
      <c r="A1139" s="663"/>
      <c r="B1139" s="3130" t="s">
        <v>772</v>
      </c>
      <c r="C1139" s="663" t="s">
        <v>427</v>
      </c>
      <c r="D1139" s="678" t="s">
        <v>1980</v>
      </c>
      <c r="E1139" s="700" t="s">
        <v>1954</v>
      </c>
      <c r="F1139" s="795">
        <v>1150</v>
      </c>
      <c r="G1139" s="1374" t="s">
        <v>4224</v>
      </c>
      <c r="H1139" s="1375"/>
      <c r="I1139" s="1376">
        <v>1113</v>
      </c>
      <c r="J1139" s="1654" t="s">
        <v>1134</v>
      </c>
      <c r="K1139" s="1377"/>
      <c r="L1139" s="1375"/>
      <c r="M1139" s="1376">
        <v>1113</v>
      </c>
      <c r="N1139" s="1224"/>
      <c r="O1139" s="187"/>
      <c r="P1139" s="187"/>
      <c r="Q1139" s="187"/>
      <c r="R1139" s="187"/>
      <c r="S1139" s="187"/>
      <c r="T1139" s="187"/>
      <c r="U1139" s="187"/>
      <c r="V1139" s="187"/>
      <c r="W1139" s="187"/>
      <c r="X1139" s="187"/>
      <c r="Y1139" s="187"/>
      <c r="Z1139" s="187"/>
      <c r="AA1139" s="187"/>
      <c r="AB1139" s="187"/>
      <c r="AC1139" s="187"/>
      <c r="AD1139" s="187"/>
      <c r="AE1139" s="187"/>
      <c r="AF1139" s="187"/>
    </row>
    <row r="1140" spans="1:32">
      <c r="A1140" s="849"/>
      <c r="B1140" s="3129" t="s">
        <v>436</v>
      </c>
      <c r="C1140" s="683" t="s">
        <v>427</v>
      </c>
      <c r="D1140" s="719" t="s">
        <v>1980</v>
      </c>
      <c r="E1140" s="1406" t="s">
        <v>1954</v>
      </c>
      <c r="F1140" s="685">
        <v>1210</v>
      </c>
      <c r="G1140" s="686" t="s">
        <v>113</v>
      </c>
      <c r="H1140" s="689">
        <v>46342</v>
      </c>
      <c r="I1140" s="689"/>
      <c r="J1140" s="1494">
        <v>34167</v>
      </c>
      <c r="K1140" s="690"/>
      <c r="L1140" s="1962">
        <v>53415.933118314162</v>
      </c>
      <c r="M1140" s="1962"/>
      <c r="N1140" s="466" t="s">
        <v>4227</v>
      </c>
      <c r="O1140" s="4"/>
      <c r="P1140" s="4"/>
      <c r="Q1140" s="4"/>
      <c r="R1140" s="4"/>
      <c r="S1140" s="4"/>
      <c r="T1140" s="4"/>
      <c r="U1140" s="4"/>
      <c r="V1140" s="4"/>
      <c r="W1140" s="4"/>
      <c r="X1140" s="4"/>
      <c r="Y1140" s="4"/>
      <c r="Z1140" s="4"/>
      <c r="AA1140" s="4"/>
      <c r="AB1140" s="4"/>
      <c r="AC1140" s="4"/>
      <c r="AD1140" s="4"/>
      <c r="AE1140" s="4"/>
      <c r="AF1140" s="4"/>
    </row>
    <row r="1141" spans="1:32" ht="78.75" customHeight="1">
      <c r="A1141" s="663"/>
      <c r="B1141" s="3130" t="s">
        <v>436</v>
      </c>
      <c r="C1141" s="663" t="s">
        <v>427</v>
      </c>
      <c r="D1141" s="678" t="s">
        <v>1980</v>
      </c>
      <c r="E1141" s="1407" t="s">
        <v>1954</v>
      </c>
      <c r="F1141" s="679">
        <v>1210</v>
      </c>
      <c r="G1141" s="845" t="s">
        <v>436</v>
      </c>
      <c r="H1141" s="846"/>
      <c r="I1141" s="847">
        <v>52541.935522299951</v>
      </c>
      <c r="J1141" s="1494" t="s">
        <v>1134</v>
      </c>
      <c r="K1141" s="886"/>
      <c r="L1141" s="3274"/>
      <c r="M1141" s="3275">
        <v>53415.933118314162</v>
      </c>
      <c r="N1141" s="1224" t="s">
        <v>4228</v>
      </c>
      <c r="O1141" s="187"/>
      <c r="P1141" s="187"/>
      <c r="Q1141" s="187"/>
      <c r="R1141" s="187"/>
      <c r="S1141" s="187"/>
      <c r="T1141" s="187"/>
      <c r="U1141" s="187"/>
      <c r="V1141" s="187"/>
      <c r="W1141" s="187"/>
      <c r="X1141" s="187"/>
      <c r="Y1141" s="187"/>
      <c r="Z1141" s="187"/>
      <c r="AA1141" s="187"/>
      <c r="AB1141" s="187"/>
      <c r="AC1141" s="187"/>
      <c r="AD1141" s="187"/>
      <c r="AE1141" s="187"/>
      <c r="AF1141" s="187"/>
    </row>
    <row r="1142" spans="1:32" ht="20.399999999999999">
      <c r="A1142" s="663"/>
      <c r="B1142" s="3130" t="s">
        <v>436</v>
      </c>
      <c r="C1142" s="663" t="s">
        <v>427</v>
      </c>
      <c r="D1142" s="678" t="s">
        <v>1980</v>
      </c>
      <c r="E1142" s="1407" t="s">
        <v>1954</v>
      </c>
      <c r="F1142" s="679">
        <v>1210</v>
      </c>
      <c r="G1142" s="845" t="s">
        <v>2010</v>
      </c>
      <c r="H1142" s="846"/>
      <c r="I1142" s="847">
        <v>-6000</v>
      </c>
      <c r="J1142" s="1494" t="s">
        <v>1134</v>
      </c>
      <c r="K1142" s="886"/>
      <c r="L1142" s="3274"/>
      <c r="M1142" s="3275"/>
      <c r="N1142" s="2048"/>
      <c r="O1142" s="187"/>
      <c r="P1142" s="187"/>
      <c r="Q1142" s="187"/>
      <c r="R1142" s="187"/>
      <c r="S1142" s="187"/>
      <c r="T1142" s="187"/>
      <c r="U1142" s="187"/>
      <c r="V1142" s="187"/>
      <c r="W1142" s="187"/>
      <c r="X1142" s="187"/>
      <c r="Y1142" s="187"/>
      <c r="Z1142" s="187"/>
      <c r="AA1142" s="187"/>
      <c r="AB1142" s="187"/>
      <c r="AC1142" s="187"/>
      <c r="AD1142" s="187"/>
      <c r="AE1142" s="187"/>
      <c r="AF1142" s="187"/>
    </row>
    <row r="1143" spans="1:32" ht="20.399999999999999">
      <c r="A1143" s="663"/>
      <c r="B1143" s="3130" t="s">
        <v>436</v>
      </c>
      <c r="C1143" s="663" t="s">
        <v>427</v>
      </c>
      <c r="D1143" s="678" t="s">
        <v>1980</v>
      </c>
      <c r="E1143" s="1407" t="s">
        <v>1954</v>
      </c>
      <c r="F1143" s="679">
        <v>1210</v>
      </c>
      <c r="G1143" s="845" t="s">
        <v>4223</v>
      </c>
      <c r="H1143" s="846"/>
      <c r="I1143" s="847">
        <v>-200</v>
      </c>
      <c r="J1143" s="1494" t="s">
        <v>1134</v>
      </c>
      <c r="K1143" s="886"/>
      <c r="L1143" s="3274"/>
      <c r="M1143" s="3275"/>
      <c r="N1143" s="381"/>
      <c r="O1143" s="187"/>
      <c r="P1143" s="187"/>
      <c r="Q1143" s="187"/>
      <c r="R1143" s="187"/>
      <c r="S1143" s="187"/>
      <c r="T1143" s="187"/>
      <c r="U1143" s="187"/>
      <c r="V1143" s="187"/>
      <c r="W1143" s="187"/>
      <c r="X1143" s="187"/>
      <c r="Y1143" s="187"/>
      <c r="Z1143" s="187"/>
      <c r="AA1143" s="187"/>
      <c r="AB1143" s="187"/>
      <c r="AC1143" s="187"/>
      <c r="AD1143" s="187"/>
      <c r="AE1143" s="187"/>
      <c r="AF1143" s="187"/>
    </row>
    <row r="1144" spans="1:32">
      <c r="A1144" s="849"/>
      <c r="B1144" s="3145" t="s">
        <v>326</v>
      </c>
      <c r="C1144" s="887" t="s">
        <v>321</v>
      </c>
      <c r="D1144" s="719" t="s">
        <v>1980</v>
      </c>
      <c r="E1144" s="1406" t="s">
        <v>1955</v>
      </c>
      <c r="F1144" s="824">
        <v>1210</v>
      </c>
      <c r="G1144" s="800" t="s">
        <v>759</v>
      </c>
      <c r="H1144" s="1373">
        <v>55797.253039999996</v>
      </c>
      <c r="I1144" s="706"/>
      <c r="J1144" s="1494">
        <v>41574.92</v>
      </c>
      <c r="K1144" s="802"/>
      <c r="L1144" s="3273">
        <v>60794.181199999999</v>
      </c>
      <c r="M1144" s="1962"/>
      <c r="N1144" s="305"/>
      <c r="O1144" s="187"/>
      <c r="P1144" s="187"/>
      <c r="Q1144" s="187"/>
      <c r="R1144" s="187"/>
      <c r="S1144" s="187"/>
      <c r="T1144" s="187"/>
      <c r="U1144" s="187"/>
      <c r="V1144" s="187"/>
      <c r="W1144" s="187"/>
      <c r="X1144" s="187"/>
      <c r="Y1144" s="187"/>
      <c r="Z1144" s="187"/>
      <c r="AA1144" s="187"/>
      <c r="AB1144" s="187"/>
      <c r="AC1144" s="187"/>
      <c r="AD1144" s="187"/>
      <c r="AE1144" s="187"/>
      <c r="AF1144" s="187"/>
    </row>
    <row r="1145" spans="1:32">
      <c r="A1145" s="663"/>
      <c r="B1145" s="3130" t="s">
        <v>326</v>
      </c>
      <c r="C1145" s="663" t="s">
        <v>321</v>
      </c>
      <c r="D1145" s="678" t="s">
        <v>1980</v>
      </c>
      <c r="E1145" s="1407" t="s">
        <v>1955</v>
      </c>
      <c r="F1145" s="795">
        <v>1210</v>
      </c>
      <c r="G1145" s="1374"/>
      <c r="H1145" s="1375"/>
      <c r="I1145" s="1376">
        <v>55797.253039999996</v>
      </c>
      <c r="J1145" s="1494" t="s">
        <v>1134</v>
      </c>
      <c r="K1145" s="1377"/>
      <c r="L1145" s="3274"/>
      <c r="M1145" s="3275">
        <v>60794.181199999999</v>
      </c>
      <c r="N1145" s="305"/>
      <c r="O1145" s="4"/>
      <c r="P1145" s="4"/>
      <c r="Q1145" s="4"/>
      <c r="R1145" s="4"/>
      <c r="S1145" s="4"/>
      <c r="T1145" s="4"/>
      <c r="U1145" s="4"/>
      <c r="V1145" s="4"/>
      <c r="W1145" s="4"/>
      <c r="X1145" s="4"/>
      <c r="Y1145" s="4"/>
      <c r="Z1145" s="4"/>
      <c r="AA1145" s="4"/>
      <c r="AB1145" s="4"/>
      <c r="AC1145" s="4"/>
      <c r="AD1145" s="4"/>
      <c r="AE1145" s="4"/>
      <c r="AF1145" s="4"/>
    </row>
    <row r="1146" spans="1:32">
      <c r="A1146" s="663"/>
      <c r="B1146" s="3130" t="s">
        <v>326</v>
      </c>
      <c r="C1146" s="663" t="s">
        <v>321</v>
      </c>
      <c r="D1146" s="678" t="s">
        <v>1980</v>
      </c>
      <c r="E1146" s="1407" t="s">
        <v>1955</v>
      </c>
      <c r="F1146" s="795">
        <v>1210</v>
      </c>
      <c r="G1146" s="1374"/>
      <c r="H1146" s="1375"/>
      <c r="I1146" s="1376"/>
      <c r="J1146" s="1494" t="s">
        <v>1134</v>
      </c>
      <c r="K1146" s="1377"/>
      <c r="L1146" s="3274"/>
      <c r="M1146" s="3275"/>
      <c r="N1146" s="305"/>
      <c r="O1146" s="4"/>
      <c r="P1146" s="4"/>
      <c r="Q1146" s="4"/>
      <c r="R1146" s="4"/>
      <c r="S1146" s="4"/>
      <c r="T1146" s="4"/>
      <c r="U1146" s="4"/>
      <c r="V1146" s="4"/>
      <c r="W1146" s="4"/>
      <c r="X1146" s="4"/>
      <c r="Y1146" s="4"/>
      <c r="Z1146" s="4"/>
      <c r="AA1146" s="4"/>
      <c r="AB1146" s="4"/>
      <c r="AC1146" s="4"/>
      <c r="AD1146" s="4"/>
      <c r="AE1146" s="4"/>
      <c r="AF1146" s="4"/>
    </row>
    <row r="1147" spans="1:32" ht="20.399999999999999">
      <c r="A1147" s="663"/>
      <c r="B1147" s="3130" t="s">
        <v>326</v>
      </c>
      <c r="C1147" s="663" t="s">
        <v>321</v>
      </c>
      <c r="D1147" s="678" t="s">
        <v>1980</v>
      </c>
      <c r="E1147" s="1407" t="s">
        <v>1955</v>
      </c>
      <c r="F1147" s="795">
        <v>1210</v>
      </c>
      <c r="G1147" s="1374" t="s">
        <v>2044</v>
      </c>
      <c r="H1147" s="1375"/>
      <c r="I1147" s="1376"/>
      <c r="J1147" s="1494" t="s">
        <v>1134</v>
      </c>
      <c r="K1147" s="1377"/>
      <c r="L1147" s="3274"/>
      <c r="M1147" s="3275"/>
      <c r="N1147" s="381"/>
      <c r="O1147" s="187"/>
      <c r="P1147" s="187"/>
      <c r="Q1147" s="187"/>
      <c r="R1147" s="187"/>
      <c r="S1147" s="187"/>
      <c r="T1147" s="187"/>
      <c r="U1147" s="187"/>
      <c r="V1147" s="187"/>
      <c r="W1147" s="187"/>
      <c r="X1147" s="187"/>
      <c r="Y1147" s="187"/>
      <c r="Z1147" s="187"/>
      <c r="AA1147" s="187"/>
      <c r="AB1147" s="187"/>
      <c r="AC1147" s="187"/>
      <c r="AD1147" s="187"/>
      <c r="AE1147" s="187"/>
      <c r="AF1147" s="187"/>
    </row>
    <row r="1148" spans="1:32" ht="51">
      <c r="A1148" s="849"/>
      <c r="B1148" s="3129" t="s">
        <v>436</v>
      </c>
      <c r="C1148" s="683" t="s">
        <v>427</v>
      </c>
      <c r="D1148" s="719" t="s">
        <v>1980</v>
      </c>
      <c r="E1148" s="1406" t="s">
        <v>1954</v>
      </c>
      <c r="F1148" s="685">
        <v>1221</v>
      </c>
      <c r="G1148" s="686" t="s">
        <v>760</v>
      </c>
      <c r="H1148" s="689">
        <v>23912.588871700002</v>
      </c>
      <c r="I1148" s="689"/>
      <c r="J1148" s="1494">
        <v>20641</v>
      </c>
      <c r="K1148" s="690"/>
      <c r="L1148" s="1962">
        <v>6221.5849641217983</v>
      </c>
      <c r="M1148" s="1962"/>
      <c r="N1148" s="381" t="s">
        <v>4230</v>
      </c>
      <c r="O1148" s="7"/>
      <c r="P1148" s="7"/>
      <c r="Q1148" s="7"/>
      <c r="R1148" s="7"/>
      <c r="S1148" s="7"/>
      <c r="T1148" s="7"/>
      <c r="U1148" s="7"/>
      <c r="V1148" s="7"/>
      <c r="W1148" s="7"/>
      <c r="X1148" s="7"/>
      <c r="Y1148" s="7"/>
      <c r="Z1148" s="7"/>
      <c r="AA1148" s="7"/>
      <c r="AB1148" s="7"/>
      <c r="AC1148" s="7"/>
      <c r="AD1148" s="7"/>
      <c r="AE1148" s="7"/>
      <c r="AF1148" s="7"/>
    </row>
    <row r="1149" spans="1:32">
      <c r="A1149" s="760"/>
      <c r="B1149" s="3130" t="s">
        <v>436</v>
      </c>
      <c r="C1149" s="663" t="s">
        <v>427</v>
      </c>
      <c r="D1149" s="678" t="s">
        <v>1980</v>
      </c>
      <c r="E1149" s="1407" t="s">
        <v>1954</v>
      </c>
      <c r="F1149" s="679">
        <v>1221</v>
      </c>
      <c r="G1149" s="888" t="s">
        <v>1047</v>
      </c>
      <c r="H1149" s="846"/>
      <c r="I1149" s="847">
        <v>5912.588871699998</v>
      </c>
      <c r="J1149" s="1494" t="s">
        <v>1134</v>
      </c>
      <c r="K1149" s="886"/>
      <c r="L1149" s="3274"/>
      <c r="M1149" s="3275">
        <v>6221.5849641217983</v>
      </c>
      <c r="N1149" s="381"/>
      <c r="O1149" s="7"/>
      <c r="P1149" s="7"/>
      <c r="Q1149" s="7"/>
      <c r="R1149" s="7"/>
      <c r="S1149" s="7"/>
      <c r="T1149" s="7"/>
      <c r="U1149" s="7"/>
      <c r="V1149" s="7"/>
      <c r="W1149" s="7"/>
      <c r="X1149" s="7"/>
      <c r="Y1149" s="7"/>
      <c r="Z1149" s="7"/>
      <c r="AA1149" s="7"/>
      <c r="AB1149" s="7"/>
      <c r="AC1149" s="7"/>
      <c r="AD1149" s="7"/>
      <c r="AE1149" s="7"/>
      <c r="AF1149" s="7"/>
    </row>
    <row r="1150" spans="1:32" ht="20.399999999999999">
      <c r="A1150" s="760"/>
      <c r="B1150" s="3130" t="s">
        <v>436</v>
      </c>
      <c r="C1150" s="663" t="s">
        <v>427</v>
      </c>
      <c r="D1150" s="678" t="s">
        <v>1980</v>
      </c>
      <c r="E1150" s="1407" t="s">
        <v>1954</v>
      </c>
      <c r="F1150" s="679">
        <v>1221</v>
      </c>
      <c r="G1150" s="845" t="s">
        <v>2010</v>
      </c>
      <c r="H1150" s="846"/>
      <c r="I1150" s="847">
        <v>6000</v>
      </c>
      <c r="J1150" s="1494" t="s">
        <v>1134</v>
      </c>
      <c r="K1150" s="886"/>
      <c r="L1150" s="3274"/>
      <c r="M1150" s="3275"/>
      <c r="N1150" s="381"/>
      <c r="O1150" s="187"/>
      <c r="P1150" s="187"/>
      <c r="Q1150" s="187"/>
      <c r="R1150" s="187"/>
      <c r="S1150" s="187"/>
      <c r="T1150" s="187"/>
      <c r="U1150" s="187"/>
      <c r="V1150" s="187"/>
      <c r="W1150" s="187"/>
      <c r="X1150" s="187"/>
      <c r="Y1150" s="187"/>
      <c r="Z1150" s="187"/>
      <c r="AA1150" s="187"/>
      <c r="AB1150" s="187"/>
      <c r="AC1150" s="187"/>
      <c r="AD1150" s="187"/>
      <c r="AE1150" s="187"/>
      <c r="AF1150" s="187"/>
    </row>
    <row r="1151" spans="1:32" ht="20.399999999999999">
      <c r="A1151" s="760"/>
      <c r="B1151" s="3130" t="s">
        <v>436</v>
      </c>
      <c r="C1151" s="663" t="s">
        <v>427</v>
      </c>
      <c r="D1151" s="678" t="s">
        <v>1980</v>
      </c>
      <c r="E1151" s="1407" t="s">
        <v>1954</v>
      </c>
      <c r="F1151" s="679">
        <v>1221</v>
      </c>
      <c r="G1151" s="845" t="s">
        <v>3226</v>
      </c>
      <c r="H1151" s="846"/>
      <c r="I1151" s="847">
        <v>12000</v>
      </c>
      <c r="J1151" s="1494" t="s">
        <v>1134</v>
      </c>
      <c r="K1151" s="886"/>
      <c r="L1151" s="3274"/>
      <c r="M1151" s="3275"/>
      <c r="N1151" s="381"/>
      <c r="O1151" s="4"/>
      <c r="P1151" s="4"/>
      <c r="Q1151" s="4"/>
      <c r="R1151" s="4"/>
      <c r="S1151" s="4"/>
      <c r="T1151" s="4"/>
      <c r="U1151" s="4"/>
      <c r="V1151" s="4"/>
      <c r="W1151" s="4"/>
      <c r="X1151" s="4"/>
      <c r="Y1151" s="4"/>
      <c r="Z1151" s="4"/>
      <c r="AA1151" s="4"/>
      <c r="AB1151" s="4"/>
      <c r="AC1151" s="4"/>
      <c r="AD1151" s="4"/>
      <c r="AE1151" s="4"/>
      <c r="AF1151" s="4"/>
    </row>
    <row r="1152" spans="1:32">
      <c r="A1152" s="849"/>
      <c r="B1152" s="3129" t="s">
        <v>326</v>
      </c>
      <c r="C1152" s="683" t="s">
        <v>321</v>
      </c>
      <c r="D1152" s="719" t="s">
        <v>1980</v>
      </c>
      <c r="E1152" s="1406" t="s">
        <v>1955</v>
      </c>
      <c r="F1152" s="824">
        <v>1221</v>
      </c>
      <c r="G1152" s="800" t="s">
        <v>339</v>
      </c>
      <c r="H1152" s="1373">
        <v>4000</v>
      </c>
      <c r="I1152" s="706"/>
      <c r="J1152" s="1494">
        <v>2934.76</v>
      </c>
      <c r="K1152" s="802"/>
      <c r="L1152" s="3277">
        <v>4000</v>
      </c>
      <c r="M1152" s="2151"/>
      <c r="N1152" s="305"/>
      <c r="O1152" s="4"/>
      <c r="P1152" s="4"/>
      <c r="Q1152" s="4"/>
      <c r="R1152" s="4"/>
      <c r="S1152" s="4"/>
      <c r="T1152" s="4"/>
      <c r="U1152" s="4"/>
      <c r="V1152" s="4"/>
      <c r="W1152" s="4"/>
      <c r="X1152" s="4"/>
      <c r="Y1152" s="4"/>
      <c r="Z1152" s="4"/>
      <c r="AA1152" s="4"/>
      <c r="AB1152" s="4"/>
      <c r="AC1152" s="4"/>
      <c r="AD1152" s="4"/>
      <c r="AE1152" s="4"/>
      <c r="AF1152" s="4"/>
    </row>
    <row r="1153" spans="1:32">
      <c r="A1153" s="760"/>
      <c r="B1153" s="3130" t="s">
        <v>326</v>
      </c>
      <c r="C1153" s="663" t="s">
        <v>321</v>
      </c>
      <c r="D1153" s="678" t="s">
        <v>1980</v>
      </c>
      <c r="E1153" s="1407" t="s">
        <v>1955</v>
      </c>
      <c r="F1153" s="795">
        <v>1221</v>
      </c>
      <c r="G1153" s="1374"/>
      <c r="H1153" s="1375"/>
      <c r="I1153" s="1376">
        <v>4000</v>
      </c>
      <c r="J1153" s="1494" t="s">
        <v>1134</v>
      </c>
      <c r="K1153" s="1377"/>
      <c r="L1153" s="3278"/>
      <c r="M1153" s="3279">
        <v>4000</v>
      </c>
      <c r="N1153" s="305"/>
      <c r="O1153" s="187"/>
      <c r="P1153" s="187"/>
      <c r="Q1153" s="187"/>
      <c r="R1153" s="187"/>
      <c r="S1153" s="187"/>
      <c r="T1153" s="187"/>
      <c r="U1153" s="187"/>
      <c r="V1153" s="187"/>
      <c r="W1153" s="187"/>
      <c r="X1153" s="187"/>
      <c r="Y1153" s="187"/>
      <c r="Z1153" s="187"/>
      <c r="AA1153" s="187"/>
      <c r="AB1153" s="187"/>
      <c r="AC1153" s="187"/>
      <c r="AD1153" s="187"/>
      <c r="AE1153" s="187"/>
      <c r="AF1153" s="187"/>
    </row>
    <row r="1154" spans="1:32">
      <c r="A1154" s="849"/>
      <c r="B1154" s="3129" t="s">
        <v>436</v>
      </c>
      <c r="C1154" s="683" t="s">
        <v>427</v>
      </c>
      <c r="D1154" s="719" t="s">
        <v>1980</v>
      </c>
      <c r="E1154" s="720" t="s">
        <v>1954</v>
      </c>
      <c r="F1154" s="824">
        <v>1227</v>
      </c>
      <c r="G1154" s="800" t="s">
        <v>115</v>
      </c>
      <c r="H1154" s="706">
        <v>0</v>
      </c>
      <c r="I1154" s="706"/>
      <c r="J1154" s="1654" t="s">
        <v>1134</v>
      </c>
      <c r="K1154" s="802"/>
      <c r="L1154" s="2151">
        <v>0</v>
      </c>
      <c r="M1154" s="2151"/>
      <c r="N1154" s="381"/>
      <c r="O1154" s="4"/>
      <c r="P1154" s="4"/>
      <c r="Q1154" s="4"/>
      <c r="R1154" s="4"/>
      <c r="S1154" s="4"/>
      <c r="T1154" s="4"/>
      <c r="U1154" s="4"/>
      <c r="V1154" s="4"/>
      <c r="W1154" s="4"/>
      <c r="X1154" s="4"/>
      <c r="Y1154" s="4"/>
      <c r="Z1154" s="4"/>
      <c r="AA1154" s="4"/>
      <c r="AB1154" s="4"/>
      <c r="AC1154" s="4"/>
      <c r="AD1154" s="4"/>
      <c r="AE1154" s="4"/>
      <c r="AF1154" s="4"/>
    </row>
    <row r="1155" spans="1:32">
      <c r="A1155" s="760"/>
      <c r="B1155" s="3130" t="s">
        <v>436</v>
      </c>
      <c r="C1155" s="663" t="s">
        <v>427</v>
      </c>
      <c r="D1155" s="678" t="s">
        <v>1980</v>
      </c>
      <c r="E1155" s="700" t="s">
        <v>1954</v>
      </c>
      <c r="F1155" s="795">
        <v>1227</v>
      </c>
      <c r="G1155" s="2214"/>
      <c r="H1155" s="1375"/>
      <c r="I1155" s="1376"/>
      <c r="J1155" s="1654" t="s">
        <v>1134</v>
      </c>
      <c r="K1155" s="1377"/>
      <c r="L1155" s="3278"/>
      <c r="M1155" s="3279"/>
      <c r="N1155" s="381"/>
      <c r="O1155" s="4"/>
      <c r="P1155" s="4"/>
      <c r="Q1155" s="4"/>
      <c r="R1155" s="4"/>
      <c r="S1155" s="4"/>
      <c r="T1155" s="4"/>
      <c r="U1155" s="4"/>
      <c r="V1155" s="4"/>
      <c r="W1155" s="4"/>
      <c r="X1155" s="4"/>
      <c r="Y1155" s="4"/>
      <c r="Z1155" s="4"/>
      <c r="AA1155" s="4"/>
      <c r="AB1155" s="4"/>
      <c r="AC1155" s="4"/>
      <c r="AD1155" s="4"/>
      <c r="AE1155" s="4"/>
      <c r="AF1155" s="4"/>
    </row>
    <row r="1156" spans="1:32">
      <c r="A1156" s="849"/>
      <c r="B1156" s="3129" t="s">
        <v>772</v>
      </c>
      <c r="C1156" s="683" t="s">
        <v>427</v>
      </c>
      <c r="D1156" s="719" t="s">
        <v>1980</v>
      </c>
      <c r="E1156" s="720" t="s">
        <v>1954</v>
      </c>
      <c r="F1156" s="824">
        <v>1228</v>
      </c>
      <c r="G1156" s="800" t="s">
        <v>120</v>
      </c>
      <c r="H1156" s="706">
        <v>1300</v>
      </c>
      <c r="I1156" s="706"/>
      <c r="J1156" s="1654">
        <v>1250</v>
      </c>
      <c r="K1156" s="802"/>
      <c r="L1156" s="713">
        <v>2120</v>
      </c>
      <c r="M1156" s="713"/>
      <c r="N1156" s="381"/>
      <c r="O1156" s="4"/>
      <c r="P1156" s="4"/>
      <c r="Q1156" s="4"/>
      <c r="R1156" s="4"/>
      <c r="S1156" s="4"/>
      <c r="T1156" s="4"/>
      <c r="U1156" s="4"/>
      <c r="V1156" s="4"/>
      <c r="W1156" s="4"/>
      <c r="X1156" s="4"/>
      <c r="Y1156" s="4"/>
      <c r="Z1156" s="4"/>
      <c r="AA1156" s="4"/>
      <c r="AB1156" s="4"/>
      <c r="AC1156" s="4"/>
      <c r="AD1156" s="4"/>
      <c r="AE1156" s="4"/>
      <c r="AF1156" s="4"/>
    </row>
    <row r="1157" spans="1:32">
      <c r="A1157" s="760"/>
      <c r="B1157" s="3130" t="s">
        <v>772</v>
      </c>
      <c r="C1157" s="663" t="s">
        <v>427</v>
      </c>
      <c r="D1157" s="678" t="s">
        <v>1980</v>
      </c>
      <c r="E1157" s="700" t="s">
        <v>1954</v>
      </c>
      <c r="F1157" s="795">
        <v>1228</v>
      </c>
      <c r="G1157" s="2214" t="s">
        <v>1124</v>
      </c>
      <c r="H1157" s="1375"/>
      <c r="I1157" s="1376">
        <v>800</v>
      </c>
      <c r="J1157" s="1654" t="s">
        <v>1134</v>
      </c>
      <c r="K1157" s="1377"/>
      <c r="L1157" s="2212"/>
      <c r="M1157" s="2213">
        <v>800</v>
      </c>
      <c r="N1157" s="381"/>
      <c r="O1157" s="4"/>
      <c r="P1157" s="4"/>
      <c r="Q1157" s="4"/>
      <c r="R1157" s="4"/>
      <c r="S1157" s="4"/>
      <c r="T1157" s="4"/>
      <c r="U1157" s="4"/>
      <c r="V1157" s="4"/>
      <c r="W1157" s="4"/>
      <c r="X1157" s="4"/>
      <c r="Y1157" s="4"/>
      <c r="Z1157" s="4"/>
      <c r="AA1157" s="4"/>
      <c r="AB1157" s="4"/>
      <c r="AC1157" s="4"/>
      <c r="AD1157" s="4"/>
      <c r="AE1157" s="4"/>
      <c r="AF1157" s="4"/>
    </row>
    <row r="1158" spans="1:32">
      <c r="A1158" s="2187"/>
      <c r="B1158" s="3130" t="s">
        <v>772</v>
      </c>
      <c r="C1158" s="663" t="s">
        <v>427</v>
      </c>
      <c r="D1158" s="678" t="s">
        <v>1980</v>
      </c>
      <c r="E1158" s="700" t="s">
        <v>1954</v>
      </c>
      <c r="F1158" s="795">
        <v>1228</v>
      </c>
      <c r="G1158" s="2215" t="s">
        <v>4225</v>
      </c>
      <c r="H1158" s="2216"/>
      <c r="I1158" s="2217">
        <v>200</v>
      </c>
      <c r="J1158" s="2191"/>
      <c r="K1158" s="2218"/>
      <c r="L1158" s="2219"/>
      <c r="M1158" s="2220">
        <v>900</v>
      </c>
      <c r="N1158" s="381"/>
      <c r="O1158" s="4"/>
      <c r="P1158" s="4"/>
      <c r="Q1158" s="4"/>
      <c r="R1158" s="4"/>
      <c r="S1158" s="4"/>
      <c r="T1158" s="4"/>
      <c r="U1158" s="4"/>
      <c r="V1158" s="4"/>
      <c r="W1158" s="4"/>
      <c r="X1158" s="4"/>
      <c r="Y1158" s="4"/>
      <c r="Z1158" s="4"/>
      <c r="AA1158" s="4"/>
      <c r="AB1158" s="4"/>
      <c r="AC1158" s="4"/>
      <c r="AD1158" s="4"/>
      <c r="AE1158" s="4"/>
      <c r="AF1158" s="4"/>
    </row>
    <row r="1159" spans="1:32">
      <c r="A1159" s="760"/>
      <c r="B1159" s="3130" t="s">
        <v>772</v>
      </c>
      <c r="C1159" s="663" t="s">
        <v>427</v>
      </c>
      <c r="D1159" s="678" t="s">
        <v>1980</v>
      </c>
      <c r="E1159" s="700" t="s">
        <v>1954</v>
      </c>
      <c r="F1159" s="795">
        <v>1228</v>
      </c>
      <c r="G1159" s="2221" t="s">
        <v>423</v>
      </c>
      <c r="H1159" s="1375"/>
      <c r="I1159" s="1376">
        <v>300</v>
      </c>
      <c r="J1159" s="1654" t="s">
        <v>1134</v>
      </c>
      <c r="K1159" s="1377"/>
      <c r="L1159" s="2212"/>
      <c r="M1159" s="2213">
        <v>420</v>
      </c>
      <c r="N1159" s="381"/>
      <c r="O1159" s="187"/>
      <c r="P1159" s="187"/>
      <c r="Q1159" s="187"/>
      <c r="R1159" s="187"/>
      <c r="S1159" s="187"/>
      <c r="T1159" s="187"/>
      <c r="U1159" s="187"/>
      <c r="V1159" s="187"/>
      <c r="W1159" s="187"/>
      <c r="X1159" s="187"/>
      <c r="Y1159" s="187"/>
      <c r="Z1159" s="187"/>
      <c r="AA1159" s="187"/>
      <c r="AB1159" s="187"/>
      <c r="AC1159" s="187"/>
      <c r="AD1159" s="187"/>
      <c r="AE1159" s="187"/>
      <c r="AF1159" s="187"/>
    </row>
    <row r="1160" spans="1:32">
      <c r="A1160" s="849"/>
      <c r="B1160" s="3129" t="s">
        <v>772</v>
      </c>
      <c r="C1160" s="683" t="s">
        <v>322</v>
      </c>
      <c r="D1160" s="719" t="s">
        <v>1980</v>
      </c>
      <c r="E1160" s="720" t="s">
        <v>1954</v>
      </c>
      <c r="F1160" s="824">
        <v>2111</v>
      </c>
      <c r="G1160" s="800" t="s">
        <v>761</v>
      </c>
      <c r="H1160" s="706">
        <v>1000</v>
      </c>
      <c r="I1160" s="706"/>
      <c r="J1160" s="1654">
        <v>256</v>
      </c>
      <c r="K1160" s="802"/>
      <c r="L1160" s="713">
        <v>1000</v>
      </c>
      <c r="M1160" s="713"/>
      <c r="N1160" s="381"/>
      <c r="O1160" s="4"/>
      <c r="P1160" s="4"/>
      <c r="Q1160" s="4"/>
      <c r="R1160" s="4"/>
      <c r="S1160" s="4"/>
      <c r="T1160" s="4"/>
      <c r="U1160" s="4"/>
      <c r="V1160" s="4"/>
      <c r="W1160" s="4"/>
      <c r="X1160" s="4"/>
      <c r="Y1160" s="4"/>
      <c r="Z1160" s="4"/>
      <c r="AA1160" s="4"/>
      <c r="AB1160" s="4"/>
      <c r="AC1160" s="4"/>
      <c r="AD1160" s="4"/>
      <c r="AE1160" s="4"/>
      <c r="AF1160" s="4"/>
    </row>
    <row r="1161" spans="1:32">
      <c r="A1161" s="760"/>
      <c r="B1161" s="3130" t="s">
        <v>772</v>
      </c>
      <c r="C1161" s="663" t="s">
        <v>322</v>
      </c>
      <c r="D1161" s="678" t="s">
        <v>1980</v>
      </c>
      <c r="E1161" s="700" t="s">
        <v>1954</v>
      </c>
      <c r="F1161" s="795">
        <v>2111</v>
      </c>
      <c r="G1161" s="2214" t="s">
        <v>248</v>
      </c>
      <c r="H1161" s="1375"/>
      <c r="I1161" s="1376">
        <v>1000</v>
      </c>
      <c r="J1161" s="1654" t="s">
        <v>1134</v>
      </c>
      <c r="K1161" s="1377"/>
      <c r="L1161" s="2212"/>
      <c r="M1161" s="2213">
        <v>1000</v>
      </c>
      <c r="N1161" s="381"/>
      <c r="O1161" s="187"/>
      <c r="P1161" s="187"/>
      <c r="Q1161" s="187"/>
      <c r="R1161" s="187"/>
      <c r="S1161" s="187"/>
      <c r="T1161" s="187"/>
      <c r="U1161" s="187"/>
      <c r="V1161" s="187"/>
      <c r="W1161" s="187"/>
      <c r="X1161" s="187"/>
      <c r="Y1161" s="187"/>
      <c r="Z1161" s="187"/>
      <c r="AA1161" s="187"/>
      <c r="AB1161" s="187"/>
      <c r="AC1161" s="187"/>
      <c r="AD1161" s="187"/>
      <c r="AE1161" s="187"/>
      <c r="AF1161" s="187"/>
    </row>
    <row r="1162" spans="1:32">
      <c r="A1162" s="849"/>
      <c r="B1162" s="3129" t="s">
        <v>772</v>
      </c>
      <c r="C1162" s="683" t="s">
        <v>322</v>
      </c>
      <c r="D1162" s="719" t="s">
        <v>1980</v>
      </c>
      <c r="E1162" s="720" t="s">
        <v>1954</v>
      </c>
      <c r="F1162" s="824">
        <v>2112</v>
      </c>
      <c r="G1162" s="800" t="s">
        <v>768</v>
      </c>
      <c r="H1162" s="706">
        <v>0</v>
      </c>
      <c r="I1162" s="706"/>
      <c r="J1162" s="1654" t="s">
        <v>1134</v>
      </c>
      <c r="K1162" s="802"/>
      <c r="L1162" s="713">
        <v>0</v>
      </c>
      <c r="M1162" s="713"/>
      <c r="N1162" s="381"/>
      <c r="O1162" s="4"/>
      <c r="P1162" s="4"/>
      <c r="Q1162" s="4"/>
      <c r="R1162" s="4"/>
      <c r="S1162" s="4"/>
      <c r="T1162" s="4"/>
      <c r="U1162" s="4"/>
      <c r="V1162" s="4"/>
      <c r="W1162" s="4"/>
      <c r="X1162" s="4"/>
      <c r="Y1162" s="4"/>
      <c r="Z1162" s="4"/>
      <c r="AA1162" s="4"/>
      <c r="AB1162" s="4"/>
      <c r="AC1162" s="4"/>
      <c r="AD1162" s="4"/>
      <c r="AE1162" s="4"/>
      <c r="AF1162" s="4"/>
    </row>
    <row r="1163" spans="1:32">
      <c r="A1163" s="760"/>
      <c r="B1163" s="3130" t="s">
        <v>772</v>
      </c>
      <c r="C1163" s="663" t="s">
        <v>322</v>
      </c>
      <c r="D1163" s="678" t="s">
        <v>1980</v>
      </c>
      <c r="E1163" s="700" t="s">
        <v>1954</v>
      </c>
      <c r="F1163" s="795">
        <v>2112</v>
      </c>
      <c r="G1163" s="2214" t="s">
        <v>765</v>
      </c>
      <c r="H1163" s="1375"/>
      <c r="I1163" s="1376"/>
      <c r="J1163" s="1654" t="s">
        <v>1134</v>
      </c>
      <c r="K1163" s="1377"/>
      <c r="L1163" s="2212"/>
      <c r="M1163" s="2213"/>
      <c r="N1163" s="2190"/>
      <c r="O1163" s="4"/>
      <c r="P1163" s="4"/>
      <c r="Q1163" s="4"/>
      <c r="R1163" s="4"/>
      <c r="S1163" s="4"/>
      <c r="T1163" s="4"/>
      <c r="U1163" s="4"/>
      <c r="V1163" s="4"/>
      <c r="W1163" s="4"/>
      <c r="X1163" s="4"/>
      <c r="Y1163" s="4"/>
      <c r="Z1163" s="4"/>
      <c r="AA1163" s="4"/>
      <c r="AB1163" s="4"/>
      <c r="AC1163" s="4"/>
      <c r="AD1163" s="4"/>
      <c r="AE1163" s="4"/>
      <c r="AF1163" s="4"/>
    </row>
    <row r="1164" spans="1:32">
      <c r="A1164" s="849"/>
      <c r="B1164" s="3129" t="s">
        <v>772</v>
      </c>
      <c r="C1164" s="683" t="s">
        <v>322</v>
      </c>
      <c r="D1164" s="719" t="s">
        <v>1980</v>
      </c>
      <c r="E1164" s="720" t="s">
        <v>1954</v>
      </c>
      <c r="F1164" s="824">
        <v>2121</v>
      </c>
      <c r="G1164" s="800" t="s">
        <v>762</v>
      </c>
      <c r="H1164" s="706">
        <v>3600</v>
      </c>
      <c r="I1164" s="706"/>
      <c r="J1164" s="1654">
        <v>1545</v>
      </c>
      <c r="K1164" s="802"/>
      <c r="L1164" s="713">
        <v>3600</v>
      </c>
      <c r="M1164" s="713"/>
      <c r="N1164" s="2190"/>
      <c r="O1164" s="187"/>
      <c r="P1164" s="187"/>
      <c r="Q1164" s="187"/>
      <c r="R1164" s="187"/>
      <c r="S1164" s="187"/>
      <c r="T1164" s="187"/>
      <c r="U1164" s="187"/>
      <c r="V1164" s="187"/>
      <c r="W1164" s="187"/>
      <c r="X1164" s="187"/>
      <c r="Y1164" s="187"/>
      <c r="Z1164" s="187"/>
      <c r="AA1164" s="187"/>
      <c r="AB1164" s="187"/>
      <c r="AC1164" s="187"/>
      <c r="AD1164" s="187"/>
      <c r="AE1164" s="187"/>
      <c r="AF1164" s="187"/>
    </row>
    <row r="1165" spans="1:32" ht="20.399999999999999">
      <c r="A1165" s="760"/>
      <c r="B1165" s="3130" t="s">
        <v>772</v>
      </c>
      <c r="C1165" s="663" t="s">
        <v>322</v>
      </c>
      <c r="D1165" s="678" t="s">
        <v>1980</v>
      </c>
      <c r="E1165" s="700" t="s">
        <v>1954</v>
      </c>
      <c r="F1165" s="795">
        <v>2121</v>
      </c>
      <c r="G1165" s="2221" t="s">
        <v>763</v>
      </c>
      <c r="H1165" s="1375"/>
      <c r="I1165" s="1376">
        <v>3600</v>
      </c>
      <c r="J1165" s="1654" t="s">
        <v>1134</v>
      </c>
      <c r="K1165" s="1377"/>
      <c r="L1165" s="2212"/>
      <c r="M1165" s="2213">
        <v>3600</v>
      </c>
      <c r="N1165" s="2190"/>
    </row>
    <row r="1166" spans="1:32" ht="20.399999999999999">
      <c r="A1166" s="849"/>
      <c r="B1166" s="3129" t="s">
        <v>772</v>
      </c>
      <c r="C1166" s="683" t="s">
        <v>322</v>
      </c>
      <c r="D1166" s="719" t="s">
        <v>1980</v>
      </c>
      <c r="E1166" s="720" t="s">
        <v>1954</v>
      </c>
      <c r="F1166" s="824">
        <v>2122</v>
      </c>
      <c r="G1166" s="800" t="s">
        <v>764</v>
      </c>
      <c r="H1166" s="706">
        <v>2000</v>
      </c>
      <c r="I1166" s="2222"/>
      <c r="J1166" s="1654">
        <v>0</v>
      </c>
      <c r="K1166" s="2223"/>
      <c r="L1166" s="713">
        <v>2000</v>
      </c>
      <c r="M1166" s="2224"/>
      <c r="N1166" s="381" t="s">
        <v>2139</v>
      </c>
      <c r="O1166" s="4"/>
      <c r="P1166" s="4"/>
      <c r="Q1166" s="4"/>
      <c r="R1166" s="4"/>
      <c r="S1166" s="4"/>
      <c r="T1166" s="4"/>
      <c r="U1166" s="4"/>
      <c r="V1166" s="4"/>
      <c r="W1166" s="4"/>
      <c r="X1166" s="4"/>
      <c r="Y1166" s="4"/>
      <c r="Z1166" s="4"/>
      <c r="AA1166" s="4"/>
      <c r="AB1166" s="4"/>
      <c r="AC1166" s="4"/>
      <c r="AD1166" s="4"/>
      <c r="AE1166" s="4"/>
      <c r="AF1166" s="4"/>
    </row>
    <row r="1167" spans="1:32">
      <c r="A1167" s="760"/>
      <c r="B1167" s="3130" t="s">
        <v>772</v>
      </c>
      <c r="C1167" s="663" t="s">
        <v>322</v>
      </c>
      <c r="D1167" s="678" t="s">
        <v>1980</v>
      </c>
      <c r="E1167" s="700" t="s">
        <v>1954</v>
      </c>
      <c r="F1167" s="795">
        <v>2122</v>
      </c>
      <c r="G1167" s="2214" t="s">
        <v>765</v>
      </c>
      <c r="H1167" s="1375"/>
      <c r="I1167" s="1376">
        <v>2000</v>
      </c>
      <c r="J1167" s="1654" t="s">
        <v>1134</v>
      </c>
      <c r="K1167" s="1377"/>
      <c r="L1167" s="2212"/>
      <c r="M1167" s="2213">
        <v>2000</v>
      </c>
      <c r="N1167" s="381"/>
      <c r="O1167" s="4"/>
      <c r="P1167" s="4"/>
      <c r="Q1167" s="4"/>
      <c r="R1167" s="4"/>
      <c r="S1167" s="4"/>
      <c r="T1167" s="4"/>
      <c r="U1167" s="4"/>
      <c r="V1167" s="4"/>
      <c r="W1167" s="4"/>
      <c r="X1167" s="4"/>
      <c r="Y1167" s="4"/>
      <c r="Z1167" s="4"/>
      <c r="AA1167" s="4"/>
      <c r="AB1167" s="4"/>
      <c r="AC1167" s="4"/>
      <c r="AD1167" s="4"/>
      <c r="AE1167" s="4"/>
      <c r="AF1167" s="4"/>
    </row>
    <row r="1168" spans="1:32">
      <c r="A1168" s="849"/>
      <c r="B1168" s="3129" t="s">
        <v>772</v>
      </c>
      <c r="C1168" s="683" t="s">
        <v>320</v>
      </c>
      <c r="D1168" s="719" t="s">
        <v>1980</v>
      </c>
      <c r="E1168" s="720" t="s">
        <v>1954</v>
      </c>
      <c r="F1168" s="824">
        <v>2210</v>
      </c>
      <c r="G1168" s="800" t="s">
        <v>572</v>
      </c>
      <c r="H1168" s="706">
        <v>170.44</v>
      </c>
      <c r="I1168" s="706"/>
      <c r="J1168" s="1654">
        <v>96</v>
      </c>
      <c r="K1168" s="802"/>
      <c r="L1168" s="713">
        <v>170.44</v>
      </c>
      <c r="M1168" s="713"/>
      <c r="N1168" s="381"/>
      <c r="O1168" s="4"/>
      <c r="P1168" s="4"/>
      <c r="Q1168" s="4"/>
      <c r="R1168" s="4"/>
      <c r="S1168" s="4"/>
      <c r="T1168" s="4"/>
      <c r="U1168" s="4"/>
      <c r="V1168" s="4"/>
      <c r="W1168" s="4"/>
      <c r="X1168" s="4"/>
      <c r="Y1168" s="4"/>
      <c r="Z1168" s="4"/>
      <c r="AA1168" s="4"/>
      <c r="AB1168" s="4"/>
      <c r="AC1168" s="4"/>
      <c r="AD1168" s="4"/>
      <c r="AE1168" s="4"/>
      <c r="AF1168" s="4"/>
    </row>
    <row r="1169" spans="1:32">
      <c r="A1169" s="760"/>
      <c r="B1169" s="3130" t="s">
        <v>772</v>
      </c>
      <c r="C1169" s="663" t="s">
        <v>320</v>
      </c>
      <c r="D1169" s="678" t="s">
        <v>1980</v>
      </c>
      <c r="E1169" s="700" t="s">
        <v>1954</v>
      </c>
      <c r="F1169" s="795">
        <v>2210</v>
      </c>
      <c r="G1169" s="2214" t="s">
        <v>2704</v>
      </c>
      <c r="H1169" s="1375"/>
      <c r="I1169" s="1376">
        <v>120.44</v>
      </c>
      <c r="J1169" s="1654" t="s">
        <v>1134</v>
      </c>
      <c r="K1169" s="1377"/>
      <c r="L1169" s="2212"/>
      <c r="M1169" s="1376">
        <v>120.44</v>
      </c>
      <c r="N1169" s="381"/>
      <c r="O1169" s="4"/>
      <c r="P1169" s="4"/>
      <c r="Q1169" s="4"/>
      <c r="R1169" s="4"/>
      <c r="S1169" s="4"/>
      <c r="T1169" s="4"/>
      <c r="U1169" s="4"/>
      <c r="V1169" s="4"/>
      <c r="W1169" s="4"/>
      <c r="X1169" s="4"/>
      <c r="Y1169" s="4"/>
      <c r="Z1169" s="4"/>
      <c r="AA1169" s="4"/>
      <c r="AB1169" s="4"/>
      <c r="AC1169" s="4"/>
      <c r="AD1169" s="4"/>
      <c r="AE1169" s="4"/>
      <c r="AF1169" s="4"/>
    </row>
    <row r="1170" spans="1:32">
      <c r="A1170" s="760"/>
      <c r="B1170" s="3130" t="s">
        <v>772</v>
      </c>
      <c r="C1170" s="663" t="s">
        <v>320</v>
      </c>
      <c r="D1170" s="678" t="s">
        <v>1980</v>
      </c>
      <c r="E1170" s="700" t="s">
        <v>1954</v>
      </c>
      <c r="F1170" s="795">
        <v>2210</v>
      </c>
      <c r="G1170" s="2214" t="s">
        <v>766</v>
      </c>
      <c r="H1170" s="1375"/>
      <c r="I1170" s="1376">
        <v>50</v>
      </c>
      <c r="J1170" s="1654" t="s">
        <v>1134</v>
      </c>
      <c r="K1170" s="1377"/>
      <c r="L1170" s="2212"/>
      <c r="M1170" s="1376">
        <v>50</v>
      </c>
      <c r="N1170" s="381"/>
      <c r="O1170" s="7"/>
      <c r="P1170" s="7"/>
      <c r="Q1170" s="7"/>
      <c r="R1170" s="7"/>
      <c r="S1170" s="7"/>
      <c r="T1170" s="7"/>
      <c r="U1170" s="7"/>
      <c r="V1170" s="7"/>
      <c r="W1170" s="7"/>
      <c r="X1170" s="7"/>
      <c r="Y1170" s="7"/>
      <c r="Z1170" s="7"/>
      <c r="AA1170" s="7"/>
      <c r="AB1170" s="7"/>
      <c r="AC1170" s="7"/>
      <c r="AD1170" s="7"/>
      <c r="AE1170" s="7"/>
      <c r="AF1170" s="7"/>
    </row>
    <row r="1171" spans="1:32">
      <c r="A1171" s="849"/>
      <c r="B1171" s="3129" t="s">
        <v>772</v>
      </c>
      <c r="C1171" s="683" t="s">
        <v>322</v>
      </c>
      <c r="D1171" s="719" t="s">
        <v>1980</v>
      </c>
      <c r="E1171" s="1406" t="s">
        <v>1954</v>
      </c>
      <c r="F1171" s="1698">
        <v>2233</v>
      </c>
      <c r="G1171" s="1691" t="s">
        <v>216</v>
      </c>
      <c r="H1171" s="1692">
        <v>76620</v>
      </c>
      <c r="I1171" s="1692"/>
      <c r="J1171" s="1684">
        <v>36150</v>
      </c>
      <c r="K1171" s="1694"/>
      <c r="L1171" s="1692">
        <v>76200</v>
      </c>
      <c r="M1171" s="2151"/>
      <c r="N1171" s="381"/>
      <c r="O1171" s="7"/>
      <c r="P1171" s="7"/>
      <c r="Q1171" s="7"/>
      <c r="R1171" s="7"/>
      <c r="S1171" s="7"/>
      <c r="T1171" s="7"/>
      <c r="U1171" s="7"/>
      <c r="V1171" s="7"/>
      <c r="W1171" s="7"/>
      <c r="X1171" s="7"/>
      <c r="Y1171" s="7"/>
      <c r="Z1171" s="7"/>
      <c r="AA1171" s="7"/>
      <c r="AB1171" s="7"/>
      <c r="AC1171" s="7"/>
      <c r="AD1171" s="7"/>
      <c r="AE1171" s="7"/>
      <c r="AF1171" s="7"/>
    </row>
    <row r="1172" spans="1:32" ht="40.799999999999997">
      <c r="A1172" s="760"/>
      <c r="B1172" s="3130" t="s">
        <v>772</v>
      </c>
      <c r="C1172" s="663" t="s">
        <v>322</v>
      </c>
      <c r="D1172" s="678" t="s">
        <v>1980</v>
      </c>
      <c r="E1172" s="1407" t="s">
        <v>1954</v>
      </c>
      <c r="F1172" s="1413">
        <v>2233</v>
      </c>
      <c r="G1172" s="818" t="s">
        <v>767</v>
      </c>
      <c r="H1172" s="1822"/>
      <c r="I1172" s="1822">
        <v>420</v>
      </c>
      <c r="J1172" s="1684" t="s">
        <v>1134</v>
      </c>
      <c r="K1172" s="1823"/>
      <c r="L1172" s="2225"/>
      <c r="M1172" s="2225">
        <v>0</v>
      </c>
      <c r="N1172" s="656" t="s">
        <v>4233</v>
      </c>
      <c r="O1172" s="4"/>
      <c r="P1172" s="4"/>
      <c r="Q1172" s="4"/>
      <c r="R1172" s="4"/>
      <c r="S1172" s="4"/>
      <c r="T1172" s="4"/>
      <c r="U1172" s="4"/>
      <c r="V1172" s="4"/>
      <c r="W1172" s="4"/>
      <c r="X1172" s="4"/>
      <c r="Y1172" s="4"/>
      <c r="Z1172" s="4"/>
      <c r="AA1172" s="4"/>
      <c r="AB1172" s="7"/>
      <c r="AC1172" s="7"/>
      <c r="AD1172" s="7"/>
      <c r="AE1172" s="7"/>
      <c r="AF1172" s="7"/>
    </row>
    <row r="1173" spans="1:32">
      <c r="A1173" s="760"/>
      <c r="B1173" s="3130" t="s">
        <v>772</v>
      </c>
      <c r="C1173" s="663" t="s">
        <v>322</v>
      </c>
      <c r="D1173" s="678" t="s">
        <v>1980</v>
      </c>
      <c r="E1173" s="1407" t="s">
        <v>1954</v>
      </c>
      <c r="F1173" s="1413">
        <v>2233</v>
      </c>
      <c r="G1173" s="818" t="s">
        <v>1128</v>
      </c>
      <c r="H1173" s="1822"/>
      <c r="I1173" s="1822">
        <v>76200</v>
      </c>
      <c r="J1173" s="1684" t="s">
        <v>1134</v>
      </c>
      <c r="K1173" s="1823"/>
      <c r="L1173" s="2225"/>
      <c r="M1173" s="2225">
        <v>76200</v>
      </c>
      <c r="N1173" s="305"/>
      <c r="O1173" s="4"/>
      <c r="P1173" s="4"/>
      <c r="Q1173" s="4"/>
      <c r="R1173" s="4"/>
      <c r="S1173" s="4"/>
      <c r="T1173" s="4"/>
      <c r="U1173" s="4"/>
      <c r="V1173" s="4"/>
      <c r="W1173" s="4"/>
      <c r="X1173" s="4"/>
      <c r="Y1173" s="4"/>
      <c r="Z1173" s="4"/>
      <c r="AA1173" s="4"/>
      <c r="AB1173" s="4"/>
      <c r="AC1173" s="4"/>
      <c r="AD1173" s="4"/>
      <c r="AE1173" s="4"/>
      <c r="AF1173" s="4"/>
    </row>
    <row r="1174" spans="1:32">
      <c r="A1174" s="849"/>
      <c r="B1174" s="3129" t="s">
        <v>772</v>
      </c>
      <c r="C1174" s="683" t="s">
        <v>322</v>
      </c>
      <c r="D1174" s="719" t="s">
        <v>1980</v>
      </c>
      <c r="E1174" s="720" t="s">
        <v>1954</v>
      </c>
      <c r="F1174" s="824">
        <v>2234</v>
      </c>
      <c r="G1174" s="800" t="s">
        <v>120</v>
      </c>
      <c r="H1174" s="706">
        <v>1000</v>
      </c>
      <c r="I1174" s="706"/>
      <c r="J1174" s="1654">
        <v>657</v>
      </c>
      <c r="K1174" s="802"/>
      <c r="L1174" s="713">
        <v>180</v>
      </c>
      <c r="M1174" s="713"/>
      <c r="N1174" s="305"/>
      <c r="O1174" s="4"/>
      <c r="P1174" s="4"/>
      <c r="Q1174" s="4"/>
      <c r="R1174" s="4"/>
      <c r="S1174" s="4"/>
      <c r="T1174" s="4"/>
      <c r="U1174" s="4"/>
      <c r="V1174" s="4"/>
      <c r="W1174" s="4"/>
      <c r="X1174" s="4"/>
      <c r="Y1174" s="4"/>
      <c r="Z1174" s="4"/>
      <c r="AA1174" s="4"/>
      <c r="AB1174" s="4"/>
      <c r="AC1174" s="4"/>
      <c r="AD1174" s="4"/>
      <c r="AE1174" s="4"/>
      <c r="AF1174" s="4"/>
    </row>
    <row r="1175" spans="1:32" ht="71.400000000000006">
      <c r="A1175" s="760"/>
      <c r="B1175" s="3130" t="s">
        <v>772</v>
      </c>
      <c r="C1175" s="663" t="s">
        <v>322</v>
      </c>
      <c r="D1175" s="678" t="s">
        <v>1980</v>
      </c>
      <c r="E1175" s="700" t="s">
        <v>1954</v>
      </c>
      <c r="F1175" s="795">
        <v>2234</v>
      </c>
      <c r="G1175" s="2214" t="s">
        <v>2138</v>
      </c>
      <c r="H1175" s="1375"/>
      <c r="I1175" s="1376">
        <v>1000</v>
      </c>
      <c r="J1175" s="1654" t="s">
        <v>1134</v>
      </c>
      <c r="K1175" s="1377"/>
      <c r="L1175" s="2212"/>
      <c r="M1175" s="2213">
        <v>180</v>
      </c>
      <c r="N1175" s="381" t="s">
        <v>4235</v>
      </c>
      <c r="O1175" s="4"/>
      <c r="P1175" s="4"/>
      <c r="Q1175" s="4"/>
      <c r="R1175" s="4"/>
      <c r="S1175" s="4"/>
      <c r="T1175" s="4"/>
      <c r="U1175" s="4"/>
      <c r="V1175" s="4"/>
      <c r="W1175" s="4"/>
      <c r="X1175" s="4"/>
      <c r="Y1175" s="4"/>
      <c r="Z1175" s="4"/>
      <c r="AA1175" s="4"/>
      <c r="AB1175" s="4"/>
      <c r="AC1175" s="4"/>
      <c r="AD1175" s="4"/>
      <c r="AE1175" s="4"/>
      <c r="AF1175" s="4"/>
    </row>
    <row r="1176" spans="1:32">
      <c r="A1176" s="849"/>
      <c r="B1176" s="3129" t="s">
        <v>772</v>
      </c>
      <c r="C1176" s="683" t="s">
        <v>322</v>
      </c>
      <c r="D1176" s="719" t="s">
        <v>1980</v>
      </c>
      <c r="E1176" s="720" t="s">
        <v>1954</v>
      </c>
      <c r="F1176" s="824">
        <v>2235</v>
      </c>
      <c r="G1176" s="800" t="s">
        <v>931</v>
      </c>
      <c r="H1176" s="706">
        <v>2760</v>
      </c>
      <c r="I1176" s="706"/>
      <c r="J1176" s="1654">
        <v>1547</v>
      </c>
      <c r="K1176" s="802"/>
      <c r="L1176" s="713">
        <v>3030</v>
      </c>
      <c r="M1176" s="713"/>
      <c r="N1176" s="656"/>
      <c r="O1176" s="4"/>
      <c r="P1176" s="4"/>
      <c r="Q1176" s="4"/>
      <c r="R1176" s="4"/>
      <c r="S1176" s="4"/>
      <c r="T1176" s="4"/>
      <c r="U1176" s="4"/>
      <c r="V1176" s="4"/>
      <c r="W1176" s="4"/>
      <c r="X1176" s="4"/>
      <c r="Y1176" s="4"/>
      <c r="Z1176" s="4"/>
      <c r="AA1176" s="4"/>
      <c r="AB1176" s="4"/>
      <c r="AC1176" s="4"/>
      <c r="AD1176" s="4"/>
      <c r="AE1176" s="4"/>
      <c r="AF1176" s="4"/>
    </row>
    <row r="1177" spans="1:32" ht="20.399999999999999">
      <c r="A1177" s="760"/>
      <c r="B1177" s="3130" t="s">
        <v>772</v>
      </c>
      <c r="C1177" s="663" t="s">
        <v>322</v>
      </c>
      <c r="D1177" s="678" t="s">
        <v>1980</v>
      </c>
      <c r="E1177" s="700" t="s">
        <v>1954</v>
      </c>
      <c r="F1177" s="795">
        <v>2235</v>
      </c>
      <c r="G1177" s="2215" t="s">
        <v>2705</v>
      </c>
      <c r="H1177" s="1376"/>
      <c r="I1177" s="1376">
        <v>2430</v>
      </c>
      <c r="J1177" s="1654"/>
      <c r="K1177" s="961"/>
      <c r="L1177" s="2213"/>
      <c r="M1177" s="1376">
        <v>2430</v>
      </c>
      <c r="N1177" s="656"/>
      <c r="O1177" s="4"/>
      <c r="P1177" s="4"/>
      <c r="Q1177" s="4"/>
      <c r="R1177" s="4"/>
      <c r="S1177" s="4"/>
      <c r="T1177" s="4"/>
      <c r="U1177" s="4"/>
      <c r="V1177" s="4"/>
      <c r="W1177" s="4"/>
      <c r="X1177" s="4"/>
      <c r="Y1177" s="4"/>
      <c r="Z1177" s="4"/>
      <c r="AA1177" s="4"/>
      <c r="AB1177" s="4"/>
      <c r="AC1177" s="4"/>
      <c r="AD1177" s="4"/>
      <c r="AE1177" s="4"/>
      <c r="AF1177" s="4"/>
    </row>
    <row r="1178" spans="1:32" ht="20.399999999999999">
      <c r="A1178" s="890"/>
      <c r="B1178" s="3133" t="s">
        <v>772</v>
      </c>
      <c r="C1178" s="756" t="s">
        <v>322</v>
      </c>
      <c r="D1178" s="828" t="s">
        <v>1980</v>
      </c>
      <c r="E1178" s="1831" t="s">
        <v>1954</v>
      </c>
      <c r="F1178" s="829">
        <v>2235</v>
      </c>
      <c r="G1178" s="2226" t="s">
        <v>4229</v>
      </c>
      <c r="H1178" s="2227"/>
      <c r="I1178" s="2227">
        <v>330</v>
      </c>
      <c r="J1178" s="1654" t="s">
        <v>1134</v>
      </c>
      <c r="K1178" s="2228"/>
      <c r="L1178" s="2229"/>
      <c r="M1178" s="2227">
        <v>600</v>
      </c>
      <c r="N1178" s="656"/>
      <c r="O1178" s="4"/>
      <c r="P1178" s="4"/>
      <c r="Q1178" s="4"/>
      <c r="R1178" s="4"/>
      <c r="S1178" s="4"/>
      <c r="T1178" s="4"/>
      <c r="U1178" s="4"/>
      <c r="V1178" s="4"/>
      <c r="W1178" s="4"/>
      <c r="X1178" s="4"/>
      <c r="Y1178" s="4"/>
      <c r="Z1178" s="4"/>
      <c r="AA1178" s="4"/>
      <c r="AB1178" s="4"/>
      <c r="AC1178" s="4"/>
      <c r="AD1178" s="4"/>
      <c r="AE1178" s="4"/>
      <c r="AF1178" s="4"/>
    </row>
    <row r="1179" spans="1:32">
      <c r="A1179" s="866"/>
      <c r="B1179" s="3136" t="s">
        <v>772</v>
      </c>
      <c r="C1179" s="728" t="s">
        <v>322</v>
      </c>
      <c r="D1179" s="719" t="s">
        <v>1980</v>
      </c>
      <c r="E1179" s="720" t="s">
        <v>1954</v>
      </c>
      <c r="F1179" s="826">
        <v>2239</v>
      </c>
      <c r="G1179" s="800" t="s">
        <v>1017</v>
      </c>
      <c r="H1179" s="713">
        <v>78517</v>
      </c>
      <c r="I1179" s="706"/>
      <c r="J1179" s="1654">
        <v>49474</v>
      </c>
      <c r="K1179" s="802"/>
      <c r="L1179" s="713">
        <v>81180</v>
      </c>
      <c r="M1179" s="713"/>
      <c r="N1179" s="381"/>
      <c r="O1179" s="187"/>
      <c r="P1179" s="187"/>
      <c r="Q1179" s="187"/>
      <c r="R1179" s="187"/>
      <c r="S1179" s="187"/>
      <c r="T1179" s="187"/>
      <c r="U1179" s="187"/>
      <c r="V1179" s="187"/>
      <c r="W1179" s="187"/>
      <c r="X1179" s="187"/>
      <c r="Y1179" s="187"/>
      <c r="Z1179" s="187"/>
      <c r="AA1179" s="187"/>
      <c r="AB1179" s="187"/>
      <c r="AC1179" s="187"/>
      <c r="AD1179" s="187"/>
      <c r="AE1179" s="187"/>
      <c r="AF1179" s="187"/>
    </row>
    <row r="1180" spans="1:32" ht="20.399999999999999">
      <c r="A1180" s="760"/>
      <c r="B1180" s="3130" t="s">
        <v>772</v>
      </c>
      <c r="C1180" s="663" t="s">
        <v>322</v>
      </c>
      <c r="D1180" s="678" t="s">
        <v>1980</v>
      </c>
      <c r="E1180" s="700" t="s">
        <v>1954</v>
      </c>
      <c r="F1180" s="795">
        <v>2239</v>
      </c>
      <c r="G1180" s="2214" t="s">
        <v>1132</v>
      </c>
      <c r="H1180" s="1376"/>
      <c r="I1180" s="1376">
        <v>71200</v>
      </c>
      <c r="J1180" s="1654" t="s">
        <v>1134</v>
      </c>
      <c r="K1180" s="961"/>
      <c r="L1180" s="2213"/>
      <c r="M1180" s="1376">
        <v>71200</v>
      </c>
      <c r="N1180" s="381"/>
      <c r="O1180" s="187"/>
      <c r="P1180" s="187"/>
      <c r="Q1180" s="187"/>
      <c r="R1180" s="187"/>
      <c r="S1180" s="187"/>
      <c r="T1180" s="187"/>
      <c r="U1180" s="187"/>
      <c r="V1180" s="187"/>
      <c r="W1180" s="187"/>
      <c r="X1180" s="187"/>
      <c r="Y1180" s="187"/>
      <c r="Z1180" s="187"/>
      <c r="AA1180" s="187"/>
      <c r="AB1180" s="187"/>
      <c r="AC1180" s="187"/>
      <c r="AD1180" s="187"/>
      <c r="AE1180" s="187"/>
      <c r="AF1180" s="187"/>
    </row>
    <row r="1181" spans="1:32" ht="30.6">
      <c r="A1181" s="1145"/>
      <c r="B1181" s="3130" t="s">
        <v>772</v>
      </c>
      <c r="C1181" s="663" t="s">
        <v>322</v>
      </c>
      <c r="D1181" s="678" t="s">
        <v>1980</v>
      </c>
      <c r="E1181" s="700" t="s">
        <v>1954</v>
      </c>
      <c r="F1181" s="795">
        <v>2239</v>
      </c>
      <c r="G1181" s="2215" t="s">
        <v>4231</v>
      </c>
      <c r="H1181" s="2230"/>
      <c r="I1181" s="2230">
        <v>4720</v>
      </c>
      <c r="J1181" s="1654" t="s">
        <v>1134</v>
      </c>
      <c r="K1181" s="2231"/>
      <c r="L1181" s="2232"/>
      <c r="M1181" s="1376">
        <v>5840</v>
      </c>
      <c r="N1181" s="381"/>
      <c r="O1181" s="187"/>
      <c r="P1181" s="187"/>
      <c r="Q1181" s="187"/>
      <c r="R1181" s="187"/>
      <c r="S1181" s="187"/>
      <c r="T1181" s="187"/>
      <c r="U1181" s="187"/>
      <c r="V1181" s="187"/>
      <c r="W1181" s="187"/>
      <c r="X1181" s="187"/>
      <c r="Y1181" s="187"/>
      <c r="Z1181" s="187"/>
      <c r="AA1181" s="187"/>
      <c r="AB1181" s="187"/>
      <c r="AC1181" s="187"/>
      <c r="AD1181" s="187"/>
      <c r="AE1181" s="187"/>
      <c r="AF1181" s="187"/>
    </row>
    <row r="1182" spans="1:32">
      <c r="A1182" s="760"/>
      <c r="B1182" s="3130" t="s">
        <v>772</v>
      </c>
      <c r="C1182" s="663" t="s">
        <v>322</v>
      </c>
      <c r="D1182" s="678" t="s">
        <v>1980</v>
      </c>
      <c r="E1182" s="700" t="s">
        <v>1954</v>
      </c>
      <c r="F1182" s="795">
        <v>2239</v>
      </c>
      <c r="G1182" s="2214" t="s">
        <v>685</v>
      </c>
      <c r="H1182" s="1376"/>
      <c r="I1182" s="1376">
        <v>2000</v>
      </c>
      <c r="J1182" s="1654" t="s">
        <v>1134</v>
      </c>
      <c r="K1182" s="961"/>
      <c r="L1182" s="2213"/>
      <c r="M1182" s="1376">
        <v>2000</v>
      </c>
      <c r="N1182" s="381"/>
      <c r="O1182" s="4"/>
      <c r="P1182" s="4"/>
      <c r="Q1182" s="4"/>
      <c r="R1182" s="4"/>
      <c r="S1182" s="4"/>
      <c r="T1182" s="4"/>
      <c r="U1182" s="4"/>
      <c r="V1182" s="4"/>
      <c r="W1182" s="4"/>
      <c r="X1182" s="4"/>
      <c r="Y1182" s="4"/>
      <c r="Z1182" s="4"/>
      <c r="AA1182" s="4"/>
      <c r="AB1182" s="4"/>
      <c r="AC1182" s="4"/>
      <c r="AD1182" s="4"/>
      <c r="AE1182" s="4"/>
      <c r="AF1182" s="4"/>
    </row>
    <row r="1183" spans="1:32">
      <c r="A1183" s="760"/>
      <c r="B1183" s="3130" t="s">
        <v>772</v>
      </c>
      <c r="C1183" s="663" t="s">
        <v>322</v>
      </c>
      <c r="D1183" s="678" t="s">
        <v>1980</v>
      </c>
      <c r="E1183" s="700" t="s">
        <v>1954</v>
      </c>
      <c r="F1183" s="795">
        <v>2239</v>
      </c>
      <c r="G1183" s="2214" t="s">
        <v>449</v>
      </c>
      <c r="H1183" s="1376"/>
      <c r="I1183" s="1376">
        <v>200</v>
      </c>
      <c r="J1183" s="1654" t="s">
        <v>1134</v>
      </c>
      <c r="K1183" s="961"/>
      <c r="L1183" s="2213"/>
      <c r="M1183" s="1376">
        <v>200</v>
      </c>
      <c r="N1183" s="305"/>
      <c r="O1183" s="187"/>
      <c r="P1183" s="187"/>
      <c r="Q1183" s="187"/>
      <c r="R1183" s="187"/>
      <c r="S1183" s="187"/>
      <c r="T1183" s="187"/>
      <c r="U1183" s="187"/>
      <c r="V1183" s="187"/>
      <c r="W1183" s="187"/>
      <c r="X1183" s="187"/>
      <c r="Y1183" s="187"/>
      <c r="Z1183" s="187"/>
      <c r="AA1183" s="187"/>
      <c r="AB1183" s="187"/>
      <c r="AC1183" s="187"/>
      <c r="AD1183" s="187"/>
      <c r="AE1183" s="187"/>
      <c r="AF1183" s="187"/>
    </row>
    <row r="1184" spans="1:32">
      <c r="A1184" s="760"/>
      <c r="B1184" s="3130" t="s">
        <v>772</v>
      </c>
      <c r="C1184" s="663" t="s">
        <v>322</v>
      </c>
      <c r="D1184" s="678" t="s">
        <v>1980</v>
      </c>
      <c r="E1184" s="700" t="s">
        <v>1954</v>
      </c>
      <c r="F1184" s="795">
        <v>2239</v>
      </c>
      <c r="G1184" s="2214" t="s">
        <v>523</v>
      </c>
      <c r="H1184" s="1376"/>
      <c r="I1184" s="1376">
        <v>340</v>
      </c>
      <c r="J1184" s="1654" t="s">
        <v>1134</v>
      </c>
      <c r="K1184" s="961"/>
      <c r="L1184" s="2213"/>
      <c r="M1184" s="1376">
        <v>340</v>
      </c>
      <c r="N1184" s="305"/>
      <c r="O1184" s="187"/>
      <c r="P1184" s="187"/>
      <c r="Q1184" s="187"/>
      <c r="R1184" s="187"/>
      <c r="S1184" s="187"/>
      <c r="T1184" s="187"/>
      <c r="U1184" s="187"/>
      <c r="V1184" s="187"/>
      <c r="W1184" s="187"/>
      <c r="X1184" s="187"/>
      <c r="Y1184" s="187"/>
      <c r="Z1184" s="187"/>
      <c r="AA1184" s="187"/>
      <c r="AB1184" s="187"/>
      <c r="AC1184" s="187"/>
      <c r="AD1184" s="187"/>
      <c r="AE1184" s="187"/>
      <c r="AF1184" s="187"/>
    </row>
    <row r="1185" spans="1:32">
      <c r="A1185" s="760"/>
      <c r="B1185" s="3130" t="s">
        <v>772</v>
      </c>
      <c r="C1185" s="663" t="s">
        <v>322</v>
      </c>
      <c r="D1185" s="678" t="s">
        <v>1980</v>
      </c>
      <c r="E1185" s="700" t="s">
        <v>1954</v>
      </c>
      <c r="F1185" s="795">
        <v>2239</v>
      </c>
      <c r="G1185" s="2214" t="s">
        <v>1126</v>
      </c>
      <c r="H1185" s="1376"/>
      <c r="I1185" s="1376">
        <v>1600</v>
      </c>
      <c r="J1185" s="1654" t="s">
        <v>1134</v>
      </c>
      <c r="K1185" s="961"/>
      <c r="L1185" s="2213"/>
      <c r="M1185" s="1376">
        <v>1600</v>
      </c>
      <c r="N1185" s="305"/>
      <c r="O1185" s="187"/>
      <c r="P1185" s="187"/>
      <c r="Q1185" s="187"/>
      <c r="R1185" s="187"/>
      <c r="S1185" s="187"/>
      <c r="T1185" s="187"/>
      <c r="U1185" s="187"/>
      <c r="V1185" s="187"/>
      <c r="W1185" s="187"/>
      <c r="X1185" s="187"/>
      <c r="Y1185" s="187"/>
      <c r="Z1185" s="187"/>
      <c r="AA1185" s="187"/>
      <c r="AB1185" s="187"/>
      <c r="AC1185" s="187"/>
      <c r="AD1185" s="187"/>
      <c r="AE1185" s="187"/>
      <c r="AF1185" s="187"/>
    </row>
    <row r="1186" spans="1:32" ht="30.6">
      <c r="A1186" s="2187"/>
      <c r="B1186" s="3130" t="s">
        <v>772</v>
      </c>
      <c r="C1186" s="663" t="s">
        <v>322</v>
      </c>
      <c r="D1186" s="678" t="s">
        <v>1980</v>
      </c>
      <c r="E1186" s="700" t="s">
        <v>1954</v>
      </c>
      <c r="F1186" s="795">
        <v>2239</v>
      </c>
      <c r="G1186" s="2215" t="s">
        <v>3158</v>
      </c>
      <c r="H1186" s="2217"/>
      <c r="I1186" s="2217">
        <v>-1113</v>
      </c>
      <c r="J1186" s="2191"/>
      <c r="K1186" s="2233"/>
      <c r="L1186" s="2220"/>
      <c r="M1186" s="2217"/>
      <c r="N1186" s="2190" t="s">
        <v>4237</v>
      </c>
      <c r="O1186" s="187"/>
      <c r="P1186" s="187"/>
      <c r="Q1186" s="187"/>
      <c r="R1186" s="187"/>
      <c r="S1186" s="187"/>
      <c r="T1186" s="187"/>
      <c r="U1186" s="187"/>
      <c r="V1186" s="187"/>
      <c r="W1186" s="187"/>
      <c r="X1186" s="187"/>
      <c r="Y1186" s="187"/>
      <c r="Z1186" s="187"/>
      <c r="AA1186" s="187"/>
      <c r="AB1186" s="187"/>
      <c r="AC1186" s="187"/>
      <c r="AD1186" s="187"/>
      <c r="AE1186" s="187"/>
      <c r="AF1186" s="187"/>
    </row>
    <row r="1187" spans="1:32" ht="20.399999999999999">
      <c r="A1187" s="1556"/>
      <c r="B1187" s="3130" t="s">
        <v>772</v>
      </c>
      <c r="C1187" s="663" t="s">
        <v>322</v>
      </c>
      <c r="D1187" s="678" t="s">
        <v>1980</v>
      </c>
      <c r="E1187" s="700" t="s">
        <v>1954</v>
      </c>
      <c r="F1187" s="795">
        <v>2239</v>
      </c>
      <c r="G1187" s="2234" t="s">
        <v>3458</v>
      </c>
      <c r="H1187" s="2235"/>
      <c r="I1187" s="2235">
        <v>-430</v>
      </c>
      <c r="J1187" s="1655"/>
      <c r="K1187" s="2236"/>
      <c r="L1187" s="2237"/>
      <c r="M1187" s="2235"/>
      <c r="N1187" s="7" t="s">
        <v>4806</v>
      </c>
      <c r="O1187" s="187"/>
      <c r="P1187" s="187"/>
      <c r="Q1187" s="187"/>
      <c r="R1187" s="187"/>
      <c r="S1187" s="187"/>
      <c r="T1187" s="187"/>
      <c r="U1187" s="187"/>
      <c r="V1187" s="187"/>
      <c r="W1187" s="187"/>
      <c r="X1187" s="187"/>
      <c r="Y1187" s="187"/>
      <c r="Z1187" s="187"/>
      <c r="AA1187" s="187"/>
      <c r="AB1187" s="187"/>
      <c r="AC1187" s="187"/>
      <c r="AD1187" s="187"/>
      <c r="AE1187" s="187"/>
      <c r="AF1187" s="187"/>
    </row>
    <row r="1188" spans="1:32">
      <c r="A1188" s="866"/>
      <c r="B1188" s="3136" t="s">
        <v>772</v>
      </c>
      <c r="C1188" s="728" t="s">
        <v>322</v>
      </c>
      <c r="D1188" s="719" t="s">
        <v>1980</v>
      </c>
      <c r="E1188" s="720" t="s">
        <v>1954</v>
      </c>
      <c r="F1188" s="826">
        <v>2247</v>
      </c>
      <c r="G1188" s="720" t="s">
        <v>1181</v>
      </c>
      <c r="H1188" s="706">
        <v>4000</v>
      </c>
      <c r="I1188" s="706"/>
      <c r="J1188" s="1654">
        <v>2250</v>
      </c>
      <c r="K1188" s="802"/>
      <c r="L1188" s="713">
        <v>5400</v>
      </c>
      <c r="M1188" s="713"/>
      <c r="N1188" s="381"/>
      <c r="O1188" s="4"/>
      <c r="P1188" s="4"/>
      <c r="Q1188" s="4"/>
      <c r="R1188" s="4"/>
      <c r="S1188" s="4"/>
      <c r="T1188" s="4"/>
      <c r="U1188" s="4"/>
      <c r="V1188" s="4"/>
      <c r="W1188" s="4"/>
      <c r="X1188" s="4"/>
      <c r="Y1188" s="4"/>
      <c r="Z1188" s="4"/>
      <c r="AA1188" s="4"/>
      <c r="AB1188" s="4"/>
      <c r="AC1188" s="4"/>
      <c r="AD1188" s="4"/>
      <c r="AE1188" s="4"/>
      <c r="AF1188" s="4"/>
    </row>
    <row r="1189" spans="1:32" ht="11.4" customHeight="1">
      <c r="A1189" s="760"/>
      <c r="B1189" s="3130" t="s">
        <v>772</v>
      </c>
      <c r="C1189" s="663" t="s">
        <v>322</v>
      </c>
      <c r="D1189" s="678" t="s">
        <v>1980</v>
      </c>
      <c r="E1189" s="700" t="s">
        <v>1954</v>
      </c>
      <c r="F1189" s="795">
        <v>2247</v>
      </c>
      <c r="G1189" s="2214" t="s">
        <v>4232</v>
      </c>
      <c r="H1189" s="1376"/>
      <c r="I1189" s="1376">
        <v>4000</v>
      </c>
      <c r="J1189" s="1654" t="s">
        <v>1134</v>
      </c>
      <c r="K1189" s="961"/>
      <c r="L1189" s="2213"/>
      <c r="M1189" s="1376">
        <v>5400</v>
      </c>
      <c r="N1189" s="305"/>
      <c r="O1189" s="187"/>
      <c r="P1189" s="187"/>
      <c r="Q1189" s="187"/>
      <c r="R1189" s="187"/>
      <c r="S1189" s="187"/>
      <c r="T1189" s="187"/>
      <c r="U1189" s="187"/>
      <c r="V1189" s="187"/>
      <c r="W1189" s="187"/>
      <c r="X1189" s="187"/>
      <c r="Y1189" s="187"/>
      <c r="Z1189" s="187"/>
      <c r="AA1189" s="187"/>
      <c r="AB1189" s="187"/>
      <c r="AC1189" s="187"/>
      <c r="AD1189" s="187"/>
      <c r="AE1189" s="187"/>
      <c r="AF1189" s="187"/>
    </row>
    <row r="1190" spans="1:32">
      <c r="A1190" s="866"/>
      <c r="B1190" s="3136" t="s">
        <v>772</v>
      </c>
      <c r="C1190" s="728" t="s">
        <v>322</v>
      </c>
      <c r="D1190" s="719" t="s">
        <v>1980</v>
      </c>
      <c r="E1190" s="720" t="s">
        <v>1954</v>
      </c>
      <c r="F1190" s="826">
        <v>2250</v>
      </c>
      <c r="G1190" s="720" t="s">
        <v>1142</v>
      </c>
      <c r="H1190" s="706">
        <v>2080</v>
      </c>
      <c r="I1190" s="706"/>
      <c r="J1190" s="1654">
        <v>577</v>
      </c>
      <c r="K1190" s="802"/>
      <c r="L1190" s="706">
        <v>2080</v>
      </c>
      <c r="M1190" s="713"/>
      <c r="N1190" s="305"/>
      <c r="O1190" s="187"/>
      <c r="P1190" s="187"/>
      <c r="Q1190" s="187"/>
      <c r="R1190" s="187"/>
      <c r="S1190" s="187"/>
      <c r="T1190" s="187"/>
      <c r="U1190" s="187"/>
      <c r="V1190" s="187"/>
      <c r="W1190" s="187"/>
      <c r="X1190" s="187"/>
      <c r="Y1190" s="187"/>
      <c r="Z1190" s="187"/>
      <c r="AA1190" s="187"/>
      <c r="AB1190" s="187"/>
      <c r="AC1190" s="187"/>
      <c r="AD1190" s="187"/>
      <c r="AE1190" s="187"/>
      <c r="AF1190" s="187"/>
    </row>
    <row r="1191" spans="1:32">
      <c r="A1191" s="760"/>
      <c r="B1191" s="3130" t="s">
        <v>772</v>
      </c>
      <c r="C1191" s="663" t="s">
        <v>320</v>
      </c>
      <c r="D1191" s="678" t="s">
        <v>1980</v>
      </c>
      <c r="E1191" s="700" t="s">
        <v>1954</v>
      </c>
      <c r="F1191" s="795">
        <v>2250</v>
      </c>
      <c r="G1191" s="2215" t="s">
        <v>1216</v>
      </c>
      <c r="H1191" s="1376"/>
      <c r="I1191" s="1376">
        <v>400</v>
      </c>
      <c r="J1191" s="1654" t="s">
        <v>1134</v>
      </c>
      <c r="K1191" s="1377"/>
      <c r="L1191" s="2213"/>
      <c r="M1191" s="1376">
        <v>400</v>
      </c>
      <c r="N1191" s="305"/>
      <c r="O1191" s="187"/>
      <c r="P1191" s="187"/>
      <c r="Q1191" s="187"/>
      <c r="R1191" s="187"/>
      <c r="S1191" s="187"/>
      <c r="T1191" s="187"/>
      <c r="U1191" s="187"/>
      <c r="V1191" s="187"/>
      <c r="W1191" s="187"/>
      <c r="X1191" s="187"/>
      <c r="Y1191" s="187"/>
      <c r="Z1191" s="187"/>
      <c r="AA1191" s="187"/>
      <c r="AB1191" s="187"/>
      <c r="AC1191" s="187"/>
      <c r="AD1191" s="187"/>
      <c r="AE1191" s="187"/>
      <c r="AF1191" s="187"/>
    </row>
    <row r="1192" spans="1:32">
      <c r="A1192" s="760"/>
      <c r="B1192" s="3130" t="s">
        <v>772</v>
      </c>
      <c r="C1192" s="663" t="s">
        <v>322</v>
      </c>
      <c r="D1192" s="678" t="s">
        <v>1980</v>
      </c>
      <c r="E1192" s="700" t="s">
        <v>1954</v>
      </c>
      <c r="F1192" s="795">
        <v>2250</v>
      </c>
      <c r="G1192" s="2215" t="s">
        <v>1125</v>
      </c>
      <c r="H1192" s="1376"/>
      <c r="I1192" s="1376">
        <v>650</v>
      </c>
      <c r="J1192" s="1654" t="s">
        <v>1134</v>
      </c>
      <c r="K1192" s="961"/>
      <c r="L1192" s="2213"/>
      <c r="M1192" s="1376">
        <v>650</v>
      </c>
      <c r="N1192" s="305"/>
      <c r="O1192" s="187"/>
      <c r="P1192" s="187"/>
      <c r="Q1192" s="187"/>
      <c r="R1192" s="187"/>
      <c r="S1192" s="187"/>
      <c r="T1192" s="187"/>
      <c r="U1192" s="187"/>
      <c r="V1192" s="187"/>
      <c r="W1192" s="187"/>
      <c r="X1192" s="187"/>
      <c r="Y1192" s="187"/>
      <c r="Z1192" s="187"/>
      <c r="AA1192" s="187"/>
      <c r="AB1192" s="187"/>
      <c r="AC1192" s="187"/>
      <c r="AD1192" s="187"/>
      <c r="AE1192" s="187"/>
      <c r="AF1192" s="187"/>
    </row>
    <row r="1193" spans="1:32">
      <c r="A1193" s="760"/>
      <c r="B1193" s="3130" t="s">
        <v>772</v>
      </c>
      <c r="C1193" s="663" t="s">
        <v>320</v>
      </c>
      <c r="D1193" s="678" t="s">
        <v>1980</v>
      </c>
      <c r="E1193" s="700" t="s">
        <v>1954</v>
      </c>
      <c r="F1193" s="795">
        <v>2250</v>
      </c>
      <c r="G1193" s="2195" t="s">
        <v>1127</v>
      </c>
      <c r="H1193" s="709"/>
      <c r="I1193" s="709">
        <v>450</v>
      </c>
      <c r="J1193" s="1654" t="s">
        <v>1134</v>
      </c>
      <c r="K1193" s="825"/>
      <c r="L1193" s="962"/>
      <c r="M1193" s="1376">
        <v>450</v>
      </c>
      <c r="N1193" s="305"/>
      <c r="O1193" s="187"/>
      <c r="P1193" s="187"/>
      <c r="Q1193" s="187"/>
      <c r="R1193" s="187"/>
      <c r="S1193" s="187"/>
      <c r="T1193" s="187"/>
      <c r="U1193" s="187"/>
      <c r="V1193" s="187"/>
      <c r="W1193" s="187"/>
      <c r="X1193" s="187"/>
      <c r="Y1193" s="187"/>
      <c r="Z1193" s="187"/>
      <c r="AA1193" s="187"/>
      <c r="AB1193" s="187"/>
      <c r="AC1193" s="187"/>
      <c r="AD1193" s="187"/>
      <c r="AE1193" s="187"/>
      <c r="AF1193" s="187"/>
    </row>
    <row r="1194" spans="1:32">
      <c r="A1194" s="760"/>
      <c r="B1194" s="3130" t="s">
        <v>772</v>
      </c>
      <c r="C1194" s="663" t="s">
        <v>320</v>
      </c>
      <c r="D1194" s="678" t="s">
        <v>1980</v>
      </c>
      <c r="E1194" s="700" t="s">
        <v>1954</v>
      </c>
      <c r="F1194" s="795">
        <v>2250</v>
      </c>
      <c r="G1194" s="2195" t="s">
        <v>960</v>
      </c>
      <c r="H1194" s="709"/>
      <c r="I1194" s="709">
        <v>580</v>
      </c>
      <c r="J1194" s="1654" t="s">
        <v>1134</v>
      </c>
      <c r="K1194" s="825"/>
      <c r="L1194" s="962"/>
      <c r="M1194" s="1376">
        <v>580</v>
      </c>
      <c r="N1194" s="305"/>
      <c r="O1194" s="187"/>
      <c r="P1194" s="187"/>
      <c r="Q1194" s="187"/>
      <c r="R1194" s="187"/>
      <c r="S1194" s="187"/>
      <c r="T1194" s="187"/>
      <c r="U1194" s="187"/>
      <c r="V1194" s="187"/>
      <c r="W1194" s="187"/>
      <c r="X1194" s="187"/>
      <c r="Y1194" s="187"/>
      <c r="Z1194" s="187"/>
      <c r="AA1194" s="187"/>
      <c r="AB1194" s="187"/>
      <c r="AC1194" s="187"/>
      <c r="AD1194" s="187"/>
      <c r="AE1194" s="187"/>
      <c r="AF1194" s="187"/>
    </row>
    <row r="1195" spans="1:32">
      <c r="A1195" s="849"/>
      <c r="B1195" s="3129" t="s">
        <v>772</v>
      </c>
      <c r="C1195" s="683" t="s">
        <v>322</v>
      </c>
      <c r="D1195" s="719" t="s">
        <v>1980</v>
      </c>
      <c r="E1195" s="720" t="s">
        <v>1954</v>
      </c>
      <c r="F1195" s="824">
        <v>2261</v>
      </c>
      <c r="G1195" s="800" t="s">
        <v>199</v>
      </c>
      <c r="H1195" s="706">
        <v>11000</v>
      </c>
      <c r="I1195" s="706"/>
      <c r="J1195" s="1654">
        <v>6656</v>
      </c>
      <c r="K1195" s="802"/>
      <c r="L1195" s="713">
        <v>11000</v>
      </c>
      <c r="M1195" s="713"/>
      <c r="N1195" s="305"/>
      <c r="O1195" s="4"/>
      <c r="P1195" s="4"/>
      <c r="Q1195" s="4"/>
      <c r="R1195" s="4"/>
      <c r="S1195" s="4"/>
      <c r="T1195" s="4"/>
      <c r="U1195" s="4"/>
      <c r="V1195" s="4"/>
      <c r="W1195" s="4"/>
      <c r="X1195" s="4"/>
      <c r="Y1195" s="4"/>
      <c r="Z1195" s="4"/>
      <c r="AA1195" s="4"/>
      <c r="AB1195" s="4"/>
      <c r="AC1195" s="4"/>
      <c r="AD1195" s="4"/>
      <c r="AE1195" s="4"/>
      <c r="AF1195" s="4"/>
    </row>
    <row r="1196" spans="1:32">
      <c r="A1196" s="760"/>
      <c r="B1196" s="3130" t="s">
        <v>772</v>
      </c>
      <c r="C1196" s="663" t="s">
        <v>322</v>
      </c>
      <c r="D1196" s="678" t="s">
        <v>1980</v>
      </c>
      <c r="E1196" s="700" t="s">
        <v>1954</v>
      </c>
      <c r="F1196" s="795">
        <v>2261</v>
      </c>
      <c r="G1196" s="2214" t="s">
        <v>1129</v>
      </c>
      <c r="H1196" s="1375"/>
      <c r="I1196" s="1376">
        <v>11000</v>
      </c>
      <c r="J1196" s="1654" t="s">
        <v>1134</v>
      </c>
      <c r="K1196" s="961"/>
      <c r="L1196" s="2213"/>
      <c r="M1196" s="2213">
        <v>11000</v>
      </c>
      <c r="N1196" s="305"/>
      <c r="O1196" s="187"/>
      <c r="P1196" s="187"/>
      <c r="Q1196" s="187"/>
      <c r="R1196" s="187"/>
      <c r="S1196" s="187"/>
      <c r="T1196" s="187"/>
      <c r="U1196" s="187"/>
      <c r="V1196" s="187"/>
      <c r="W1196" s="187"/>
      <c r="X1196" s="187"/>
      <c r="Y1196" s="187"/>
      <c r="Z1196" s="187"/>
      <c r="AA1196" s="187"/>
      <c r="AB1196" s="187"/>
      <c r="AC1196" s="187"/>
      <c r="AD1196" s="187"/>
      <c r="AE1196" s="187"/>
      <c r="AF1196" s="187"/>
    </row>
    <row r="1197" spans="1:32" ht="40.799999999999997">
      <c r="A1197" s="849"/>
      <c r="B1197" s="3129" t="s">
        <v>772</v>
      </c>
      <c r="C1197" s="683" t="s">
        <v>322</v>
      </c>
      <c r="D1197" s="719" t="s">
        <v>1980</v>
      </c>
      <c r="E1197" s="720" t="s">
        <v>1954</v>
      </c>
      <c r="F1197" s="824">
        <v>2264</v>
      </c>
      <c r="G1197" s="800" t="s">
        <v>1288</v>
      </c>
      <c r="H1197" s="706">
        <v>1200</v>
      </c>
      <c r="I1197" s="706"/>
      <c r="J1197" s="1654">
        <v>1062.5</v>
      </c>
      <c r="K1197" s="802"/>
      <c r="L1197" s="713">
        <v>1200</v>
      </c>
      <c r="M1197" s="713"/>
      <c r="N1197" s="381" t="s">
        <v>4239</v>
      </c>
      <c r="O1197" s="187"/>
      <c r="P1197" s="187"/>
      <c r="Q1197" s="187"/>
      <c r="R1197" s="187"/>
      <c r="S1197" s="187"/>
      <c r="T1197" s="187"/>
      <c r="U1197" s="187"/>
      <c r="V1197" s="187"/>
      <c r="W1197" s="187"/>
      <c r="X1197" s="187"/>
      <c r="Y1197" s="187"/>
      <c r="Z1197" s="187"/>
      <c r="AA1197" s="187"/>
      <c r="AB1197" s="187"/>
      <c r="AC1197" s="187"/>
      <c r="AD1197" s="187"/>
      <c r="AE1197" s="187"/>
    </row>
    <row r="1198" spans="1:32">
      <c r="A1198" s="760"/>
      <c r="B1198" s="3130" t="s">
        <v>772</v>
      </c>
      <c r="C1198" s="663" t="s">
        <v>322</v>
      </c>
      <c r="D1198" s="678" t="s">
        <v>1980</v>
      </c>
      <c r="E1198" s="700" t="s">
        <v>1954</v>
      </c>
      <c r="F1198" s="795">
        <v>2264</v>
      </c>
      <c r="G1198" s="2214" t="s">
        <v>1130</v>
      </c>
      <c r="H1198" s="1375"/>
      <c r="I1198" s="1376">
        <v>1200</v>
      </c>
      <c r="J1198" s="1654" t="s">
        <v>1134</v>
      </c>
      <c r="K1198" s="961"/>
      <c r="L1198" s="2213"/>
      <c r="M1198" s="2213">
        <v>1200</v>
      </c>
      <c r="N1198" s="305"/>
      <c r="O1198" s="4"/>
      <c r="P1198" s="4"/>
      <c r="Q1198" s="4"/>
      <c r="R1198" s="4"/>
      <c r="S1198" s="4"/>
      <c r="T1198" s="4"/>
      <c r="U1198" s="4"/>
      <c r="V1198" s="4"/>
      <c r="W1198" s="4"/>
      <c r="X1198" s="4"/>
      <c r="Y1198" s="4"/>
      <c r="Z1198" s="4"/>
      <c r="AA1198" s="4"/>
      <c r="AB1198" s="4"/>
      <c r="AC1198" s="4"/>
      <c r="AD1198" s="4"/>
      <c r="AE1198" s="4"/>
    </row>
    <row r="1199" spans="1:32">
      <c r="A1199" s="849"/>
      <c r="B1199" s="3129" t="s">
        <v>772</v>
      </c>
      <c r="C1199" s="683" t="s">
        <v>322</v>
      </c>
      <c r="D1199" s="719" t="s">
        <v>1980</v>
      </c>
      <c r="E1199" s="720" t="s">
        <v>1954</v>
      </c>
      <c r="F1199" s="824">
        <v>2311</v>
      </c>
      <c r="G1199" s="720" t="s">
        <v>126</v>
      </c>
      <c r="H1199" s="706">
        <v>600</v>
      </c>
      <c r="I1199" s="706"/>
      <c r="J1199" s="1654">
        <v>523</v>
      </c>
      <c r="K1199" s="802"/>
      <c r="L1199" s="713">
        <v>600</v>
      </c>
      <c r="M1199" s="713"/>
      <c r="N1199" s="305"/>
      <c r="O1199" s="187"/>
      <c r="P1199" s="187"/>
      <c r="Q1199" s="187"/>
      <c r="R1199" s="187"/>
      <c r="S1199" s="187"/>
      <c r="T1199" s="187"/>
      <c r="U1199" s="187"/>
      <c r="V1199" s="187"/>
      <c r="W1199" s="187"/>
      <c r="X1199" s="187"/>
      <c r="Y1199" s="187"/>
      <c r="Z1199" s="187"/>
      <c r="AA1199" s="187"/>
      <c r="AB1199" s="187"/>
      <c r="AC1199" s="187"/>
      <c r="AD1199" s="187"/>
      <c r="AE1199" s="187"/>
      <c r="AF1199" s="187"/>
    </row>
    <row r="1200" spans="1:32" ht="51">
      <c r="A1200" s="760"/>
      <c r="B1200" s="3130" t="s">
        <v>772</v>
      </c>
      <c r="C1200" s="663" t="s">
        <v>322</v>
      </c>
      <c r="D1200" s="678" t="s">
        <v>1980</v>
      </c>
      <c r="E1200" s="700" t="s">
        <v>1954</v>
      </c>
      <c r="F1200" s="795">
        <v>2311</v>
      </c>
      <c r="G1200" s="750" t="s">
        <v>205</v>
      </c>
      <c r="H1200" s="709"/>
      <c r="I1200" s="709">
        <v>300</v>
      </c>
      <c r="J1200" s="1654" t="s">
        <v>1134</v>
      </c>
      <c r="K1200" s="825"/>
      <c r="L1200" s="962"/>
      <c r="M1200" s="962">
        <v>400</v>
      </c>
      <c r="N1200" s="381" t="s">
        <v>4240</v>
      </c>
      <c r="O1200" s="7"/>
      <c r="P1200" s="7"/>
      <c r="Q1200" s="7"/>
      <c r="R1200" s="7"/>
      <c r="S1200" s="7"/>
      <c r="T1200" s="7"/>
      <c r="V1200" s="4"/>
      <c r="W1200" s="4"/>
      <c r="X1200" s="4"/>
      <c r="Y1200" s="4"/>
      <c r="Z1200" s="4"/>
      <c r="AA1200" s="4"/>
      <c r="AB1200" s="4"/>
      <c r="AC1200" s="4"/>
      <c r="AD1200" s="4"/>
      <c r="AE1200" s="4"/>
      <c r="AF1200" s="4"/>
    </row>
    <row r="1201" spans="1:32">
      <c r="A1201" s="760"/>
      <c r="B1201" s="3130" t="s">
        <v>772</v>
      </c>
      <c r="C1201" s="663" t="s">
        <v>322</v>
      </c>
      <c r="D1201" s="678" t="s">
        <v>1980</v>
      </c>
      <c r="E1201" s="700" t="s">
        <v>1954</v>
      </c>
      <c r="F1201" s="795">
        <v>2311</v>
      </c>
      <c r="G1201" s="750" t="s">
        <v>206</v>
      </c>
      <c r="H1201" s="709"/>
      <c r="I1201" s="709">
        <v>200</v>
      </c>
      <c r="J1201" s="1654" t="s">
        <v>1134</v>
      </c>
      <c r="K1201" s="825"/>
      <c r="L1201" s="962"/>
      <c r="M1201" s="962">
        <v>200</v>
      </c>
      <c r="N1201" s="305"/>
      <c r="O1201" s="4"/>
      <c r="P1201" s="4"/>
      <c r="Q1201" s="4"/>
      <c r="R1201" s="4"/>
      <c r="S1201" s="4"/>
      <c r="T1201" s="4"/>
      <c r="U1201" s="4"/>
      <c r="V1201" s="4"/>
      <c r="W1201" s="4"/>
      <c r="X1201" s="4"/>
      <c r="Y1201" s="4"/>
      <c r="Z1201" s="4"/>
      <c r="AA1201" s="4"/>
      <c r="AB1201" s="4"/>
      <c r="AC1201" s="4"/>
      <c r="AD1201" s="4"/>
      <c r="AE1201" s="4"/>
      <c r="AF1201" s="4"/>
    </row>
    <row r="1202" spans="1:32" ht="20.399999999999999">
      <c r="A1202" s="1556"/>
      <c r="B1202" s="3138" t="s">
        <v>772</v>
      </c>
      <c r="C1202" s="1495" t="s">
        <v>322</v>
      </c>
      <c r="D1202" s="1561" t="s">
        <v>1980</v>
      </c>
      <c r="E1202" s="1590" t="s">
        <v>1954</v>
      </c>
      <c r="F1202" s="1562">
        <v>2311</v>
      </c>
      <c r="G1202" s="1569" t="s">
        <v>3431</v>
      </c>
      <c r="H1202" s="1554"/>
      <c r="I1202" s="1554">
        <v>100</v>
      </c>
      <c r="J1202" s="1554"/>
      <c r="K1202" s="1555"/>
      <c r="L1202" s="2238"/>
      <c r="M1202" s="2238"/>
      <c r="N1202" s="305" t="s">
        <v>4241</v>
      </c>
      <c r="O1202" s="187"/>
      <c r="P1202" s="187"/>
      <c r="Q1202" s="187"/>
      <c r="R1202" s="187"/>
      <c r="S1202" s="187"/>
      <c r="T1202" s="187"/>
      <c r="U1202" s="187"/>
      <c r="V1202" s="187"/>
      <c r="W1202" s="187"/>
      <c r="X1202" s="187"/>
      <c r="Y1202" s="187"/>
      <c r="Z1202" s="187"/>
      <c r="AA1202" s="187"/>
      <c r="AB1202" s="187"/>
      <c r="AC1202" s="187"/>
      <c r="AD1202" s="187"/>
      <c r="AE1202" s="187"/>
      <c r="AF1202" s="187"/>
    </row>
    <row r="1203" spans="1:32">
      <c r="A1203" s="849"/>
      <c r="B1203" s="3129" t="s">
        <v>772</v>
      </c>
      <c r="C1203" s="683" t="s">
        <v>320</v>
      </c>
      <c r="D1203" s="719" t="s">
        <v>1980</v>
      </c>
      <c r="E1203" s="720" t="s">
        <v>1954</v>
      </c>
      <c r="F1203" s="824">
        <v>2312</v>
      </c>
      <c r="G1203" s="720" t="s">
        <v>207</v>
      </c>
      <c r="H1203" s="706">
        <v>8380</v>
      </c>
      <c r="I1203" s="706"/>
      <c r="J1203" s="1654">
        <v>7542</v>
      </c>
      <c r="K1203" s="802"/>
      <c r="L1203" s="713">
        <v>15400</v>
      </c>
      <c r="M1203" s="713"/>
      <c r="N1203" s="656"/>
      <c r="O1203" s="7"/>
      <c r="P1203" s="7"/>
      <c r="Q1203" s="7"/>
      <c r="R1203" s="7"/>
      <c r="S1203" s="7"/>
      <c r="T1203" s="7"/>
      <c r="U1203" s="7"/>
      <c r="V1203" s="7"/>
      <c r="W1203" s="7"/>
      <c r="X1203" s="7"/>
      <c r="Y1203" s="7"/>
      <c r="Z1203" s="7"/>
      <c r="AA1203" s="7"/>
      <c r="AB1203" s="7"/>
      <c r="AC1203" s="7"/>
      <c r="AD1203" s="7"/>
      <c r="AE1203" s="7"/>
      <c r="AF1203" s="7"/>
    </row>
    <row r="1204" spans="1:32">
      <c r="A1204" s="760"/>
      <c r="B1204" s="3130" t="s">
        <v>772</v>
      </c>
      <c r="C1204" s="663" t="s">
        <v>320</v>
      </c>
      <c r="D1204" s="678" t="s">
        <v>1980</v>
      </c>
      <c r="E1204" s="700" t="s">
        <v>1954</v>
      </c>
      <c r="F1204" s="795">
        <v>2312</v>
      </c>
      <c r="G1204" s="750" t="s">
        <v>1131</v>
      </c>
      <c r="H1204" s="709"/>
      <c r="I1204" s="709">
        <v>12000</v>
      </c>
      <c r="J1204" s="1654" t="s">
        <v>1134</v>
      </c>
      <c r="K1204" s="825"/>
      <c r="L1204" s="962"/>
      <c r="M1204" s="962">
        <v>12000</v>
      </c>
      <c r="N1204" s="305"/>
      <c r="O1204" s="7"/>
      <c r="P1204" s="7"/>
      <c r="Q1204" s="7"/>
      <c r="R1204" s="7"/>
      <c r="S1204" s="7"/>
      <c r="T1204" s="7"/>
      <c r="U1204" s="7"/>
      <c r="V1204" s="7"/>
      <c r="W1204" s="7"/>
      <c r="X1204" s="7"/>
      <c r="Y1204" s="7"/>
      <c r="Z1204" s="7"/>
      <c r="AA1204" s="7"/>
      <c r="AB1204" s="7"/>
      <c r="AC1204" s="7"/>
      <c r="AD1204" s="7"/>
      <c r="AE1204" s="7"/>
      <c r="AF1204" s="7"/>
    </row>
    <row r="1205" spans="1:32" ht="20.399999999999999">
      <c r="A1205" s="760"/>
      <c r="B1205" s="3130" t="s">
        <v>772</v>
      </c>
      <c r="C1205" s="663" t="s">
        <v>320</v>
      </c>
      <c r="D1205" s="678" t="s">
        <v>1980</v>
      </c>
      <c r="E1205" s="700" t="s">
        <v>1954</v>
      </c>
      <c r="F1205" s="795">
        <v>2312</v>
      </c>
      <c r="G1205" s="1374" t="s">
        <v>3449</v>
      </c>
      <c r="H1205" s="1375"/>
      <c r="I1205" s="709">
        <v>-5154</v>
      </c>
      <c r="J1205" s="1654" t="s">
        <v>1134</v>
      </c>
      <c r="K1205" s="961"/>
      <c r="L1205" s="2213"/>
      <c r="M1205" s="962"/>
      <c r="N1205" s="305"/>
      <c r="O1205" s="7"/>
      <c r="P1205" s="7"/>
      <c r="Q1205" s="7"/>
      <c r="R1205" s="7"/>
      <c r="S1205" s="7"/>
      <c r="T1205" s="7"/>
      <c r="U1205" s="7"/>
      <c r="V1205" s="7"/>
      <c r="W1205" s="7"/>
      <c r="X1205" s="7"/>
      <c r="Y1205" s="7"/>
      <c r="Z1205" s="7"/>
      <c r="AA1205" s="7"/>
      <c r="AB1205" s="7"/>
      <c r="AC1205" s="7"/>
      <c r="AD1205" s="7"/>
      <c r="AE1205" s="7"/>
      <c r="AF1205" s="7"/>
    </row>
    <row r="1206" spans="1:32">
      <c r="A1206" s="760"/>
      <c r="B1206" s="3130" t="s">
        <v>772</v>
      </c>
      <c r="C1206" s="663" t="s">
        <v>320</v>
      </c>
      <c r="D1206" s="678" t="s">
        <v>1980</v>
      </c>
      <c r="E1206" s="700" t="s">
        <v>1954</v>
      </c>
      <c r="F1206" s="795">
        <v>2312</v>
      </c>
      <c r="G1206" s="750" t="s">
        <v>959</v>
      </c>
      <c r="H1206" s="709"/>
      <c r="I1206" s="709">
        <v>900</v>
      </c>
      <c r="J1206" s="1654" t="s">
        <v>1134</v>
      </c>
      <c r="K1206" s="825"/>
      <c r="L1206" s="962"/>
      <c r="M1206" s="962">
        <v>900</v>
      </c>
      <c r="N1206" s="305"/>
      <c r="O1206" s="7"/>
      <c r="P1206" s="7"/>
      <c r="Q1206" s="7"/>
      <c r="R1206" s="7"/>
      <c r="S1206" s="7"/>
      <c r="T1206" s="7"/>
      <c r="U1206" s="7"/>
      <c r="V1206" s="7"/>
      <c r="W1206" s="7"/>
      <c r="X1206" s="7"/>
      <c r="Y1206" s="7"/>
      <c r="Z1206" s="7"/>
      <c r="AA1206" s="7"/>
      <c r="AB1206" s="7"/>
      <c r="AC1206" s="7"/>
      <c r="AD1206" s="7"/>
      <c r="AE1206" s="7"/>
      <c r="AF1206" s="7"/>
    </row>
    <row r="1207" spans="1:32" ht="20.399999999999999">
      <c r="A1207" s="2187"/>
      <c r="B1207" s="3130" t="s">
        <v>772</v>
      </c>
      <c r="C1207" s="663" t="s">
        <v>320</v>
      </c>
      <c r="D1207" s="678" t="s">
        <v>1980</v>
      </c>
      <c r="E1207" s="700" t="s">
        <v>1954</v>
      </c>
      <c r="F1207" s="795">
        <v>2312</v>
      </c>
      <c r="G1207" s="2195" t="s">
        <v>4234</v>
      </c>
      <c r="H1207" s="2239"/>
      <c r="I1207" s="2239"/>
      <c r="J1207" s="2191"/>
      <c r="K1207" s="2240"/>
      <c r="L1207" s="2241"/>
      <c r="M1207" s="2241">
        <v>2500</v>
      </c>
      <c r="N1207" s="381"/>
      <c r="O1207" s="7"/>
      <c r="P1207" s="7"/>
      <c r="Q1207" s="7"/>
      <c r="R1207" s="7"/>
      <c r="S1207" s="7"/>
      <c r="T1207" s="7"/>
      <c r="U1207" s="7"/>
      <c r="V1207" s="7"/>
      <c r="W1207" s="7"/>
      <c r="X1207" s="7"/>
      <c r="Y1207" s="7"/>
      <c r="Z1207" s="7"/>
      <c r="AA1207" s="7"/>
      <c r="AB1207" s="7"/>
      <c r="AC1207" s="7"/>
      <c r="AD1207" s="7"/>
      <c r="AE1207" s="7"/>
      <c r="AF1207" s="7"/>
    </row>
    <row r="1208" spans="1:32" ht="30.6">
      <c r="A1208" s="760"/>
      <c r="B1208" s="3130" t="s">
        <v>772</v>
      </c>
      <c r="C1208" s="663" t="s">
        <v>320</v>
      </c>
      <c r="D1208" s="678" t="s">
        <v>1980</v>
      </c>
      <c r="E1208" s="700" t="s">
        <v>1954</v>
      </c>
      <c r="F1208" s="795">
        <v>2312</v>
      </c>
      <c r="G1208" s="750" t="s">
        <v>4236</v>
      </c>
      <c r="H1208" s="709"/>
      <c r="I1208" s="709">
        <v>414</v>
      </c>
      <c r="J1208" s="1654" t="s">
        <v>1134</v>
      </c>
      <c r="K1208" s="825"/>
      <c r="L1208" s="962"/>
      <c r="M1208" s="962"/>
      <c r="N1208" s="305"/>
      <c r="O1208" s="187"/>
      <c r="P1208" s="187"/>
      <c r="Q1208" s="187"/>
      <c r="R1208" s="187"/>
      <c r="S1208" s="187"/>
      <c r="T1208" s="187"/>
      <c r="U1208" s="187"/>
      <c r="V1208" s="187"/>
      <c r="W1208" s="187"/>
      <c r="X1208" s="187"/>
      <c r="Y1208" s="187"/>
      <c r="Z1208" s="187"/>
      <c r="AA1208" s="187"/>
      <c r="AB1208" s="187"/>
      <c r="AC1208" s="187"/>
      <c r="AD1208" s="187"/>
      <c r="AE1208" s="187"/>
      <c r="AF1208" s="187"/>
    </row>
    <row r="1209" spans="1:32" ht="20.399999999999999">
      <c r="A1209" s="1145"/>
      <c r="B1209" s="3130" t="s">
        <v>772</v>
      </c>
      <c r="C1209" s="663" t="s">
        <v>320</v>
      </c>
      <c r="D1209" s="678" t="s">
        <v>1980</v>
      </c>
      <c r="E1209" s="700" t="s">
        <v>1954</v>
      </c>
      <c r="F1209" s="795">
        <v>2312</v>
      </c>
      <c r="G1209" s="1153" t="s">
        <v>3070</v>
      </c>
      <c r="H1209" s="1151"/>
      <c r="I1209" s="1151">
        <v>-110</v>
      </c>
      <c r="J1209" s="1654" t="s">
        <v>1134</v>
      </c>
      <c r="K1209" s="1464"/>
      <c r="L1209" s="2242"/>
      <c r="M1209" s="2242"/>
      <c r="N1209" s="381" t="s">
        <v>4244</v>
      </c>
      <c r="O1209" s="187"/>
      <c r="P1209" s="187"/>
      <c r="Q1209" s="187"/>
      <c r="R1209" s="187"/>
      <c r="S1209" s="187"/>
      <c r="T1209" s="187"/>
      <c r="U1209" s="187"/>
      <c r="V1209" s="187"/>
      <c r="W1209" s="187"/>
      <c r="X1209" s="187"/>
      <c r="Y1209" s="187"/>
      <c r="Z1209" s="187"/>
      <c r="AA1209" s="187"/>
      <c r="AB1209" s="187"/>
      <c r="AC1209" s="187"/>
      <c r="AD1209" s="187"/>
      <c r="AE1209" s="187"/>
      <c r="AF1209" s="187"/>
    </row>
    <row r="1210" spans="1:32" ht="20.399999999999999">
      <c r="A1210" s="1145"/>
      <c r="B1210" s="3130" t="s">
        <v>772</v>
      </c>
      <c r="C1210" s="663" t="s">
        <v>320</v>
      </c>
      <c r="D1210" s="678" t="s">
        <v>1980</v>
      </c>
      <c r="E1210" s="700" t="s">
        <v>1954</v>
      </c>
      <c r="F1210" s="795">
        <v>2312</v>
      </c>
      <c r="G1210" s="1569" t="s">
        <v>3431</v>
      </c>
      <c r="H1210" s="1151"/>
      <c r="I1210" s="1151">
        <v>-100</v>
      </c>
      <c r="J1210" s="1654" t="s">
        <v>1134</v>
      </c>
      <c r="K1210" s="1464"/>
      <c r="L1210" s="2242"/>
      <c r="M1210" s="2242"/>
      <c r="N1210" s="381"/>
      <c r="O1210" s="187"/>
      <c r="P1210" s="187"/>
      <c r="Q1210" s="187"/>
      <c r="R1210" s="187"/>
      <c r="S1210" s="187"/>
      <c r="T1210" s="187"/>
      <c r="U1210" s="187"/>
      <c r="V1210" s="187"/>
      <c r="W1210" s="187"/>
      <c r="X1210" s="187"/>
      <c r="Y1210" s="187"/>
      <c r="Z1210" s="187"/>
      <c r="AA1210" s="187"/>
      <c r="AB1210" s="187"/>
      <c r="AC1210" s="187"/>
      <c r="AD1210" s="187"/>
      <c r="AE1210" s="187"/>
      <c r="AF1210" s="187"/>
    </row>
    <row r="1211" spans="1:32" ht="20.399999999999999">
      <c r="A1211" s="1556"/>
      <c r="B1211" s="3130" t="s">
        <v>772</v>
      </c>
      <c r="C1211" s="663" t="s">
        <v>320</v>
      </c>
      <c r="D1211" s="678" t="s">
        <v>1980</v>
      </c>
      <c r="E1211" s="700" t="s">
        <v>1954</v>
      </c>
      <c r="F1211" s="795">
        <v>2312</v>
      </c>
      <c r="G1211" s="2234" t="s">
        <v>3458</v>
      </c>
      <c r="H1211" s="2235"/>
      <c r="I1211" s="2235">
        <v>430</v>
      </c>
      <c r="J1211" s="1655"/>
      <c r="K1211" s="2236"/>
      <c r="L1211" s="2237"/>
      <c r="M1211" s="2235"/>
      <c r="N1211" s="305"/>
      <c r="O1211" s="187"/>
      <c r="P1211" s="187"/>
      <c r="Q1211" s="187"/>
      <c r="R1211" s="187"/>
      <c r="S1211" s="187"/>
      <c r="T1211" s="187"/>
      <c r="U1211" s="187"/>
      <c r="V1211" s="187"/>
      <c r="W1211" s="187"/>
      <c r="X1211" s="187"/>
      <c r="Y1211" s="187"/>
      <c r="Z1211" s="187"/>
      <c r="AA1211" s="187"/>
      <c r="AB1211" s="187"/>
      <c r="AC1211" s="187"/>
      <c r="AD1211" s="187"/>
      <c r="AE1211" s="187"/>
      <c r="AF1211" s="187"/>
    </row>
    <row r="1212" spans="1:32">
      <c r="A1212" s="849"/>
      <c r="B1212" s="3129" t="s">
        <v>773</v>
      </c>
      <c r="C1212" s="683" t="s">
        <v>320</v>
      </c>
      <c r="D1212" s="719" t="s">
        <v>1980</v>
      </c>
      <c r="E1212" s="720" t="s">
        <v>1954</v>
      </c>
      <c r="F1212" s="824">
        <v>2312</v>
      </c>
      <c r="G1212" s="720" t="s">
        <v>207</v>
      </c>
      <c r="H1212" s="706"/>
      <c r="I1212" s="706"/>
      <c r="J1212" s="1654"/>
      <c r="K1212" s="802"/>
      <c r="L1212" s="713">
        <v>7950</v>
      </c>
      <c r="M1212" s="713"/>
      <c r="N1212" s="656"/>
      <c r="O1212" s="7"/>
      <c r="P1212" s="7"/>
      <c r="Q1212" s="7"/>
      <c r="R1212" s="7"/>
      <c r="S1212" s="7"/>
      <c r="T1212" s="7"/>
      <c r="U1212" s="7"/>
      <c r="V1212" s="7"/>
      <c r="W1212" s="7"/>
      <c r="X1212" s="7"/>
      <c r="Y1212" s="7"/>
      <c r="Z1212" s="7"/>
      <c r="AA1212" s="7"/>
      <c r="AB1212" s="7"/>
      <c r="AC1212" s="7"/>
      <c r="AD1212" s="7"/>
      <c r="AE1212" s="7"/>
    </row>
    <row r="1213" spans="1:32" ht="71.400000000000006">
      <c r="A1213" s="760"/>
      <c r="B1213" s="3130" t="s">
        <v>773</v>
      </c>
      <c r="C1213" s="663" t="s">
        <v>320</v>
      </c>
      <c r="D1213" s="678" t="s">
        <v>1980</v>
      </c>
      <c r="E1213" s="700" t="s">
        <v>1954</v>
      </c>
      <c r="F1213" s="795">
        <v>2312</v>
      </c>
      <c r="G1213" s="750" t="s">
        <v>4246</v>
      </c>
      <c r="H1213" s="709"/>
      <c r="I1213" s="709"/>
      <c r="J1213" s="1654"/>
      <c r="K1213" s="825"/>
      <c r="L1213" s="962"/>
      <c r="M1213" s="962">
        <v>7950</v>
      </c>
      <c r="N1213" s="656"/>
      <c r="O1213" s="187"/>
      <c r="P1213" s="187"/>
      <c r="Q1213" s="187"/>
      <c r="R1213" s="187"/>
      <c r="S1213" s="187"/>
      <c r="T1213" s="187"/>
      <c r="U1213" s="187"/>
      <c r="V1213" s="187"/>
      <c r="W1213" s="187"/>
      <c r="X1213" s="187"/>
      <c r="Y1213" s="187"/>
      <c r="Z1213" s="187"/>
      <c r="AA1213" s="187"/>
      <c r="AB1213" s="187"/>
      <c r="AC1213" s="187"/>
      <c r="AD1213" s="187"/>
      <c r="AE1213" s="187"/>
      <c r="AF1213" s="187"/>
    </row>
    <row r="1214" spans="1:32">
      <c r="A1214" s="849"/>
      <c r="B1214" s="3129" t="s">
        <v>365</v>
      </c>
      <c r="C1214" s="683" t="s">
        <v>320</v>
      </c>
      <c r="D1214" s="719" t="s">
        <v>1980</v>
      </c>
      <c r="E1214" s="720" t="s">
        <v>1954</v>
      </c>
      <c r="F1214" s="824">
        <v>2312</v>
      </c>
      <c r="G1214" s="720" t="s">
        <v>207</v>
      </c>
      <c r="H1214" s="706"/>
      <c r="I1214" s="706"/>
      <c r="J1214" s="1654"/>
      <c r="K1214" s="802"/>
      <c r="L1214" s="713">
        <v>2246</v>
      </c>
      <c r="M1214" s="713"/>
      <c r="N1214" s="305"/>
      <c r="O1214" s="7"/>
      <c r="P1214" s="7"/>
      <c r="Q1214" s="7"/>
      <c r="R1214" s="7"/>
      <c r="S1214" s="7"/>
      <c r="T1214" s="7"/>
      <c r="U1214" s="7"/>
      <c r="V1214" s="7"/>
      <c r="W1214" s="7"/>
      <c r="X1214" s="7"/>
      <c r="Y1214" s="7"/>
      <c r="Z1214" s="7"/>
      <c r="AA1214" s="7"/>
      <c r="AB1214" s="7"/>
      <c r="AC1214" s="7"/>
      <c r="AD1214" s="7"/>
    </row>
    <row r="1215" spans="1:32" ht="20.399999999999999">
      <c r="A1215" s="760"/>
      <c r="B1215" s="3130" t="s">
        <v>365</v>
      </c>
      <c r="C1215" s="663" t="s">
        <v>320</v>
      </c>
      <c r="D1215" s="678" t="s">
        <v>1980</v>
      </c>
      <c r="E1215" s="700" t="s">
        <v>1954</v>
      </c>
      <c r="F1215" s="795">
        <v>2312</v>
      </c>
      <c r="G1215" s="750" t="s">
        <v>5054</v>
      </c>
      <c r="H1215" s="709"/>
      <c r="I1215" s="709"/>
      <c r="J1215" s="1654"/>
      <c r="K1215" s="825"/>
      <c r="L1215" s="962"/>
      <c r="M1215" s="962">
        <v>2246</v>
      </c>
      <c r="N1215" s="652"/>
      <c r="O1215" s="187"/>
      <c r="P1215" s="187"/>
      <c r="Q1215" s="187"/>
      <c r="R1215" s="187"/>
      <c r="S1215" s="187"/>
      <c r="T1215" s="187"/>
      <c r="U1215" s="187"/>
      <c r="V1215" s="187"/>
      <c r="W1215" s="187"/>
      <c r="X1215" s="187"/>
      <c r="Y1215" s="187"/>
      <c r="Z1215" s="187"/>
      <c r="AA1215" s="187"/>
      <c r="AB1215" s="187"/>
      <c r="AC1215" s="187"/>
      <c r="AD1215" s="187"/>
      <c r="AE1215" s="187"/>
      <c r="AF1215" s="187"/>
    </row>
    <row r="1216" spans="1:32" ht="20.399999999999999">
      <c r="A1216" s="849"/>
      <c r="B1216" s="3129" t="s">
        <v>772</v>
      </c>
      <c r="C1216" s="683" t="s">
        <v>322</v>
      </c>
      <c r="D1216" s="719" t="s">
        <v>1980</v>
      </c>
      <c r="E1216" s="720" t="s">
        <v>1954</v>
      </c>
      <c r="F1216" s="824">
        <v>2314</v>
      </c>
      <c r="G1216" s="800" t="s">
        <v>1435</v>
      </c>
      <c r="H1216" s="706">
        <v>12400</v>
      </c>
      <c r="I1216" s="706"/>
      <c r="J1216" s="1654">
        <v>9831</v>
      </c>
      <c r="K1216" s="802"/>
      <c r="L1216" s="706">
        <v>13400</v>
      </c>
      <c r="M1216" s="713"/>
      <c r="N1216" s="125"/>
      <c r="O1216" s="7"/>
      <c r="P1216" s="7"/>
      <c r="Q1216" s="7"/>
      <c r="R1216" s="7"/>
      <c r="S1216" s="7"/>
      <c r="T1216" s="7"/>
      <c r="U1216" s="7"/>
      <c r="V1216" s="7"/>
      <c r="W1216" s="7"/>
      <c r="X1216" s="7"/>
      <c r="Y1216" s="7"/>
      <c r="Z1216" s="7"/>
      <c r="AA1216" s="7"/>
      <c r="AB1216" s="7"/>
      <c r="AC1216" s="7"/>
    </row>
    <row r="1217" spans="1:32">
      <c r="A1217" s="760"/>
      <c r="B1217" s="3130" t="s">
        <v>772</v>
      </c>
      <c r="C1217" s="663" t="s">
        <v>322</v>
      </c>
      <c r="D1217" s="678" t="s">
        <v>1980</v>
      </c>
      <c r="E1217" s="700" t="s">
        <v>1954</v>
      </c>
      <c r="F1217" s="795">
        <v>2314</v>
      </c>
      <c r="G1217" s="2214" t="s">
        <v>1548</v>
      </c>
      <c r="H1217" s="709"/>
      <c r="I1217" s="709">
        <v>300</v>
      </c>
      <c r="J1217" s="1654" t="s">
        <v>1134</v>
      </c>
      <c r="K1217" s="825"/>
      <c r="L1217" s="962"/>
      <c r="M1217" s="962">
        <v>300</v>
      </c>
      <c r="N1217" s="125"/>
      <c r="O1217" s="7"/>
      <c r="P1217" s="7"/>
      <c r="Q1217" s="7"/>
      <c r="R1217" s="7"/>
      <c r="S1217" s="7"/>
      <c r="T1217" s="7"/>
      <c r="U1217" s="7"/>
      <c r="V1217" s="7"/>
      <c r="W1217" s="7"/>
      <c r="X1217" s="7"/>
      <c r="Y1217" s="7"/>
      <c r="Z1217" s="7"/>
      <c r="AA1217" s="7"/>
      <c r="AB1217" s="7"/>
      <c r="AC1217" s="7"/>
    </row>
    <row r="1218" spans="1:32">
      <c r="A1218" s="760"/>
      <c r="B1218" s="3130" t="s">
        <v>772</v>
      </c>
      <c r="C1218" s="663" t="s">
        <v>322</v>
      </c>
      <c r="D1218" s="678" t="s">
        <v>1980</v>
      </c>
      <c r="E1218" s="700" t="s">
        <v>1954</v>
      </c>
      <c r="F1218" s="795">
        <v>2314</v>
      </c>
      <c r="G1218" s="2214" t="s">
        <v>2819</v>
      </c>
      <c r="H1218" s="709"/>
      <c r="I1218" s="709">
        <v>600</v>
      </c>
      <c r="J1218" s="1654" t="s">
        <v>1134</v>
      </c>
      <c r="K1218" s="825"/>
      <c r="L1218" s="962"/>
      <c r="M1218" s="962">
        <v>600</v>
      </c>
      <c r="N1218" s="125"/>
      <c r="O1218" s="7"/>
      <c r="P1218" s="7"/>
      <c r="Q1218" s="7"/>
      <c r="R1218" s="7"/>
      <c r="S1218" s="7"/>
      <c r="T1218" s="7"/>
      <c r="U1218" s="7"/>
      <c r="V1218" s="7"/>
      <c r="W1218" s="7"/>
      <c r="X1218" s="7"/>
      <c r="Y1218" s="7"/>
      <c r="Z1218" s="7"/>
      <c r="AA1218" s="7"/>
      <c r="AB1218" s="7"/>
      <c r="AC1218" s="7"/>
    </row>
    <row r="1219" spans="1:32">
      <c r="A1219" s="760"/>
      <c r="B1219" s="3130" t="s">
        <v>772</v>
      </c>
      <c r="C1219" s="663" t="s">
        <v>322</v>
      </c>
      <c r="D1219" s="678" t="s">
        <v>1980</v>
      </c>
      <c r="E1219" s="700" t="s">
        <v>1954</v>
      </c>
      <c r="F1219" s="795">
        <v>2314</v>
      </c>
      <c r="G1219" s="2214" t="s">
        <v>2820</v>
      </c>
      <c r="H1219" s="1376"/>
      <c r="I1219" s="1376">
        <v>1500</v>
      </c>
      <c r="J1219" s="1654" t="s">
        <v>1134</v>
      </c>
      <c r="K1219" s="961"/>
      <c r="L1219" s="2213"/>
      <c r="M1219" s="1376">
        <v>1500</v>
      </c>
      <c r="N1219" s="11"/>
      <c r="O1219" s="187"/>
      <c r="P1219" s="187"/>
      <c r="Q1219" s="187"/>
      <c r="R1219" s="187"/>
      <c r="S1219" s="187"/>
      <c r="T1219" s="187"/>
      <c r="U1219" s="187"/>
      <c r="V1219" s="187"/>
      <c r="W1219" s="187"/>
      <c r="X1219" s="187"/>
      <c r="Y1219" s="187"/>
      <c r="Z1219" s="187"/>
      <c r="AA1219" s="187"/>
      <c r="AB1219" s="187"/>
      <c r="AC1219" s="187"/>
      <c r="AD1219" s="187"/>
      <c r="AE1219" s="187"/>
      <c r="AF1219" s="187"/>
    </row>
    <row r="1220" spans="1:32" ht="20.399999999999999">
      <c r="A1220" s="760"/>
      <c r="B1220" s="3130" t="s">
        <v>772</v>
      </c>
      <c r="C1220" s="663" t="s">
        <v>322</v>
      </c>
      <c r="D1220" s="678" t="s">
        <v>1980</v>
      </c>
      <c r="E1220" s="700" t="s">
        <v>1954</v>
      </c>
      <c r="F1220" s="795">
        <v>2314</v>
      </c>
      <c r="G1220" s="750" t="s">
        <v>4238</v>
      </c>
      <c r="H1220" s="709"/>
      <c r="I1220" s="709">
        <v>10000</v>
      </c>
      <c r="J1220" s="1654" t="s">
        <v>1134</v>
      </c>
      <c r="K1220" s="825"/>
      <c r="L1220" s="962"/>
      <c r="M1220" s="962">
        <v>11000</v>
      </c>
      <c r="N1220" s="11"/>
      <c r="O1220" s="187"/>
      <c r="P1220" s="187"/>
      <c r="Q1220" s="187"/>
      <c r="R1220" s="187"/>
      <c r="S1220" s="187"/>
      <c r="T1220" s="187"/>
      <c r="U1220" s="187"/>
      <c r="V1220" s="187"/>
      <c r="W1220" s="187"/>
      <c r="X1220" s="187"/>
      <c r="Y1220" s="187"/>
      <c r="Z1220" s="187"/>
      <c r="AA1220" s="187"/>
      <c r="AB1220" s="187"/>
      <c r="AC1220" s="187"/>
      <c r="AD1220" s="187"/>
      <c r="AE1220" s="187"/>
      <c r="AF1220" s="187"/>
    </row>
    <row r="1221" spans="1:32">
      <c r="A1221" s="849"/>
      <c r="B1221" s="3129" t="s">
        <v>772</v>
      </c>
      <c r="C1221" s="683" t="s">
        <v>322</v>
      </c>
      <c r="D1221" s="719" t="s">
        <v>1980</v>
      </c>
      <c r="E1221" s="720" t="s">
        <v>1954</v>
      </c>
      <c r="F1221" s="824">
        <v>2322</v>
      </c>
      <c r="G1221" s="800" t="s">
        <v>169</v>
      </c>
      <c r="H1221" s="706">
        <v>5245.7749999999996</v>
      </c>
      <c r="I1221" s="706"/>
      <c r="J1221" s="1654">
        <v>1395</v>
      </c>
      <c r="K1221" s="802"/>
      <c r="L1221" s="920">
        <v>4844.8</v>
      </c>
      <c r="M1221" s="713"/>
      <c r="N1221" s="11"/>
      <c r="O1221" s="187"/>
      <c r="P1221" s="187"/>
      <c r="Q1221" s="187"/>
      <c r="R1221" s="187"/>
      <c r="S1221" s="187"/>
      <c r="T1221" s="187"/>
      <c r="U1221" s="187"/>
      <c r="V1221" s="187"/>
      <c r="W1221" s="187"/>
      <c r="X1221" s="187"/>
      <c r="Y1221" s="187"/>
      <c r="Z1221" s="187"/>
      <c r="AA1221" s="187"/>
      <c r="AB1221" s="187"/>
      <c r="AC1221" s="187"/>
      <c r="AD1221" s="187"/>
      <c r="AE1221" s="187"/>
      <c r="AF1221" s="187"/>
    </row>
    <row r="1222" spans="1:32">
      <c r="A1222" s="760"/>
      <c r="B1222" s="3130" t="s">
        <v>772</v>
      </c>
      <c r="C1222" s="663" t="s">
        <v>322</v>
      </c>
      <c r="D1222" s="678" t="s">
        <v>1980</v>
      </c>
      <c r="E1222" s="700" t="s">
        <v>1954</v>
      </c>
      <c r="F1222" s="795">
        <v>2322</v>
      </c>
      <c r="G1222" s="750" t="s">
        <v>370</v>
      </c>
      <c r="H1222" s="709"/>
      <c r="I1222" s="709">
        <v>355.3</v>
      </c>
      <c r="J1222" s="1654" t="s">
        <v>1134</v>
      </c>
      <c r="K1222" s="825"/>
      <c r="L1222" s="962"/>
      <c r="M1222" s="709">
        <v>281.60000000000002</v>
      </c>
      <c r="N1222" s="11"/>
      <c r="O1222" s="7"/>
      <c r="P1222" s="7"/>
      <c r="Q1222" s="7"/>
      <c r="R1222" s="7"/>
      <c r="S1222" s="7"/>
      <c r="T1222" s="7"/>
      <c r="U1222" s="7"/>
      <c r="V1222" s="7"/>
      <c r="W1222" s="7"/>
      <c r="X1222" s="7"/>
      <c r="Y1222" s="7"/>
      <c r="Z1222" s="7"/>
      <c r="AA1222" s="7"/>
      <c r="AB1222" s="7"/>
      <c r="AC1222" s="7"/>
      <c r="AD1222" s="7"/>
      <c r="AE1222" s="7"/>
      <c r="AF1222" s="7"/>
    </row>
    <row r="1223" spans="1:32">
      <c r="A1223" s="760"/>
      <c r="B1223" s="3130" t="s">
        <v>772</v>
      </c>
      <c r="C1223" s="663" t="s">
        <v>322</v>
      </c>
      <c r="D1223" s="678" t="s">
        <v>1980</v>
      </c>
      <c r="E1223" s="700" t="s">
        <v>1954</v>
      </c>
      <c r="F1223" s="795">
        <v>2322</v>
      </c>
      <c r="G1223" s="750" t="s">
        <v>686</v>
      </c>
      <c r="H1223" s="709"/>
      <c r="I1223" s="709">
        <v>266.47499999999997</v>
      </c>
      <c r="J1223" s="1654" t="s">
        <v>1134</v>
      </c>
      <c r="K1223" s="825"/>
      <c r="L1223" s="962"/>
      <c r="M1223" s="709">
        <v>211.20000000000002</v>
      </c>
      <c r="N1223" s="11"/>
      <c r="O1223" s="187"/>
      <c r="P1223" s="187"/>
      <c r="Q1223" s="187"/>
      <c r="R1223" s="187"/>
      <c r="S1223" s="187"/>
      <c r="T1223" s="187"/>
      <c r="U1223" s="187"/>
      <c r="V1223" s="187"/>
      <c r="W1223" s="187"/>
      <c r="X1223" s="187"/>
      <c r="Y1223" s="187"/>
      <c r="Z1223" s="187"/>
      <c r="AA1223" s="187"/>
      <c r="AB1223" s="187"/>
      <c r="AC1223" s="187"/>
      <c r="AD1223" s="187"/>
      <c r="AE1223" s="187"/>
      <c r="AF1223" s="187"/>
    </row>
    <row r="1224" spans="1:32">
      <c r="A1224" s="760"/>
      <c r="B1224" s="3130" t="s">
        <v>772</v>
      </c>
      <c r="C1224" s="663" t="s">
        <v>322</v>
      </c>
      <c r="D1224" s="678" t="s">
        <v>1980</v>
      </c>
      <c r="E1224" s="700" t="s">
        <v>1954</v>
      </c>
      <c r="F1224" s="795">
        <v>2322</v>
      </c>
      <c r="G1224" s="750" t="s">
        <v>578</v>
      </c>
      <c r="H1224" s="1376"/>
      <c r="I1224" s="709">
        <v>1649</v>
      </c>
      <c r="J1224" s="1654" t="s">
        <v>1134</v>
      </c>
      <c r="K1224" s="961"/>
      <c r="L1224" s="2213"/>
      <c r="M1224" s="709">
        <v>1552</v>
      </c>
      <c r="N1224" s="11"/>
      <c r="O1224" s="187"/>
      <c r="P1224" s="187"/>
      <c r="Q1224" s="187"/>
      <c r="R1224" s="187"/>
      <c r="S1224" s="187"/>
      <c r="T1224" s="187"/>
      <c r="U1224" s="187"/>
      <c r="V1224" s="187"/>
      <c r="W1224" s="187"/>
      <c r="X1224" s="187"/>
      <c r="Y1224" s="187"/>
      <c r="Z1224" s="187"/>
      <c r="AA1224" s="187"/>
      <c r="AB1224" s="187"/>
      <c r="AC1224" s="187"/>
      <c r="AD1224" s="187"/>
      <c r="AE1224" s="187"/>
      <c r="AF1224" s="187"/>
    </row>
    <row r="1225" spans="1:32">
      <c r="A1225" s="760"/>
      <c r="B1225" s="3130" t="s">
        <v>772</v>
      </c>
      <c r="C1225" s="663" t="s">
        <v>322</v>
      </c>
      <c r="D1225" s="678" t="s">
        <v>1980</v>
      </c>
      <c r="E1225" s="700" t="s">
        <v>1954</v>
      </c>
      <c r="F1225" s="795">
        <v>2322</v>
      </c>
      <c r="G1225" s="750" t="s">
        <v>492</v>
      </c>
      <c r="H1225" s="709"/>
      <c r="I1225" s="709">
        <v>850</v>
      </c>
      <c r="J1225" s="1654" t="s">
        <v>1134</v>
      </c>
      <c r="K1225" s="825"/>
      <c r="L1225" s="962"/>
      <c r="M1225" s="709">
        <v>800</v>
      </c>
      <c r="N1225" s="11"/>
      <c r="O1225" s="187"/>
      <c r="P1225" s="187"/>
      <c r="Q1225" s="187"/>
      <c r="R1225" s="187"/>
      <c r="S1225" s="187"/>
      <c r="T1225" s="187"/>
      <c r="U1225" s="187"/>
      <c r="V1225" s="187"/>
      <c r="W1225" s="187"/>
      <c r="X1225" s="187"/>
      <c r="Y1225" s="187"/>
      <c r="Z1225" s="187"/>
      <c r="AA1225" s="187"/>
      <c r="AB1225" s="187"/>
      <c r="AC1225" s="187"/>
      <c r="AD1225" s="187"/>
      <c r="AE1225" s="187"/>
      <c r="AF1225" s="187"/>
    </row>
    <row r="1226" spans="1:32">
      <c r="A1226" s="760"/>
      <c r="B1226" s="3130" t="s">
        <v>772</v>
      </c>
      <c r="C1226" s="663" t="s">
        <v>322</v>
      </c>
      <c r="D1226" s="678" t="s">
        <v>1980</v>
      </c>
      <c r="E1226" s="700" t="s">
        <v>1954</v>
      </c>
      <c r="F1226" s="795">
        <v>2322</v>
      </c>
      <c r="G1226" s="750" t="s">
        <v>491</v>
      </c>
      <c r="H1226" s="2243"/>
      <c r="I1226" s="709">
        <v>425</v>
      </c>
      <c r="J1226" s="1654" t="s">
        <v>1134</v>
      </c>
      <c r="K1226" s="825"/>
      <c r="L1226" s="2244"/>
      <c r="M1226" s="709">
        <v>400</v>
      </c>
      <c r="N1226" s="652"/>
      <c r="O1226" s="187"/>
      <c r="P1226" s="187"/>
      <c r="Q1226" s="187"/>
      <c r="R1226" s="187"/>
      <c r="S1226" s="187"/>
      <c r="T1226" s="187"/>
      <c r="U1226" s="187"/>
      <c r="V1226" s="187"/>
      <c r="W1226" s="187"/>
      <c r="X1226" s="187"/>
      <c r="Y1226" s="187"/>
      <c r="Z1226" s="187"/>
      <c r="AA1226" s="187"/>
      <c r="AB1226" s="187"/>
      <c r="AC1226" s="187"/>
      <c r="AD1226" s="187"/>
      <c r="AE1226" s="187"/>
      <c r="AF1226" s="187"/>
    </row>
    <row r="1227" spans="1:32">
      <c r="A1227" s="760"/>
      <c r="B1227" s="3130" t="s">
        <v>772</v>
      </c>
      <c r="C1227" s="663" t="s">
        <v>322</v>
      </c>
      <c r="D1227" s="678" t="s">
        <v>1980</v>
      </c>
      <c r="E1227" s="700" t="s">
        <v>1954</v>
      </c>
      <c r="F1227" s="795">
        <v>2322</v>
      </c>
      <c r="G1227" s="750" t="s">
        <v>491</v>
      </c>
      <c r="H1227" s="709"/>
      <c r="I1227" s="709">
        <v>425</v>
      </c>
      <c r="J1227" s="1654" t="s">
        <v>1134</v>
      </c>
      <c r="K1227" s="825"/>
      <c r="L1227" s="962"/>
      <c r="M1227" s="709">
        <v>400</v>
      </c>
      <c r="N1227" s="375"/>
      <c r="O1227" s="187"/>
      <c r="P1227" s="187"/>
      <c r="Q1227" s="187"/>
      <c r="R1227" s="187"/>
      <c r="S1227" s="187"/>
      <c r="T1227" s="187"/>
      <c r="U1227" s="187"/>
      <c r="V1227" s="187"/>
      <c r="W1227" s="187"/>
      <c r="X1227" s="187"/>
      <c r="Y1227" s="187"/>
      <c r="Z1227" s="187"/>
      <c r="AA1227" s="187"/>
      <c r="AB1227" s="187"/>
      <c r="AC1227" s="187"/>
      <c r="AD1227" s="187"/>
      <c r="AE1227" s="187"/>
      <c r="AF1227" s="187"/>
    </row>
    <row r="1228" spans="1:32">
      <c r="A1228" s="760"/>
      <c r="B1228" s="3130" t="s">
        <v>772</v>
      </c>
      <c r="C1228" s="663" t="s">
        <v>322</v>
      </c>
      <c r="D1228" s="678" t="s">
        <v>1980</v>
      </c>
      <c r="E1228" s="700" t="s">
        <v>1954</v>
      </c>
      <c r="F1228" s="795">
        <v>2322</v>
      </c>
      <c r="G1228" s="750" t="s">
        <v>491</v>
      </c>
      <c r="H1228" s="709"/>
      <c r="I1228" s="709">
        <v>425</v>
      </c>
      <c r="J1228" s="1654" t="s">
        <v>1134</v>
      </c>
      <c r="K1228" s="825"/>
      <c r="L1228" s="962"/>
      <c r="M1228" s="709">
        <v>400</v>
      </c>
      <c r="N1228" s="652"/>
      <c r="O1228" s="7"/>
      <c r="P1228" s="7"/>
      <c r="Q1228" s="7"/>
      <c r="R1228" s="7"/>
      <c r="S1228" s="7"/>
      <c r="T1228" s="7"/>
      <c r="U1228" s="7"/>
      <c r="V1228" s="7"/>
      <c r="W1228" s="7"/>
      <c r="X1228" s="7"/>
      <c r="Y1228" s="7"/>
      <c r="Z1228" s="7"/>
      <c r="AA1228" s="7"/>
      <c r="AB1228" s="7"/>
      <c r="AC1228" s="7"/>
      <c r="AD1228" s="7"/>
      <c r="AE1228" s="7"/>
    </row>
    <row r="1229" spans="1:32">
      <c r="A1229" s="760"/>
      <c r="B1229" s="3130" t="s">
        <v>772</v>
      </c>
      <c r="C1229" s="663" t="s">
        <v>322</v>
      </c>
      <c r="D1229" s="678" t="s">
        <v>1980</v>
      </c>
      <c r="E1229" s="700" t="s">
        <v>1954</v>
      </c>
      <c r="F1229" s="795">
        <v>2322</v>
      </c>
      <c r="G1229" s="750" t="s">
        <v>491</v>
      </c>
      <c r="H1229" s="709"/>
      <c r="I1229" s="709">
        <v>425</v>
      </c>
      <c r="J1229" s="1654" t="s">
        <v>1134</v>
      </c>
      <c r="K1229" s="825"/>
      <c r="L1229" s="962"/>
      <c r="M1229" s="709">
        <v>400</v>
      </c>
      <c r="N1229" s="125"/>
      <c r="O1229" s="187"/>
      <c r="P1229" s="187"/>
      <c r="Q1229" s="187"/>
      <c r="R1229" s="187"/>
      <c r="S1229" s="187"/>
      <c r="T1229" s="187"/>
      <c r="U1229" s="187"/>
      <c r="V1229" s="187"/>
      <c r="W1229" s="187"/>
      <c r="X1229" s="187"/>
      <c r="Y1229" s="187"/>
      <c r="Z1229" s="187"/>
      <c r="AA1229" s="187"/>
      <c r="AB1229" s="187"/>
      <c r="AC1229" s="187"/>
      <c r="AD1229" s="187"/>
      <c r="AE1229" s="187"/>
      <c r="AF1229" s="187"/>
    </row>
    <row r="1230" spans="1:32">
      <c r="A1230" s="760"/>
      <c r="B1230" s="3130" t="s">
        <v>772</v>
      </c>
      <c r="C1230" s="663" t="s">
        <v>322</v>
      </c>
      <c r="D1230" s="678" t="s">
        <v>1980</v>
      </c>
      <c r="E1230" s="700" t="s">
        <v>1954</v>
      </c>
      <c r="F1230" s="795">
        <v>2322</v>
      </c>
      <c r="G1230" s="750" t="s">
        <v>491</v>
      </c>
      <c r="H1230" s="709"/>
      <c r="I1230" s="709">
        <v>425</v>
      </c>
      <c r="J1230" s="1654" t="s">
        <v>1134</v>
      </c>
      <c r="K1230" s="825"/>
      <c r="L1230" s="962"/>
      <c r="M1230" s="709">
        <v>400</v>
      </c>
      <c r="N1230" s="652"/>
      <c r="O1230" s="7"/>
      <c r="P1230" s="7"/>
      <c r="Q1230" s="7"/>
      <c r="R1230" s="7"/>
      <c r="S1230" s="7"/>
      <c r="T1230" s="7"/>
      <c r="U1230" s="7"/>
      <c r="V1230" s="7"/>
      <c r="W1230" s="7"/>
      <c r="X1230" s="7"/>
      <c r="Y1230" s="7"/>
      <c r="Z1230" s="7"/>
      <c r="AA1230" s="7"/>
      <c r="AB1230" s="7"/>
      <c r="AC1230" s="7"/>
      <c r="AD1230" s="7"/>
      <c r="AE1230" s="7"/>
    </row>
    <row r="1231" spans="1:32">
      <c r="A1231" s="720"/>
      <c r="B1231" s="3129" t="s">
        <v>772</v>
      </c>
      <c r="C1231" s="720" t="s">
        <v>322</v>
      </c>
      <c r="D1231" s="823" t="s">
        <v>1980</v>
      </c>
      <c r="E1231" s="720" t="s">
        <v>1954</v>
      </c>
      <c r="F1231" s="824">
        <v>2341</v>
      </c>
      <c r="G1231" s="800" t="s">
        <v>276</v>
      </c>
      <c r="H1231" s="706">
        <v>800</v>
      </c>
      <c r="I1231" s="706"/>
      <c r="J1231" s="1654">
        <v>334</v>
      </c>
      <c r="K1231" s="802"/>
      <c r="L1231" s="713">
        <v>1000</v>
      </c>
      <c r="M1231" s="713"/>
      <c r="N1231" s="125"/>
      <c r="O1231" s="7"/>
      <c r="P1231" s="7"/>
      <c r="Q1231" s="7"/>
      <c r="R1231" s="7"/>
      <c r="S1231" s="7"/>
      <c r="T1231" s="7"/>
      <c r="U1231" s="7"/>
      <c r="V1231" s="7"/>
      <c r="W1231" s="7"/>
      <c r="X1231" s="7"/>
      <c r="Y1231" s="7"/>
      <c r="Z1231" s="7"/>
      <c r="AA1231" s="7"/>
      <c r="AB1231" s="7"/>
      <c r="AC1231" s="7"/>
      <c r="AD1231" s="7"/>
      <c r="AE1231" s="7"/>
      <c r="AF1231" s="7"/>
    </row>
    <row r="1232" spans="1:32">
      <c r="A1232" s="700"/>
      <c r="B1232" s="3130" t="s">
        <v>772</v>
      </c>
      <c r="C1232" s="700" t="s">
        <v>322</v>
      </c>
      <c r="D1232" s="794" t="s">
        <v>1980</v>
      </c>
      <c r="E1232" s="700" t="s">
        <v>1954</v>
      </c>
      <c r="F1232" s="795">
        <v>2341</v>
      </c>
      <c r="G1232" s="750"/>
      <c r="H1232" s="709"/>
      <c r="I1232" s="709">
        <v>800</v>
      </c>
      <c r="J1232" s="1654" t="s">
        <v>1134</v>
      </c>
      <c r="K1232" s="825"/>
      <c r="L1232" s="962"/>
      <c r="M1232" s="962">
        <v>1000</v>
      </c>
      <c r="N1232" s="652"/>
      <c r="O1232" s="187"/>
      <c r="P1232" s="187"/>
      <c r="Q1232" s="187"/>
      <c r="R1232" s="187"/>
      <c r="S1232" s="187"/>
      <c r="T1232" s="187"/>
      <c r="U1232" s="187"/>
      <c r="V1232" s="187"/>
      <c r="W1232" s="187"/>
      <c r="X1232" s="187"/>
      <c r="Y1232" s="187"/>
      <c r="Z1232" s="187"/>
      <c r="AA1232" s="187"/>
      <c r="AB1232" s="187"/>
      <c r="AC1232" s="187"/>
      <c r="AD1232" s="187"/>
      <c r="AE1232" s="187"/>
      <c r="AF1232" s="187"/>
    </row>
    <row r="1233" spans="1:32">
      <c r="A1233" s="720"/>
      <c r="B1233" s="3129" t="s">
        <v>772</v>
      </c>
      <c r="C1233" s="720" t="s">
        <v>322</v>
      </c>
      <c r="D1233" s="823" t="s">
        <v>1980</v>
      </c>
      <c r="E1233" s="720" t="s">
        <v>1954</v>
      </c>
      <c r="F1233" s="824">
        <v>2350</v>
      </c>
      <c r="G1233" s="800" t="s">
        <v>457</v>
      </c>
      <c r="H1233" s="706">
        <v>800</v>
      </c>
      <c r="I1233" s="706"/>
      <c r="J1233" s="1654">
        <v>434.63</v>
      </c>
      <c r="K1233" s="802"/>
      <c r="L1233" s="713">
        <v>900</v>
      </c>
      <c r="M1233" s="713"/>
      <c r="N1233" s="125"/>
      <c r="O1233" s="187"/>
      <c r="P1233" s="187"/>
      <c r="Q1233" s="187"/>
      <c r="R1233" s="187"/>
      <c r="S1233" s="187"/>
      <c r="T1233" s="187"/>
      <c r="U1233" s="187"/>
      <c r="V1233" s="187"/>
      <c r="W1233" s="187"/>
      <c r="X1233" s="187"/>
      <c r="Y1233" s="187"/>
      <c r="Z1233" s="187"/>
      <c r="AA1233" s="187"/>
      <c r="AB1233" s="187"/>
      <c r="AC1233" s="187"/>
      <c r="AD1233" s="187"/>
      <c r="AE1233" s="187"/>
      <c r="AF1233" s="187"/>
    </row>
    <row r="1234" spans="1:32">
      <c r="A1234" s="700"/>
      <c r="B1234" s="3130" t="s">
        <v>772</v>
      </c>
      <c r="C1234" s="700" t="s">
        <v>322</v>
      </c>
      <c r="D1234" s="794" t="s">
        <v>1980</v>
      </c>
      <c r="E1234" s="700" t="s">
        <v>1954</v>
      </c>
      <c r="F1234" s="795">
        <v>2350</v>
      </c>
      <c r="G1234" s="750" t="s">
        <v>195</v>
      </c>
      <c r="H1234" s="709"/>
      <c r="I1234" s="709">
        <v>800</v>
      </c>
      <c r="J1234" s="1654" t="s">
        <v>1134</v>
      </c>
      <c r="K1234" s="825"/>
      <c r="L1234" s="962"/>
      <c r="M1234" s="962">
        <v>900</v>
      </c>
      <c r="N1234" s="125"/>
      <c r="O1234" s="7"/>
      <c r="P1234" s="7"/>
      <c r="Q1234" s="7"/>
      <c r="R1234" s="7"/>
      <c r="S1234" s="7"/>
      <c r="T1234" s="7"/>
      <c r="U1234" s="7"/>
      <c r="V1234" s="7"/>
      <c r="W1234" s="7"/>
      <c r="X1234" s="7"/>
      <c r="Y1234" s="7"/>
      <c r="Z1234" s="7"/>
      <c r="AA1234" s="7"/>
      <c r="AB1234" s="7"/>
      <c r="AC1234" s="7"/>
      <c r="AD1234" s="7"/>
      <c r="AE1234" s="7"/>
      <c r="AF1234" s="7"/>
    </row>
    <row r="1235" spans="1:32" ht="11.4" customHeight="1">
      <c r="A1235" s="849"/>
      <c r="B1235" s="3129" t="s">
        <v>772</v>
      </c>
      <c r="C1235" s="683" t="s">
        <v>322</v>
      </c>
      <c r="D1235" s="719" t="s">
        <v>1980</v>
      </c>
      <c r="E1235" s="720" t="s">
        <v>1954</v>
      </c>
      <c r="F1235" s="824">
        <v>2370</v>
      </c>
      <c r="G1235" s="800" t="s">
        <v>209</v>
      </c>
      <c r="H1235" s="706">
        <v>460</v>
      </c>
      <c r="I1235" s="706"/>
      <c r="J1235" s="1654">
        <v>458.11</v>
      </c>
      <c r="K1235" s="802"/>
      <c r="L1235" s="713">
        <v>500</v>
      </c>
      <c r="M1235" s="713"/>
      <c r="N1235" s="125"/>
      <c r="O1235" s="187"/>
      <c r="P1235" s="187"/>
      <c r="Q1235" s="187"/>
      <c r="R1235" s="187"/>
      <c r="S1235" s="187"/>
      <c r="T1235" s="187"/>
      <c r="U1235" s="187"/>
      <c r="V1235" s="187"/>
      <c r="W1235" s="187"/>
      <c r="X1235" s="187"/>
      <c r="Y1235" s="187"/>
      <c r="Z1235" s="187"/>
      <c r="AA1235" s="187"/>
      <c r="AB1235" s="187"/>
      <c r="AC1235" s="187"/>
      <c r="AD1235" s="187"/>
      <c r="AE1235" s="187"/>
      <c r="AF1235" s="187"/>
    </row>
    <row r="1236" spans="1:32" ht="11.4" customHeight="1">
      <c r="A1236" s="760"/>
      <c r="B1236" s="3130" t="s">
        <v>772</v>
      </c>
      <c r="C1236" s="663" t="s">
        <v>322</v>
      </c>
      <c r="D1236" s="678" t="s">
        <v>1980</v>
      </c>
      <c r="E1236" s="700" t="s">
        <v>1954</v>
      </c>
      <c r="F1236" s="795">
        <v>2370</v>
      </c>
      <c r="G1236" s="750" t="s">
        <v>394</v>
      </c>
      <c r="H1236" s="709"/>
      <c r="I1236" s="709">
        <v>350</v>
      </c>
      <c r="J1236" s="1654" t="s">
        <v>1134</v>
      </c>
      <c r="K1236" s="825"/>
      <c r="L1236" s="962"/>
      <c r="M1236" s="962">
        <v>500</v>
      </c>
      <c r="N1236" s="125"/>
      <c r="O1236" s="187"/>
      <c r="P1236" s="187"/>
      <c r="Q1236" s="187"/>
      <c r="R1236" s="187"/>
      <c r="S1236" s="187"/>
      <c r="T1236" s="187"/>
      <c r="U1236" s="187"/>
      <c r="V1236" s="187"/>
      <c r="W1236" s="187"/>
      <c r="X1236" s="187"/>
      <c r="Y1236" s="187"/>
      <c r="Z1236" s="187"/>
      <c r="AA1236" s="187"/>
      <c r="AB1236" s="187"/>
      <c r="AC1236" s="187"/>
      <c r="AD1236" s="187"/>
      <c r="AE1236" s="187"/>
      <c r="AF1236" s="187"/>
    </row>
    <row r="1237" spans="1:32" ht="20.399999999999999">
      <c r="A1237" s="1145"/>
      <c r="B1237" s="3130" t="s">
        <v>772</v>
      </c>
      <c r="C1237" s="663" t="s">
        <v>322</v>
      </c>
      <c r="D1237" s="678" t="s">
        <v>1980</v>
      </c>
      <c r="E1237" s="700" t="s">
        <v>1954</v>
      </c>
      <c r="F1237" s="795">
        <v>2370</v>
      </c>
      <c r="G1237" s="1153" t="s">
        <v>3070</v>
      </c>
      <c r="H1237" s="1151"/>
      <c r="I1237" s="1151">
        <v>110</v>
      </c>
      <c r="J1237" s="1654" t="s">
        <v>1134</v>
      </c>
      <c r="K1237" s="1464"/>
      <c r="L1237" s="2242"/>
      <c r="M1237" s="2242"/>
      <c r="N1237" s="11"/>
      <c r="O1237" s="187"/>
      <c r="P1237" s="187"/>
      <c r="Q1237" s="187"/>
      <c r="R1237" s="187"/>
      <c r="S1237" s="187"/>
      <c r="T1237" s="187"/>
      <c r="U1237" s="187"/>
      <c r="V1237" s="187"/>
      <c r="W1237" s="187"/>
      <c r="X1237" s="187"/>
      <c r="Y1237" s="187"/>
      <c r="Z1237" s="187"/>
      <c r="AA1237" s="187"/>
      <c r="AB1237" s="187"/>
      <c r="AC1237" s="187"/>
      <c r="AD1237" s="187"/>
      <c r="AE1237" s="187"/>
      <c r="AF1237" s="187"/>
    </row>
    <row r="1238" spans="1:32">
      <c r="A1238" s="849"/>
      <c r="B1238" s="3129" t="s">
        <v>772</v>
      </c>
      <c r="C1238" s="683" t="s">
        <v>322</v>
      </c>
      <c r="D1238" s="719" t="s">
        <v>1980</v>
      </c>
      <c r="E1238" s="720" t="s">
        <v>1954</v>
      </c>
      <c r="F1238" s="824">
        <v>2390</v>
      </c>
      <c r="G1238" s="800" t="s">
        <v>135</v>
      </c>
      <c r="H1238" s="706">
        <v>0</v>
      </c>
      <c r="I1238" s="706"/>
      <c r="J1238" s="1654" t="s">
        <v>1134</v>
      </c>
      <c r="K1238" s="802"/>
      <c r="L1238" s="713">
        <v>0</v>
      </c>
      <c r="M1238" s="713"/>
      <c r="N1238" s="11"/>
      <c r="O1238" s="187"/>
      <c r="P1238" s="187"/>
      <c r="Q1238" s="187"/>
      <c r="R1238" s="187"/>
      <c r="S1238" s="187"/>
      <c r="T1238" s="187"/>
      <c r="U1238" s="187"/>
      <c r="V1238" s="187"/>
      <c r="W1238" s="187"/>
      <c r="X1238" s="187"/>
      <c r="Y1238" s="187"/>
      <c r="Z1238" s="187"/>
      <c r="AA1238" s="187"/>
      <c r="AB1238" s="187"/>
      <c r="AC1238" s="187"/>
      <c r="AD1238" s="187"/>
      <c r="AE1238" s="187"/>
      <c r="AF1238" s="187"/>
    </row>
    <row r="1239" spans="1:32" ht="11.4" customHeight="1">
      <c r="A1239" s="760"/>
      <c r="B1239" s="3130" t="s">
        <v>772</v>
      </c>
      <c r="C1239" s="663" t="s">
        <v>322</v>
      </c>
      <c r="D1239" s="678" t="s">
        <v>1980</v>
      </c>
      <c r="E1239" s="700" t="s">
        <v>1954</v>
      </c>
      <c r="F1239" s="795">
        <v>2390</v>
      </c>
      <c r="G1239" s="750"/>
      <c r="H1239" s="709"/>
      <c r="I1239" s="709">
        <v>0</v>
      </c>
      <c r="J1239" s="1654" t="s">
        <v>1134</v>
      </c>
      <c r="K1239" s="825"/>
      <c r="L1239" s="962"/>
      <c r="M1239" s="962">
        <v>0</v>
      </c>
      <c r="N1239" s="11"/>
      <c r="O1239" s="187"/>
      <c r="P1239" s="187"/>
      <c r="Q1239" s="187"/>
      <c r="R1239" s="187"/>
      <c r="S1239" s="187"/>
      <c r="T1239" s="187"/>
      <c r="U1239" s="187"/>
      <c r="V1239" s="187"/>
      <c r="W1239" s="187"/>
      <c r="X1239" s="187"/>
      <c r="Y1239" s="187"/>
      <c r="Z1239" s="187"/>
      <c r="AA1239" s="187"/>
      <c r="AB1239" s="187"/>
      <c r="AC1239" s="187"/>
      <c r="AD1239" s="187"/>
      <c r="AE1239" s="187"/>
      <c r="AF1239" s="187"/>
    </row>
    <row r="1240" spans="1:32">
      <c r="A1240" s="849"/>
      <c r="B1240" s="3129" t="s">
        <v>774</v>
      </c>
      <c r="C1240" s="683" t="s">
        <v>324</v>
      </c>
      <c r="D1240" s="719" t="s">
        <v>1980</v>
      </c>
      <c r="E1240" s="720" t="s">
        <v>1954</v>
      </c>
      <c r="F1240" s="824">
        <v>5120</v>
      </c>
      <c r="G1240" s="800" t="s">
        <v>372</v>
      </c>
      <c r="H1240" s="706">
        <v>148</v>
      </c>
      <c r="I1240" s="706"/>
      <c r="J1240" s="1654">
        <v>147.5</v>
      </c>
      <c r="K1240" s="802"/>
      <c r="L1240" s="713">
        <v>148</v>
      </c>
      <c r="M1240" s="713"/>
      <c r="N1240" s="11"/>
      <c r="O1240" s="187"/>
      <c r="P1240" s="187"/>
      <c r="Q1240" s="187"/>
      <c r="R1240" s="187"/>
      <c r="S1240" s="187"/>
      <c r="T1240" s="187"/>
      <c r="U1240" s="187"/>
      <c r="V1240" s="187"/>
      <c r="W1240" s="187"/>
      <c r="X1240" s="187"/>
      <c r="Y1240" s="187"/>
      <c r="Z1240" s="187"/>
      <c r="AA1240" s="187"/>
      <c r="AB1240" s="187"/>
      <c r="AC1240" s="187"/>
      <c r="AD1240" s="187"/>
      <c r="AE1240" s="187"/>
      <c r="AF1240" s="187"/>
    </row>
    <row r="1241" spans="1:32">
      <c r="A1241" s="760"/>
      <c r="B1241" s="3130" t="s">
        <v>774</v>
      </c>
      <c r="C1241" s="663" t="s">
        <v>324</v>
      </c>
      <c r="D1241" s="678" t="s">
        <v>1980</v>
      </c>
      <c r="E1241" s="700" t="s">
        <v>1954</v>
      </c>
      <c r="F1241" s="795">
        <v>5120</v>
      </c>
      <c r="G1241" s="1330" t="s">
        <v>4242</v>
      </c>
      <c r="H1241" s="709"/>
      <c r="I1241" s="709">
        <v>148</v>
      </c>
      <c r="J1241" s="1654" t="s">
        <v>1134</v>
      </c>
      <c r="K1241" s="825"/>
      <c r="L1241" s="962"/>
      <c r="M1241" s="962">
        <v>148</v>
      </c>
      <c r="N1241" s="11"/>
      <c r="O1241" s="187"/>
      <c r="P1241" s="187"/>
      <c r="Q1241" s="187"/>
      <c r="R1241" s="187"/>
      <c r="S1241" s="187"/>
      <c r="T1241" s="187"/>
      <c r="U1241" s="187"/>
      <c r="V1241" s="187"/>
      <c r="W1241" s="187"/>
      <c r="X1241" s="187"/>
      <c r="Y1241" s="187"/>
      <c r="Z1241" s="187"/>
      <c r="AA1241" s="187"/>
      <c r="AB1241" s="187"/>
      <c r="AC1241" s="187"/>
      <c r="AD1241" s="187"/>
      <c r="AE1241" s="187"/>
      <c r="AF1241" s="187"/>
    </row>
    <row r="1242" spans="1:32">
      <c r="A1242" s="849"/>
      <c r="B1242" s="3129" t="s">
        <v>774</v>
      </c>
      <c r="C1242" s="683" t="s">
        <v>324</v>
      </c>
      <c r="D1242" s="719" t="s">
        <v>1980</v>
      </c>
      <c r="E1242" s="720" t="s">
        <v>1954</v>
      </c>
      <c r="F1242" s="824">
        <v>5238</v>
      </c>
      <c r="G1242" s="800" t="s">
        <v>372</v>
      </c>
      <c r="H1242" s="706">
        <v>4482</v>
      </c>
      <c r="I1242" s="706"/>
      <c r="J1242" s="1654">
        <v>3313.54</v>
      </c>
      <c r="K1242" s="802"/>
      <c r="L1242" s="713">
        <v>3200</v>
      </c>
      <c r="M1242" s="713"/>
      <c r="N1242" s="11"/>
      <c r="O1242" s="187"/>
      <c r="P1242" s="187"/>
      <c r="Q1242" s="187"/>
      <c r="R1242" s="187"/>
      <c r="S1242" s="187"/>
      <c r="T1242" s="187"/>
      <c r="U1242" s="187"/>
      <c r="V1242" s="187"/>
      <c r="W1242" s="187"/>
      <c r="X1242" s="187"/>
      <c r="Y1242" s="187"/>
      <c r="Z1242" s="187"/>
      <c r="AA1242" s="187"/>
      <c r="AB1242" s="187"/>
      <c r="AC1242" s="187"/>
      <c r="AD1242" s="187"/>
      <c r="AE1242" s="187"/>
      <c r="AF1242" s="187"/>
    </row>
    <row r="1243" spans="1:32">
      <c r="A1243" s="760"/>
      <c r="B1243" s="3130" t="s">
        <v>774</v>
      </c>
      <c r="C1243" s="663" t="s">
        <v>324</v>
      </c>
      <c r="D1243" s="678" t="s">
        <v>1980</v>
      </c>
      <c r="E1243" s="700" t="s">
        <v>1954</v>
      </c>
      <c r="F1243" s="795">
        <v>5238</v>
      </c>
      <c r="G1243" s="2195" t="s">
        <v>4243</v>
      </c>
      <c r="H1243" s="709"/>
      <c r="I1243" s="709">
        <v>4630</v>
      </c>
      <c r="J1243" s="1654" t="s">
        <v>1134</v>
      </c>
      <c r="K1243" s="825"/>
      <c r="L1243" s="962"/>
      <c r="M1243" s="962">
        <v>3200</v>
      </c>
      <c r="N1243" s="652"/>
      <c r="O1243" s="187"/>
      <c r="P1243" s="187"/>
      <c r="Q1243" s="187"/>
      <c r="R1243" s="187"/>
      <c r="S1243" s="187"/>
      <c r="T1243" s="187"/>
      <c r="U1243" s="187"/>
      <c r="V1243" s="187"/>
      <c r="W1243" s="187"/>
      <c r="X1243" s="187"/>
      <c r="Y1243" s="187"/>
      <c r="Z1243" s="187"/>
      <c r="AA1243" s="187"/>
      <c r="AB1243" s="187"/>
      <c r="AC1243" s="187"/>
      <c r="AD1243" s="187"/>
      <c r="AE1243" s="187"/>
      <c r="AF1243" s="187"/>
    </row>
    <row r="1244" spans="1:32" ht="20.399999999999999">
      <c r="A1244" s="1297"/>
      <c r="B1244" s="3130" t="s">
        <v>774</v>
      </c>
      <c r="C1244" s="663" t="s">
        <v>324</v>
      </c>
      <c r="D1244" s="678" t="s">
        <v>1980</v>
      </c>
      <c r="E1244" s="700" t="s">
        <v>1954</v>
      </c>
      <c r="F1244" s="795">
        <v>5238</v>
      </c>
      <c r="G1244" s="2245" t="s">
        <v>3023</v>
      </c>
      <c r="H1244" s="1258"/>
      <c r="I1244" s="1258">
        <v>-148</v>
      </c>
      <c r="J1244" s="1654" t="s">
        <v>1134</v>
      </c>
      <c r="K1244" s="2247"/>
      <c r="L1244" s="2248"/>
      <c r="M1244" s="2248"/>
      <c r="N1244" s="375"/>
    </row>
    <row r="1245" spans="1:32">
      <c r="A1245" s="849"/>
      <c r="B1245" s="3129" t="s">
        <v>774</v>
      </c>
      <c r="C1245" s="683" t="s">
        <v>324</v>
      </c>
      <c r="D1245" s="719" t="s">
        <v>1980</v>
      </c>
      <c r="E1245" s="720" t="s">
        <v>1954</v>
      </c>
      <c r="F1245" s="824">
        <v>5239</v>
      </c>
      <c r="G1245" s="800" t="s">
        <v>138</v>
      </c>
      <c r="H1245" s="706">
        <v>6740</v>
      </c>
      <c r="I1245" s="706"/>
      <c r="J1245" s="1654">
        <v>6739</v>
      </c>
      <c r="K1245" s="802"/>
      <c r="L1245" s="713">
        <v>1500</v>
      </c>
      <c r="M1245" s="713"/>
      <c r="N1245" s="305"/>
    </row>
    <row r="1246" spans="1:32">
      <c r="A1246" s="760"/>
      <c r="B1246" s="3130" t="s">
        <v>774</v>
      </c>
      <c r="C1246" s="663" t="s">
        <v>324</v>
      </c>
      <c r="D1246" s="678" t="s">
        <v>1980</v>
      </c>
      <c r="E1246" s="700" t="s">
        <v>1954</v>
      </c>
      <c r="F1246" s="795">
        <v>5239</v>
      </c>
      <c r="G1246" s="2195" t="s">
        <v>4245</v>
      </c>
      <c r="H1246" s="709"/>
      <c r="I1246" s="709"/>
      <c r="J1246" s="1654"/>
      <c r="K1246" s="825"/>
      <c r="L1246" s="962"/>
      <c r="M1246" s="962">
        <v>1500</v>
      </c>
      <c r="N1246" s="305"/>
      <c r="O1246" s="187"/>
      <c r="P1246" s="187"/>
      <c r="Q1246" s="187"/>
      <c r="R1246" s="187"/>
      <c r="S1246" s="187"/>
      <c r="T1246" s="187"/>
      <c r="U1246" s="187"/>
      <c r="V1246" s="187"/>
      <c r="W1246" s="187"/>
      <c r="X1246" s="187"/>
      <c r="Y1246" s="187"/>
      <c r="Z1246" s="187"/>
      <c r="AA1246" s="187"/>
      <c r="AB1246" s="187"/>
      <c r="AC1246" s="187"/>
      <c r="AD1246" s="187"/>
      <c r="AE1246" s="187"/>
      <c r="AF1246" s="187"/>
    </row>
    <row r="1247" spans="1:32" ht="30.6">
      <c r="A1247" s="760"/>
      <c r="B1247" s="3130" t="s">
        <v>774</v>
      </c>
      <c r="C1247" s="663" t="s">
        <v>324</v>
      </c>
      <c r="D1247" s="678" t="s">
        <v>1980</v>
      </c>
      <c r="E1247" s="700" t="s">
        <v>1954</v>
      </c>
      <c r="F1247" s="795">
        <v>5239</v>
      </c>
      <c r="G1247" s="750" t="s">
        <v>4236</v>
      </c>
      <c r="H1247" s="709"/>
      <c r="I1247" s="709">
        <v>1586</v>
      </c>
      <c r="J1247" s="1654" t="s">
        <v>1134</v>
      </c>
      <c r="K1247" s="825"/>
      <c r="L1247" s="962"/>
      <c r="M1247" s="962"/>
      <c r="N1247" s="652"/>
      <c r="O1247" s="187"/>
      <c r="P1247" s="187"/>
      <c r="Q1247" s="187"/>
      <c r="R1247" s="187"/>
      <c r="S1247" s="187"/>
      <c r="T1247" s="187"/>
      <c r="U1247" s="187"/>
      <c r="V1247" s="187"/>
      <c r="W1247" s="187"/>
      <c r="X1247" s="187"/>
      <c r="Y1247" s="187"/>
      <c r="Z1247" s="187"/>
      <c r="AA1247" s="187"/>
      <c r="AB1247" s="187"/>
      <c r="AC1247" s="187"/>
      <c r="AD1247" s="187"/>
      <c r="AE1247" s="187"/>
      <c r="AF1247" s="187"/>
    </row>
    <row r="1248" spans="1:32" ht="20.399999999999999">
      <c r="A1248" s="760"/>
      <c r="B1248" s="3130" t="s">
        <v>774</v>
      </c>
      <c r="C1248" s="663" t="s">
        <v>324</v>
      </c>
      <c r="D1248" s="678" t="s">
        <v>1980</v>
      </c>
      <c r="E1248" s="700" t="s">
        <v>1954</v>
      </c>
      <c r="F1248" s="795">
        <v>5239</v>
      </c>
      <c r="G1248" s="1374" t="s">
        <v>3449</v>
      </c>
      <c r="H1248" s="1375"/>
      <c r="I1248" s="709">
        <v>5154</v>
      </c>
      <c r="J1248" s="1654" t="s">
        <v>1134</v>
      </c>
      <c r="K1248" s="961"/>
      <c r="L1248" s="2213"/>
      <c r="M1248" s="962"/>
      <c r="N1248" s="125"/>
      <c r="O1248" s="187"/>
      <c r="P1248" s="187"/>
      <c r="Q1248" s="187"/>
      <c r="R1248" s="187"/>
      <c r="S1248" s="187"/>
      <c r="T1248" s="187"/>
      <c r="U1248" s="187"/>
      <c r="V1248" s="187"/>
      <c r="W1248" s="187"/>
      <c r="X1248" s="187"/>
      <c r="Y1248" s="187"/>
      <c r="Z1248" s="187"/>
      <c r="AA1248" s="187"/>
      <c r="AB1248" s="187"/>
      <c r="AC1248" s="187"/>
      <c r="AD1248" s="187"/>
      <c r="AE1248" s="187"/>
      <c r="AF1248" s="187"/>
    </row>
    <row r="1249" spans="1:32">
      <c r="A1249" s="849"/>
      <c r="B1249" s="3129" t="s">
        <v>365</v>
      </c>
      <c r="C1249" s="683" t="s">
        <v>320</v>
      </c>
      <c r="D1249" s="719" t="s">
        <v>1980</v>
      </c>
      <c r="E1249" s="720" t="s">
        <v>1954</v>
      </c>
      <c r="F1249" s="824">
        <v>5239</v>
      </c>
      <c r="G1249" s="720" t="s">
        <v>138</v>
      </c>
      <c r="H1249" s="706"/>
      <c r="I1249" s="706"/>
      <c r="J1249" s="1654"/>
      <c r="K1249" s="802"/>
      <c r="L1249" s="713">
        <v>7750</v>
      </c>
      <c r="M1249" s="713"/>
      <c r="N1249" s="125"/>
      <c r="O1249" s="187"/>
      <c r="P1249" s="187"/>
      <c r="Q1249" s="187"/>
      <c r="R1249" s="187"/>
      <c r="S1249" s="187"/>
      <c r="T1249" s="187"/>
      <c r="U1249" s="187"/>
      <c r="V1249" s="187"/>
      <c r="W1249" s="187"/>
      <c r="X1249" s="187"/>
      <c r="Y1249" s="187"/>
      <c r="Z1249" s="187"/>
      <c r="AA1249" s="187"/>
      <c r="AB1249" s="187"/>
      <c r="AC1249" s="187"/>
      <c r="AD1249" s="187"/>
      <c r="AE1249" s="187"/>
      <c r="AF1249" s="187"/>
    </row>
    <row r="1250" spans="1:32" ht="30.6">
      <c r="A1250" s="760"/>
      <c r="B1250" s="3130" t="s">
        <v>365</v>
      </c>
      <c r="C1250" s="663" t="s">
        <v>320</v>
      </c>
      <c r="D1250" s="678" t="s">
        <v>1980</v>
      </c>
      <c r="E1250" s="700" t="s">
        <v>1954</v>
      </c>
      <c r="F1250" s="795">
        <v>5239</v>
      </c>
      <c r="G1250" s="750" t="s">
        <v>5053</v>
      </c>
      <c r="H1250" s="709"/>
      <c r="I1250" s="709"/>
      <c r="J1250" s="1654"/>
      <c r="K1250" s="825"/>
      <c r="L1250" s="962"/>
      <c r="M1250" s="962">
        <v>7750</v>
      </c>
      <c r="N1250" s="11"/>
      <c r="O1250" s="187"/>
      <c r="P1250" s="187"/>
      <c r="Q1250" s="187"/>
      <c r="R1250" s="187"/>
      <c r="S1250" s="187"/>
      <c r="T1250" s="187"/>
      <c r="U1250" s="187"/>
      <c r="V1250" s="187"/>
      <c r="W1250" s="187"/>
      <c r="X1250" s="187"/>
      <c r="Y1250" s="187"/>
      <c r="Z1250" s="187"/>
      <c r="AA1250" s="187"/>
      <c r="AB1250" s="187"/>
      <c r="AC1250" s="187"/>
      <c r="AD1250" s="187"/>
      <c r="AE1250" s="187"/>
      <c r="AF1250" s="187"/>
    </row>
    <row r="1251" spans="1:32">
      <c r="A1251" s="683"/>
      <c r="B1251" s="3129" t="s">
        <v>436</v>
      </c>
      <c r="C1251" s="683" t="s">
        <v>427</v>
      </c>
      <c r="D1251" s="719" t="s">
        <v>1980</v>
      </c>
      <c r="E1251" s="1415" t="s">
        <v>1927</v>
      </c>
      <c r="F1251" s="685">
        <v>1119</v>
      </c>
      <c r="G1251" s="686" t="s">
        <v>109</v>
      </c>
      <c r="H1251" s="689">
        <v>646165.44800000009</v>
      </c>
      <c r="I1251" s="689"/>
      <c r="J1251" s="1494">
        <v>457608</v>
      </c>
      <c r="K1251" s="727"/>
      <c r="L1251" s="1692">
        <v>639425.95600000001</v>
      </c>
      <c r="M1251" s="1692"/>
      <c r="N1251" s="11"/>
      <c r="O1251" s="187"/>
      <c r="P1251" s="187"/>
      <c r="Q1251" s="187"/>
      <c r="R1251" s="187"/>
      <c r="S1251" s="187"/>
      <c r="T1251" s="187"/>
      <c r="U1251" s="187"/>
      <c r="V1251" s="187"/>
      <c r="W1251" s="187"/>
      <c r="X1251" s="187"/>
      <c r="Y1251" s="187"/>
      <c r="Z1251" s="187"/>
      <c r="AA1251" s="187"/>
      <c r="AB1251" s="187"/>
      <c r="AC1251" s="187"/>
      <c r="AD1251" s="187"/>
      <c r="AE1251" s="187"/>
      <c r="AF1251" s="187"/>
    </row>
    <row r="1252" spans="1:32">
      <c r="A1252" s="663"/>
      <c r="B1252" s="3130" t="s">
        <v>436</v>
      </c>
      <c r="C1252" s="663" t="s">
        <v>427</v>
      </c>
      <c r="D1252" s="678" t="s">
        <v>1980</v>
      </c>
      <c r="E1252" s="1407" t="s">
        <v>1927</v>
      </c>
      <c r="F1252" s="679">
        <v>1119</v>
      </c>
      <c r="G1252" s="758" t="s">
        <v>436</v>
      </c>
      <c r="H1252" s="660"/>
      <c r="I1252" s="660">
        <v>648615.44800000009</v>
      </c>
      <c r="J1252" s="1494" t="s">
        <v>1134</v>
      </c>
      <c r="K1252" s="667"/>
      <c r="L1252" s="1683"/>
      <c r="M1252" s="1683">
        <v>639425.95600000001</v>
      </c>
      <c r="N1252" s="11"/>
      <c r="O1252" s="187"/>
      <c r="P1252" s="187"/>
      <c r="Q1252" s="187"/>
      <c r="R1252" s="187"/>
      <c r="S1252" s="187"/>
      <c r="T1252" s="187"/>
      <c r="U1252" s="187"/>
      <c r="V1252" s="187"/>
      <c r="W1252" s="187"/>
      <c r="X1252" s="187"/>
      <c r="Y1252" s="187"/>
      <c r="Z1252" s="187"/>
      <c r="AA1252" s="187"/>
      <c r="AB1252" s="187"/>
      <c r="AC1252" s="187"/>
      <c r="AD1252" s="187"/>
      <c r="AE1252" s="187"/>
      <c r="AF1252" s="187"/>
    </row>
    <row r="1253" spans="1:32" ht="30.6">
      <c r="A1253" s="663"/>
      <c r="B1253" s="3130" t="s">
        <v>436</v>
      </c>
      <c r="C1253" s="663" t="s">
        <v>427</v>
      </c>
      <c r="D1253" s="678" t="s">
        <v>1980</v>
      </c>
      <c r="E1253" s="1407" t="s">
        <v>1927</v>
      </c>
      <c r="F1253" s="679">
        <v>1119</v>
      </c>
      <c r="G1253" s="758" t="s">
        <v>3218</v>
      </c>
      <c r="H1253" s="660"/>
      <c r="I1253" s="660">
        <v>-2450</v>
      </c>
      <c r="J1253" s="1494" t="s">
        <v>1134</v>
      </c>
      <c r="K1253" s="667"/>
      <c r="L1253" s="1683"/>
      <c r="M1253" s="1683"/>
      <c r="N1253" s="652"/>
      <c r="O1253" s="187"/>
      <c r="P1253" s="187"/>
      <c r="Q1253" s="187"/>
      <c r="R1253" s="187"/>
      <c r="S1253" s="187"/>
      <c r="T1253" s="187"/>
      <c r="U1253" s="187"/>
      <c r="V1253" s="187"/>
      <c r="W1253" s="187"/>
      <c r="X1253" s="187"/>
      <c r="Y1253" s="187"/>
      <c r="Z1253" s="187"/>
      <c r="AA1253" s="187"/>
      <c r="AB1253" s="187"/>
      <c r="AC1253" s="187"/>
      <c r="AD1253" s="187"/>
      <c r="AE1253" s="187"/>
      <c r="AF1253" s="187"/>
    </row>
    <row r="1254" spans="1:32">
      <c r="A1254" s="663"/>
      <c r="B1254" s="3130" t="s">
        <v>436</v>
      </c>
      <c r="C1254" s="663" t="s">
        <v>427</v>
      </c>
      <c r="D1254" s="678" t="s">
        <v>1980</v>
      </c>
      <c r="E1254" s="1407" t="s">
        <v>1927</v>
      </c>
      <c r="F1254" s="679">
        <v>1119</v>
      </c>
      <c r="G1254" s="665"/>
      <c r="H1254" s="660"/>
      <c r="I1254" s="660"/>
      <c r="J1254" s="1494" t="s">
        <v>1134</v>
      </c>
      <c r="K1254" s="667"/>
      <c r="L1254" s="1683"/>
      <c r="M1254" s="1683"/>
      <c r="N1254" s="125"/>
      <c r="O1254" s="187"/>
      <c r="P1254" s="187"/>
      <c r="Q1254" s="187"/>
      <c r="R1254" s="187"/>
      <c r="S1254" s="187"/>
      <c r="T1254" s="187"/>
      <c r="U1254" s="187"/>
      <c r="V1254" s="187"/>
      <c r="W1254" s="187"/>
      <c r="X1254" s="187"/>
      <c r="Y1254" s="187"/>
      <c r="Z1254" s="187"/>
      <c r="AA1254" s="187"/>
      <c r="AB1254" s="187"/>
      <c r="AC1254" s="187"/>
      <c r="AD1254" s="187"/>
      <c r="AE1254" s="187"/>
      <c r="AF1254" s="187"/>
    </row>
    <row r="1255" spans="1:32" ht="11.4" customHeight="1">
      <c r="A1255" s="683"/>
      <c r="B1255" s="3129" t="s">
        <v>326</v>
      </c>
      <c r="C1255" s="683" t="s">
        <v>321</v>
      </c>
      <c r="D1255" s="719" t="s">
        <v>1980</v>
      </c>
      <c r="E1255" s="742" t="s">
        <v>1928</v>
      </c>
      <c r="F1255" s="685">
        <v>1119</v>
      </c>
      <c r="G1255" s="686" t="s">
        <v>210</v>
      </c>
      <c r="H1255" s="1302">
        <v>112053.72</v>
      </c>
      <c r="I1255" s="689"/>
      <c r="J1255" s="1494">
        <v>69795.37</v>
      </c>
      <c r="K1255" s="727"/>
      <c r="L1255" s="1302">
        <v>134173.68000000002</v>
      </c>
      <c r="M1255" s="689"/>
      <c r="N1255" s="125"/>
      <c r="O1255" s="187"/>
      <c r="P1255" s="187"/>
      <c r="Q1255" s="187"/>
      <c r="R1255" s="187"/>
      <c r="S1255" s="187"/>
      <c r="T1255" s="187"/>
      <c r="U1255" s="187"/>
      <c r="V1255" s="187"/>
      <c r="W1255" s="187"/>
      <c r="X1255" s="187"/>
      <c r="Y1255" s="187"/>
      <c r="Z1255" s="187"/>
      <c r="AA1255" s="187"/>
      <c r="AB1255" s="187"/>
      <c r="AC1255" s="187"/>
      <c r="AD1255" s="187"/>
      <c r="AE1255" s="187"/>
      <c r="AF1255" s="187"/>
    </row>
    <row r="1256" spans="1:32" ht="11.4" customHeight="1">
      <c r="A1256" s="663"/>
      <c r="B1256" s="3130" t="s">
        <v>326</v>
      </c>
      <c r="C1256" s="663" t="s">
        <v>321</v>
      </c>
      <c r="D1256" s="678" t="s">
        <v>1980</v>
      </c>
      <c r="E1256" s="700" t="s">
        <v>1928</v>
      </c>
      <c r="F1256" s="679">
        <v>1119</v>
      </c>
      <c r="G1256" s="943" t="s">
        <v>326</v>
      </c>
      <c r="H1256" s="660"/>
      <c r="I1256" s="660">
        <v>105798.72</v>
      </c>
      <c r="J1256" s="1494" t="s">
        <v>1134</v>
      </c>
      <c r="K1256" s="667"/>
      <c r="L1256" s="660"/>
      <c r="M1256" s="660">
        <v>133771.68000000002</v>
      </c>
      <c r="N1256" s="125"/>
      <c r="O1256" s="187"/>
      <c r="P1256" s="187"/>
      <c r="Q1256" s="187"/>
      <c r="R1256" s="187"/>
      <c r="S1256" s="187"/>
      <c r="T1256" s="187"/>
      <c r="U1256" s="187"/>
      <c r="V1256" s="187"/>
      <c r="W1256" s="187"/>
      <c r="X1256" s="187"/>
      <c r="Y1256" s="187"/>
      <c r="Z1256" s="187"/>
      <c r="AA1256" s="187"/>
      <c r="AB1256" s="187"/>
      <c r="AC1256" s="187"/>
      <c r="AD1256" s="187"/>
      <c r="AE1256" s="187"/>
      <c r="AF1256" s="187"/>
    </row>
    <row r="1257" spans="1:32">
      <c r="A1257" s="663"/>
      <c r="B1257" s="3130" t="s">
        <v>326</v>
      </c>
      <c r="C1257" s="663" t="s">
        <v>321</v>
      </c>
      <c r="D1257" s="678" t="s">
        <v>1980</v>
      </c>
      <c r="E1257" s="700" t="s">
        <v>1928</v>
      </c>
      <c r="F1257" s="679">
        <v>1119</v>
      </c>
      <c r="G1257" s="943" t="s">
        <v>1294</v>
      </c>
      <c r="H1257" s="660"/>
      <c r="I1257" s="660">
        <v>4</v>
      </c>
      <c r="J1257" s="1494" t="s">
        <v>1134</v>
      </c>
      <c r="K1257" s="667"/>
      <c r="L1257" s="660"/>
      <c r="M1257" s="660">
        <v>402</v>
      </c>
      <c r="N1257" s="11"/>
      <c r="O1257" s="187"/>
      <c r="P1257" s="187"/>
      <c r="Q1257" s="187"/>
      <c r="R1257" s="187"/>
      <c r="S1257" s="187"/>
      <c r="T1257" s="187"/>
      <c r="U1257" s="187"/>
      <c r="V1257" s="187"/>
      <c r="W1257" s="187"/>
      <c r="X1257" s="187"/>
      <c r="Y1257" s="187"/>
      <c r="Z1257" s="187"/>
      <c r="AA1257" s="187"/>
      <c r="AB1257" s="187"/>
      <c r="AC1257" s="187"/>
      <c r="AD1257" s="187"/>
      <c r="AE1257" s="187"/>
      <c r="AF1257" s="187"/>
    </row>
    <row r="1258" spans="1:32">
      <c r="A1258" s="663"/>
      <c r="B1258" s="3130" t="s">
        <v>326</v>
      </c>
      <c r="C1258" s="663" t="s">
        <v>321</v>
      </c>
      <c r="D1258" s="678" t="s">
        <v>1980</v>
      </c>
      <c r="E1258" s="700" t="s">
        <v>1928</v>
      </c>
      <c r="F1258" s="679">
        <v>1119</v>
      </c>
      <c r="G1258" s="681" t="s">
        <v>2874</v>
      </c>
      <c r="H1258" s="660"/>
      <c r="I1258" s="660">
        <v>10250.999999999998</v>
      </c>
      <c r="J1258" s="1494" t="s">
        <v>1134</v>
      </c>
      <c r="K1258" s="667"/>
      <c r="L1258" s="660"/>
      <c r="M1258" s="666"/>
      <c r="N1258" s="11"/>
      <c r="O1258" s="187"/>
      <c r="P1258" s="187"/>
      <c r="Q1258" s="187"/>
      <c r="R1258" s="187"/>
      <c r="S1258" s="187"/>
      <c r="T1258" s="187"/>
      <c r="U1258" s="187"/>
      <c r="V1258" s="187"/>
      <c r="W1258" s="187"/>
      <c r="X1258" s="187"/>
      <c r="Y1258" s="187"/>
      <c r="Z1258" s="187"/>
      <c r="AA1258" s="187"/>
      <c r="AB1258" s="187"/>
      <c r="AC1258" s="187"/>
      <c r="AD1258" s="187"/>
      <c r="AE1258" s="187"/>
      <c r="AF1258" s="187"/>
    </row>
    <row r="1259" spans="1:32" ht="11.4" customHeight="1">
      <c r="A1259" s="603"/>
      <c r="B1259" s="3131" t="s">
        <v>326</v>
      </c>
      <c r="C1259" s="603" t="s">
        <v>321</v>
      </c>
      <c r="D1259" s="1114" t="s">
        <v>1980</v>
      </c>
      <c r="E1259" s="1119" t="s">
        <v>1928</v>
      </c>
      <c r="F1259" s="604">
        <v>1119</v>
      </c>
      <c r="G1259" s="1133" t="s">
        <v>3056</v>
      </c>
      <c r="H1259" s="1130"/>
      <c r="I1259" s="1130">
        <v>-2000</v>
      </c>
      <c r="J1259" s="1494" t="s">
        <v>1134</v>
      </c>
      <c r="K1259" s="1132"/>
      <c r="L1259" s="1130"/>
      <c r="M1259" s="1131"/>
      <c r="N1259" s="1992"/>
      <c r="O1259" s="187"/>
      <c r="P1259" s="187"/>
      <c r="Q1259" s="187"/>
      <c r="R1259" s="187"/>
      <c r="S1259" s="187"/>
      <c r="T1259" s="187"/>
      <c r="U1259" s="187"/>
      <c r="V1259" s="187"/>
      <c r="W1259" s="187"/>
      <c r="X1259" s="187"/>
      <c r="Y1259" s="187"/>
      <c r="Z1259" s="187"/>
      <c r="AA1259" s="187"/>
      <c r="AB1259" s="187"/>
      <c r="AC1259" s="187"/>
      <c r="AD1259" s="187"/>
      <c r="AE1259" s="187"/>
      <c r="AF1259" s="187"/>
    </row>
    <row r="1260" spans="1:32">
      <c r="A1260" s="603"/>
      <c r="B1260" s="3131" t="s">
        <v>326</v>
      </c>
      <c r="C1260" s="603" t="s">
        <v>321</v>
      </c>
      <c r="D1260" s="1114" t="s">
        <v>1980</v>
      </c>
      <c r="E1260" s="1119" t="s">
        <v>1928</v>
      </c>
      <c r="F1260" s="604">
        <v>1119</v>
      </c>
      <c r="G1260" s="1133" t="s">
        <v>3056</v>
      </c>
      <c r="H1260" s="1130"/>
      <c r="I1260" s="1130">
        <v>-2000</v>
      </c>
      <c r="J1260" s="1494" t="s">
        <v>1134</v>
      </c>
      <c r="K1260" s="1132"/>
      <c r="L1260" s="1130"/>
      <c r="M1260" s="1131"/>
      <c r="N1260" s="305"/>
      <c r="O1260" s="4"/>
      <c r="P1260" s="4"/>
      <c r="Q1260" s="4"/>
      <c r="R1260" s="4"/>
      <c r="S1260" s="4"/>
      <c r="T1260" s="4"/>
      <c r="U1260" s="4"/>
      <c r="V1260" s="4"/>
      <c r="W1260" s="4"/>
      <c r="X1260" s="4"/>
      <c r="Y1260" s="4"/>
      <c r="Z1260" s="4"/>
      <c r="AA1260" s="4"/>
      <c r="AB1260" s="4"/>
      <c r="AC1260" s="4"/>
      <c r="AD1260" s="4"/>
      <c r="AE1260" s="4"/>
      <c r="AF1260" s="4"/>
    </row>
    <row r="1261" spans="1:32">
      <c r="A1261" s="663"/>
      <c r="B1261" s="3130" t="s">
        <v>326</v>
      </c>
      <c r="C1261" s="663" t="s">
        <v>321</v>
      </c>
      <c r="D1261" s="678" t="s">
        <v>1980</v>
      </c>
      <c r="E1261" s="700" t="s">
        <v>1928</v>
      </c>
      <c r="F1261" s="679">
        <v>1119</v>
      </c>
      <c r="G1261" s="759" t="s">
        <v>2040</v>
      </c>
      <c r="H1261" s="660"/>
      <c r="I1261" s="660"/>
      <c r="J1261" s="1494" t="s">
        <v>1134</v>
      </c>
      <c r="K1261" s="667"/>
      <c r="L1261" s="660"/>
      <c r="M1261" s="660"/>
      <c r="N1261" s="1992"/>
      <c r="O1261" s="7"/>
      <c r="P1261" s="7"/>
      <c r="Q1261" s="7"/>
      <c r="R1261" s="7"/>
      <c r="S1261" s="7"/>
      <c r="T1261" s="7"/>
      <c r="U1261" s="7"/>
      <c r="V1261" s="7"/>
      <c r="W1261" s="7"/>
      <c r="X1261" s="7"/>
      <c r="Y1261" s="7"/>
      <c r="Z1261" s="7"/>
      <c r="AA1261" s="7"/>
      <c r="AB1261" s="7"/>
      <c r="AC1261" s="7"/>
      <c r="AD1261" s="7"/>
      <c r="AE1261" s="7"/>
      <c r="AF1261" s="7"/>
    </row>
    <row r="1262" spans="1:32">
      <c r="A1262" s="683"/>
      <c r="B1262" s="3129" t="s">
        <v>436</v>
      </c>
      <c r="C1262" s="683" t="s">
        <v>427</v>
      </c>
      <c r="D1262" s="719" t="s">
        <v>1980</v>
      </c>
      <c r="E1262" s="1406" t="s">
        <v>1927</v>
      </c>
      <c r="F1262" s="685">
        <v>1141</v>
      </c>
      <c r="G1262" s="686" t="s">
        <v>149</v>
      </c>
      <c r="H1262" s="689">
        <v>0</v>
      </c>
      <c r="I1262" s="689"/>
      <c r="J1262" s="1494" t="s">
        <v>1134</v>
      </c>
      <c r="K1262" s="727"/>
      <c r="L1262" s="1692">
        <v>0</v>
      </c>
      <c r="M1262" s="1692"/>
      <c r="N1262" s="305"/>
      <c r="O1262" s="187"/>
      <c r="P1262" s="187"/>
      <c r="Q1262" s="187"/>
      <c r="R1262" s="187"/>
      <c r="S1262" s="187"/>
      <c r="T1262" s="187"/>
      <c r="U1262" s="187"/>
      <c r="V1262" s="187"/>
      <c r="W1262" s="187"/>
      <c r="X1262" s="187"/>
      <c r="Y1262" s="187"/>
      <c r="Z1262" s="187"/>
      <c r="AA1262" s="187"/>
      <c r="AB1262" s="187"/>
      <c r="AC1262" s="187"/>
      <c r="AD1262" s="187"/>
      <c r="AE1262" s="187"/>
      <c r="AF1262" s="187"/>
    </row>
    <row r="1263" spans="1:32">
      <c r="A1263" s="663"/>
      <c r="B1263" s="3130" t="s">
        <v>436</v>
      </c>
      <c r="C1263" s="663" t="s">
        <v>427</v>
      </c>
      <c r="D1263" s="678" t="s">
        <v>1980</v>
      </c>
      <c r="E1263" s="1407" t="s">
        <v>1927</v>
      </c>
      <c r="F1263" s="679">
        <v>1141</v>
      </c>
      <c r="G1263" s="758"/>
      <c r="H1263" s="660"/>
      <c r="I1263" s="660"/>
      <c r="J1263" s="1494" t="s">
        <v>1134</v>
      </c>
      <c r="K1263" s="667"/>
      <c r="L1263" s="1683"/>
      <c r="M1263" s="1683"/>
      <c r="N1263" s="305"/>
      <c r="O1263" s="7"/>
      <c r="P1263" s="7"/>
      <c r="Q1263" s="7"/>
      <c r="R1263" s="7"/>
      <c r="S1263" s="7"/>
      <c r="T1263" s="7"/>
      <c r="U1263" s="7"/>
      <c r="V1263" s="7"/>
      <c r="W1263" s="7"/>
      <c r="X1263" s="7"/>
      <c r="Y1263" s="7"/>
      <c r="Z1263" s="7"/>
      <c r="AA1263" s="7"/>
      <c r="AB1263" s="7"/>
      <c r="AC1263" s="7"/>
      <c r="AD1263" s="7"/>
      <c r="AE1263" s="7"/>
      <c r="AF1263" s="7"/>
    </row>
    <row r="1264" spans="1:32" ht="20.399999999999999">
      <c r="A1264" s="683"/>
      <c r="B1264" s="3129" t="s">
        <v>436</v>
      </c>
      <c r="C1264" s="683" t="s">
        <v>427</v>
      </c>
      <c r="D1264" s="719" t="s">
        <v>1980</v>
      </c>
      <c r="E1264" s="1406" t="s">
        <v>1927</v>
      </c>
      <c r="F1264" s="685">
        <v>1142</v>
      </c>
      <c r="G1264" s="686" t="s">
        <v>110</v>
      </c>
      <c r="H1264" s="689">
        <v>6000</v>
      </c>
      <c r="I1264" s="689"/>
      <c r="J1264" s="1494">
        <v>200.48</v>
      </c>
      <c r="K1264" s="727"/>
      <c r="L1264" s="1692">
        <v>6000</v>
      </c>
      <c r="M1264" s="1692"/>
      <c r="N1264" s="305"/>
      <c r="O1264" s="7"/>
      <c r="P1264" s="7"/>
      <c r="Q1264" s="7"/>
      <c r="R1264" s="7"/>
      <c r="S1264" s="7"/>
      <c r="T1264" s="7"/>
      <c r="U1264" s="7"/>
      <c r="V1264" s="7"/>
      <c r="W1264" s="7"/>
      <c r="X1264" s="7"/>
      <c r="Y1264" s="7"/>
      <c r="Z1264" s="7"/>
      <c r="AA1264" s="7"/>
      <c r="AB1264" s="7"/>
      <c r="AC1264" s="7"/>
      <c r="AD1264" s="7"/>
      <c r="AE1264" s="7"/>
      <c r="AF1264" s="7"/>
    </row>
    <row r="1265" spans="1:32">
      <c r="A1265" s="663"/>
      <c r="B1265" s="3130" t="s">
        <v>436</v>
      </c>
      <c r="C1265" s="663" t="s">
        <v>427</v>
      </c>
      <c r="D1265" s="678" t="s">
        <v>1980</v>
      </c>
      <c r="E1265" s="1407" t="s">
        <v>1927</v>
      </c>
      <c r="F1265" s="679">
        <v>1142</v>
      </c>
      <c r="G1265" s="758"/>
      <c r="H1265" s="660"/>
      <c r="I1265" s="660">
        <v>6000</v>
      </c>
      <c r="J1265" s="1494" t="s">
        <v>1134</v>
      </c>
      <c r="K1265" s="667"/>
      <c r="L1265" s="1683"/>
      <c r="M1265" s="1683">
        <v>6000</v>
      </c>
      <c r="N1265" s="305"/>
      <c r="O1265" s="7"/>
      <c r="P1265" s="7"/>
      <c r="Q1265" s="7"/>
      <c r="R1265" s="7"/>
      <c r="S1265" s="7"/>
      <c r="T1265" s="7"/>
      <c r="U1265" s="7"/>
      <c r="V1265" s="7"/>
      <c r="W1265" s="7"/>
      <c r="X1265" s="7"/>
      <c r="Y1265" s="7"/>
      <c r="Z1265" s="7"/>
      <c r="AA1265" s="7"/>
      <c r="AB1265" s="7"/>
      <c r="AC1265" s="7"/>
      <c r="AD1265" s="7"/>
      <c r="AE1265" s="7"/>
      <c r="AF1265" s="7"/>
    </row>
    <row r="1266" spans="1:32" ht="20.399999999999999">
      <c r="A1266" s="683"/>
      <c r="B1266" s="3129" t="s">
        <v>436</v>
      </c>
      <c r="C1266" s="683" t="s">
        <v>427</v>
      </c>
      <c r="D1266" s="719" t="s">
        <v>1980</v>
      </c>
      <c r="E1266" s="1406" t="s">
        <v>1927</v>
      </c>
      <c r="F1266" s="685">
        <v>1146</v>
      </c>
      <c r="G1266" s="686" t="s">
        <v>579</v>
      </c>
      <c r="H1266" s="689">
        <v>2500</v>
      </c>
      <c r="I1266" s="689"/>
      <c r="J1266" s="1494">
        <v>0</v>
      </c>
      <c r="K1266" s="727"/>
      <c r="L1266" s="1692">
        <v>2500</v>
      </c>
      <c r="M1266" s="1692"/>
      <c r="N1266" s="305"/>
      <c r="O1266" s="7"/>
      <c r="P1266" s="7"/>
      <c r="Q1266" s="7"/>
      <c r="R1266" s="7"/>
      <c r="S1266" s="7"/>
      <c r="T1266" s="7"/>
      <c r="U1266" s="7"/>
      <c r="V1266" s="7"/>
      <c r="W1266" s="7"/>
      <c r="X1266" s="7"/>
      <c r="Y1266" s="7"/>
      <c r="Z1266" s="7"/>
      <c r="AA1266" s="7"/>
      <c r="AB1266" s="7"/>
      <c r="AC1266" s="7"/>
      <c r="AD1266" s="7"/>
      <c r="AE1266" s="7"/>
      <c r="AF1266" s="7"/>
    </row>
    <row r="1267" spans="1:32">
      <c r="A1267" s="663"/>
      <c r="B1267" s="3130" t="s">
        <v>436</v>
      </c>
      <c r="C1267" s="663" t="s">
        <v>427</v>
      </c>
      <c r="D1267" s="678" t="s">
        <v>1980</v>
      </c>
      <c r="E1267" s="1407" t="s">
        <v>1927</v>
      </c>
      <c r="F1267" s="679">
        <v>1146</v>
      </c>
      <c r="G1267" s="758"/>
      <c r="H1267" s="660"/>
      <c r="I1267" s="660">
        <v>2500</v>
      </c>
      <c r="J1267" s="1494" t="s">
        <v>1134</v>
      </c>
      <c r="K1267" s="667"/>
      <c r="L1267" s="1683"/>
      <c r="M1267" s="1683">
        <v>2500</v>
      </c>
      <c r="N1267" s="305"/>
    </row>
    <row r="1268" spans="1:32">
      <c r="A1268" s="683"/>
      <c r="B1268" s="3129" t="s">
        <v>436</v>
      </c>
      <c r="C1268" s="683" t="s">
        <v>427</v>
      </c>
      <c r="D1268" s="719" t="s">
        <v>1980</v>
      </c>
      <c r="E1268" s="1406" t="s">
        <v>1927</v>
      </c>
      <c r="F1268" s="685">
        <v>1147</v>
      </c>
      <c r="G1268" s="686" t="s">
        <v>111</v>
      </c>
      <c r="H1268" s="689">
        <v>91972.124600000039</v>
      </c>
      <c r="I1268" s="689"/>
      <c r="J1268" s="1494">
        <v>41150</v>
      </c>
      <c r="K1268" s="727"/>
      <c r="L1268" s="1692">
        <v>72008.152199999982</v>
      </c>
      <c r="M1268" s="1692"/>
      <c r="N1268" s="305"/>
    </row>
    <row r="1269" spans="1:32">
      <c r="A1269" s="663"/>
      <c r="B1269" s="3130" t="s">
        <v>436</v>
      </c>
      <c r="C1269" s="663" t="s">
        <v>427</v>
      </c>
      <c r="D1269" s="678" t="s">
        <v>1980</v>
      </c>
      <c r="E1269" s="1407" t="s">
        <v>1927</v>
      </c>
      <c r="F1269" s="679">
        <v>1147</v>
      </c>
      <c r="G1269" s="758" t="s">
        <v>436</v>
      </c>
      <c r="H1269" s="660"/>
      <c r="I1269" s="660">
        <v>48270.608600000036</v>
      </c>
      <c r="J1269" s="1494" t="s">
        <v>1134</v>
      </c>
      <c r="K1269" s="667"/>
      <c r="L1269" s="1683"/>
      <c r="M1269" s="1683">
        <v>25847.185799999977</v>
      </c>
      <c r="N1269" s="305"/>
    </row>
    <row r="1270" spans="1:32">
      <c r="A1270" s="663"/>
      <c r="B1270" s="3130" t="s">
        <v>436</v>
      </c>
      <c r="C1270" s="663" t="s">
        <v>427</v>
      </c>
      <c r="D1270" s="678" t="s">
        <v>1980</v>
      </c>
      <c r="E1270" s="1407" t="s">
        <v>1927</v>
      </c>
      <c r="F1270" s="679">
        <v>1147</v>
      </c>
      <c r="G1270" s="758" t="s">
        <v>1212</v>
      </c>
      <c r="H1270" s="660"/>
      <c r="I1270" s="660">
        <v>52701.516000000003</v>
      </c>
      <c r="J1270" s="1494" t="s">
        <v>1134</v>
      </c>
      <c r="K1270" s="667"/>
      <c r="L1270" s="1683"/>
      <c r="M1270" s="1683">
        <v>46160.966400000005</v>
      </c>
      <c r="N1270" s="7"/>
      <c r="O1270" s="187"/>
      <c r="P1270" s="187"/>
      <c r="Q1270" s="187"/>
      <c r="R1270" s="187"/>
      <c r="S1270" s="187"/>
      <c r="T1270" s="187"/>
      <c r="U1270" s="187"/>
      <c r="V1270" s="187"/>
      <c r="W1270" s="187"/>
      <c r="X1270" s="187"/>
      <c r="Y1270" s="187"/>
      <c r="Z1270" s="187"/>
      <c r="AA1270" s="187"/>
      <c r="AB1270" s="187"/>
      <c r="AC1270" s="187"/>
      <c r="AD1270" s="187"/>
      <c r="AE1270" s="187"/>
      <c r="AF1270" s="187"/>
    </row>
    <row r="1271" spans="1:32" ht="45" customHeight="1">
      <c r="A1271" s="663"/>
      <c r="B1271" s="3130" t="s">
        <v>436</v>
      </c>
      <c r="C1271" s="663" t="s">
        <v>427</v>
      </c>
      <c r="D1271" s="678" t="s">
        <v>1980</v>
      </c>
      <c r="E1271" s="1407" t="s">
        <v>1927</v>
      </c>
      <c r="F1271" s="679">
        <v>1147</v>
      </c>
      <c r="G1271" s="665" t="s">
        <v>3293</v>
      </c>
      <c r="H1271" s="660"/>
      <c r="I1271" s="660">
        <v>-4000</v>
      </c>
      <c r="J1271" s="1494" t="s">
        <v>1134</v>
      </c>
      <c r="K1271" s="667"/>
      <c r="L1271" s="1683"/>
      <c r="M1271" s="1683"/>
      <c r="N1271" s="7"/>
      <c r="O1271" s="187"/>
      <c r="P1271" s="187"/>
      <c r="Q1271" s="187"/>
      <c r="R1271" s="187"/>
      <c r="S1271" s="187"/>
      <c r="T1271" s="187"/>
      <c r="U1271" s="187"/>
      <c r="V1271" s="187"/>
      <c r="W1271" s="187"/>
      <c r="X1271" s="187"/>
      <c r="Y1271" s="187"/>
      <c r="Z1271" s="187"/>
      <c r="AA1271" s="187"/>
      <c r="AB1271" s="187"/>
      <c r="AC1271" s="187"/>
      <c r="AD1271" s="187"/>
      <c r="AE1271" s="187"/>
      <c r="AF1271" s="187"/>
    </row>
    <row r="1272" spans="1:32" ht="20.399999999999999">
      <c r="A1272" s="663"/>
      <c r="B1272" s="3130" t="s">
        <v>436</v>
      </c>
      <c r="C1272" s="663" t="s">
        <v>427</v>
      </c>
      <c r="D1272" s="678" t="s">
        <v>1980</v>
      </c>
      <c r="E1272" s="1407" t="s">
        <v>1927</v>
      </c>
      <c r="F1272" s="679">
        <v>1147</v>
      </c>
      <c r="G1272" s="665" t="s">
        <v>3303</v>
      </c>
      <c r="H1272" s="660"/>
      <c r="I1272" s="660">
        <v>-5000</v>
      </c>
      <c r="J1272" s="1494" t="s">
        <v>1134</v>
      </c>
      <c r="K1272" s="667"/>
      <c r="L1272" s="1683"/>
      <c r="M1272" s="1683"/>
      <c r="N1272" s="305"/>
      <c r="O1272" s="187"/>
      <c r="P1272" s="187"/>
      <c r="Q1272" s="187"/>
      <c r="R1272" s="187"/>
      <c r="S1272" s="187"/>
      <c r="T1272" s="187"/>
      <c r="U1272" s="187"/>
      <c r="V1272" s="187"/>
      <c r="W1272" s="187"/>
      <c r="X1272" s="187"/>
      <c r="Y1272" s="187"/>
      <c r="Z1272" s="187"/>
      <c r="AA1272" s="187"/>
      <c r="AB1272" s="187"/>
      <c r="AC1272" s="187"/>
      <c r="AD1272" s="187"/>
      <c r="AE1272" s="187"/>
    </row>
    <row r="1273" spans="1:32" ht="45" customHeight="1">
      <c r="A1273" s="683"/>
      <c r="B1273" s="3129" t="s">
        <v>326</v>
      </c>
      <c r="C1273" s="683" t="s">
        <v>321</v>
      </c>
      <c r="D1273" s="719" t="s">
        <v>1980</v>
      </c>
      <c r="E1273" s="720" t="s">
        <v>1928</v>
      </c>
      <c r="F1273" s="685">
        <v>1147</v>
      </c>
      <c r="G1273" s="686" t="s">
        <v>583</v>
      </c>
      <c r="H1273" s="1303">
        <v>5025.28</v>
      </c>
      <c r="I1273" s="689"/>
      <c r="J1273" s="1494">
        <v>3566.07</v>
      </c>
      <c r="K1273" s="727"/>
      <c r="L1273" s="1302">
        <v>1025.28</v>
      </c>
      <c r="M1273" s="689"/>
      <c r="N1273" s="305"/>
      <c r="O1273" s="4"/>
      <c r="P1273" s="4"/>
      <c r="Q1273" s="4"/>
      <c r="R1273" s="4"/>
      <c r="S1273" s="4"/>
      <c r="T1273" s="4"/>
      <c r="U1273" s="4"/>
      <c r="V1273" s="4"/>
      <c r="W1273" s="4"/>
      <c r="X1273" s="4"/>
      <c r="Y1273" s="4"/>
      <c r="Z1273" s="4"/>
      <c r="AA1273" s="4"/>
      <c r="AB1273" s="4"/>
      <c r="AC1273" s="4"/>
      <c r="AD1273" s="4"/>
      <c r="AE1273" s="4"/>
      <c r="AF1273" s="4"/>
    </row>
    <row r="1274" spans="1:32" ht="40.799999999999997">
      <c r="A1274" s="663"/>
      <c r="B1274" s="3130" t="s">
        <v>326</v>
      </c>
      <c r="C1274" s="663" t="s">
        <v>321</v>
      </c>
      <c r="D1274" s="678" t="s">
        <v>1980</v>
      </c>
      <c r="E1274" s="700" t="s">
        <v>1928</v>
      </c>
      <c r="F1274" s="679">
        <v>1147</v>
      </c>
      <c r="G1274" s="681" t="s">
        <v>703</v>
      </c>
      <c r="H1274" s="660"/>
      <c r="I1274" s="660">
        <v>1025.28</v>
      </c>
      <c r="J1274" s="1494" t="s">
        <v>1134</v>
      </c>
      <c r="K1274" s="667"/>
      <c r="L1274" s="660"/>
      <c r="M1274" s="660">
        <v>1025.28</v>
      </c>
      <c r="N1274" s="305"/>
      <c r="O1274" s="4"/>
      <c r="P1274" s="4"/>
      <c r="Q1274" s="4"/>
      <c r="R1274" s="4"/>
      <c r="S1274" s="4"/>
      <c r="T1274" s="4"/>
      <c r="U1274" s="4"/>
      <c r="V1274" s="4"/>
      <c r="W1274" s="4"/>
      <c r="X1274" s="4"/>
      <c r="Y1274" s="4"/>
      <c r="Z1274" s="4"/>
      <c r="AA1274" s="4"/>
      <c r="AB1274" s="4"/>
      <c r="AC1274" s="4"/>
      <c r="AD1274" s="4"/>
      <c r="AE1274" s="4"/>
      <c r="AF1274" s="4"/>
    </row>
    <row r="1275" spans="1:32">
      <c r="A1275" s="663"/>
      <c r="B1275" s="3130" t="s">
        <v>326</v>
      </c>
      <c r="C1275" s="663" t="s">
        <v>321</v>
      </c>
      <c r="D1275" s="678" t="s">
        <v>1980</v>
      </c>
      <c r="E1275" s="700" t="s">
        <v>1928</v>
      </c>
      <c r="F1275" s="679">
        <v>1147</v>
      </c>
      <c r="G1275" s="681" t="s">
        <v>3056</v>
      </c>
      <c r="H1275" s="660"/>
      <c r="I1275" s="660">
        <v>2000</v>
      </c>
      <c r="J1275" s="1494" t="s">
        <v>1134</v>
      </c>
      <c r="K1275" s="667"/>
      <c r="L1275" s="660"/>
      <c r="M1275" s="660"/>
      <c r="N1275" s="305"/>
      <c r="O1275" s="187"/>
      <c r="P1275" s="187"/>
      <c r="Q1275" s="187"/>
      <c r="R1275" s="187"/>
      <c r="S1275" s="187"/>
      <c r="T1275" s="187"/>
      <c r="U1275" s="187"/>
      <c r="V1275" s="187"/>
      <c r="W1275" s="187"/>
      <c r="X1275" s="187"/>
      <c r="Y1275" s="187"/>
      <c r="Z1275" s="187"/>
      <c r="AA1275" s="187"/>
      <c r="AB1275" s="187"/>
      <c r="AC1275" s="187"/>
      <c r="AD1275" s="187"/>
      <c r="AE1275" s="187"/>
    </row>
    <row r="1276" spans="1:32">
      <c r="A1276" s="663"/>
      <c r="B1276" s="3130" t="s">
        <v>326</v>
      </c>
      <c r="C1276" s="663" t="s">
        <v>321</v>
      </c>
      <c r="D1276" s="678" t="s">
        <v>1980</v>
      </c>
      <c r="E1276" s="700" t="s">
        <v>1928</v>
      </c>
      <c r="F1276" s="679">
        <v>1147</v>
      </c>
      <c r="G1276" s="681" t="s">
        <v>3056</v>
      </c>
      <c r="H1276" s="660"/>
      <c r="I1276" s="660">
        <v>2000</v>
      </c>
      <c r="J1276" s="1494" t="s">
        <v>1134</v>
      </c>
      <c r="K1276" s="667"/>
      <c r="L1276" s="660"/>
      <c r="M1276" s="660"/>
      <c r="N1276" s="305"/>
      <c r="O1276" s="187"/>
      <c r="P1276" s="187"/>
      <c r="Q1276" s="187"/>
      <c r="R1276" s="187"/>
      <c r="S1276" s="187"/>
      <c r="T1276" s="187"/>
      <c r="U1276" s="187"/>
      <c r="V1276" s="187"/>
      <c r="W1276" s="187"/>
      <c r="X1276" s="187"/>
      <c r="Y1276" s="187"/>
      <c r="Z1276" s="187"/>
      <c r="AA1276" s="187"/>
      <c r="AB1276" s="187"/>
      <c r="AC1276" s="187"/>
      <c r="AD1276" s="187"/>
      <c r="AE1276" s="187"/>
      <c r="AF1276" s="187"/>
    </row>
    <row r="1277" spans="1:32">
      <c r="A1277" s="683"/>
      <c r="B1277" s="3129" t="s">
        <v>326</v>
      </c>
      <c r="C1277" s="683" t="s">
        <v>321</v>
      </c>
      <c r="D1277" s="719" t="s">
        <v>1980</v>
      </c>
      <c r="E1277" s="720" t="s">
        <v>1928</v>
      </c>
      <c r="F1277" s="685">
        <v>1148</v>
      </c>
      <c r="G1277" s="686" t="s">
        <v>353</v>
      </c>
      <c r="H1277" s="1303">
        <v>0</v>
      </c>
      <c r="I1277" s="689"/>
      <c r="J1277" s="1494" t="s">
        <v>1134</v>
      </c>
      <c r="K1277" s="727"/>
      <c r="L1277" s="1302">
        <v>0</v>
      </c>
      <c r="M1277" s="689"/>
      <c r="N1277" s="305"/>
      <c r="O1277" s="187"/>
      <c r="P1277" s="187"/>
      <c r="Q1277" s="187"/>
      <c r="R1277" s="187"/>
      <c r="S1277" s="187"/>
      <c r="T1277" s="187"/>
      <c r="U1277" s="187"/>
      <c r="V1277" s="187"/>
      <c r="W1277" s="187"/>
      <c r="X1277" s="187"/>
      <c r="Y1277" s="187"/>
      <c r="Z1277" s="187"/>
      <c r="AA1277" s="187"/>
      <c r="AB1277" s="187"/>
      <c r="AC1277" s="187"/>
      <c r="AD1277" s="187"/>
      <c r="AE1277" s="187"/>
      <c r="AF1277" s="187"/>
    </row>
    <row r="1278" spans="1:32">
      <c r="A1278" s="663"/>
      <c r="B1278" s="3130" t="s">
        <v>326</v>
      </c>
      <c r="C1278" s="663" t="s">
        <v>321</v>
      </c>
      <c r="D1278" s="678" t="s">
        <v>1980</v>
      </c>
      <c r="E1278" s="700" t="s">
        <v>1928</v>
      </c>
      <c r="F1278" s="679">
        <v>1148</v>
      </c>
      <c r="G1278" s="943" t="s">
        <v>326</v>
      </c>
      <c r="H1278" s="660"/>
      <c r="I1278" s="660"/>
      <c r="J1278" s="1494" t="s">
        <v>1134</v>
      </c>
      <c r="K1278" s="667"/>
      <c r="L1278" s="660"/>
      <c r="M1278" s="660"/>
      <c r="N1278" s="305"/>
      <c r="O1278" s="187"/>
      <c r="P1278" s="187"/>
      <c r="Q1278" s="187"/>
      <c r="R1278" s="187"/>
      <c r="S1278" s="187"/>
      <c r="T1278" s="187"/>
      <c r="U1278" s="187"/>
      <c r="V1278" s="187"/>
      <c r="W1278" s="187"/>
      <c r="X1278" s="187"/>
      <c r="Y1278" s="187"/>
      <c r="Z1278" s="187"/>
      <c r="AA1278" s="187"/>
      <c r="AB1278" s="187"/>
      <c r="AC1278" s="187"/>
      <c r="AD1278" s="187"/>
      <c r="AE1278" s="187"/>
      <c r="AF1278" s="187"/>
    </row>
    <row r="1279" spans="1:32">
      <c r="A1279" s="683"/>
      <c r="B1279" s="3129" t="s">
        <v>436</v>
      </c>
      <c r="C1279" s="683" t="s">
        <v>427</v>
      </c>
      <c r="D1279" s="719" t="s">
        <v>1980</v>
      </c>
      <c r="E1279" s="1406" t="s">
        <v>1927</v>
      </c>
      <c r="F1279" s="685">
        <v>1148</v>
      </c>
      <c r="G1279" s="686" t="s">
        <v>353</v>
      </c>
      <c r="H1279" s="689">
        <v>20600</v>
      </c>
      <c r="I1279" s="689"/>
      <c r="J1279" s="1494">
        <v>4931.38</v>
      </c>
      <c r="K1279" s="727"/>
      <c r="L1279" s="1692">
        <v>20600</v>
      </c>
      <c r="M1279" s="1692"/>
      <c r="N1279" s="381" t="s">
        <v>2558</v>
      </c>
      <c r="O1279" s="4"/>
      <c r="P1279" s="4"/>
      <c r="Q1279" s="4"/>
      <c r="R1279" s="4"/>
      <c r="S1279" s="4"/>
      <c r="T1279" s="4"/>
      <c r="U1279" s="4"/>
      <c r="V1279" s="4"/>
      <c r="W1279" s="4"/>
      <c r="X1279" s="4"/>
      <c r="Y1279" s="4"/>
      <c r="Z1279" s="4"/>
      <c r="AA1279" s="4"/>
      <c r="AB1279" s="4"/>
      <c r="AC1279" s="4"/>
      <c r="AD1279" s="4"/>
      <c r="AE1279" s="4"/>
      <c r="AF1279" s="4"/>
    </row>
    <row r="1280" spans="1:32" ht="40.799999999999997">
      <c r="A1280" s="663"/>
      <c r="B1280" s="3130" t="s">
        <v>436</v>
      </c>
      <c r="C1280" s="663" t="s">
        <v>427</v>
      </c>
      <c r="D1280" s="678" t="s">
        <v>1980</v>
      </c>
      <c r="E1280" s="1407" t="s">
        <v>1927</v>
      </c>
      <c r="F1280" s="679">
        <v>1148</v>
      </c>
      <c r="G1280" s="751" t="s">
        <v>2370</v>
      </c>
      <c r="H1280" s="660"/>
      <c r="I1280" s="660">
        <v>20600</v>
      </c>
      <c r="J1280" s="1494" t="s">
        <v>1134</v>
      </c>
      <c r="K1280" s="667"/>
      <c r="L1280" s="1683"/>
      <c r="M1280" s="2501">
        <v>20600</v>
      </c>
      <c r="N1280" s="305"/>
      <c r="O1280" s="4"/>
      <c r="P1280" s="4"/>
      <c r="Q1280" s="4"/>
      <c r="R1280" s="4"/>
      <c r="S1280" s="4"/>
      <c r="T1280" s="4"/>
      <c r="U1280" s="4"/>
      <c r="V1280" s="4"/>
      <c r="W1280" s="4"/>
      <c r="X1280" s="4"/>
      <c r="Y1280" s="4"/>
      <c r="Z1280" s="4"/>
      <c r="AA1280" s="4"/>
      <c r="AB1280" s="4"/>
      <c r="AC1280" s="4"/>
      <c r="AD1280" s="4"/>
      <c r="AE1280" s="4"/>
      <c r="AF1280" s="4"/>
    </row>
    <row r="1281" spans="1:32" ht="51">
      <c r="A1281" s="683"/>
      <c r="B1281" s="3129" t="s">
        <v>772</v>
      </c>
      <c r="C1281" s="683" t="s">
        <v>427</v>
      </c>
      <c r="D1281" s="719" t="s">
        <v>1980</v>
      </c>
      <c r="E1281" s="1406" t="s">
        <v>1927</v>
      </c>
      <c r="F1281" s="824">
        <v>1150</v>
      </c>
      <c r="G1281" s="800" t="s">
        <v>723</v>
      </c>
      <c r="H1281" s="706">
        <v>2225</v>
      </c>
      <c r="I1281" s="706"/>
      <c r="J1281" s="1654">
        <v>0</v>
      </c>
      <c r="K1281" s="802"/>
      <c r="L1281" s="1692">
        <v>2225</v>
      </c>
      <c r="M1281" s="1692"/>
      <c r="N1281" s="305"/>
      <c r="O1281" s="187"/>
      <c r="P1281" s="187"/>
      <c r="Q1281" s="187"/>
      <c r="R1281" s="187"/>
      <c r="S1281" s="187"/>
      <c r="T1281" s="187"/>
      <c r="U1281" s="187"/>
      <c r="V1281" s="187"/>
      <c r="W1281" s="187"/>
      <c r="X1281" s="187"/>
      <c r="Y1281" s="187"/>
      <c r="Z1281" s="187"/>
      <c r="AA1281" s="187"/>
      <c r="AB1281" s="187"/>
      <c r="AC1281" s="187"/>
      <c r="AD1281" s="187"/>
      <c r="AE1281" s="187"/>
      <c r="AF1281" s="187"/>
    </row>
    <row r="1282" spans="1:32">
      <c r="A1282" s="663"/>
      <c r="B1282" s="3130" t="s">
        <v>772</v>
      </c>
      <c r="C1282" s="663" t="s">
        <v>427</v>
      </c>
      <c r="D1282" s="678" t="s">
        <v>1980</v>
      </c>
      <c r="E1282" s="1407" t="s">
        <v>1927</v>
      </c>
      <c r="F1282" s="795">
        <v>1150</v>
      </c>
      <c r="G1282" s="957"/>
      <c r="H1282" s="701"/>
      <c r="I1282" s="701">
        <v>2225</v>
      </c>
      <c r="J1282" s="1654" t="s">
        <v>1134</v>
      </c>
      <c r="K1282" s="792"/>
      <c r="L1282" s="1683"/>
      <c r="M1282" s="2501">
        <v>2225</v>
      </c>
      <c r="N1282" s="305"/>
      <c r="O1282" s="198"/>
      <c r="P1282" s="198"/>
      <c r="Q1282" s="198"/>
      <c r="R1282" s="198"/>
      <c r="S1282" s="198"/>
      <c r="T1282" s="198"/>
      <c r="U1282" s="198"/>
      <c r="V1282" s="198"/>
      <c r="W1282" s="198"/>
      <c r="X1282" s="198"/>
      <c r="Y1282" s="198"/>
      <c r="Z1282" s="198"/>
      <c r="AA1282" s="198"/>
      <c r="AB1282" s="198"/>
      <c r="AC1282" s="198"/>
      <c r="AD1282" s="198"/>
      <c r="AE1282" s="198"/>
      <c r="AF1282" s="198"/>
    </row>
    <row r="1283" spans="1:32">
      <c r="A1283" s="683"/>
      <c r="B1283" s="3129" t="s">
        <v>436</v>
      </c>
      <c r="C1283" s="683" t="s">
        <v>427</v>
      </c>
      <c r="D1283" s="719" t="s">
        <v>1980</v>
      </c>
      <c r="E1283" s="1406" t="s">
        <v>1927</v>
      </c>
      <c r="F1283" s="685">
        <v>1210</v>
      </c>
      <c r="G1283" s="686" t="s">
        <v>113</v>
      </c>
      <c r="H1283" s="689">
        <v>184158.23458938365</v>
      </c>
      <c r="I1283" s="689"/>
      <c r="J1283" s="1494">
        <v>127628</v>
      </c>
      <c r="K1283" s="727"/>
      <c r="L1283" s="1692">
        <v>180175.57291033011</v>
      </c>
      <c r="M1283" s="1692"/>
      <c r="N1283" s="305"/>
      <c r="O1283" s="198"/>
      <c r="P1283" s="198"/>
      <c r="Q1283" s="198"/>
      <c r="R1283" s="198"/>
      <c r="S1283" s="198"/>
      <c r="T1283" s="198"/>
      <c r="U1283" s="198"/>
      <c r="V1283" s="198"/>
      <c r="W1283" s="198"/>
      <c r="X1283" s="198"/>
      <c r="Y1283" s="198"/>
      <c r="Z1283" s="198"/>
      <c r="AA1283" s="198"/>
      <c r="AB1283" s="198"/>
      <c r="AC1283" s="198"/>
      <c r="AD1283" s="198"/>
      <c r="AE1283" s="198"/>
      <c r="AF1283" s="198"/>
    </row>
    <row r="1284" spans="1:32">
      <c r="A1284" s="663"/>
      <c r="B1284" s="3130" t="s">
        <v>436</v>
      </c>
      <c r="C1284" s="663" t="s">
        <v>427</v>
      </c>
      <c r="D1284" s="678" t="s">
        <v>1980</v>
      </c>
      <c r="E1284" s="1407" t="s">
        <v>1927</v>
      </c>
      <c r="F1284" s="679">
        <v>1210</v>
      </c>
      <c r="G1284" s="758" t="s">
        <v>436</v>
      </c>
      <c r="H1284" s="660"/>
      <c r="I1284" s="660">
        <v>184158.23458938365</v>
      </c>
      <c r="J1284" s="1494" t="s">
        <v>1134</v>
      </c>
      <c r="K1284" s="667"/>
      <c r="L1284" s="1683"/>
      <c r="M1284" s="1683">
        <v>180175.57291033011</v>
      </c>
      <c r="N1284" s="305"/>
      <c r="O1284" s="198"/>
      <c r="P1284" s="198"/>
      <c r="Q1284" s="198"/>
      <c r="R1284" s="198"/>
      <c r="S1284" s="198"/>
      <c r="T1284" s="198"/>
      <c r="U1284" s="198"/>
      <c r="V1284" s="198"/>
      <c r="W1284" s="198"/>
      <c r="X1284" s="198"/>
      <c r="Y1284" s="198"/>
      <c r="Z1284" s="198"/>
      <c r="AA1284" s="198"/>
      <c r="AB1284" s="198"/>
      <c r="AC1284" s="198"/>
      <c r="AD1284" s="198"/>
      <c r="AE1284" s="198"/>
      <c r="AF1284" s="198"/>
    </row>
    <row r="1285" spans="1:32">
      <c r="A1285" s="663"/>
      <c r="B1285" s="3130" t="s">
        <v>436</v>
      </c>
      <c r="C1285" s="663" t="s">
        <v>427</v>
      </c>
      <c r="D1285" s="678" t="s">
        <v>1980</v>
      </c>
      <c r="E1285" s="1407" t="s">
        <v>1927</v>
      </c>
      <c r="F1285" s="679">
        <v>1210</v>
      </c>
      <c r="G1285" s="665"/>
      <c r="H1285" s="660"/>
      <c r="I1285" s="660"/>
      <c r="J1285" s="1494" t="s">
        <v>1134</v>
      </c>
      <c r="K1285" s="667"/>
      <c r="L1285" s="1683"/>
      <c r="M1285" s="1683"/>
      <c r="N1285" s="305"/>
      <c r="O1285" s="198"/>
      <c r="P1285" s="198"/>
      <c r="Q1285" s="198"/>
      <c r="R1285" s="198"/>
      <c r="S1285" s="198"/>
      <c r="T1285" s="198"/>
      <c r="U1285" s="198"/>
      <c r="V1285" s="198"/>
      <c r="W1285" s="198"/>
      <c r="X1285" s="198"/>
      <c r="Y1285" s="198"/>
      <c r="Z1285" s="198"/>
      <c r="AA1285" s="198"/>
      <c r="AB1285" s="198"/>
      <c r="AC1285" s="198"/>
      <c r="AD1285" s="198"/>
      <c r="AE1285" s="198"/>
      <c r="AF1285" s="198"/>
    </row>
    <row r="1286" spans="1:32">
      <c r="A1286" s="683"/>
      <c r="B1286" s="3129" t="s">
        <v>326</v>
      </c>
      <c r="C1286" s="683" t="s">
        <v>321</v>
      </c>
      <c r="D1286" s="719" t="s">
        <v>1980</v>
      </c>
      <c r="E1286" s="720" t="s">
        <v>1928</v>
      </c>
      <c r="F1286" s="685">
        <v>1210</v>
      </c>
      <c r="G1286" s="686" t="s">
        <v>211</v>
      </c>
      <c r="H1286" s="1302">
        <v>25618</v>
      </c>
      <c r="I1286" s="689"/>
      <c r="J1286" s="1494">
        <v>16671.11</v>
      </c>
      <c r="K1286" s="727"/>
      <c r="L1286" s="1302">
        <v>29798.602864000004</v>
      </c>
      <c r="M1286" s="689"/>
      <c r="N1286" s="305"/>
      <c r="O1286" s="198"/>
      <c r="P1286" s="198"/>
      <c r="Q1286" s="198"/>
      <c r="R1286" s="198"/>
      <c r="S1286" s="198"/>
      <c r="T1286" s="198"/>
      <c r="U1286" s="198"/>
      <c r="V1286" s="198"/>
      <c r="W1286" s="198"/>
      <c r="X1286" s="198"/>
      <c r="Y1286" s="198"/>
      <c r="Z1286" s="198"/>
      <c r="AA1286" s="198"/>
      <c r="AB1286" s="198"/>
      <c r="AC1286" s="198"/>
      <c r="AD1286" s="198"/>
      <c r="AE1286" s="198"/>
      <c r="AF1286" s="198"/>
    </row>
    <row r="1287" spans="1:32">
      <c r="A1287" s="663"/>
      <c r="B1287" s="3130" t="s">
        <v>326</v>
      </c>
      <c r="C1287" s="663" t="s">
        <v>321</v>
      </c>
      <c r="D1287" s="678" t="s">
        <v>1980</v>
      </c>
      <c r="E1287" s="700" t="s">
        <v>1928</v>
      </c>
      <c r="F1287" s="679">
        <v>1210</v>
      </c>
      <c r="G1287" s="943" t="s">
        <v>326</v>
      </c>
      <c r="H1287" s="660"/>
      <c r="I1287" s="660">
        <v>23199.781599999998</v>
      </c>
      <c r="J1287" s="1494" t="s">
        <v>1134</v>
      </c>
      <c r="K1287" s="667"/>
      <c r="L1287" s="660"/>
      <c r="M1287" s="660">
        <v>29798.602864000004</v>
      </c>
      <c r="N1287" s="305"/>
      <c r="O1287" s="198"/>
      <c r="P1287" s="198"/>
      <c r="Q1287" s="198"/>
      <c r="R1287" s="198"/>
      <c r="S1287" s="198"/>
      <c r="T1287" s="198"/>
      <c r="U1287" s="198"/>
      <c r="V1287" s="198"/>
      <c r="W1287" s="198"/>
      <c r="X1287" s="198"/>
      <c r="Y1287" s="198"/>
      <c r="Z1287" s="198"/>
      <c r="AA1287" s="198"/>
      <c r="AB1287" s="198"/>
      <c r="AC1287" s="198"/>
      <c r="AD1287" s="198"/>
      <c r="AE1287" s="198"/>
      <c r="AF1287" s="198"/>
    </row>
    <row r="1288" spans="1:32">
      <c r="A1288" s="663"/>
      <c r="B1288" s="3130" t="s">
        <v>326</v>
      </c>
      <c r="C1288" s="663" t="s">
        <v>321</v>
      </c>
      <c r="D1288" s="678" t="s">
        <v>1980</v>
      </c>
      <c r="E1288" s="700" t="s">
        <v>1928</v>
      </c>
      <c r="F1288" s="679">
        <v>1210</v>
      </c>
      <c r="G1288" s="681" t="s">
        <v>2874</v>
      </c>
      <c r="H1288" s="660"/>
      <c r="I1288" s="660">
        <v>2418.2184000000016</v>
      </c>
      <c r="J1288" s="1494" t="s">
        <v>1134</v>
      </c>
      <c r="K1288" s="667"/>
      <c r="L1288" s="660"/>
      <c r="M1288" s="666"/>
      <c r="N1288" s="305"/>
      <c r="O1288" s="198"/>
      <c r="P1288" s="198"/>
      <c r="Q1288" s="198"/>
      <c r="R1288" s="198"/>
      <c r="S1288" s="198"/>
      <c r="T1288" s="198"/>
      <c r="U1288" s="198"/>
      <c r="V1288" s="198"/>
      <c r="W1288" s="198"/>
      <c r="X1288" s="198"/>
      <c r="Y1288" s="198"/>
      <c r="Z1288" s="198"/>
      <c r="AA1288" s="198"/>
      <c r="AB1288" s="198"/>
      <c r="AC1288" s="198"/>
      <c r="AD1288" s="198"/>
      <c r="AE1288" s="198"/>
      <c r="AF1288" s="198"/>
    </row>
    <row r="1289" spans="1:32" s="56" customFormat="1" ht="10.199999999999999">
      <c r="A1289" s="683"/>
      <c r="B1289" s="3129" t="s">
        <v>436</v>
      </c>
      <c r="C1289" s="683" t="s">
        <v>427</v>
      </c>
      <c r="D1289" s="719" t="s">
        <v>1980</v>
      </c>
      <c r="E1289" s="1406" t="s">
        <v>1927</v>
      </c>
      <c r="F1289" s="685">
        <v>1221</v>
      </c>
      <c r="G1289" s="686" t="s">
        <v>452</v>
      </c>
      <c r="H1289" s="689">
        <v>42653.954436256397</v>
      </c>
      <c r="I1289" s="689"/>
      <c r="J1289" s="1494">
        <v>41045</v>
      </c>
      <c r="K1289" s="727"/>
      <c r="L1289" s="1692">
        <v>34463.027290649785</v>
      </c>
      <c r="M1289" s="1692"/>
      <c r="N1289" s="305"/>
    </row>
    <row r="1290" spans="1:32" s="56" customFormat="1" ht="33.75" customHeight="1">
      <c r="A1290" s="663"/>
      <c r="B1290" s="3130" t="s">
        <v>436</v>
      </c>
      <c r="C1290" s="663" t="s">
        <v>427</v>
      </c>
      <c r="D1290" s="678" t="s">
        <v>1980</v>
      </c>
      <c r="E1290" s="1407" t="s">
        <v>1927</v>
      </c>
      <c r="F1290" s="679">
        <v>1221</v>
      </c>
      <c r="G1290" s="758" t="s">
        <v>436</v>
      </c>
      <c r="H1290" s="660"/>
      <c r="I1290" s="660">
        <v>33653.954436256397</v>
      </c>
      <c r="J1290" s="1494" t="s">
        <v>1134</v>
      </c>
      <c r="K1290" s="667"/>
      <c r="L1290" s="1683"/>
      <c r="M1290" s="1683">
        <v>34463.027290649785</v>
      </c>
      <c r="N1290" s="305"/>
    </row>
    <row r="1291" spans="1:32" s="56" customFormat="1" ht="20.399999999999999">
      <c r="A1291" s="663"/>
      <c r="B1291" s="3130" t="s">
        <v>436</v>
      </c>
      <c r="C1291" s="663" t="s">
        <v>427</v>
      </c>
      <c r="D1291" s="678" t="s">
        <v>1980</v>
      </c>
      <c r="E1291" s="1407" t="s">
        <v>1927</v>
      </c>
      <c r="F1291" s="679">
        <v>1221</v>
      </c>
      <c r="G1291" s="665" t="s">
        <v>3293</v>
      </c>
      <c r="H1291" s="660"/>
      <c r="I1291" s="660">
        <v>4000</v>
      </c>
      <c r="J1291" s="1494" t="s">
        <v>1134</v>
      </c>
      <c r="K1291" s="667"/>
      <c r="L1291" s="1683"/>
      <c r="M1291" s="1683"/>
      <c r="N1291" s="305"/>
    </row>
    <row r="1292" spans="1:32" ht="71.400000000000006">
      <c r="A1292" s="663"/>
      <c r="B1292" s="3130" t="s">
        <v>436</v>
      </c>
      <c r="C1292" s="663" t="s">
        <v>427</v>
      </c>
      <c r="D1292" s="678" t="s">
        <v>1980</v>
      </c>
      <c r="E1292" s="1407" t="s">
        <v>1927</v>
      </c>
      <c r="F1292" s="679">
        <v>1221</v>
      </c>
      <c r="G1292" s="665" t="s">
        <v>3303</v>
      </c>
      <c r="H1292" s="660"/>
      <c r="I1292" s="660">
        <v>5000</v>
      </c>
      <c r="J1292" s="1494" t="s">
        <v>1134</v>
      </c>
      <c r="K1292" s="667"/>
      <c r="L1292" s="1683"/>
      <c r="M1292" s="1683"/>
      <c r="N1292" s="381" t="s">
        <v>4007</v>
      </c>
      <c r="O1292" s="187"/>
      <c r="P1292" s="187"/>
      <c r="Q1292" s="187"/>
      <c r="R1292" s="187"/>
      <c r="S1292" s="187"/>
      <c r="T1292" s="187"/>
      <c r="U1292" s="187"/>
      <c r="V1292" s="187"/>
      <c r="W1292" s="187"/>
      <c r="X1292" s="187"/>
      <c r="Y1292" s="187"/>
      <c r="Z1292" s="187"/>
      <c r="AA1292" s="187"/>
      <c r="AB1292" s="187"/>
      <c r="AC1292" s="187"/>
      <c r="AD1292" s="187"/>
      <c r="AE1292" s="187"/>
      <c r="AF1292" s="187"/>
    </row>
    <row r="1293" spans="1:32">
      <c r="A1293" s="683"/>
      <c r="B1293" s="3129" t="s">
        <v>326</v>
      </c>
      <c r="C1293" s="683" t="s">
        <v>321</v>
      </c>
      <c r="D1293" s="719" t="s">
        <v>1980</v>
      </c>
      <c r="E1293" s="720" t="s">
        <v>1928</v>
      </c>
      <c r="F1293" s="685">
        <v>1221</v>
      </c>
      <c r="G1293" s="686" t="s">
        <v>453</v>
      </c>
      <c r="H1293" s="1302">
        <v>2000</v>
      </c>
      <c r="I1293" s="689"/>
      <c r="J1293" s="1494">
        <v>793.87</v>
      </c>
      <c r="K1293" s="727"/>
      <c r="L1293" s="1302">
        <v>2000</v>
      </c>
      <c r="M1293" s="689"/>
      <c r="N1293" s="305"/>
      <c r="O1293" s="187"/>
      <c r="P1293" s="187"/>
      <c r="Q1293" s="187"/>
      <c r="R1293" s="187"/>
      <c r="S1293" s="187"/>
      <c r="T1293" s="187"/>
      <c r="U1293" s="187"/>
      <c r="V1293" s="187"/>
      <c r="W1293" s="187"/>
      <c r="X1293" s="187"/>
      <c r="Y1293" s="187"/>
      <c r="Z1293" s="187"/>
      <c r="AA1293" s="187"/>
      <c r="AB1293" s="187"/>
      <c r="AC1293" s="187"/>
      <c r="AD1293" s="187"/>
      <c r="AE1293" s="187"/>
      <c r="AF1293" s="187"/>
    </row>
    <row r="1294" spans="1:32">
      <c r="A1294" s="663"/>
      <c r="B1294" s="3130" t="s">
        <v>326</v>
      </c>
      <c r="C1294" s="663" t="s">
        <v>321</v>
      </c>
      <c r="D1294" s="678" t="s">
        <v>1980</v>
      </c>
      <c r="E1294" s="700" t="s">
        <v>1928</v>
      </c>
      <c r="F1294" s="679">
        <v>1221</v>
      </c>
      <c r="G1294" s="751" t="s">
        <v>748</v>
      </c>
      <c r="H1294" s="660"/>
      <c r="I1294" s="660">
        <v>2000</v>
      </c>
      <c r="J1294" s="1494" t="s">
        <v>1134</v>
      </c>
      <c r="K1294" s="727"/>
      <c r="L1294" s="660"/>
      <c r="M1294" s="660">
        <v>2000</v>
      </c>
      <c r="N1294" s="305"/>
      <c r="O1294" s="7"/>
      <c r="P1294" s="7"/>
      <c r="Q1294" s="7"/>
      <c r="R1294" s="7"/>
      <c r="S1294" s="7"/>
      <c r="T1294" s="7"/>
      <c r="U1294" s="7"/>
      <c r="V1294" s="7"/>
      <c r="W1294" s="7"/>
      <c r="X1294" s="7"/>
      <c r="Y1294" s="7"/>
      <c r="Z1294" s="7"/>
      <c r="AA1294" s="7"/>
      <c r="AB1294" s="7"/>
      <c r="AC1294" s="7"/>
      <c r="AD1294" s="7"/>
      <c r="AE1294" s="7"/>
      <c r="AF1294" s="7"/>
    </row>
    <row r="1295" spans="1:32">
      <c r="A1295" s="683"/>
      <c r="B1295" s="3129" t="s">
        <v>436</v>
      </c>
      <c r="C1295" s="683" t="s">
        <v>427</v>
      </c>
      <c r="D1295" s="719" t="s">
        <v>1980</v>
      </c>
      <c r="E1295" s="1406" t="s">
        <v>1927</v>
      </c>
      <c r="F1295" s="824">
        <v>1223</v>
      </c>
      <c r="G1295" s="800" t="s">
        <v>935</v>
      </c>
      <c r="H1295" s="706">
        <v>7000</v>
      </c>
      <c r="I1295" s="706"/>
      <c r="J1295" s="1654">
        <v>0</v>
      </c>
      <c r="K1295" s="802"/>
      <c r="L1295" s="706">
        <v>5000</v>
      </c>
      <c r="M1295" s="706"/>
      <c r="N1295" s="305"/>
      <c r="O1295" s="7"/>
      <c r="P1295" s="7"/>
      <c r="Q1295" s="7"/>
      <c r="R1295" s="7"/>
      <c r="S1295" s="7"/>
      <c r="T1295" s="7"/>
      <c r="U1295" s="7"/>
      <c r="V1295" s="7"/>
      <c r="W1295" s="7"/>
      <c r="X1295" s="7"/>
      <c r="Y1295" s="7"/>
      <c r="Z1295" s="7"/>
      <c r="AA1295" s="7"/>
      <c r="AB1295" s="7"/>
      <c r="AC1295" s="7"/>
      <c r="AD1295" s="7"/>
      <c r="AE1295" s="7"/>
      <c r="AF1295" s="7"/>
    </row>
    <row r="1296" spans="1:32" s="56" customFormat="1" ht="20.399999999999999">
      <c r="A1296" s="663"/>
      <c r="B1296" s="3130" t="s">
        <v>436</v>
      </c>
      <c r="C1296" s="663" t="s">
        <v>427</v>
      </c>
      <c r="D1296" s="678" t="s">
        <v>1980</v>
      </c>
      <c r="E1296" s="700" t="s">
        <v>1927</v>
      </c>
      <c r="F1296" s="795">
        <v>1223</v>
      </c>
      <c r="G1296" s="1149" t="s">
        <v>4000</v>
      </c>
      <c r="H1296" s="701"/>
      <c r="I1296" s="701">
        <v>7000</v>
      </c>
      <c r="J1296" s="1654" t="s">
        <v>1134</v>
      </c>
      <c r="K1296" s="792"/>
      <c r="L1296" s="701"/>
      <c r="M1296" s="701">
        <v>5000</v>
      </c>
      <c r="N1296" s="305"/>
    </row>
    <row r="1297" spans="1:14" s="56" customFormat="1" ht="30.6">
      <c r="A1297" s="683"/>
      <c r="B1297" s="3129" t="s">
        <v>772</v>
      </c>
      <c r="C1297" s="683" t="s">
        <v>427</v>
      </c>
      <c r="D1297" s="719" t="s">
        <v>1980</v>
      </c>
      <c r="E1297" s="720" t="s">
        <v>1927</v>
      </c>
      <c r="F1297" s="824">
        <v>1228</v>
      </c>
      <c r="G1297" s="800" t="s">
        <v>1138</v>
      </c>
      <c r="H1297" s="706">
        <v>3230.9</v>
      </c>
      <c r="I1297" s="706"/>
      <c r="J1297" s="1654">
        <v>2548</v>
      </c>
      <c r="K1297" s="802"/>
      <c r="L1297" s="706">
        <v>3530.9</v>
      </c>
      <c r="M1297" s="706"/>
      <c r="N1297" s="305"/>
    </row>
    <row r="1298" spans="1:14" s="56" customFormat="1" ht="33.75" customHeight="1">
      <c r="A1298" s="663"/>
      <c r="B1298" s="3130" t="s">
        <v>772</v>
      </c>
      <c r="C1298" s="663" t="s">
        <v>427</v>
      </c>
      <c r="D1298" s="678" t="s">
        <v>1980</v>
      </c>
      <c r="E1298" s="700" t="s">
        <v>1927</v>
      </c>
      <c r="F1298" s="795">
        <v>1228</v>
      </c>
      <c r="G1298" s="2012" t="s">
        <v>4001</v>
      </c>
      <c r="H1298" s="701"/>
      <c r="I1298" s="701">
        <v>2800</v>
      </c>
      <c r="J1298" s="1654" t="s">
        <v>1134</v>
      </c>
      <c r="K1298" s="802"/>
      <c r="L1298" s="701"/>
      <c r="M1298" s="1672">
        <v>2800</v>
      </c>
      <c r="N1298" s="305"/>
    </row>
    <row r="1299" spans="1:14" s="56" customFormat="1" ht="10.199999999999999">
      <c r="A1299" s="872"/>
      <c r="B1299" s="3130" t="s">
        <v>772</v>
      </c>
      <c r="C1299" s="663" t="s">
        <v>427</v>
      </c>
      <c r="D1299" s="678" t="s">
        <v>1980</v>
      </c>
      <c r="E1299" s="700" t="s">
        <v>1927</v>
      </c>
      <c r="F1299" s="795">
        <v>1228</v>
      </c>
      <c r="G1299" s="2013" t="s">
        <v>2371</v>
      </c>
      <c r="H1299" s="701"/>
      <c r="I1299" s="701">
        <v>130.9</v>
      </c>
      <c r="J1299" s="1654" t="s">
        <v>1134</v>
      </c>
      <c r="K1299" s="792"/>
      <c r="L1299" s="701"/>
      <c r="M1299" s="1672">
        <v>130.9</v>
      </c>
      <c r="N1299" s="305"/>
    </row>
    <row r="1300" spans="1:14" s="56" customFormat="1" ht="33.75" customHeight="1">
      <c r="A1300" s="663"/>
      <c r="B1300" s="3130" t="s">
        <v>772</v>
      </c>
      <c r="C1300" s="663" t="s">
        <v>427</v>
      </c>
      <c r="D1300" s="873" t="s">
        <v>1980</v>
      </c>
      <c r="E1300" s="700" t="s">
        <v>1927</v>
      </c>
      <c r="F1300" s="795">
        <v>1228</v>
      </c>
      <c r="G1300" s="1703" t="s">
        <v>4002</v>
      </c>
      <c r="H1300" s="1165"/>
      <c r="I1300" s="1165">
        <v>300</v>
      </c>
      <c r="J1300" s="1654" t="s">
        <v>1134</v>
      </c>
      <c r="K1300" s="1439"/>
      <c r="L1300" s="1165"/>
      <c r="M1300" s="1672">
        <v>600</v>
      </c>
      <c r="N1300" s="305"/>
    </row>
    <row r="1301" spans="1:14" s="56" customFormat="1" ht="10.199999999999999">
      <c r="A1301" s="683"/>
      <c r="B1301" s="3129" t="s">
        <v>772</v>
      </c>
      <c r="C1301" s="683" t="s">
        <v>322</v>
      </c>
      <c r="D1301" s="719" t="s">
        <v>1980</v>
      </c>
      <c r="E1301" s="720" t="s">
        <v>1927</v>
      </c>
      <c r="F1301" s="824">
        <v>2111</v>
      </c>
      <c r="G1301" s="800" t="s">
        <v>213</v>
      </c>
      <c r="H1301" s="706">
        <v>200</v>
      </c>
      <c r="I1301" s="706"/>
      <c r="J1301" s="1654">
        <v>0</v>
      </c>
      <c r="K1301" s="802"/>
      <c r="L1301" s="706">
        <v>100</v>
      </c>
      <c r="M1301" s="706"/>
      <c r="N1301" s="305"/>
    </row>
    <row r="1302" spans="1:14" s="56" customFormat="1" ht="40.799999999999997">
      <c r="A1302" s="663"/>
      <c r="B1302" s="3130" t="s">
        <v>772</v>
      </c>
      <c r="C1302" s="663" t="s">
        <v>322</v>
      </c>
      <c r="D1302" s="678" t="s">
        <v>1980</v>
      </c>
      <c r="E1302" s="700" t="s">
        <v>1927</v>
      </c>
      <c r="F1302" s="795">
        <v>2111</v>
      </c>
      <c r="G1302" s="750" t="s">
        <v>865</v>
      </c>
      <c r="H1302" s="701"/>
      <c r="I1302" s="701">
        <v>200</v>
      </c>
      <c r="J1302" s="1654" t="s">
        <v>1134</v>
      </c>
      <c r="K1302" s="792"/>
      <c r="L1302" s="701"/>
      <c r="M1302" s="701">
        <v>100</v>
      </c>
      <c r="N1302" s="305"/>
    </row>
    <row r="1303" spans="1:14" s="56" customFormat="1" ht="10.199999999999999">
      <c r="A1303" s="683"/>
      <c r="B1303" s="3129" t="s">
        <v>772</v>
      </c>
      <c r="C1303" s="683" t="s">
        <v>322</v>
      </c>
      <c r="D1303" s="719" t="s">
        <v>1980</v>
      </c>
      <c r="E1303" s="720" t="s">
        <v>1927</v>
      </c>
      <c r="F1303" s="824">
        <v>2112</v>
      </c>
      <c r="G1303" s="800" t="s">
        <v>215</v>
      </c>
      <c r="H1303" s="706">
        <v>80</v>
      </c>
      <c r="I1303" s="706"/>
      <c r="J1303" s="1654">
        <v>0</v>
      </c>
      <c r="K1303" s="802"/>
      <c r="L1303" s="706">
        <v>0</v>
      </c>
      <c r="M1303" s="706"/>
      <c r="N1303" s="305"/>
    </row>
    <row r="1304" spans="1:14" s="56" customFormat="1" ht="40.799999999999997">
      <c r="A1304" s="663"/>
      <c r="B1304" s="3130" t="s">
        <v>772</v>
      </c>
      <c r="C1304" s="663" t="s">
        <v>322</v>
      </c>
      <c r="D1304" s="678" t="s">
        <v>1980</v>
      </c>
      <c r="E1304" s="700" t="s">
        <v>1927</v>
      </c>
      <c r="F1304" s="795">
        <v>2112</v>
      </c>
      <c r="G1304" s="750" t="s">
        <v>866</v>
      </c>
      <c r="H1304" s="701"/>
      <c r="I1304" s="701">
        <v>200</v>
      </c>
      <c r="J1304" s="1654" t="s">
        <v>1134</v>
      </c>
      <c r="K1304" s="792"/>
      <c r="L1304" s="701"/>
      <c r="M1304" s="701"/>
      <c r="N1304" s="305"/>
    </row>
    <row r="1305" spans="1:14" s="56" customFormat="1" ht="20.399999999999999">
      <c r="A1305" s="1495"/>
      <c r="B1305" s="3130" t="s">
        <v>772</v>
      </c>
      <c r="C1305" s="663" t="s">
        <v>322</v>
      </c>
      <c r="D1305" s="678" t="s">
        <v>1980</v>
      </c>
      <c r="E1305" s="700" t="s">
        <v>1927</v>
      </c>
      <c r="F1305" s="795">
        <v>2112</v>
      </c>
      <c r="G1305" s="1569" t="s">
        <v>3414</v>
      </c>
      <c r="H1305" s="1557"/>
      <c r="I1305" s="1557">
        <v>-120</v>
      </c>
      <c r="J1305" s="1655"/>
      <c r="K1305" s="1563"/>
      <c r="L1305" s="1557"/>
      <c r="M1305" s="1557"/>
      <c r="N1305" s="305"/>
    </row>
    <row r="1306" spans="1:14" s="56" customFormat="1" ht="10.199999999999999">
      <c r="A1306" s="683"/>
      <c r="B1306" s="3129" t="s">
        <v>772</v>
      </c>
      <c r="C1306" s="683" t="s">
        <v>322</v>
      </c>
      <c r="D1306" s="719" t="s">
        <v>1980</v>
      </c>
      <c r="E1306" s="720" t="s">
        <v>1927</v>
      </c>
      <c r="F1306" s="685">
        <v>2121</v>
      </c>
      <c r="G1306" s="686" t="s">
        <v>1037</v>
      </c>
      <c r="H1306" s="689">
        <v>120</v>
      </c>
      <c r="I1306" s="689"/>
      <c r="J1306" s="1494">
        <v>120</v>
      </c>
      <c r="K1306" s="727"/>
      <c r="L1306" s="689">
        <v>600</v>
      </c>
      <c r="M1306" s="689"/>
      <c r="N1306" s="305" t="s">
        <v>4011</v>
      </c>
    </row>
    <row r="1307" spans="1:14" s="56" customFormat="1" ht="102">
      <c r="A1307" s="663"/>
      <c r="B1307" s="3130" t="s">
        <v>772</v>
      </c>
      <c r="C1307" s="663" t="s">
        <v>322</v>
      </c>
      <c r="D1307" s="678" t="s">
        <v>1980</v>
      </c>
      <c r="E1307" s="700" t="s">
        <v>1927</v>
      </c>
      <c r="F1307" s="679">
        <v>2121</v>
      </c>
      <c r="G1307" s="1671" t="s">
        <v>4003</v>
      </c>
      <c r="H1307" s="660"/>
      <c r="I1307" s="660">
        <v>120</v>
      </c>
      <c r="J1307" s="1494" t="s">
        <v>1134</v>
      </c>
      <c r="K1307" s="667"/>
      <c r="L1307" s="660"/>
      <c r="M1307" s="660">
        <v>600</v>
      </c>
      <c r="N1307" s="305"/>
    </row>
    <row r="1308" spans="1:14" s="56" customFormat="1" ht="20.399999999999999">
      <c r="A1308" s="683"/>
      <c r="B1308" s="3129" t="s">
        <v>772</v>
      </c>
      <c r="C1308" s="683" t="s">
        <v>322</v>
      </c>
      <c r="D1308" s="719" t="s">
        <v>1980</v>
      </c>
      <c r="E1308" s="720" t="s">
        <v>1927</v>
      </c>
      <c r="F1308" s="824">
        <v>2122</v>
      </c>
      <c r="G1308" s="800" t="s">
        <v>459</v>
      </c>
      <c r="H1308" s="706">
        <v>100</v>
      </c>
      <c r="I1308" s="706"/>
      <c r="J1308" s="1654">
        <v>0</v>
      </c>
      <c r="K1308" s="802"/>
      <c r="L1308" s="706">
        <v>400</v>
      </c>
      <c r="M1308" s="706"/>
      <c r="N1308" s="125" t="s">
        <v>4013</v>
      </c>
    </row>
    <row r="1309" spans="1:14" s="56" customFormat="1" ht="102">
      <c r="A1309" s="663"/>
      <c r="B1309" s="3130" t="s">
        <v>772</v>
      </c>
      <c r="C1309" s="663" t="s">
        <v>322</v>
      </c>
      <c r="D1309" s="678" t="s">
        <v>1980</v>
      </c>
      <c r="E1309" s="700" t="s">
        <v>1927</v>
      </c>
      <c r="F1309" s="795">
        <v>2122</v>
      </c>
      <c r="G1309" s="1703" t="s">
        <v>4004</v>
      </c>
      <c r="H1309" s="701"/>
      <c r="I1309" s="701">
        <v>100</v>
      </c>
      <c r="J1309" s="1654" t="s">
        <v>1134</v>
      </c>
      <c r="K1309" s="792"/>
      <c r="L1309" s="701"/>
      <c r="M1309" s="701">
        <v>400</v>
      </c>
      <c r="N1309" s="305"/>
    </row>
    <row r="1310" spans="1:14" s="56" customFormat="1" ht="10.199999999999999">
      <c r="A1310" s="683"/>
      <c r="B1310" s="3129" t="s">
        <v>772</v>
      </c>
      <c r="C1310" s="683" t="s">
        <v>320</v>
      </c>
      <c r="D1310" s="719" t="s">
        <v>1980</v>
      </c>
      <c r="E1310" s="720" t="s">
        <v>1927</v>
      </c>
      <c r="F1310" s="824">
        <v>2210</v>
      </c>
      <c r="G1310" s="800" t="s">
        <v>572</v>
      </c>
      <c r="H1310" s="706">
        <v>2965</v>
      </c>
      <c r="I1310" s="706"/>
      <c r="J1310" s="1654">
        <v>2312</v>
      </c>
      <c r="K1310" s="802"/>
      <c r="L1310" s="706">
        <v>2965</v>
      </c>
      <c r="M1310" s="706"/>
      <c r="N1310" s="305"/>
    </row>
    <row r="1311" spans="1:14" s="56" customFormat="1" ht="10.199999999999999">
      <c r="A1311" s="663"/>
      <c r="B1311" s="3130" t="s">
        <v>772</v>
      </c>
      <c r="C1311" s="663" t="s">
        <v>320</v>
      </c>
      <c r="D1311" s="678" t="s">
        <v>1980</v>
      </c>
      <c r="E1311" s="700" t="s">
        <v>1927</v>
      </c>
      <c r="F1311" s="795">
        <v>2210</v>
      </c>
      <c r="G1311" s="2013" t="s">
        <v>867</v>
      </c>
      <c r="H1311" s="701"/>
      <c r="I1311" s="701">
        <v>1320</v>
      </c>
      <c r="J1311" s="1654" t="s">
        <v>1134</v>
      </c>
      <c r="K1311" s="792"/>
      <c r="L1311" s="701"/>
      <c r="M1311" s="701">
        <v>1320</v>
      </c>
      <c r="N1311" s="305"/>
    </row>
    <row r="1312" spans="1:14" s="56" customFormat="1" ht="10.199999999999999">
      <c r="A1312" s="663"/>
      <c r="B1312" s="3130" t="s">
        <v>772</v>
      </c>
      <c r="C1312" s="663" t="s">
        <v>320</v>
      </c>
      <c r="D1312" s="678" t="s">
        <v>1980</v>
      </c>
      <c r="E1312" s="700" t="s">
        <v>1927</v>
      </c>
      <c r="F1312" s="795">
        <v>2210</v>
      </c>
      <c r="G1312" s="2013" t="s">
        <v>462</v>
      </c>
      <c r="H1312" s="701"/>
      <c r="I1312" s="701">
        <v>25</v>
      </c>
      <c r="J1312" s="1654" t="s">
        <v>1134</v>
      </c>
      <c r="K1312" s="792"/>
      <c r="L1312" s="701"/>
      <c r="M1312" s="701">
        <v>25</v>
      </c>
      <c r="N1312" s="305"/>
    </row>
    <row r="1313" spans="1:32" s="56" customFormat="1" ht="61.2">
      <c r="A1313" s="663"/>
      <c r="B1313" s="3130" t="s">
        <v>772</v>
      </c>
      <c r="C1313" s="663" t="s">
        <v>320</v>
      </c>
      <c r="D1313" s="678" t="s">
        <v>1980</v>
      </c>
      <c r="E1313" s="700" t="s">
        <v>1927</v>
      </c>
      <c r="F1313" s="795">
        <v>2210</v>
      </c>
      <c r="G1313" s="2012" t="s">
        <v>1427</v>
      </c>
      <c r="H1313" s="701"/>
      <c r="I1313" s="701">
        <v>1620</v>
      </c>
      <c r="J1313" s="1654" t="s">
        <v>1134</v>
      </c>
      <c r="K1313" s="792"/>
      <c r="L1313" s="701"/>
      <c r="M1313" s="701">
        <v>1620</v>
      </c>
      <c r="N1313" s="305"/>
    </row>
    <row r="1314" spans="1:32" s="56" customFormat="1" ht="10.199999999999999">
      <c r="A1314" s="683"/>
      <c r="B1314" s="3129" t="s">
        <v>772</v>
      </c>
      <c r="C1314" s="683" t="s">
        <v>320</v>
      </c>
      <c r="D1314" s="719" t="s">
        <v>1980</v>
      </c>
      <c r="E1314" s="720" t="s">
        <v>1927</v>
      </c>
      <c r="F1314" s="824">
        <v>2223</v>
      </c>
      <c r="G1314" s="800" t="s">
        <v>154</v>
      </c>
      <c r="H1314" s="706">
        <v>18000</v>
      </c>
      <c r="I1314" s="706"/>
      <c r="J1314" s="1654">
        <v>11487</v>
      </c>
      <c r="K1314" s="802"/>
      <c r="L1314" s="706">
        <v>17500</v>
      </c>
      <c r="M1314" s="706"/>
      <c r="N1314" s="305"/>
    </row>
    <row r="1315" spans="1:32" s="56" customFormat="1" ht="10.199999999999999">
      <c r="A1315" s="872"/>
      <c r="B1315" s="3137" t="s">
        <v>772</v>
      </c>
      <c r="C1315" s="774" t="s">
        <v>320</v>
      </c>
      <c r="D1315" s="678" t="s">
        <v>1980</v>
      </c>
      <c r="E1315" s="700" t="s">
        <v>1927</v>
      </c>
      <c r="F1315" s="795">
        <v>2223</v>
      </c>
      <c r="G1315" s="1008"/>
      <c r="H1315" s="701"/>
      <c r="I1315" s="701">
        <v>26380</v>
      </c>
      <c r="J1315" s="1654" t="s">
        <v>1134</v>
      </c>
      <c r="K1315" s="792"/>
      <c r="L1315" s="701"/>
      <c r="M1315" s="701">
        <v>17500</v>
      </c>
      <c r="N1315" s="305"/>
    </row>
    <row r="1316" spans="1:32" s="56" customFormat="1" ht="10.199999999999999">
      <c r="A1316" s="774"/>
      <c r="B1316" s="3137" t="s">
        <v>772</v>
      </c>
      <c r="C1316" s="774" t="s">
        <v>320</v>
      </c>
      <c r="D1316" s="678" t="s">
        <v>1980</v>
      </c>
      <c r="E1316" s="700" t="s">
        <v>1927</v>
      </c>
      <c r="F1316" s="795">
        <v>2223</v>
      </c>
      <c r="G1316" s="1008" t="s">
        <v>1655</v>
      </c>
      <c r="H1316" s="701"/>
      <c r="I1316" s="701">
        <v>-6380</v>
      </c>
      <c r="J1316" s="1654" t="s">
        <v>1134</v>
      </c>
      <c r="K1316" s="792"/>
      <c r="L1316" s="701"/>
      <c r="M1316" s="701"/>
      <c r="N1316" s="1985"/>
    </row>
    <row r="1317" spans="1:32" s="56" customFormat="1" ht="10.199999999999999">
      <c r="A1317" s="1135"/>
      <c r="B1317" s="3137" t="s">
        <v>772</v>
      </c>
      <c r="C1317" s="774" t="s">
        <v>320</v>
      </c>
      <c r="D1317" s="678" t="s">
        <v>1980</v>
      </c>
      <c r="E1317" s="700" t="s">
        <v>1927</v>
      </c>
      <c r="F1317" s="795">
        <v>2223</v>
      </c>
      <c r="G1317" s="2007" t="s">
        <v>3095</v>
      </c>
      <c r="H1317" s="1165"/>
      <c r="I1317" s="1165">
        <v>-2000</v>
      </c>
      <c r="J1317" s="1654" t="s">
        <v>1134</v>
      </c>
      <c r="K1317" s="1439"/>
      <c r="L1317" s="1165"/>
      <c r="M1317" s="1165"/>
      <c r="N1317" s="305"/>
    </row>
    <row r="1318" spans="1:32" s="56" customFormat="1" ht="10.199999999999999">
      <c r="A1318" s="683"/>
      <c r="B1318" s="3129" t="s">
        <v>772</v>
      </c>
      <c r="C1318" s="683" t="s">
        <v>320</v>
      </c>
      <c r="D1318" s="719" t="s">
        <v>1980</v>
      </c>
      <c r="E1318" s="720" t="s">
        <v>1927</v>
      </c>
      <c r="F1318" s="824">
        <v>2233</v>
      </c>
      <c r="G1318" s="800" t="s">
        <v>216</v>
      </c>
      <c r="H1318" s="706">
        <v>675</v>
      </c>
      <c r="I1318" s="706"/>
      <c r="J1318" s="1654">
        <v>675</v>
      </c>
      <c r="K1318" s="802"/>
      <c r="L1318" s="706">
        <v>1000</v>
      </c>
      <c r="M1318" s="706"/>
      <c r="N1318" s="305"/>
    </row>
    <row r="1319" spans="1:32" s="56" customFormat="1" ht="10.199999999999999">
      <c r="A1319" s="872"/>
      <c r="B1319" s="3137" t="s">
        <v>772</v>
      </c>
      <c r="C1319" s="774" t="s">
        <v>320</v>
      </c>
      <c r="D1319" s="678" t="s">
        <v>1980</v>
      </c>
      <c r="E1319" s="700" t="s">
        <v>1927</v>
      </c>
      <c r="F1319" s="795">
        <v>2233</v>
      </c>
      <c r="G1319" s="1008" t="s">
        <v>217</v>
      </c>
      <c r="H1319" s="701"/>
      <c r="I1319" s="701">
        <v>600</v>
      </c>
      <c r="J1319" s="1654" t="s">
        <v>1134</v>
      </c>
      <c r="K1319" s="792"/>
      <c r="L1319" s="701"/>
      <c r="M1319" s="701">
        <v>1000</v>
      </c>
      <c r="N1319" s="305"/>
    </row>
    <row r="1320" spans="1:32" s="56" customFormat="1" ht="10.199999999999999">
      <c r="A1320" s="1624"/>
      <c r="B1320" s="3146" t="s">
        <v>772</v>
      </c>
      <c r="C1320" s="1572" t="s">
        <v>320</v>
      </c>
      <c r="D1320" s="1561" t="s">
        <v>1980</v>
      </c>
      <c r="E1320" s="1590" t="s">
        <v>1927</v>
      </c>
      <c r="F1320" s="1562">
        <v>2233</v>
      </c>
      <c r="G1320" s="2028" t="s">
        <v>3415</v>
      </c>
      <c r="H1320" s="1557"/>
      <c r="I1320" s="1557">
        <v>75</v>
      </c>
      <c r="J1320" s="1557"/>
      <c r="K1320" s="1563"/>
      <c r="L1320" s="1557"/>
      <c r="M1320" s="1557"/>
      <c r="N1320" s="305"/>
    </row>
    <row r="1321" spans="1:32" s="56" customFormat="1" ht="20.399999999999999">
      <c r="A1321" s="683"/>
      <c r="B1321" s="3129" t="s">
        <v>772</v>
      </c>
      <c r="C1321" s="683" t="s">
        <v>322</v>
      </c>
      <c r="D1321" s="719" t="s">
        <v>1980</v>
      </c>
      <c r="E1321" s="720" t="s">
        <v>1927</v>
      </c>
      <c r="F1321" s="824">
        <v>2234</v>
      </c>
      <c r="G1321" s="800" t="s">
        <v>218</v>
      </c>
      <c r="H1321" s="706">
        <v>2450</v>
      </c>
      <c r="I1321" s="706"/>
      <c r="J1321" s="1654">
        <v>1386</v>
      </c>
      <c r="K1321" s="802"/>
      <c r="L1321" s="706">
        <v>2350</v>
      </c>
      <c r="M1321" s="706"/>
      <c r="N1321" s="305"/>
    </row>
    <row r="1322" spans="1:32" s="56" customFormat="1" ht="30.6">
      <c r="A1322" s="872"/>
      <c r="B1322" s="3137" t="s">
        <v>772</v>
      </c>
      <c r="C1322" s="774" t="s">
        <v>322</v>
      </c>
      <c r="D1322" s="678" t="s">
        <v>1980</v>
      </c>
      <c r="E1322" s="700" t="s">
        <v>1927</v>
      </c>
      <c r="F1322" s="795">
        <v>2234</v>
      </c>
      <c r="G1322" s="2012" t="s">
        <v>2372</v>
      </c>
      <c r="H1322" s="701"/>
      <c r="I1322" s="701">
        <v>1350</v>
      </c>
      <c r="J1322" s="1654" t="s">
        <v>1134</v>
      </c>
      <c r="K1322" s="792"/>
      <c r="L1322" s="701"/>
      <c r="M1322" s="701">
        <v>1350</v>
      </c>
      <c r="N1322" s="305"/>
    </row>
    <row r="1323" spans="1:32" s="56" customFormat="1" ht="20.399999999999999">
      <c r="A1323" s="872"/>
      <c r="B1323" s="3137" t="s">
        <v>772</v>
      </c>
      <c r="C1323" s="774" t="s">
        <v>322</v>
      </c>
      <c r="D1323" s="678" t="s">
        <v>1980</v>
      </c>
      <c r="E1323" s="700" t="s">
        <v>1927</v>
      </c>
      <c r="F1323" s="795">
        <v>2234</v>
      </c>
      <c r="G1323" s="2012" t="s">
        <v>4005</v>
      </c>
      <c r="H1323" s="701"/>
      <c r="I1323" s="701">
        <v>1100</v>
      </c>
      <c r="J1323" s="1654" t="s">
        <v>1134</v>
      </c>
      <c r="K1323" s="792"/>
      <c r="L1323" s="701"/>
      <c r="M1323" s="701">
        <v>1000</v>
      </c>
      <c r="N1323" s="305"/>
    </row>
    <row r="1324" spans="1:32">
      <c r="A1324" s="849"/>
      <c r="B1324" s="3129" t="s">
        <v>772</v>
      </c>
      <c r="C1324" s="683" t="s">
        <v>322</v>
      </c>
      <c r="D1324" s="719" t="s">
        <v>1980</v>
      </c>
      <c r="E1324" s="720" t="s">
        <v>1927</v>
      </c>
      <c r="F1324" s="824">
        <v>2235</v>
      </c>
      <c r="G1324" s="800" t="s">
        <v>931</v>
      </c>
      <c r="H1324" s="706">
        <v>2000</v>
      </c>
      <c r="I1324" s="706"/>
      <c r="J1324" s="1654">
        <v>997</v>
      </c>
      <c r="K1324" s="802"/>
      <c r="L1324" s="706">
        <v>2000</v>
      </c>
      <c r="M1324" s="706"/>
      <c r="N1324" s="305"/>
      <c r="O1324" s="187"/>
      <c r="P1324" s="187"/>
      <c r="Q1324" s="187"/>
      <c r="R1324" s="187"/>
      <c r="S1324" s="187"/>
      <c r="T1324" s="187"/>
      <c r="U1324" s="187"/>
      <c r="V1324" s="187"/>
      <c r="W1324" s="187"/>
      <c r="X1324" s="187"/>
      <c r="Y1324" s="187"/>
      <c r="Z1324" s="187"/>
      <c r="AA1324" s="187"/>
      <c r="AB1324" s="187"/>
      <c r="AC1324" s="187"/>
      <c r="AD1324" s="187"/>
      <c r="AE1324" s="187"/>
      <c r="AF1324" s="187"/>
    </row>
    <row r="1325" spans="1:32" ht="20.399999999999999">
      <c r="A1325" s="663"/>
      <c r="B1325" s="3130" t="s">
        <v>772</v>
      </c>
      <c r="C1325" s="663" t="s">
        <v>322</v>
      </c>
      <c r="D1325" s="678" t="s">
        <v>1980</v>
      </c>
      <c r="E1325" s="700" t="s">
        <v>1927</v>
      </c>
      <c r="F1325" s="795">
        <v>2235</v>
      </c>
      <c r="G1325" s="1703" t="s">
        <v>1104</v>
      </c>
      <c r="H1325" s="701"/>
      <c r="I1325" s="701">
        <v>650</v>
      </c>
      <c r="J1325" s="1654" t="s">
        <v>1134</v>
      </c>
      <c r="K1325" s="792"/>
      <c r="L1325" s="701"/>
      <c r="M1325" s="701">
        <v>650</v>
      </c>
      <c r="N1325" s="305"/>
      <c r="O1325" s="187"/>
      <c r="P1325" s="187"/>
      <c r="Q1325" s="187"/>
      <c r="R1325" s="187"/>
      <c r="S1325" s="187"/>
      <c r="T1325" s="187"/>
      <c r="U1325" s="187"/>
      <c r="V1325" s="187"/>
      <c r="W1325" s="187"/>
      <c r="X1325" s="187"/>
      <c r="Y1325" s="187"/>
      <c r="Z1325" s="187"/>
      <c r="AA1325" s="187"/>
      <c r="AB1325" s="187"/>
      <c r="AC1325" s="187"/>
      <c r="AD1325" s="187"/>
      <c r="AE1325" s="187"/>
      <c r="AF1325" s="187"/>
    </row>
    <row r="1326" spans="1:32" s="56" customFormat="1" ht="20.399999999999999">
      <c r="A1326" s="774"/>
      <c r="B1326" s="3137" t="s">
        <v>772</v>
      </c>
      <c r="C1326" s="774" t="s">
        <v>322</v>
      </c>
      <c r="D1326" s="873" t="s">
        <v>1980</v>
      </c>
      <c r="E1326" s="700" t="s">
        <v>1927</v>
      </c>
      <c r="F1326" s="795">
        <v>2235</v>
      </c>
      <c r="G1326" s="1703" t="s">
        <v>1105</v>
      </c>
      <c r="H1326" s="701"/>
      <c r="I1326" s="701">
        <v>1350</v>
      </c>
      <c r="J1326" s="1654" t="s">
        <v>1134</v>
      </c>
      <c r="K1326" s="792"/>
      <c r="L1326" s="701"/>
      <c r="M1326" s="701">
        <v>1350</v>
      </c>
      <c r="N1326" s="305"/>
    </row>
    <row r="1327" spans="1:32" s="56" customFormat="1" ht="10.199999999999999">
      <c r="A1327" s="849"/>
      <c r="B1327" s="3129" t="s">
        <v>772</v>
      </c>
      <c r="C1327" s="683" t="s">
        <v>322</v>
      </c>
      <c r="D1327" s="719" t="s">
        <v>1980</v>
      </c>
      <c r="E1327" s="720" t="s">
        <v>1927</v>
      </c>
      <c r="F1327" s="824">
        <v>2239</v>
      </c>
      <c r="G1327" s="800" t="s">
        <v>177</v>
      </c>
      <c r="H1327" s="706">
        <v>4681</v>
      </c>
      <c r="I1327" s="706"/>
      <c r="J1327" s="1654">
        <v>3544</v>
      </c>
      <c r="K1327" s="802"/>
      <c r="L1327" s="706">
        <v>6328</v>
      </c>
      <c r="M1327" s="706"/>
      <c r="N1327" s="305"/>
    </row>
    <row r="1328" spans="1:32" s="56" customFormat="1" ht="51">
      <c r="A1328" s="774"/>
      <c r="B1328" s="3137" t="s">
        <v>772</v>
      </c>
      <c r="C1328" s="774" t="s">
        <v>322</v>
      </c>
      <c r="D1328" s="678" t="s">
        <v>1980</v>
      </c>
      <c r="E1328" s="700" t="s">
        <v>1927</v>
      </c>
      <c r="F1328" s="795">
        <v>2239</v>
      </c>
      <c r="G1328" s="1703" t="s">
        <v>4006</v>
      </c>
      <c r="H1328" s="1672"/>
      <c r="I1328" s="1672"/>
      <c r="J1328" s="1739" t="s">
        <v>1134</v>
      </c>
      <c r="K1328" s="1688"/>
      <c r="L1328" s="1672"/>
      <c r="M1328" s="1672">
        <v>3630</v>
      </c>
      <c r="N1328" s="305"/>
    </row>
    <row r="1329" spans="1:32" s="56" customFormat="1" ht="40.799999999999997">
      <c r="A1329" s="774"/>
      <c r="B1329" s="3137" t="s">
        <v>772</v>
      </c>
      <c r="C1329" s="774" t="s">
        <v>322</v>
      </c>
      <c r="D1329" s="873" t="s">
        <v>1980</v>
      </c>
      <c r="E1329" s="700" t="s">
        <v>1927</v>
      </c>
      <c r="F1329" s="795">
        <v>2239</v>
      </c>
      <c r="G1329" s="1703" t="s">
        <v>1428</v>
      </c>
      <c r="H1329" s="1672"/>
      <c r="I1329" s="1672">
        <v>400</v>
      </c>
      <c r="J1329" s="1739" t="s">
        <v>1134</v>
      </c>
      <c r="K1329" s="1688"/>
      <c r="L1329" s="1672"/>
      <c r="M1329" s="1672">
        <v>400</v>
      </c>
      <c r="N1329" s="305"/>
    </row>
    <row r="1330" spans="1:32" ht="20.399999999999999">
      <c r="A1330" s="774"/>
      <c r="B1330" s="3137" t="s">
        <v>772</v>
      </c>
      <c r="C1330" s="774" t="s">
        <v>322</v>
      </c>
      <c r="D1330" s="873" t="s">
        <v>1980</v>
      </c>
      <c r="E1330" s="700" t="s">
        <v>1927</v>
      </c>
      <c r="F1330" s="795">
        <v>2239</v>
      </c>
      <c r="G1330" s="1703" t="s">
        <v>2373</v>
      </c>
      <c r="H1330" s="1672"/>
      <c r="I1330" s="1672">
        <v>600</v>
      </c>
      <c r="J1330" s="1739" t="s">
        <v>1134</v>
      </c>
      <c r="K1330" s="1688"/>
      <c r="L1330" s="1672"/>
      <c r="M1330" s="1672">
        <v>600</v>
      </c>
      <c r="N1330" s="305"/>
      <c r="O1330" s="187"/>
      <c r="P1330" s="187"/>
      <c r="Q1330" s="187"/>
      <c r="R1330" s="187"/>
      <c r="S1330" s="187"/>
      <c r="T1330" s="187"/>
      <c r="U1330" s="187"/>
      <c r="V1330" s="187"/>
      <c r="W1330" s="187"/>
      <c r="X1330" s="187"/>
      <c r="Y1330" s="187"/>
      <c r="Z1330" s="187"/>
      <c r="AA1330" s="187"/>
      <c r="AB1330" s="187"/>
      <c r="AC1330" s="187"/>
      <c r="AD1330" s="187"/>
      <c r="AE1330" s="187"/>
      <c r="AF1330" s="187"/>
    </row>
    <row r="1331" spans="1:32">
      <c r="A1331" s="774"/>
      <c r="B1331" s="3137" t="s">
        <v>772</v>
      </c>
      <c r="C1331" s="774" t="s">
        <v>322</v>
      </c>
      <c r="D1331" s="873" t="s">
        <v>1980</v>
      </c>
      <c r="E1331" s="700" t="s">
        <v>1927</v>
      </c>
      <c r="F1331" s="795">
        <v>2239</v>
      </c>
      <c r="G1331" s="1703" t="s">
        <v>950</v>
      </c>
      <c r="H1331" s="1672"/>
      <c r="I1331" s="1672">
        <v>348</v>
      </c>
      <c r="J1331" s="1739" t="s">
        <v>1134</v>
      </c>
      <c r="K1331" s="1688"/>
      <c r="L1331" s="1672"/>
      <c r="M1331" s="1672">
        <v>348</v>
      </c>
      <c r="N1331" s="305"/>
      <c r="O1331" s="187"/>
      <c r="P1331" s="187"/>
      <c r="Q1331" s="187"/>
      <c r="R1331" s="187"/>
      <c r="S1331" s="187"/>
      <c r="T1331" s="187"/>
      <c r="U1331" s="187"/>
      <c r="V1331" s="187"/>
      <c r="W1331" s="187"/>
      <c r="X1331" s="187"/>
      <c r="Y1331" s="187"/>
      <c r="Z1331" s="187"/>
      <c r="AA1331" s="187"/>
      <c r="AB1331" s="187"/>
      <c r="AC1331" s="187"/>
      <c r="AD1331" s="187"/>
      <c r="AE1331" s="187"/>
      <c r="AF1331" s="187"/>
    </row>
    <row r="1332" spans="1:32">
      <c r="A1332" s="774"/>
      <c r="B1332" s="3137" t="s">
        <v>772</v>
      </c>
      <c r="C1332" s="774" t="s">
        <v>322</v>
      </c>
      <c r="D1332" s="873" t="s">
        <v>1980</v>
      </c>
      <c r="E1332" s="700" t="s">
        <v>1927</v>
      </c>
      <c r="F1332" s="795">
        <v>2239</v>
      </c>
      <c r="G1332" s="1703" t="s">
        <v>1054</v>
      </c>
      <c r="H1332" s="1672"/>
      <c r="I1332" s="1672">
        <v>100</v>
      </c>
      <c r="J1332" s="1739" t="s">
        <v>1134</v>
      </c>
      <c r="K1332" s="1688"/>
      <c r="L1332" s="1672"/>
      <c r="M1332" s="1672">
        <v>100</v>
      </c>
      <c r="N1332" s="305"/>
      <c r="O1332" s="187"/>
      <c r="P1332" s="187"/>
      <c r="Q1332" s="187"/>
      <c r="R1332" s="187"/>
      <c r="S1332" s="187"/>
      <c r="T1332" s="187"/>
      <c r="U1332" s="187"/>
      <c r="V1332" s="187"/>
      <c r="W1332" s="187"/>
      <c r="X1332" s="187"/>
      <c r="Y1332" s="187"/>
      <c r="Z1332" s="187"/>
      <c r="AA1332" s="187"/>
      <c r="AB1332" s="187"/>
      <c r="AC1332" s="187"/>
      <c r="AD1332" s="187"/>
      <c r="AE1332" s="187"/>
      <c r="AF1332" s="187"/>
    </row>
    <row r="1333" spans="1:32" ht="40.799999999999997">
      <c r="A1333" s="1227"/>
      <c r="B1333" s="3137" t="s">
        <v>772</v>
      </c>
      <c r="C1333" s="774" t="s">
        <v>322</v>
      </c>
      <c r="D1333" s="873" t="s">
        <v>1980</v>
      </c>
      <c r="E1333" s="700" t="s">
        <v>1927</v>
      </c>
      <c r="F1333" s="795">
        <v>2239</v>
      </c>
      <c r="G1333" s="1703" t="s">
        <v>4009</v>
      </c>
      <c r="H1333" s="1672"/>
      <c r="I1333" s="1672">
        <v>650</v>
      </c>
      <c r="J1333" s="1739" t="s">
        <v>1134</v>
      </c>
      <c r="K1333" s="1688"/>
      <c r="L1333" s="1672"/>
      <c r="M1333" s="1672">
        <v>650</v>
      </c>
      <c r="N1333" s="305"/>
      <c r="O1333" s="187"/>
      <c r="P1333" s="187"/>
      <c r="Q1333" s="187"/>
      <c r="R1333" s="187"/>
      <c r="S1333" s="187"/>
      <c r="T1333" s="187"/>
      <c r="U1333" s="187"/>
      <c r="V1333" s="187"/>
      <c r="W1333" s="187"/>
      <c r="X1333" s="187"/>
      <c r="Y1333" s="187"/>
      <c r="Z1333" s="187"/>
      <c r="AA1333" s="187"/>
      <c r="AB1333" s="187"/>
      <c r="AC1333" s="187"/>
      <c r="AD1333" s="187"/>
      <c r="AE1333" s="187"/>
      <c r="AF1333" s="187"/>
    </row>
    <row r="1334" spans="1:32">
      <c r="A1334" s="663"/>
      <c r="B1334" s="3130" t="s">
        <v>772</v>
      </c>
      <c r="C1334" s="663" t="s">
        <v>320</v>
      </c>
      <c r="D1334" s="678" t="s">
        <v>1980</v>
      </c>
      <c r="E1334" s="700" t="s">
        <v>1927</v>
      </c>
      <c r="F1334" s="795">
        <v>2239</v>
      </c>
      <c r="G1334" s="1703" t="s">
        <v>655</v>
      </c>
      <c r="H1334" s="1672"/>
      <c r="I1334" s="1672">
        <v>200</v>
      </c>
      <c r="J1334" s="1739" t="s">
        <v>1134</v>
      </c>
      <c r="K1334" s="1688"/>
      <c r="L1334" s="1672"/>
      <c r="M1334" s="1672">
        <v>200</v>
      </c>
      <c r="N1334" s="305"/>
      <c r="O1334" s="187"/>
      <c r="P1334" s="187"/>
      <c r="Q1334" s="187"/>
      <c r="R1334" s="187"/>
      <c r="S1334" s="187"/>
      <c r="T1334" s="187"/>
      <c r="U1334" s="187"/>
      <c r="V1334" s="187"/>
      <c r="W1334" s="187"/>
      <c r="X1334" s="187"/>
      <c r="Y1334" s="187"/>
      <c r="Z1334" s="187"/>
      <c r="AA1334" s="187"/>
      <c r="AB1334" s="187"/>
      <c r="AC1334" s="187"/>
      <c r="AD1334" s="187"/>
      <c r="AE1334" s="187"/>
      <c r="AF1334" s="187"/>
    </row>
    <row r="1335" spans="1:32">
      <c r="A1335" s="1669"/>
      <c r="B1335" s="3130" t="s">
        <v>772</v>
      </c>
      <c r="C1335" s="663" t="s">
        <v>320</v>
      </c>
      <c r="D1335" s="678" t="s">
        <v>1980</v>
      </c>
      <c r="E1335" s="700" t="s">
        <v>1927</v>
      </c>
      <c r="F1335" s="795">
        <v>2239</v>
      </c>
      <c r="G1335" s="1703" t="s">
        <v>4010</v>
      </c>
      <c r="H1335" s="1672"/>
      <c r="I1335" s="1672"/>
      <c r="J1335" s="1739"/>
      <c r="K1335" s="1688"/>
      <c r="L1335" s="1672"/>
      <c r="M1335" s="1672">
        <v>400</v>
      </c>
      <c r="N1335" s="305"/>
      <c r="O1335" s="187"/>
      <c r="P1335" s="187"/>
      <c r="Q1335" s="187"/>
      <c r="R1335" s="187"/>
      <c r="S1335" s="187"/>
      <c r="T1335" s="187"/>
      <c r="U1335" s="187"/>
      <c r="V1335" s="187"/>
      <c r="W1335" s="187"/>
      <c r="X1335" s="187"/>
      <c r="Y1335" s="187"/>
      <c r="Z1335" s="187"/>
      <c r="AA1335" s="187"/>
      <c r="AB1335" s="187"/>
      <c r="AC1335" s="187"/>
      <c r="AD1335" s="187"/>
      <c r="AE1335" s="187"/>
      <c r="AF1335" s="187"/>
    </row>
    <row r="1336" spans="1:32" s="76" customFormat="1" ht="20.399999999999999">
      <c r="A1336" s="1263"/>
      <c r="B1336" s="3130" t="s">
        <v>772</v>
      </c>
      <c r="C1336" s="663" t="s">
        <v>320</v>
      </c>
      <c r="D1336" s="678" t="s">
        <v>1980</v>
      </c>
      <c r="E1336" s="700" t="s">
        <v>1927</v>
      </c>
      <c r="F1336" s="795">
        <v>2239</v>
      </c>
      <c r="G1336" s="1330" t="s">
        <v>3028</v>
      </c>
      <c r="H1336" s="1265"/>
      <c r="I1336" s="1265">
        <v>-67</v>
      </c>
      <c r="J1336" s="1654" t="s">
        <v>1134</v>
      </c>
      <c r="K1336" s="1329"/>
      <c r="L1336" s="1265"/>
      <c r="M1336" s="1265"/>
      <c r="N1336" s="305"/>
    </row>
    <row r="1337" spans="1:32" s="76" customFormat="1" ht="30.6">
      <c r="A1337" s="663"/>
      <c r="B1337" s="3130" t="s">
        <v>772</v>
      </c>
      <c r="C1337" s="663" t="s">
        <v>320</v>
      </c>
      <c r="D1337" s="678" t="s">
        <v>1980</v>
      </c>
      <c r="E1337" s="700" t="s">
        <v>1927</v>
      </c>
      <c r="F1337" s="795">
        <v>2239</v>
      </c>
      <c r="G1337" s="1149" t="s">
        <v>3218</v>
      </c>
      <c r="H1337" s="701"/>
      <c r="I1337" s="701">
        <v>2450</v>
      </c>
      <c r="J1337" s="1654" t="s">
        <v>1134</v>
      </c>
      <c r="K1337" s="792"/>
      <c r="L1337" s="701"/>
      <c r="M1337" s="701"/>
      <c r="N1337" s="305"/>
    </row>
    <row r="1338" spans="1:32" s="76" customFormat="1" ht="12">
      <c r="A1338" s="849"/>
      <c r="B1338" s="3129" t="s">
        <v>772</v>
      </c>
      <c r="C1338" s="683" t="s">
        <v>320</v>
      </c>
      <c r="D1338" s="719" t="s">
        <v>1980</v>
      </c>
      <c r="E1338" s="720" t="s">
        <v>1927</v>
      </c>
      <c r="F1338" s="824">
        <v>2243</v>
      </c>
      <c r="G1338" s="800" t="s">
        <v>159</v>
      </c>
      <c r="H1338" s="706">
        <v>67</v>
      </c>
      <c r="I1338" s="706"/>
      <c r="J1338" s="1654">
        <v>66.55</v>
      </c>
      <c r="K1338" s="802"/>
      <c r="L1338" s="706">
        <v>400</v>
      </c>
      <c r="M1338" s="706"/>
      <c r="N1338" s="305"/>
    </row>
    <row r="1339" spans="1:32" ht="20.399999999999999">
      <c r="A1339" s="872"/>
      <c r="B1339" s="3137" t="s">
        <v>772</v>
      </c>
      <c r="C1339" s="774" t="s">
        <v>320</v>
      </c>
      <c r="D1339" s="678" t="s">
        <v>1980</v>
      </c>
      <c r="E1339" s="700" t="s">
        <v>1927</v>
      </c>
      <c r="F1339" s="795">
        <v>2243</v>
      </c>
      <c r="G1339" s="1330" t="s">
        <v>3028</v>
      </c>
      <c r="H1339" s="701"/>
      <c r="I1339" s="701">
        <v>67</v>
      </c>
      <c r="J1339" s="1654" t="s">
        <v>1134</v>
      </c>
      <c r="K1339" s="792"/>
      <c r="L1339" s="701"/>
      <c r="M1339" s="701"/>
      <c r="N1339" s="305"/>
      <c r="O1339" s="4"/>
      <c r="P1339" s="4"/>
      <c r="Q1339" s="4"/>
      <c r="R1339" s="4"/>
      <c r="S1339" s="4"/>
      <c r="T1339" s="4"/>
      <c r="U1339" s="4"/>
      <c r="V1339" s="4"/>
      <c r="W1339" s="4"/>
      <c r="X1339" s="4"/>
      <c r="Y1339" s="4"/>
      <c r="Z1339" s="4"/>
      <c r="AA1339" s="4"/>
      <c r="AB1339" s="4"/>
      <c r="AC1339" s="4"/>
      <c r="AD1339" s="4"/>
      <c r="AE1339" s="4"/>
      <c r="AF1339" s="4"/>
    </row>
    <row r="1340" spans="1:32">
      <c r="A1340" s="872"/>
      <c r="B1340" s="3137" t="s">
        <v>772</v>
      </c>
      <c r="C1340" s="774" t="s">
        <v>320</v>
      </c>
      <c r="D1340" s="678" t="s">
        <v>1980</v>
      </c>
      <c r="E1340" s="700" t="s">
        <v>1927</v>
      </c>
      <c r="F1340" s="795">
        <v>2243</v>
      </c>
      <c r="G1340" s="750" t="s">
        <v>577</v>
      </c>
      <c r="H1340" s="701"/>
      <c r="I1340" s="701"/>
      <c r="J1340" s="1654" t="s">
        <v>1134</v>
      </c>
      <c r="K1340" s="792"/>
      <c r="L1340" s="701"/>
      <c r="M1340" s="701">
        <v>400</v>
      </c>
      <c r="N1340" s="305"/>
      <c r="O1340" s="4"/>
      <c r="P1340" s="4"/>
      <c r="Q1340" s="4"/>
      <c r="R1340" s="4"/>
      <c r="S1340" s="4"/>
      <c r="T1340" s="4"/>
      <c r="U1340" s="4"/>
      <c r="V1340" s="4"/>
      <c r="W1340" s="4"/>
      <c r="X1340" s="4"/>
      <c r="Y1340" s="4"/>
      <c r="Z1340" s="4"/>
      <c r="AA1340" s="4"/>
      <c r="AB1340" s="4"/>
      <c r="AC1340" s="4"/>
      <c r="AD1340" s="4"/>
      <c r="AE1340" s="4"/>
      <c r="AF1340" s="4"/>
    </row>
    <row r="1341" spans="1:32">
      <c r="A1341" s="849"/>
      <c r="B1341" s="3129" t="s">
        <v>772</v>
      </c>
      <c r="C1341" s="683" t="s">
        <v>320</v>
      </c>
      <c r="D1341" s="719" t="s">
        <v>1980</v>
      </c>
      <c r="E1341" s="720" t="s">
        <v>1927</v>
      </c>
      <c r="F1341" s="824">
        <v>2247</v>
      </c>
      <c r="G1341" s="800" t="s">
        <v>185</v>
      </c>
      <c r="H1341" s="706">
        <v>11400</v>
      </c>
      <c r="I1341" s="706"/>
      <c r="J1341" s="1654">
        <v>7772</v>
      </c>
      <c r="K1341" s="802"/>
      <c r="L1341" s="706">
        <v>10000</v>
      </c>
      <c r="M1341" s="706"/>
      <c r="N1341" s="305"/>
      <c r="O1341" s="4"/>
      <c r="P1341" s="4"/>
      <c r="Q1341" s="4"/>
      <c r="R1341" s="4"/>
      <c r="S1341" s="4"/>
      <c r="T1341" s="4"/>
      <c r="U1341" s="4"/>
      <c r="V1341" s="4"/>
      <c r="W1341" s="4"/>
      <c r="X1341" s="4"/>
      <c r="Y1341" s="4"/>
      <c r="Z1341" s="4"/>
      <c r="AA1341" s="4"/>
      <c r="AB1341" s="4"/>
      <c r="AC1341" s="4"/>
      <c r="AD1341" s="4"/>
      <c r="AE1341" s="4"/>
      <c r="AF1341" s="4"/>
    </row>
    <row r="1342" spans="1:32">
      <c r="A1342" s="872"/>
      <c r="B1342" s="3137" t="s">
        <v>772</v>
      </c>
      <c r="C1342" s="774" t="s">
        <v>320</v>
      </c>
      <c r="D1342" s="678" t="s">
        <v>1980</v>
      </c>
      <c r="E1342" s="700" t="s">
        <v>1927</v>
      </c>
      <c r="F1342" s="795">
        <v>2247</v>
      </c>
      <c r="G1342" s="1703" t="s">
        <v>4012</v>
      </c>
      <c r="H1342" s="701"/>
      <c r="I1342" s="701">
        <v>11150</v>
      </c>
      <c r="J1342" s="1654" t="s">
        <v>1134</v>
      </c>
      <c r="K1342" s="792"/>
      <c r="L1342" s="701"/>
      <c r="M1342" s="2031">
        <v>10000</v>
      </c>
      <c r="N1342" s="305"/>
      <c r="O1342" s="4"/>
      <c r="P1342" s="4"/>
      <c r="Q1342" s="4"/>
      <c r="R1342" s="4"/>
      <c r="S1342" s="4"/>
      <c r="T1342" s="4"/>
      <c r="U1342" s="4"/>
      <c r="V1342" s="4"/>
      <c r="W1342" s="4"/>
      <c r="X1342" s="4"/>
      <c r="Y1342" s="4"/>
      <c r="Z1342" s="4"/>
      <c r="AA1342" s="4"/>
      <c r="AB1342" s="4"/>
      <c r="AC1342" s="4"/>
      <c r="AD1342" s="4"/>
      <c r="AE1342" s="4"/>
      <c r="AF1342" s="4"/>
    </row>
    <row r="1343" spans="1:32" ht="20.399999999999999">
      <c r="A1343" s="841" t="s">
        <v>709</v>
      </c>
      <c r="B1343" s="3137" t="s">
        <v>772</v>
      </c>
      <c r="C1343" s="841" t="s">
        <v>320</v>
      </c>
      <c r="D1343" s="794" t="s">
        <v>1980</v>
      </c>
      <c r="E1343" s="700" t="s">
        <v>1927</v>
      </c>
      <c r="F1343" s="795">
        <v>2247</v>
      </c>
      <c r="G1343" s="750" t="s">
        <v>2713</v>
      </c>
      <c r="H1343" s="701"/>
      <c r="I1343" s="701">
        <v>1250</v>
      </c>
      <c r="J1343" s="1654" t="s">
        <v>1134</v>
      </c>
      <c r="K1343" s="792"/>
      <c r="L1343" s="701"/>
      <c r="M1343" s="701"/>
      <c r="N1343" s="305"/>
      <c r="O1343" s="4"/>
      <c r="P1343" s="4"/>
      <c r="Q1343" s="4"/>
      <c r="R1343" s="4"/>
      <c r="S1343" s="4"/>
      <c r="T1343" s="4"/>
      <c r="U1343" s="4"/>
      <c r="V1343" s="4"/>
      <c r="W1343" s="4"/>
      <c r="X1343" s="4"/>
      <c r="Y1343" s="4"/>
      <c r="Z1343" s="4"/>
      <c r="AA1343" s="4"/>
      <c r="AB1343" s="4"/>
      <c r="AC1343" s="4"/>
      <c r="AD1343" s="4"/>
      <c r="AE1343" s="4"/>
      <c r="AF1343" s="4"/>
    </row>
    <row r="1344" spans="1:32" ht="71.400000000000006">
      <c r="A1344" s="841" t="s">
        <v>709</v>
      </c>
      <c r="B1344" s="3137" t="s">
        <v>772</v>
      </c>
      <c r="C1344" s="841" t="s">
        <v>320</v>
      </c>
      <c r="D1344" s="794" t="s">
        <v>1980</v>
      </c>
      <c r="E1344" s="700" t="s">
        <v>1927</v>
      </c>
      <c r="F1344" s="795">
        <v>2247</v>
      </c>
      <c r="G1344" s="1569" t="s">
        <v>3369</v>
      </c>
      <c r="H1344" s="1570"/>
      <c r="I1344" s="1571">
        <v>-1000</v>
      </c>
      <c r="J1344" s="1655"/>
      <c r="K1344" s="1640"/>
      <c r="L1344" s="1570"/>
      <c r="M1344" s="1570"/>
      <c r="N1344" s="305"/>
      <c r="O1344" s="4"/>
      <c r="P1344" s="4"/>
      <c r="Q1344" s="4"/>
      <c r="R1344" s="4"/>
      <c r="S1344" s="4"/>
      <c r="T1344" s="4"/>
      <c r="U1344" s="4"/>
      <c r="V1344" s="4"/>
      <c r="W1344" s="4"/>
      <c r="X1344" s="4"/>
      <c r="Y1344" s="4"/>
      <c r="Z1344" s="4"/>
      <c r="AA1344" s="4"/>
      <c r="AB1344" s="4"/>
      <c r="AC1344" s="4"/>
      <c r="AD1344" s="4"/>
      <c r="AE1344" s="4"/>
      <c r="AF1344" s="4"/>
    </row>
    <row r="1345" spans="1:32">
      <c r="A1345" s="720"/>
      <c r="B1345" s="3129" t="s">
        <v>772</v>
      </c>
      <c r="C1345" s="720" t="s">
        <v>320</v>
      </c>
      <c r="D1345" s="823" t="s">
        <v>1980</v>
      </c>
      <c r="E1345" s="720" t="s">
        <v>1927</v>
      </c>
      <c r="F1345" s="824">
        <v>2249</v>
      </c>
      <c r="G1345" s="800" t="s">
        <v>163</v>
      </c>
      <c r="H1345" s="706">
        <v>2500</v>
      </c>
      <c r="I1345" s="706"/>
      <c r="J1345" s="1654">
        <v>1966</v>
      </c>
      <c r="K1345" s="802"/>
      <c r="L1345" s="706">
        <v>2500</v>
      </c>
      <c r="M1345" s="706"/>
      <c r="N1345" s="305"/>
      <c r="O1345" s="4"/>
      <c r="P1345" s="4"/>
      <c r="Q1345" s="4"/>
      <c r="R1345" s="4"/>
      <c r="S1345" s="4"/>
      <c r="T1345" s="4"/>
      <c r="U1345" s="4"/>
      <c r="V1345" s="4"/>
      <c r="W1345" s="4"/>
      <c r="X1345" s="4"/>
      <c r="Y1345" s="4"/>
      <c r="Z1345" s="4"/>
      <c r="AA1345" s="4"/>
      <c r="AB1345" s="4"/>
      <c r="AC1345" s="4"/>
      <c r="AD1345" s="4"/>
      <c r="AE1345" s="4"/>
      <c r="AF1345" s="4"/>
    </row>
    <row r="1346" spans="1:32" ht="20.399999999999999">
      <c r="A1346" s="841"/>
      <c r="B1346" s="3137" t="s">
        <v>772</v>
      </c>
      <c r="C1346" s="841" t="s">
        <v>322</v>
      </c>
      <c r="D1346" s="794" t="s">
        <v>1980</v>
      </c>
      <c r="E1346" s="700" t="s">
        <v>1927</v>
      </c>
      <c r="F1346" s="795">
        <v>2249</v>
      </c>
      <c r="G1346" s="2012" t="s">
        <v>4014</v>
      </c>
      <c r="H1346" s="701"/>
      <c r="I1346" s="701">
        <v>2500</v>
      </c>
      <c r="J1346" s="1654" t="s">
        <v>1134</v>
      </c>
      <c r="K1346" s="792"/>
      <c r="L1346" s="701"/>
      <c r="M1346" s="701">
        <v>2500</v>
      </c>
      <c r="N1346" s="305"/>
      <c r="O1346" s="4"/>
      <c r="P1346" s="4"/>
      <c r="Q1346" s="4"/>
      <c r="R1346" s="4"/>
      <c r="S1346" s="4"/>
      <c r="T1346" s="4"/>
      <c r="U1346" s="4"/>
      <c r="V1346" s="4"/>
      <c r="W1346" s="4"/>
      <c r="X1346" s="4"/>
      <c r="Y1346" s="4"/>
      <c r="Z1346" s="4"/>
      <c r="AA1346" s="4"/>
      <c r="AB1346" s="4"/>
      <c r="AC1346" s="4"/>
      <c r="AD1346" s="4"/>
      <c r="AE1346" s="4"/>
      <c r="AF1346" s="4"/>
    </row>
    <row r="1347" spans="1:32" s="76" customFormat="1" ht="12">
      <c r="A1347" s="683"/>
      <c r="B1347" s="3129" t="s">
        <v>772</v>
      </c>
      <c r="C1347" s="683" t="s">
        <v>322</v>
      </c>
      <c r="D1347" s="719" t="s">
        <v>1980</v>
      </c>
      <c r="E1347" s="720" t="s">
        <v>1927</v>
      </c>
      <c r="F1347" s="824">
        <v>2250</v>
      </c>
      <c r="G1347" s="800" t="s">
        <v>778</v>
      </c>
      <c r="H1347" s="706">
        <v>3027</v>
      </c>
      <c r="I1347" s="706"/>
      <c r="J1347" s="1654">
        <v>1010</v>
      </c>
      <c r="K1347" s="802"/>
      <c r="L1347" s="706">
        <v>2972</v>
      </c>
      <c r="M1347" s="706"/>
      <c r="N1347" s="305"/>
    </row>
    <row r="1348" spans="1:32" s="76" customFormat="1" ht="12">
      <c r="A1348" s="663"/>
      <c r="B1348" s="3130" t="s">
        <v>772</v>
      </c>
      <c r="C1348" s="663" t="s">
        <v>322</v>
      </c>
      <c r="D1348" s="678" t="s">
        <v>1980</v>
      </c>
      <c r="E1348" s="700" t="s">
        <v>1927</v>
      </c>
      <c r="F1348" s="795">
        <v>2250</v>
      </c>
      <c r="G1348" s="2013" t="s">
        <v>2374</v>
      </c>
      <c r="H1348" s="701"/>
      <c r="I1348" s="701">
        <v>674</v>
      </c>
      <c r="J1348" s="1654" t="s">
        <v>1134</v>
      </c>
      <c r="K1348" s="792"/>
      <c r="L1348" s="701"/>
      <c r="M1348" s="1672">
        <v>674</v>
      </c>
      <c r="N1348" s="305"/>
    </row>
    <row r="1349" spans="1:32" s="76" customFormat="1" ht="12" customHeight="1">
      <c r="A1349" s="663"/>
      <c r="B1349" s="3130" t="s">
        <v>772</v>
      </c>
      <c r="C1349" s="663" t="s">
        <v>320</v>
      </c>
      <c r="D1349" s="678" t="s">
        <v>1980</v>
      </c>
      <c r="E1349" s="700" t="s">
        <v>1927</v>
      </c>
      <c r="F1349" s="795">
        <v>2250</v>
      </c>
      <c r="G1349" s="1703" t="s">
        <v>2375</v>
      </c>
      <c r="H1349" s="701"/>
      <c r="I1349" s="701">
        <v>1224</v>
      </c>
      <c r="J1349" s="1654" t="s">
        <v>1134</v>
      </c>
      <c r="K1349" s="792"/>
      <c r="L1349" s="701"/>
      <c r="M1349" s="1672">
        <v>1224</v>
      </c>
      <c r="N1349" s="305"/>
    </row>
    <row r="1350" spans="1:32" s="76" customFormat="1" ht="12" customHeight="1">
      <c r="A1350" s="663"/>
      <c r="B1350" s="3130" t="s">
        <v>772</v>
      </c>
      <c r="C1350" s="663" t="s">
        <v>320</v>
      </c>
      <c r="D1350" s="678" t="s">
        <v>1980</v>
      </c>
      <c r="E1350" s="700" t="s">
        <v>1927</v>
      </c>
      <c r="F1350" s="795">
        <v>2250</v>
      </c>
      <c r="G1350" s="2012" t="s">
        <v>4015</v>
      </c>
      <c r="H1350" s="701"/>
      <c r="I1350" s="701">
        <v>368</v>
      </c>
      <c r="J1350" s="1654" t="s">
        <v>1134</v>
      </c>
      <c r="K1350" s="792"/>
      <c r="L1350" s="701"/>
      <c r="M1350" s="1672">
        <v>375</v>
      </c>
      <c r="N1350" s="305"/>
    </row>
    <row r="1351" spans="1:32" s="76" customFormat="1" ht="51">
      <c r="A1351" s="774"/>
      <c r="B1351" s="3137" t="s">
        <v>772</v>
      </c>
      <c r="C1351" s="774" t="s">
        <v>322</v>
      </c>
      <c r="D1351" s="678" t="s">
        <v>1980</v>
      </c>
      <c r="E1351" s="700" t="s">
        <v>1927</v>
      </c>
      <c r="F1351" s="795">
        <v>2239</v>
      </c>
      <c r="G1351" s="1703" t="s">
        <v>4008</v>
      </c>
      <c r="H1351" s="1672"/>
      <c r="I1351" s="1672">
        <v>590</v>
      </c>
      <c r="J1351" s="1739" t="s">
        <v>1134</v>
      </c>
      <c r="K1351" s="1688"/>
      <c r="L1351" s="1672"/>
      <c r="M1351" s="2029">
        <v>590</v>
      </c>
      <c r="N1351" s="305"/>
    </row>
    <row r="1352" spans="1:32" s="76" customFormat="1" ht="12">
      <c r="A1352" s="774"/>
      <c r="B1352" s="3137" t="s">
        <v>772</v>
      </c>
      <c r="C1352" s="774" t="s">
        <v>322</v>
      </c>
      <c r="D1352" s="678" t="s">
        <v>1980</v>
      </c>
      <c r="E1352" s="700" t="s">
        <v>1927</v>
      </c>
      <c r="F1352" s="795">
        <v>2239</v>
      </c>
      <c r="G1352" s="2030" t="s">
        <v>4981</v>
      </c>
      <c r="H1352" s="1672"/>
      <c r="I1352" s="1672">
        <v>171</v>
      </c>
      <c r="J1352" s="1739" t="s">
        <v>1134</v>
      </c>
      <c r="K1352" s="1688"/>
      <c r="L1352" s="1672"/>
      <c r="M1352" s="2029">
        <v>109</v>
      </c>
      <c r="N1352" s="305"/>
    </row>
    <row r="1353" spans="1:32" s="76" customFormat="1" ht="12">
      <c r="A1353" s="683"/>
      <c r="B1353" s="3129" t="s">
        <v>772</v>
      </c>
      <c r="C1353" s="683" t="s">
        <v>322</v>
      </c>
      <c r="D1353" s="719" t="s">
        <v>1980</v>
      </c>
      <c r="E1353" s="720" t="s">
        <v>1927</v>
      </c>
      <c r="F1353" s="824">
        <v>2311</v>
      </c>
      <c r="G1353" s="800" t="s">
        <v>354</v>
      </c>
      <c r="H1353" s="706">
        <v>2550</v>
      </c>
      <c r="I1353" s="706"/>
      <c r="J1353" s="1654">
        <v>1890</v>
      </c>
      <c r="K1353" s="802"/>
      <c r="L1353" s="706">
        <v>2550</v>
      </c>
      <c r="M1353" s="706"/>
      <c r="N1353" s="305"/>
    </row>
    <row r="1354" spans="1:32">
      <c r="A1354" s="663"/>
      <c r="B1354" s="3130" t="s">
        <v>772</v>
      </c>
      <c r="C1354" s="663" t="s">
        <v>322</v>
      </c>
      <c r="D1354" s="678" t="s">
        <v>1980</v>
      </c>
      <c r="E1354" s="700" t="s">
        <v>1927</v>
      </c>
      <c r="F1354" s="795">
        <v>2311</v>
      </c>
      <c r="G1354" s="2013" t="s">
        <v>2376</v>
      </c>
      <c r="H1354" s="1672"/>
      <c r="I1354" s="1672">
        <v>1500</v>
      </c>
      <c r="J1354" s="1739" t="s">
        <v>1134</v>
      </c>
      <c r="K1354" s="1688"/>
      <c r="L1354" s="1672"/>
      <c r="M1354" s="1672">
        <v>1500</v>
      </c>
      <c r="N1354" s="305"/>
      <c r="O1354" s="3"/>
      <c r="P1354" s="3"/>
      <c r="Q1354" s="3"/>
      <c r="R1354" s="3"/>
      <c r="S1354" s="3"/>
      <c r="T1354" s="3"/>
      <c r="U1354" s="3"/>
      <c r="V1354" s="3"/>
      <c r="W1354" s="3"/>
      <c r="X1354" s="3"/>
      <c r="Y1354" s="3"/>
      <c r="Z1354" s="3"/>
      <c r="AA1354" s="3"/>
      <c r="AB1354" s="3"/>
      <c r="AC1354" s="3"/>
      <c r="AD1354" s="3"/>
      <c r="AE1354" s="3"/>
      <c r="AF1354" s="3"/>
    </row>
    <row r="1355" spans="1:32" s="76" customFormat="1" ht="12" customHeight="1">
      <c r="A1355" s="663"/>
      <c r="B1355" s="3130" t="s">
        <v>772</v>
      </c>
      <c r="C1355" s="663" t="s">
        <v>322</v>
      </c>
      <c r="D1355" s="678" t="s">
        <v>1980</v>
      </c>
      <c r="E1355" s="700" t="s">
        <v>1927</v>
      </c>
      <c r="F1355" s="795">
        <v>2311</v>
      </c>
      <c r="G1355" s="1703" t="s">
        <v>868</v>
      </c>
      <c r="H1355" s="1672"/>
      <c r="I1355" s="1672">
        <v>700</v>
      </c>
      <c r="J1355" s="1739" t="s">
        <v>1134</v>
      </c>
      <c r="K1355" s="1688"/>
      <c r="L1355" s="1672"/>
      <c r="M1355" s="1672">
        <v>700</v>
      </c>
      <c r="N1355" s="305"/>
    </row>
    <row r="1356" spans="1:32">
      <c r="A1356" s="663"/>
      <c r="B1356" s="3130" t="s">
        <v>772</v>
      </c>
      <c r="C1356" s="663" t="s">
        <v>322</v>
      </c>
      <c r="D1356" s="678" t="s">
        <v>1980</v>
      </c>
      <c r="E1356" s="700" t="s">
        <v>1927</v>
      </c>
      <c r="F1356" s="795">
        <v>2311</v>
      </c>
      <c r="G1356" s="2013" t="s">
        <v>1106</v>
      </c>
      <c r="H1356" s="1672"/>
      <c r="I1356" s="1672">
        <v>300</v>
      </c>
      <c r="J1356" s="1739" t="s">
        <v>1134</v>
      </c>
      <c r="K1356" s="1688"/>
      <c r="L1356" s="1672"/>
      <c r="M1356" s="1672">
        <v>300</v>
      </c>
      <c r="N1356" s="305"/>
      <c r="O1356" s="4"/>
      <c r="P1356" s="4"/>
      <c r="Q1356" s="4"/>
      <c r="R1356" s="4"/>
      <c r="S1356" s="4"/>
      <c r="T1356" s="4"/>
      <c r="U1356" s="4"/>
      <c r="V1356" s="4"/>
      <c r="W1356" s="4"/>
      <c r="X1356" s="4"/>
      <c r="Y1356" s="4"/>
      <c r="Z1356" s="4"/>
      <c r="AA1356" s="4"/>
      <c r="AB1356" s="4"/>
      <c r="AC1356" s="4"/>
      <c r="AD1356" s="4"/>
      <c r="AE1356" s="4"/>
      <c r="AF1356" s="4"/>
    </row>
    <row r="1357" spans="1:32">
      <c r="A1357" s="663"/>
      <c r="B1357" s="3130" t="s">
        <v>772</v>
      </c>
      <c r="C1357" s="663" t="s">
        <v>322</v>
      </c>
      <c r="D1357" s="678" t="s">
        <v>1980</v>
      </c>
      <c r="E1357" s="700" t="s">
        <v>1927</v>
      </c>
      <c r="F1357" s="795">
        <v>2311</v>
      </c>
      <c r="G1357" s="2013" t="s">
        <v>152</v>
      </c>
      <c r="H1357" s="1672"/>
      <c r="I1357" s="1672">
        <v>50</v>
      </c>
      <c r="J1357" s="1739" t="s">
        <v>1134</v>
      </c>
      <c r="K1357" s="1688"/>
      <c r="L1357" s="1672"/>
      <c r="M1357" s="1672">
        <v>50</v>
      </c>
      <c r="N1357" s="305"/>
      <c r="O1357" s="7"/>
      <c r="P1357" s="7"/>
      <c r="Q1357" s="7"/>
      <c r="R1357" s="7"/>
      <c r="S1357" s="7"/>
      <c r="T1357" s="7"/>
      <c r="U1357" s="7"/>
      <c r="V1357" s="7"/>
      <c r="W1357" s="7"/>
      <c r="X1357" s="7"/>
      <c r="Y1357" s="7"/>
      <c r="Z1357" s="7"/>
      <c r="AA1357" s="7"/>
      <c r="AB1357" s="7"/>
      <c r="AC1357" s="7"/>
      <c r="AD1357" s="7"/>
      <c r="AE1357" s="7"/>
      <c r="AF1357" s="7"/>
    </row>
    <row r="1358" spans="1:32">
      <c r="A1358" s="849"/>
      <c r="B1358" s="3129" t="s">
        <v>772</v>
      </c>
      <c r="C1358" s="683" t="s">
        <v>322</v>
      </c>
      <c r="D1358" s="719" t="s">
        <v>1980</v>
      </c>
      <c r="E1358" s="720" t="s">
        <v>1927</v>
      </c>
      <c r="F1358" s="824">
        <v>2312</v>
      </c>
      <c r="G1358" s="800" t="s">
        <v>219</v>
      </c>
      <c r="H1358" s="706">
        <v>5070</v>
      </c>
      <c r="I1358" s="706"/>
      <c r="J1358" s="1654">
        <v>4726</v>
      </c>
      <c r="K1358" s="802"/>
      <c r="L1358" s="706">
        <v>7756</v>
      </c>
      <c r="M1358" s="706"/>
      <c r="N1358" s="305"/>
      <c r="O1358" s="7"/>
      <c r="P1358" s="7"/>
      <c r="Q1358" s="7"/>
      <c r="R1358" s="7"/>
      <c r="S1358" s="7"/>
      <c r="T1358" s="7"/>
      <c r="U1358" s="7"/>
      <c r="V1358" s="7"/>
      <c r="W1358" s="7"/>
      <c r="X1358" s="7"/>
      <c r="Y1358" s="7"/>
      <c r="Z1358" s="7"/>
      <c r="AA1358" s="7"/>
      <c r="AB1358" s="7"/>
      <c r="AC1358" s="7"/>
      <c r="AD1358" s="7"/>
      <c r="AE1358" s="7"/>
      <c r="AF1358" s="7"/>
    </row>
    <row r="1359" spans="1:32" ht="20.399999999999999">
      <c r="A1359" s="760"/>
      <c r="B1359" s="3130" t="s">
        <v>772</v>
      </c>
      <c r="C1359" s="663" t="s">
        <v>322</v>
      </c>
      <c r="D1359" s="678" t="s">
        <v>1980</v>
      </c>
      <c r="E1359" s="700" t="s">
        <v>1927</v>
      </c>
      <c r="F1359" s="795">
        <v>2312</v>
      </c>
      <c r="G1359" s="1703" t="s">
        <v>1429</v>
      </c>
      <c r="H1359" s="1672"/>
      <c r="I1359" s="1672">
        <v>570</v>
      </c>
      <c r="J1359" s="1739" t="s">
        <v>1134</v>
      </c>
      <c r="K1359" s="1688"/>
      <c r="L1359" s="1672"/>
      <c r="M1359" s="1672">
        <v>570</v>
      </c>
      <c r="N1359" s="305"/>
      <c r="O1359" s="7"/>
      <c r="P1359" s="7"/>
      <c r="Q1359" s="7"/>
      <c r="R1359" s="7"/>
      <c r="S1359" s="7"/>
      <c r="T1359" s="7"/>
      <c r="U1359" s="7"/>
      <c r="V1359" s="7"/>
      <c r="W1359" s="7"/>
      <c r="X1359" s="7"/>
      <c r="Y1359" s="7"/>
      <c r="Z1359" s="7"/>
      <c r="AA1359" s="7"/>
      <c r="AB1359" s="7"/>
      <c r="AC1359" s="7"/>
      <c r="AD1359" s="7"/>
      <c r="AE1359" s="7"/>
      <c r="AF1359" s="7"/>
    </row>
    <row r="1360" spans="1:32">
      <c r="A1360" s="760"/>
      <c r="B1360" s="3130" t="s">
        <v>772</v>
      </c>
      <c r="C1360" s="663" t="s">
        <v>322</v>
      </c>
      <c r="D1360" s="678" t="s">
        <v>1980</v>
      </c>
      <c r="E1360" s="700" t="s">
        <v>1927</v>
      </c>
      <c r="F1360" s="795">
        <v>2312</v>
      </c>
      <c r="G1360" s="2032" t="s">
        <v>1431</v>
      </c>
      <c r="H1360" s="1672"/>
      <c r="I1360" s="1672">
        <v>300</v>
      </c>
      <c r="J1360" s="1739" t="s">
        <v>1134</v>
      </c>
      <c r="K1360" s="1688"/>
      <c r="L1360" s="1672"/>
      <c r="M1360" s="1672">
        <v>300</v>
      </c>
      <c r="N1360" s="305"/>
      <c r="O1360" s="7"/>
      <c r="P1360" s="7"/>
      <c r="Q1360" s="7"/>
      <c r="R1360" s="7"/>
      <c r="S1360" s="7"/>
      <c r="T1360" s="7"/>
      <c r="U1360" s="7"/>
      <c r="V1360" s="7"/>
      <c r="W1360" s="7"/>
      <c r="X1360" s="7"/>
      <c r="Y1360" s="7"/>
      <c r="Z1360" s="7"/>
      <c r="AA1360" s="7"/>
      <c r="AB1360" s="7"/>
      <c r="AC1360" s="7"/>
      <c r="AD1360" s="7"/>
      <c r="AE1360" s="7"/>
      <c r="AF1360" s="7"/>
    </row>
    <row r="1361" spans="1:32">
      <c r="A1361" s="760"/>
      <c r="B1361" s="3130" t="s">
        <v>772</v>
      </c>
      <c r="C1361" s="663" t="s">
        <v>322</v>
      </c>
      <c r="D1361" s="678" t="s">
        <v>1980</v>
      </c>
      <c r="E1361" s="700" t="s">
        <v>1927</v>
      </c>
      <c r="F1361" s="795">
        <v>2312</v>
      </c>
      <c r="G1361" s="1703" t="s">
        <v>4016</v>
      </c>
      <c r="H1361" s="1672"/>
      <c r="I1361" s="1672">
        <v>400</v>
      </c>
      <c r="J1361" s="1739" t="s">
        <v>1134</v>
      </c>
      <c r="K1361" s="1688"/>
      <c r="L1361" s="1672"/>
      <c r="M1361" s="1672">
        <v>200</v>
      </c>
      <c r="N1361" s="305"/>
      <c r="O1361" s="7"/>
      <c r="P1361" s="7"/>
      <c r="Q1361" s="7"/>
      <c r="R1361" s="7"/>
      <c r="S1361" s="7"/>
      <c r="T1361" s="7"/>
      <c r="U1361" s="7"/>
      <c r="V1361" s="7"/>
      <c r="W1361" s="7"/>
      <c r="X1361" s="7"/>
      <c r="Y1361" s="7"/>
      <c r="Z1361" s="7"/>
      <c r="AA1361" s="7"/>
      <c r="AB1361" s="7"/>
      <c r="AC1361" s="7"/>
      <c r="AD1361" s="7"/>
      <c r="AE1361" s="7"/>
      <c r="AF1361" s="7"/>
    </row>
    <row r="1362" spans="1:32" ht="20.399999999999999">
      <c r="A1362" s="760"/>
      <c r="B1362" s="3130" t="s">
        <v>772</v>
      </c>
      <c r="C1362" s="663" t="s">
        <v>322</v>
      </c>
      <c r="D1362" s="678" t="s">
        <v>1980</v>
      </c>
      <c r="E1362" s="700" t="s">
        <v>1927</v>
      </c>
      <c r="F1362" s="795">
        <v>2312</v>
      </c>
      <c r="G1362" s="1703" t="s">
        <v>4017</v>
      </c>
      <c r="H1362" s="1672"/>
      <c r="I1362" s="1672">
        <v>600</v>
      </c>
      <c r="J1362" s="1739" t="s">
        <v>1134</v>
      </c>
      <c r="K1362" s="1688"/>
      <c r="L1362" s="1672"/>
      <c r="M1362" s="1672">
        <v>4500</v>
      </c>
      <c r="N1362" s="305"/>
      <c r="O1362" s="4"/>
      <c r="P1362" s="4"/>
      <c r="Q1362" s="4"/>
      <c r="R1362" s="4"/>
      <c r="S1362" s="4"/>
      <c r="T1362" s="4"/>
      <c r="U1362" s="4"/>
      <c r="V1362" s="4"/>
      <c r="W1362" s="4"/>
      <c r="X1362" s="4"/>
      <c r="Y1362" s="4"/>
      <c r="Z1362" s="4"/>
      <c r="AA1362" s="4"/>
      <c r="AB1362" s="4"/>
      <c r="AC1362" s="4"/>
      <c r="AD1362" s="4"/>
      <c r="AE1362" s="4"/>
      <c r="AF1362" s="4"/>
    </row>
    <row r="1363" spans="1:32">
      <c r="A1363" s="2187"/>
      <c r="B1363" s="3130" t="s">
        <v>772</v>
      </c>
      <c r="C1363" s="663" t="s">
        <v>322</v>
      </c>
      <c r="D1363" s="678" t="s">
        <v>1980</v>
      </c>
      <c r="E1363" s="700" t="s">
        <v>1927</v>
      </c>
      <c r="F1363" s="795">
        <v>2312</v>
      </c>
      <c r="G1363" s="2195" t="s">
        <v>2691</v>
      </c>
      <c r="H1363" s="2188"/>
      <c r="I1363" s="2188">
        <v>100</v>
      </c>
      <c r="J1363" s="2191"/>
      <c r="K1363" s="2205"/>
      <c r="L1363" s="2188"/>
      <c r="M1363" s="2188"/>
      <c r="N1363" s="305"/>
      <c r="O1363" s="4"/>
      <c r="P1363" s="4"/>
      <c r="Q1363" s="4"/>
      <c r="R1363" s="4"/>
      <c r="S1363" s="4"/>
      <c r="T1363" s="4"/>
      <c r="U1363" s="4"/>
      <c r="V1363" s="4"/>
      <c r="W1363" s="4"/>
      <c r="X1363" s="4"/>
      <c r="Y1363" s="4"/>
      <c r="Z1363" s="4"/>
      <c r="AA1363" s="4"/>
      <c r="AB1363" s="4"/>
      <c r="AC1363" s="4"/>
      <c r="AD1363" s="4"/>
      <c r="AE1363" s="4"/>
      <c r="AF1363" s="4"/>
    </row>
    <row r="1364" spans="1:32" s="76" customFormat="1" ht="12">
      <c r="A1364" s="760"/>
      <c r="B1364" s="3130" t="s">
        <v>772</v>
      </c>
      <c r="C1364" s="663" t="s">
        <v>322</v>
      </c>
      <c r="D1364" s="678" t="s">
        <v>1980</v>
      </c>
      <c r="E1364" s="700" t="s">
        <v>1927</v>
      </c>
      <c r="F1364" s="795">
        <v>2312</v>
      </c>
      <c r="G1364" s="1703" t="s">
        <v>4018</v>
      </c>
      <c r="H1364" s="1672"/>
      <c r="I1364" s="1672"/>
      <c r="J1364" s="1739" t="s">
        <v>1134</v>
      </c>
      <c r="K1364" s="1688"/>
      <c r="L1364" s="1672"/>
      <c r="M1364" s="1672">
        <v>400</v>
      </c>
      <c r="N1364" s="11"/>
    </row>
    <row r="1365" spans="1:32">
      <c r="A1365" s="760"/>
      <c r="B1365" s="3130" t="s">
        <v>772</v>
      </c>
      <c r="C1365" s="663" t="s">
        <v>322</v>
      </c>
      <c r="D1365" s="678" t="s">
        <v>1980</v>
      </c>
      <c r="E1365" s="700" t="s">
        <v>1927</v>
      </c>
      <c r="F1365" s="795">
        <v>2312</v>
      </c>
      <c r="G1365" s="1703" t="s">
        <v>4019</v>
      </c>
      <c r="H1365" s="1672"/>
      <c r="I1365" s="1672">
        <v>2500</v>
      </c>
      <c r="J1365" s="1739" t="s">
        <v>1134</v>
      </c>
      <c r="K1365" s="1688"/>
      <c r="L1365" s="1672"/>
      <c r="M1365" s="1672">
        <v>100</v>
      </c>
      <c r="N1365" s="11"/>
      <c r="O1365" s="187"/>
      <c r="P1365" s="187"/>
      <c r="Q1365" s="187"/>
      <c r="R1365" s="187"/>
      <c r="S1365" s="187"/>
      <c r="T1365" s="187"/>
      <c r="U1365" s="187"/>
      <c r="V1365" s="187"/>
      <c r="W1365" s="187"/>
      <c r="X1365" s="187"/>
      <c r="Y1365" s="187"/>
      <c r="Z1365" s="187"/>
      <c r="AA1365" s="187"/>
      <c r="AB1365" s="187"/>
      <c r="AC1365" s="187"/>
      <c r="AD1365" s="187"/>
      <c r="AE1365" s="187"/>
      <c r="AF1365" s="187"/>
    </row>
    <row r="1366" spans="1:32">
      <c r="A1366" s="760"/>
      <c r="B1366" s="3130" t="s">
        <v>772</v>
      </c>
      <c r="C1366" s="663" t="s">
        <v>322</v>
      </c>
      <c r="D1366" s="678" t="s">
        <v>1980</v>
      </c>
      <c r="E1366" s="700" t="s">
        <v>1927</v>
      </c>
      <c r="F1366" s="795">
        <v>2312</v>
      </c>
      <c r="G1366" s="1703" t="s">
        <v>4020</v>
      </c>
      <c r="H1366" s="1672"/>
      <c r="I1366" s="1672">
        <v>200</v>
      </c>
      <c r="J1366" s="1739" t="s">
        <v>1134</v>
      </c>
      <c r="K1366" s="1688"/>
      <c r="L1366" s="1672"/>
      <c r="M1366" s="1672">
        <v>500</v>
      </c>
      <c r="N1366" s="11"/>
      <c r="O1366" s="187"/>
      <c r="P1366" s="187"/>
      <c r="Q1366" s="187"/>
      <c r="R1366" s="187"/>
      <c r="S1366" s="187"/>
      <c r="T1366" s="187"/>
      <c r="U1366" s="187"/>
      <c r="V1366" s="187"/>
      <c r="W1366" s="187"/>
      <c r="X1366" s="187"/>
      <c r="Y1366" s="187"/>
      <c r="Z1366" s="187"/>
      <c r="AA1366" s="187"/>
      <c r="AB1366" s="187"/>
      <c r="AC1366" s="187"/>
      <c r="AD1366" s="187"/>
      <c r="AE1366" s="187"/>
      <c r="AF1366" s="187"/>
    </row>
    <row r="1367" spans="1:32">
      <c r="A1367" s="760"/>
      <c r="B1367" s="3130" t="s">
        <v>772</v>
      </c>
      <c r="C1367" s="663" t="s">
        <v>322</v>
      </c>
      <c r="D1367" s="678" t="s">
        <v>1980</v>
      </c>
      <c r="E1367" s="700" t="s">
        <v>1927</v>
      </c>
      <c r="F1367" s="795">
        <v>2312</v>
      </c>
      <c r="G1367" s="1703" t="s">
        <v>4021</v>
      </c>
      <c r="H1367" s="1672"/>
      <c r="I1367" s="1672">
        <v>400</v>
      </c>
      <c r="J1367" s="1739" t="s">
        <v>1134</v>
      </c>
      <c r="K1367" s="1688"/>
      <c r="L1367" s="1672"/>
      <c r="M1367" s="1672">
        <v>604</v>
      </c>
      <c r="N1367" s="11"/>
      <c r="O1367" s="187"/>
      <c r="P1367" s="187"/>
      <c r="Q1367" s="187"/>
      <c r="R1367" s="187"/>
      <c r="S1367" s="187"/>
      <c r="T1367" s="187"/>
      <c r="U1367" s="187"/>
      <c r="V1367" s="187"/>
      <c r="W1367" s="187"/>
      <c r="X1367" s="187"/>
      <c r="Y1367" s="187"/>
      <c r="Z1367" s="187"/>
      <c r="AA1367" s="187"/>
      <c r="AB1367" s="187"/>
      <c r="AC1367" s="187"/>
      <c r="AD1367" s="187"/>
      <c r="AE1367" s="187"/>
      <c r="AF1367" s="187"/>
    </row>
    <row r="1368" spans="1:32" ht="20.399999999999999">
      <c r="A1368" s="760"/>
      <c r="B1368" s="3130" t="s">
        <v>772</v>
      </c>
      <c r="C1368" s="663" t="s">
        <v>322</v>
      </c>
      <c r="D1368" s="678" t="s">
        <v>1980</v>
      </c>
      <c r="E1368" s="700" t="s">
        <v>1927</v>
      </c>
      <c r="F1368" s="795">
        <v>2312</v>
      </c>
      <c r="G1368" s="1703" t="s">
        <v>4022</v>
      </c>
      <c r="H1368" s="1672"/>
      <c r="I1368" s="1672"/>
      <c r="J1368" s="1739" t="s">
        <v>1134</v>
      </c>
      <c r="K1368" s="1688"/>
      <c r="L1368" s="1672"/>
      <c r="M1368" s="1672">
        <v>582</v>
      </c>
      <c r="N1368" s="305"/>
      <c r="O1368" s="187"/>
      <c r="P1368" s="187"/>
      <c r="Q1368" s="187"/>
      <c r="R1368" s="187"/>
      <c r="S1368" s="187"/>
      <c r="T1368" s="187"/>
      <c r="U1368" s="187"/>
      <c r="V1368" s="187"/>
      <c r="W1368" s="187"/>
      <c r="X1368" s="187"/>
      <c r="Y1368" s="187"/>
      <c r="Z1368" s="187"/>
      <c r="AA1368" s="187"/>
      <c r="AB1368" s="187"/>
      <c r="AC1368" s="187"/>
      <c r="AD1368" s="187"/>
      <c r="AE1368" s="187"/>
      <c r="AF1368" s="187"/>
    </row>
    <row r="1369" spans="1:32" ht="20.399999999999999">
      <c r="A1369" s="849"/>
      <c r="B1369" s="3129" t="s">
        <v>772</v>
      </c>
      <c r="C1369" s="683" t="s">
        <v>320</v>
      </c>
      <c r="D1369" s="719" t="s">
        <v>1980</v>
      </c>
      <c r="E1369" s="720" t="s">
        <v>1927</v>
      </c>
      <c r="F1369" s="824">
        <v>2314</v>
      </c>
      <c r="G1369" s="800" t="s">
        <v>1435</v>
      </c>
      <c r="H1369" s="706">
        <v>3200</v>
      </c>
      <c r="I1369" s="706"/>
      <c r="J1369" s="1654">
        <v>1075</v>
      </c>
      <c r="K1369" s="802"/>
      <c r="L1369" s="706">
        <v>3160</v>
      </c>
      <c r="M1369" s="706"/>
      <c r="N1369" s="305"/>
      <c r="O1369" s="187"/>
      <c r="P1369" s="187"/>
      <c r="Q1369" s="187"/>
      <c r="R1369" s="187"/>
      <c r="S1369" s="187"/>
      <c r="T1369" s="187"/>
      <c r="U1369" s="187"/>
      <c r="V1369" s="187"/>
      <c r="W1369" s="187"/>
      <c r="X1369" s="187"/>
      <c r="Y1369" s="187"/>
      <c r="Z1369" s="187"/>
      <c r="AA1369" s="187"/>
      <c r="AB1369" s="187"/>
      <c r="AC1369" s="187"/>
      <c r="AD1369" s="187"/>
      <c r="AE1369" s="187"/>
      <c r="AF1369" s="187"/>
    </row>
    <row r="1370" spans="1:32" ht="30.6">
      <c r="A1370" s="663"/>
      <c r="B1370" s="3130" t="s">
        <v>772</v>
      </c>
      <c r="C1370" s="663" t="s">
        <v>320</v>
      </c>
      <c r="D1370" s="678" t="s">
        <v>1980</v>
      </c>
      <c r="E1370" s="700" t="s">
        <v>1927</v>
      </c>
      <c r="F1370" s="795">
        <v>2314</v>
      </c>
      <c r="G1370" s="2012" t="s">
        <v>4023</v>
      </c>
      <c r="H1370" s="1672"/>
      <c r="I1370" s="1672">
        <v>350</v>
      </c>
      <c r="J1370" s="1739" t="s">
        <v>1134</v>
      </c>
      <c r="K1370" s="1688"/>
      <c r="L1370" s="1672"/>
      <c r="M1370" s="1672">
        <v>350</v>
      </c>
      <c r="N1370" s="305"/>
      <c r="O1370" s="187"/>
      <c r="P1370" s="187"/>
      <c r="Q1370" s="187"/>
      <c r="R1370" s="187"/>
      <c r="S1370" s="187"/>
      <c r="T1370" s="187"/>
      <c r="U1370" s="187"/>
      <c r="V1370" s="187"/>
      <c r="W1370" s="187"/>
      <c r="X1370" s="187"/>
      <c r="Y1370" s="187"/>
      <c r="Z1370" s="187"/>
      <c r="AA1370" s="187"/>
      <c r="AB1370" s="187"/>
      <c r="AC1370" s="187"/>
      <c r="AD1370" s="187"/>
      <c r="AE1370" s="187"/>
      <c r="AF1370" s="187"/>
    </row>
    <row r="1371" spans="1:32">
      <c r="A1371" s="663"/>
      <c r="B1371" s="3130" t="s">
        <v>772</v>
      </c>
      <c r="C1371" s="663" t="s">
        <v>320</v>
      </c>
      <c r="D1371" s="678" t="s">
        <v>1980</v>
      </c>
      <c r="E1371" s="700" t="s">
        <v>1927</v>
      </c>
      <c r="F1371" s="795">
        <v>2314</v>
      </c>
      <c r="G1371" s="2013" t="s">
        <v>2378</v>
      </c>
      <c r="H1371" s="1672"/>
      <c r="I1371" s="1672">
        <v>500</v>
      </c>
      <c r="J1371" s="1739" t="s">
        <v>1134</v>
      </c>
      <c r="K1371" s="1688"/>
      <c r="L1371" s="1672"/>
      <c r="M1371" s="1672">
        <v>500</v>
      </c>
      <c r="N1371" s="305"/>
      <c r="O1371" s="4"/>
      <c r="P1371" s="4"/>
      <c r="Q1371" s="4"/>
      <c r="R1371" s="4"/>
      <c r="S1371" s="4"/>
      <c r="T1371" s="4"/>
      <c r="U1371" s="4"/>
      <c r="V1371" s="4"/>
      <c r="W1371" s="4"/>
      <c r="X1371" s="4"/>
      <c r="Y1371" s="4"/>
      <c r="Z1371" s="4"/>
      <c r="AA1371" s="4"/>
      <c r="AB1371" s="4"/>
      <c r="AC1371" s="4"/>
      <c r="AD1371" s="4"/>
      <c r="AE1371" s="4"/>
      <c r="AF1371" s="4"/>
    </row>
    <row r="1372" spans="1:32" ht="30.6">
      <c r="A1372" s="663"/>
      <c r="B1372" s="3130" t="s">
        <v>772</v>
      </c>
      <c r="C1372" s="663" t="s">
        <v>320</v>
      </c>
      <c r="D1372" s="678" t="s">
        <v>1980</v>
      </c>
      <c r="E1372" s="700" t="s">
        <v>1927</v>
      </c>
      <c r="F1372" s="795">
        <v>2314</v>
      </c>
      <c r="G1372" s="1703" t="s">
        <v>4024</v>
      </c>
      <c r="H1372" s="1672"/>
      <c r="I1372" s="1672">
        <v>600</v>
      </c>
      <c r="J1372" s="1739" t="s">
        <v>1134</v>
      </c>
      <c r="K1372" s="1688"/>
      <c r="L1372" s="1672"/>
      <c r="M1372" s="1672">
        <v>600</v>
      </c>
      <c r="N1372" s="305"/>
      <c r="O1372" s="4"/>
      <c r="P1372" s="4"/>
      <c r="Q1372" s="4"/>
      <c r="R1372" s="4"/>
      <c r="S1372" s="4"/>
      <c r="T1372" s="4"/>
      <c r="U1372" s="4"/>
      <c r="V1372" s="4"/>
      <c r="W1372" s="4"/>
      <c r="X1372" s="4"/>
      <c r="Y1372" s="4"/>
      <c r="Z1372" s="4"/>
      <c r="AA1372" s="4"/>
      <c r="AB1372" s="4"/>
      <c r="AC1372" s="4"/>
      <c r="AD1372" s="4"/>
      <c r="AE1372" s="4"/>
      <c r="AF1372" s="4"/>
    </row>
    <row r="1373" spans="1:32" ht="20.399999999999999">
      <c r="A1373" s="663"/>
      <c r="B1373" s="3130" t="s">
        <v>772</v>
      </c>
      <c r="C1373" s="663" t="s">
        <v>320</v>
      </c>
      <c r="D1373" s="678" t="s">
        <v>1980</v>
      </c>
      <c r="E1373" s="700" t="s">
        <v>1927</v>
      </c>
      <c r="F1373" s="795">
        <v>2314</v>
      </c>
      <c r="G1373" s="1703" t="s">
        <v>4025</v>
      </c>
      <c r="H1373" s="1672"/>
      <c r="I1373" s="1672">
        <v>650</v>
      </c>
      <c r="J1373" s="1739" t="s">
        <v>1134</v>
      </c>
      <c r="K1373" s="1688"/>
      <c r="L1373" s="1672"/>
      <c r="M1373" s="1672">
        <v>600</v>
      </c>
      <c r="N1373" s="305"/>
      <c r="O1373" s="4"/>
      <c r="P1373" s="4"/>
      <c r="Q1373" s="4"/>
      <c r="R1373" s="4"/>
      <c r="S1373" s="4"/>
      <c r="T1373" s="4"/>
      <c r="U1373" s="4"/>
      <c r="V1373" s="4"/>
      <c r="W1373" s="4"/>
      <c r="X1373" s="4"/>
      <c r="Y1373" s="4"/>
      <c r="Z1373" s="4"/>
      <c r="AA1373" s="4"/>
      <c r="AB1373" s="4"/>
      <c r="AC1373" s="4"/>
      <c r="AD1373" s="4"/>
      <c r="AE1373" s="4"/>
      <c r="AF1373" s="4"/>
    </row>
    <row r="1374" spans="1:32" ht="20.399999999999999">
      <c r="A1374" s="663"/>
      <c r="B1374" s="3130" t="s">
        <v>772</v>
      </c>
      <c r="C1374" s="663" t="s">
        <v>320</v>
      </c>
      <c r="D1374" s="678" t="s">
        <v>1980</v>
      </c>
      <c r="E1374" s="700" t="s">
        <v>1927</v>
      </c>
      <c r="F1374" s="795">
        <v>2314</v>
      </c>
      <c r="G1374" s="2012" t="s">
        <v>4026</v>
      </c>
      <c r="H1374" s="1672"/>
      <c r="I1374" s="1672">
        <v>200</v>
      </c>
      <c r="J1374" s="1739" t="s">
        <v>1134</v>
      </c>
      <c r="K1374" s="1688"/>
      <c r="L1374" s="1672"/>
      <c r="M1374" s="1672">
        <v>210</v>
      </c>
      <c r="N1374" s="305"/>
      <c r="O1374" s="4"/>
      <c r="P1374" s="4"/>
      <c r="Q1374" s="4"/>
      <c r="R1374" s="4"/>
      <c r="S1374" s="4"/>
      <c r="T1374" s="4"/>
      <c r="U1374" s="4"/>
      <c r="V1374" s="4"/>
      <c r="W1374" s="4"/>
      <c r="X1374" s="4"/>
      <c r="Y1374" s="4"/>
      <c r="Z1374" s="4"/>
      <c r="AA1374" s="4"/>
      <c r="AB1374" s="4"/>
      <c r="AC1374" s="4"/>
      <c r="AD1374" s="4"/>
      <c r="AE1374" s="4"/>
      <c r="AF1374" s="4"/>
    </row>
    <row r="1375" spans="1:32" ht="20.399999999999999">
      <c r="A1375" s="663"/>
      <c r="B1375" s="3130" t="s">
        <v>772</v>
      </c>
      <c r="C1375" s="663" t="s">
        <v>320</v>
      </c>
      <c r="D1375" s="678" t="s">
        <v>1980</v>
      </c>
      <c r="E1375" s="700" t="s">
        <v>1927</v>
      </c>
      <c r="F1375" s="795">
        <v>2314</v>
      </c>
      <c r="G1375" s="2012" t="s">
        <v>224</v>
      </c>
      <c r="H1375" s="1672"/>
      <c r="I1375" s="1672">
        <v>300</v>
      </c>
      <c r="J1375" s="1739" t="s">
        <v>1134</v>
      </c>
      <c r="K1375" s="1688"/>
      <c r="L1375" s="1672"/>
      <c r="M1375" s="1672">
        <v>300</v>
      </c>
      <c r="N1375" s="305"/>
      <c r="O1375" s="4"/>
      <c r="P1375" s="4"/>
      <c r="Q1375" s="4"/>
      <c r="R1375" s="4"/>
      <c r="S1375" s="4"/>
      <c r="T1375" s="4"/>
      <c r="U1375" s="4"/>
      <c r="V1375" s="4"/>
      <c r="W1375" s="4"/>
      <c r="X1375" s="4"/>
      <c r="Y1375" s="4"/>
      <c r="Z1375" s="4"/>
      <c r="AA1375" s="4"/>
      <c r="AB1375" s="4"/>
      <c r="AC1375" s="4"/>
      <c r="AD1375" s="4"/>
      <c r="AE1375" s="4"/>
      <c r="AF1375" s="4"/>
    </row>
    <row r="1376" spans="1:32" ht="20.399999999999999">
      <c r="A1376" s="663"/>
      <c r="B1376" s="3130" t="s">
        <v>772</v>
      </c>
      <c r="C1376" s="663" t="s">
        <v>320</v>
      </c>
      <c r="D1376" s="678" t="s">
        <v>1980</v>
      </c>
      <c r="E1376" s="700" t="s">
        <v>1927</v>
      </c>
      <c r="F1376" s="795">
        <v>2314</v>
      </c>
      <c r="G1376" s="2012" t="s">
        <v>2379</v>
      </c>
      <c r="H1376" s="1672"/>
      <c r="I1376" s="1672">
        <v>600</v>
      </c>
      <c r="J1376" s="1739" t="s">
        <v>1134</v>
      </c>
      <c r="K1376" s="1688"/>
      <c r="L1376" s="1672"/>
      <c r="M1376" s="2717">
        <v>600</v>
      </c>
      <c r="N1376" s="305"/>
      <c r="O1376" s="4"/>
      <c r="P1376" s="4"/>
      <c r="Q1376" s="4"/>
      <c r="R1376" s="4"/>
      <c r="S1376" s="4"/>
      <c r="T1376" s="4"/>
      <c r="U1376" s="4"/>
      <c r="V1376" s="4"/>
      <c r="W1376" s="4"/>
      <c r="X1376" s="4"/>
      <c r="Y1376" s="4"/>
      <c r="Z1376" s="4"/>
      <c r="AA1376" s="4"/>
      <c r="AB1376" s="4"/>
      <c r="AC1376" s="4"/>
      <c r="AD1376" s="4"/>
      <c r="AE1376" s="4"/>
      <c r="AF1376" s="4"/>
    </row>
    <row r="1377" spans="1:32">
      <c r="A1377" s="683"/>
      <c r="B1377" s="3129" t="s">
        <v>772</v>
      </c>
      <c r="C1377" s="683" t="s">
        <v>320</v>
      </c>
      <c r="D1377" s="719" t="s">
        <v>1980</v>
      </c>
      <c r="E1377" s="720" t="s">
        <v>1927</v>
      </c>
      <c r="F1377" s="824">
        <v>2322</v>
      </c>
      <c r="G1377" s="800" t="s">
        <v>221</v>
      </c>
      <c r="H1377" s="706">
        <v>187</v>
      </c>
      <c r="I1377" s="706"/>
      <c r="J1377" s="1654">
        <v>0</v>
      </c>
      <c r="K1377" s="802"/>
      <c r="L1377" s="706">
        <v>176</v>
      </c>
      <c r="M1377" s="706"/>
      <c r="N1377" s="305"/>
      <c r="O1377" s="4"/>
      <c r="P1377" s="4"/>
      <c r="Q1377" s="4"/>
      <c r="R1377" s="4"/>
      <c r="S1377" s="4"/>
      <c r="T1377" s="4"/>
      <c r="U1377" s="4"/>
      <c r="V1377" s="4"/>
      <c r="W1377" s="4"/>
      <c r="X1377" s="4"/>
      <c r="Y1377" s="4"/>
      <c r="Z1377" s="4"/>
      <c r="AA1377" s="4"/>
      <c r="AB1377" s="4"/>
      <c r="AC1377" s="4"/>
      <c r="AD1377" s="4"/>
      <c r="AE1377" s="4"/>
      <c r="AF1377" s="4"/>
    </row>
    <row r="1378" spans="1:32" ht="20.399999999999999">
      <c r="A1378" s="872"/>
      <c r="B1378" s="3137" t="s">
        <v>772</v>
      </c>
      <c r="C1378" s="774" t="s">
        <v>320</v>
      </c>
      <c r="D1378" s="678" t="s">
        <v>1980</v>
      </c>
      <c r="E1378" s="700" t="s">
        <v>1927</v>
      </c>
      <c r="F1378" s="795">
        <v>2322</v>
      </c>
      <c r="G1378" s="745" t="s">
        <v>1707</v>
      </c>
      <c r="H1378" s="701"/>
      <c r="I1378" s="701">
        <v>187</v>
      </c>
      <c r="J1378" s="1654" t="s">
        <v>1134</v>
      </c>
      <c r="K1378" s="792"/>
      <c r="L1378" s="701"/>
      <c r="M1378" s="701">
        <v>176</v>
      </c>
      <c r="N1378" s="305"/>
      <c r="O1378" s="4"/>
      <c r="P1378" s="4"/>
      <c r="Q1378" s="4"/>
      <c r="R1378" s="4"/>
      <c r="S1378" s="4"/>
      <c r="T1378" s="4"/>
      <c r="U1378" s="4"/>
      <c r="V1378" s="4"/>
      <c r="W1378" s="4"/>
      <c r="X1378" s="4"/>
      <c r="Y1378" s="4"/>
      <c r="Z1378" s="4"/>
      <c r="AA1378" s="4"/>
      <c r="AB1378" s="4"/>
      <c r="AC1378" s="4"/>
      <c r="AD1378" s="4"/>
      <c r="AE1378" s="4"/>
      <c r="AF1378" s="4"/>
    </row>
    <row r="1379" spans="1:32">
      <c r="A1379" s="683"/>
      <c r="B1379" s="3129" t="s">
        <v>772</v>
      </c>
      <c r="C1379" s="683" t="s">
        <v>322</v>
      </c>
      <c r="D1379" s="719" t="s">
        <v>1980</v>
      </c>
      <c r="E1379" s="720" t="s">
        <v>1927</v>
      </c>
      <c r="F1379" s="824">
        <v>2341</v>
      </c>
      <c r="G1379" s="800" t="s">
        <v>208</v>
      </c>
      <c r="H1379" s="706">
        <v>150</v>
      </c>
      <c r="I1379" s="706"/>
      <c r="J1379" s="1654">
        <v>137</v>
      </c>
      <c r="K1379" s="802"/>
      <c r="L1379" s="706">
        <v>150</v>
      </c>
      <c r="M1379" s="706"/>
      <c r="N1379" s="305"/>
      <c r="O1379" s="4"/>
      <c r="P1379" s="4"/>
      <c r="Q1379" s="4"/>
      <c r="R1379" s="4"/>
      <c r="S1379" s="4"/>
      <c r="T1379" s="4"/>
      <c r="U1379" s="4"/>
      <c r="V1379" s="4"/>
      <c r="W1379" s="4"/>
      <c r="X1379" s="4"/>
      <c r="Y1379" s="4"/>
      <c r="Z1379" s="4"/>
      <c r="AA1379" s="4"/>
      <c r="AB1379" s="4"/>
      <c r="AC1379" s="4"/>
      <c r="AD1379" s="4"/>
      <c r="AE1379" s="4"/>
      <c r="AF1379" s="4"/>
    </row>
    <row r="1380" spans="1:32">
      <c r="A1380" s="663"/>
      <c r="B1380" s="3130" t="s">
        <v>772</v>
      </c>
      <c r="C1380" s="663" t="s">
        <v>322</v>
      </c>
      <c r="D1380" s="678" t="s">
        <v>1980</v>
      </c>
      <c r="E1380" s="700" t="s">
        <v>1927</v>
      </c>
      <c r="F1380" s="795">
        <v>2341</v>
      </c>
      <c r="G1380" s="1008" t="s">
        <v>222</v>
      </c>
      <c r="H1380" s="701"/>
      <c r="I1380" s="701">
        <v>150</v>
      </c>
      <c r="J1380" s="1654" t="s">
        <v>1134</v>
      </c>
      <c r="K1380" s="792"/>
      <c r="L1380" s="701"/>
      <c r="M1380" s="701">
        <v>150</v>
      </c>
      <c r="N1380" s="305"/>
      <c r="O1380" s="187"/>
      <c r="P1380" s="187"/>
      <c r="Q1380" s="187"/>
      <c r="R1380" s="187"/>
      <c r="S1380" s="187"/>
      <c r="T1380" s="187"/>
      <c r="U1380" s="187"/>
      <c r="V1380" s="187"/>
      <c r="W1380" s="187"/>
      <c r="X1380" s="187"/>
      <c r="Y1380" s="187"/>
      <c r="Z1380" s="187"/>
      <c r="AA1380" s="187"/>
      <c r="AB1380" s="187"/>
      <c r="AC1380" s="187"/>
      <c r="AD1380" s="187"/>
      <c r="AE1380" s="187"/>
      <c r="AF1380" s="187"/>
    </row>
    <row r="1381" spans="1:32">
      <c r="A1381" s="683"/>
      <c r="B1381" s="3129" t="s">
        <v>772</v>
      </c>
      <c r="C1381" s="683" t="s">
        <v>320</v>
      </c>
      <c r="D1381" s="719" t="s">
        <v>1980</v>
      </c>
      <c r="E1381" s="720" t="s">
        <v>1927</v>
      </c>
      <c r="F1381" s="824">
        <v>2350</v>
      </c>
      <c r="G1381" s="800" t="s">
        <v>1044</v>
      </c>
      <c r="H1381" s="706">
        <v>4375</v>
      </c>
      <c r="I1381" s="706"/>
      <c r="J1381" s="1654">
        <v>2850</v>
      </c>
      <c r="K1381" s="802"/>
      <c r="L1381" s="706">
        <v>3350</v>
      </c>
      <c r="M1381" s="706"/>
      <c r="N1381" s="305"/>
      <c r="O1381" s="4"/>
      <c r="P1381" s="4"/>
      <c r="Q1381" s="4"/>
      <c r="R1381" s="4"/>
      <c r="S1381" s="4"/>
      <c r="T1381" s="4"/>
      <c r="U1381" s="4"/>
      <c r="V1381" s="4"/>
      <c r="W1381" s="4"/>
      <c r="X1381" s="4"/>
      <c r="Y1381" s="4"/>
      <c r="Z1381" s="4"/>
      <c r="AA1381" s="4"/>
      <c r="AB1381" s="4"/>
      <c r="AC1381" s="4"/>
      <c r="AD1381" s="4"/>
      <c r="AE1381" s="4"/>
      <c r="AF1381" s="4"/>
    </row>
    <row r="1382" spans="1:32" s="76" customFormat="1" ht="12">
      <c r="A1382" s="663"/>
      <c r="B1382" s="3130" t="s">
        <v>772</v>
      </c>
      <c r="C1382" s="663" t="s">
        <v>320</v>
      </c>
      <c r="D1382" s="678" t="s">
        <v>1980</v>
      </c>
      <c r="E1382" s="700" t="s">
        <v>1927</v>
      </c>
      <c r="F1382" s="795">
        <v>2350</v>
      </c>
      <c r="G1382" s="2012" t="s">
        <v>1432</v>
      </c>
      <c r="H1382" s="1672"/>
      <c r="I1382" s="1672">
        <v>500</v>
      </c>
      <c r="J1382" s="1739" t="s">
        <v>1134</v>
      </c>
      <c r="K1382" s="1688"/>
      <c r="L1382" s="1672"/>
      <c r="M1382" s="1672">
        <v>500</v>
      </c>
      <c r="N1382" s="305"/>
    </row>
    <row r="1383" spans="1:32" s="76" customFormat="1" ht="30.6">
      <c r="A1383" s="663"/>
      <c r="B1383" s="3130" t="s">
        <v>772</v>
      </c>
      <c r="C1383" s="663" t="s">
        <v>320</v>
      </c>
      <c r="D1383" s="678" t="s">
        <v>1980</v>
      </c>
      <c r="E1383" s="700" t="s">
        <v>1927</v>
      </c>
      <c r="F1383" s="795">
        <v>2350</v>
      </c>
      <c r="G1383" s="2012" t="s">
        <v>2380</v>
      </c>
      <c r="H1383" s="1672"/>
      <c r="I1383" s="1672">
        <v>350</v>
      </c>
      <c r="J1383" s="1739" t="s">
        <v>1134</v>
      </c>
      <c r="K1383" s="1688"/>
      <c r="L1383" s="1672"/>
      <c r="M1383" s="1672">
        <v>350</v>
      </c>
      <c r="N1383" s="305"/>
    </row>
    <row r="1384" spans="1:32">
      <c r="A1384" s="663"/>
      <c r="B1384" s="3130" t="s">
        <v>772</v>
      </c>
      <c r="C1384" s="663" t="s">
        <v>320</v>
      </c>
      <c r="D1384" s="678" t="s">
        <v>1980</v>
      </c>
      <c r="E1384" s="700" t="s">
        <v>1927</v>
      </c>
      <c r="F1384" s="795">
        <v>2350</v>
      </c>
      <c r="G1384" s="2012" t="s">
        <v>4027</v>
      </c>
      <c r="H1384" s="1672"/>
      <c r="I1384" s="1672">
        <v>200</v>
      </c>
      <c r="J1384" s="1739" t="s">
        <v>1134</v>
      </c>
      <c r="K1384" s="1688"/>
      <c r="L1384" s="1672"/>
      <c r="M1384" s="1672">
        <v>200</v>
      </c>
      <c r="N1384" s="305"/>
      <c r="O1384" s="4"/>
      <c r="P1384" s="4"/>
      <c r="Q1384" s="4"/>
      <c r="R1384" s="4"/>
      <c r="S1384" s="4"/>
      <c r="T1384" s="4"/>
      <c r="U1384" s="4"/>
      <c r="V1384" s="4"/>
      <c r="W1384" s="4"/>
      <c r="X1384" s="4"/>
      <c r="Y1384" s="4"/>
      <c r="Z1384" s="4"/>
      <c r="AA1384" s="4"/>
      <c r="AB1384" s="4"/>
      <c r="AC1384" s="4"/>
      <c r="AD1384" s="4"/>
      <c r="AE1384" s="4"/>
      <c r="AF1384" s="4"/>
    </row>
    <row r="1385" spans="1:32" ht="30.6">
      <c r="A1385" s="663"/>
      <c r="B1385" s="3130" t="s">
        <v>772</v>
      </c>
      <c r="C1385" s="663" t="s">
        <v>320</v>
      </c>
      <c r="D1385" s="678" t="s">
        <v>1980</v>
      </c>
      <c r="E1385" s="700" t="s">
        <v>1927</v>
      </c>
      <c r="F1385" s="795">
        <v>2350</v>
      </c>
      <c r="G1385" s="2012" t="s">
        <v>2381</v>
      </c>
      <c r="H1385" s="1672"/>
      <c r="I1385" s="1672">
        <v>900</v>
      </c>
      <c r="J1385" s="1739" t="s">
        <v>1134</v>
      </c>
      <c r="K1385" s="1688"/>
      <c r="L1385" s="1672"/>
      <c r="M1385" s="1672"/>
      <c r="N1385" s="305"/>
      <c r="O1385" s="4"/>
      <c r="P1385" s="4"/>
      <c r="Q1385" s="4"/>
      <c r="R1385" s="4"/>
      <c r="S1385" s="4"/>
      <c r="T1385" s="4"/>
      <c r="U1385" s="4"/>
      <c r="V1385" s="4"/>
      <c r="W1385" s="4"/>
      <c r="X1385" s="4"/>
      <c r="Y1385" s="4"/>
      <c r="Z1385" s="4"/>
      <c r="AA1385" s="4"/>
      <c r="AB1385" s="4"/>
      <c r="AC1385" s="4"/>
      <c r="AD1385" s="4"/>
      <c r="AE1385" s="4"/>
      <c r="AF1385" s="4"/>
    </row>
    <row r="1386" spans="1:32">
      <c r="A1386" s="663"/>
      <c r="B1386" s="3130" t="s">
        <v>772</v>
      </c>
      <c r="C1386" s="663" t="s">
        <v>320</v>
      </c>
      <c r="D1386" s="678" t="s">
        <v>1980</v>
      </c>
      <c r="E1386" s="700" t="s">
        <v>1927</v>
      </c>
      <c r="F1386" s="795">
        <v>2350</v>
      </c>
      <c r="G1386" s="2012" t="s">
        <v>2382</v>
      </c>
      <c r="H1386" s="1672"/>
      <c r="I1386" s="1672">
        <v>500</v>
      </c>
      <c r="J1386" s="1739" t="s">
        <v>1134</v>
      </c>
      <c r="K1386" s="1688"/>
      <c r="L1386" s="1672"/>
      <c r="M1386" s="1672">
        <v>500</v>
      </c>
      <c r="N1386" s="305"/>
      <c r="O1386" s="187"/>
      <c r="P1386" s="187"/>
      <c r="Q1386" s="187"/>
      <c r="R1386" s="187"/>
      <c r="S1386" s="187"/>
      <c r="T1386" s="187"/>
      <c r="U1386" s="187"/>
      <c r="V1386" s="187"/>
      <c r="W1386" s="187"/>
      <c r="X1386" s="187"/>
      <c r="Y1386" s="187"/>
      <c r="Z1386" s="187"/>
      <c r="AA1386" s="187"/>
      <c r="AB1386" s="187"/>
      <c r="AC1386" s="187"/>
      <c r="AD1386" s="187"/>
      <c r="AE1386" s="187"/>
      <c r="AF1386" s="187"/>
    </row>
    <row r="1387" spans="1:32">
      <c r="A1387" s="2168"/>
      <c r="B1387" s="3130" t="s">
        <v>772</v>
      </c>
      <c r="C1387" s="663" t="s">
        <v>320</v>
      </c>
      <c r="D1387" s="678" t="s">
        <v>1980</v>
      </c>
      <c r="E1387" s="700" t="s">
        <v>1927</v>
      </c>
      <c r="F1387" s="795">
        <v>2350</v>
      </c>
      <c r="G1387" s="2326" t="s">
        <v>2383</v>
      </c>
      <c r="H1387" s="2188"/>
      <c r="I1387" s="2188">
        <v>700</v>
      </c>
      <c r="J1387" s="2191"/>
      <c r="K1387" s="2205"/>
      <c r="L1387" s="2188"/>
      <c r="M1387" s="2188"/>
      <c r="N1387" s="305"/>
      <c r="O1387" s="187"/>
      <c r="P1387" s="187"/>
      <c r="Q1387" s="187"/>
      <c r="R1387" s="187"/>
      <c r="S1387" s="187"/>
      <c r="T1387" s="187"/>
      <c r="U1387" s="187"/>
      <c r="V1387" s="187"/>
      <c r="W1387" s="187"/>
      <c r="X1387" s="187"/>
      <c r="Y1387" s="187"/>
      <c r="Z1387" s="187"/>
      <c r="AA1387" s="187"/>
      <c r="AB1387" s="187"/>
      <c r="AC1387" s="187"/>
      <c r="AD1387" s="187"/>
      <c r="AE1387" s="187"/>
      <c r="AF1387" s="187"/>
    </row>
    <row r="1388" spans="1:32">
      <c r="A1388" s="663"/>
      <c r="B1388" s="3130" t="s">
        <v>772</v>
      </c>
      <c r="C1388" s="663" t="s">
        <v>320</v>
      </c>
      <c r="D1388" s="678" t="s">
        <v>1980</v>
      </c>
      <c r="E1388" s="700" t="s">
        <v>1927</v>
      </c>
      <c r="F1388" s="795">
        <v>2350</v>
      </c>
      <c r="G1388" s="2012" t="s">
        <v>4028</v>
      </c>
      <c r="H1388" s="1672"/>
      <c r="I1388" s="1672"/>
      <c r="J1388" s="1739" t="s">
        <v>1134</v>
      </c>
      <c r="K1388" s="1688"/>
      <c r="L1388" s="1672"/>
      <c r="M1388" s="1672">
        <v>300</v>
      </c>
      <c r="N1388" s="2709" t="s">
        <v>4888</v>
      </c>
      <c r="O1388" s="187"/>
      <c r="P1388" s="187"/>
      <c r="Q1388" s="187"/>
      <c r="R1388" s="187"/>
      <c r="S1388" s="187"/>
      <c r="T1388" s="187"/>
      <c r="U1388" s="187"/>
      <c r="V1388" s="187"/>
      <c r="W1388" s="187"/>
      <c r="X1388" s="187"/>
      <c r="Y1388" s="187"/>
      <c r="Z1388" s="187"/>
      <c r="AA1388" s="187"/>
      <c r="AB1388" s="187"/>
      <c r="AC1388" s="187"/>
      <c r="AD1388" s="187"/>
      <c r="AE1388" s="187"/>
      <c r="AF1388" s="187"/>
    </row>
    <row r="1389" spans="1:32" ht="20.399999999999999">
      <c r="A1389" s="663"/>
      <c r="B1389" s="3130" t="s">
        <v>772</v>
      </c>
      <c r="C1389" s="663" t="s">
        <v>320</v>
      </c>
      <c r="D1389" s="678" t="s">
        <v>1980</v>
      </c>
      <c r="E1389" s="700" t="s">
        <v>1927</v>
      </c>
      <c r="F1389" s="795">
        <v>2350</v>
      </c>
      <c r="G1389" s="2012" t="s">
        <v>1430</v>
      </c>
      <c r="H1389" s="1672"/>
      <c r="I1389" s="1672">
        <v>1000</v>
      </c>
      <c r="J1389" s="1739" t="s">
        <v>1134</v>
      </c>
      <c r="K1389" s="1688"/>
      <c r="L1389" s="1672"/>
      <c r="M1389" s="1672">
        <v>1000</v>
      </c>
      <c r="N1389" s="1223"/>
      <c r="O1389" s="187"/>
      <c r="P1389" s="187"/>
      <c r="Q1389" s="187"/>
      <c r="R1389" s="187"/>
      <c r="S1389" s="187"/>
      <c r="T1389" s="187"/>
      <c r="U1389" s="187"/>
      <c r="V1389" s="187"/>
      <c r="W1389" s="187"/>
      <c r="X1389" s="187"/>
      <c r="Y1389" s="187"/>
      <c r="Z1389" s="187"/>
      <c r="AA1389" s="187"/>
      <c r="AB1389" s="187"/>
      <c r="AC1389" s="187"/>
      <c r="AD1389" s="187"/>
      <c r="AE1389" s="187"/>
      <c r="AF1389" s="187"/>
    </row>
    <row r="1390" spans="1:32">
      <c r="A1390" s="663"/>
      <c r="B1390" s="3130" t="s">
        <v>772</v>
      </c>
      <c r="C1390" s="663" t="s">
        <v>320</v>
      </c>
      <c r="D1390" s="678" t="s">
        <v>1980</v>
      </c>
      <c r="E1390" s="700" t="s">
        <v>1927</v>
      </c>
      <c r="F1390" s="795">
        <v>2350</v>
      </c>
      <c r="G1390" s="1703" t="s">
        <v>2384</v>
      </c>
      <c r="H1390" s="1672"/>
      <c r="I1390" s="1672">
        <v>300</v>
      </c>
      <c r="J1390" s="1739" t="s">
        <v>1134</v>
      </c>
      <c r="K1390" s="1688"/>
      <c r="L1390" s="1672"/>
      <c r="M1390" s="1672">
        <v>300</v>
      </c>
      <c r="N1390" s="1223"/>
      <c r="O1390" s="187"/>
      <c r="P1390" s="187"/>
      <c r="Q1390" s="187"/>
      <c r="R1390" s="187"/>
      <c r="S1390" s="187"/>
      <c r="T1390" s="187"/>
      <c r="U1390" s="187"/>
      <c r="V1390" s="187"/>
      <c r="W1390" s="187"/>
      <c r="X1390" s="187"/>
      <c r="Y1390" s="187"/>
      <c r="Z1390" s="187"/>
      <c r="AA1390" s="187"/>
      <c r="AB1390" s="187"/>
      <c r="AC1390" s="187"/>
      <c r="AD1390" s="187"/>
      <c r="AE1390" s="187"/>
      <c r="AF1390" s="187"/>
    </row>
    <row r="1391" spans="1:32" s="76" customFormat="1" ht="20.399999999999999">
      <c r="A1391" s="1669"/>
      <c r="B1391" s="3130" t="s">
        <v>772</v>
      </c>
      <c r="C1391" s="663" t="s">
        <v>320</v>
      </c>
      <c r="D1391" s="678" t="s">
        <v>1980</v>
      </c>
      <c r="E1391" s="700" t="s">
        <v>1927</v>
      </c>
      <c r="F1391" s="795">
        <v>2350</v>
      </c>
      <c r="G1391" s="1703" t="s">
        <v>4029</v>
      </c>
      <c r="H1391" s="1672"/>
      <c r="I1391" s="1672"/>
      <c r="J1391" s="1739"/>
      <c r="K1391" s="1688"/>
      <c r="L1391" s="1672"/>
      <c r="M1391" s="1672">
        <v>200</v>
      </c>
      <c r="N1391" s="1223"/>
    </row>
    <row r="1392" spans="1:32" ht="20.399999999999999">
      <c r="A1392" s="663"/>
      <c r="B1392" s="3130" t="s">
        <v>772</v>
      </c>
      <c r="C1392" s="663" t="s">
        <v>320</v>
      </c>
      <c r="D1392" s="678" t="s">
        <v>1980</v>
      </c>
      <c r="E1392" s="700" t="s">
        <v>1927</v>
      </c>
      <c r="F1392" s="795">
        <v>2350</v>
      </c>
      <c r="G1392" s="745" t="s">
        <v>3415</v>
      </c>
      <c r="H1392" s="701"/>
      <c r="I1392" s="701">
        <v>-75</v>
      </c>
      <c r="J1392" s="1654" t="s">
        <v>1134</v>
      </c>
      <c r="K1392" s="792"/>
      <c r="L1392" s="701"/>
      <c r="M1392" s="701"/>
      <c r="N1392" s="1223"/>
      <c r="O1392" s="187"/>
      <c r="P1392" s="187"/>
      <c r="Q1392" s="187"/>
      <c r="R1392" s="187"/>
      <c r="S1392" s="187"/>
      <c r="T1392" s="187"/>
      <c r="U1392" s="187"/>
      <c r="V1392" s="187"/>
      <c r="W1392" s="187"/>
      <c r="X1392" s="187"/>
      <c r="Y1392" s="187"/>
      <c r="Z1392" s="187"/>
      <c r="AA1392" s="187"/>
      <c r="AB1392" s="187"/>
      <c r="AC1392" s="187"/>
      <c r="AD1392" s="187"/>
      <c r="AE1392" s="187"/>
      <c r="AF1392" s="187"/>
    </row>
    <row r="1393" spans="1:32">
      <c r="A1393" s="683"/>
      <c r="B1393" s="3129" t="s">
        <v>772</v>
      </c>
      <c r="C1393" s="683" t="s">
        <v>322</v>
      </c>
      <c r="D1393" s="719" t="s">
        <v>1980</v>
      </c>
      <c r="E1393" s="720" t="s">
        <v>1927</v>
      </c>
      <c r="F1393" s="824">
        <v>2361</v>
      </c>
      <c r="G1393" s="800" t="s">
        <v>1434</v>
      </c>
      <c r="H1393" s="706">
        <v>457</v>
      </c>
      <c r="I1393" s="706"/>
      <c r="J1393" s="1654">
        <v>430.16</v>
      </c>
      <c r="K1393" s="802"/>
      <c r="L1393" s="706">
        <v>972</v>
      </c>
      <c r="M1393" s="706"/>
      <c r="N1393" s="125"/>
      <c r="O1393" s="187"/>
      <c r="P1393" s="187"/>
      <c r="Q1393" s="187"/>
      <c r="R1393" s="187"/>
      <c r="S1393" s="187"/>
      <c r="T1393" s="187"/>
      <c r="U1393" s="187"/>
      <c r="V1393" s="187"/>
      <c r="W1393" s="187"/>
      <c r="X1393" s="187"/>
      <c r="Y1393" s="187"/>
      <c r="Z1393" s="187"/>
      <c r="AA1393" s="187"/>
      <c r="AB1393" s="187"/>
      <c r="AC1393" s="187"/>
      <c r="AD1393" s="187"/>
      <c r="AE1393" s="187"/>
      <c r="AF1393" s="187"/>
    </row>
    <row r="1394" spans="1:32" ht="30.6">
      <c r="A1394" s="663"/>
      <c r="B1394" s="3130" t="s">
        <v>772</v>
      </c>
      <c r="C1394" s="663" t="s">
        <v>322</v>
      </c>
      <c r="D1394" s="678" t="s">
        <v>1980</v>
      </c>
      <c r="E1394" s="700" t="s">
        <v>1927</v>
      </c>
      <c r="F1394" s="795">
        <v>2361</v>
      </c>
      <c r="G1394" s="750" t="s">
        <v>4030</v>
      </c>
      <c r="H1394" s="701"/>
      <c r="I1394" s="701"/>
      <c r="J1394" s="1654"/>
      <c r="K1394" s="792"/>
      <c r="L1394" s="701"/>
      <c r="M1394" s="701">
        <v>116</v>
      </c>
      <c r="N1394" s="177"/>
      <c r="O1394" s="187"/>
      <c r="P1394" s="187"/>
      <c r="Q1394" s="187"/>
      <c r="R1394" s="187"/>
      <c r="S1394" s="187"/>
      <c r="T1394" s="187"/>
      <c r="U1394" s="187"/>
      <c r="V1394" s="187"/>
      <c r="W1394" s="187"/>
      <c r="X1394" s="187"/>
      <c r="Y1394" s="187"/>
      <c r="Z1394" s="187"/>
      <c r="AA1394" s="187"/>
      <c r="AB1394" s="187"/>
      <c r="AC1394" s="187"/>
      <c r="AD1394" s="187"/>
      <c r="AE1394" s="187"/>
      <c r="AF1394" s="187"/>
    </row>
    <row r="1395" spans="1:32" ht="30.6">
      <c r="A1395" s="663"/>
      <c r="B1395" s="3130" t="s">
        <v>772</v>
      </c>
      <c r="C1395" s="663" t="s">
        <v>322</v>
      </c>
      <c r="D1395" s="678" t="s">
        <v>1980</v>
      </c>
      <c r="E1395" s="700" t="s">
        <v>1927</v>
      </c>
      <c r="F1395" s="795">
        <v>2361</v>
      </c>
      <c r="G1395" s="750" t="s">
        <v>4031</v>
      </c>
      <c r="H1395" s="701"/>
      <c r="I1395" s="701">
        <v>457</v>
      </c>
      <c r="J1395" s="1654" t="s">
        <v>1134</v>
      </c>
      <c r="K1395" s="792"/>
      <c r="L1395" s="701"/>
      <c r="M1395" s="701">
        <v>856</v>
      </c>
      <c r="N1395" s="177"/>
      <c r="O1395" s="187"/>
      <c r="P1395" s="187"/>
      <c r="Q1395" s="187"/>
      <c r="R1395" s="187"/>
      <c r="S1395" s="187"/>
      <c r="T1395" s="187"/>
      <c r="U1395" s="187"/>
      <c r="V1395" s="187"/>
      <c r="W1395" s="187"/>
      <c r="X1395" s="187"/>
      <c r="Y1395" s="187"/>
      <c r="Z1395" s="187"/>
      <c r="AA1395" s="187"/>
      <c r="AB1395" s="187"/>
      <c r="AC1395" s="187"/>
      <c r="AD1395" s="187"/>
      <c r="AE1395" s="187"/>
      <c r="AF1395" s="187"/>
    </row>
    <row r="1396" spans="1:32">
      <c r="A1396" s="683"/>
      <c r="B1396" s="3129" t="s">
        <v>772</v>
      </c>
      <c r="C1396" s="683" t="s">
        <v>322</v>
      </c>
      <c r="D1396" s="719" t="s">
        <v>1980</v>
      </c>
      <c r="E1396" s="720" t="s">
        <v>1927</v>
      </c>
      <c r="F1396" s="824">
        <v>2370</v>
      </c>
      <c r="G1396" s="800" t="s">
        <v>223</v>
      </c>
      <c r="H1396" s="706">
        <v>9450</v>
      </c>
      <c r="I1396" s="706"/>
      <c r="J1396" s="1654">
        <v>7211</v>
      </c>
      <c r="K1396" s="802"/>
      <c r="L1396" s="706">
        <v>8900</v>
      </c>
      <c r="M1396" s="706"/>
      <c r="N1396" s="177"/>
      <c r="O1396" s="187"/>
      <c r="P1396" s="187"/>
      <c r="Q1396" s="187"/>
      <c r="R1396" s="187"/>
      <c r="S1396" s="187"/>
      <c r="T1396" s="187"/>
      <c r="U1396" s="187"/>
      <c r="V1396" s="187"/>
      <c r="W1396" s="187"/>
      <c r="X1396" s="187"/>
      <c r="Y1396" s="187"/>
      <c r="Z1396" s="187"/>
      <c r="AA1396" s="187"/>
      <c r="AB1396" s="187"/>
      <c r="AC1396" s="187"/>
      <c r="AD1396" s="187"/>
      <c r="AE1396" s="187"/>
      <c r="AF1396" s="187"/>
    </row>
    <row r="1397" spans="1:32" ht="20.399999999999999">
      <c r="A1397" s="663"/>
      <c r="B1397" s="3130" t="s">
        <v>772</v>
      </c>
      <c r="C1397" s="663" t="s">
        <v>322</v>
      </c>
      <c r="D1397" s="678" t="s">
        <v>1980</v>
      </c>
      <c r="E1397" s="700" t="s">
        <v>1927</v>
      </c>
      <c r="F1397" s="795">
        <v>2370</v>
      </c>
      <c r="G1397" s="1703" t="s">
        <v>2759</v>
      </c>
      <c r="H1397" s="1672"/>
      <c r="I1397" s="1672">
        <v>5400</v>
      </c>
      <c r="J1397" s="1739" t="s">
        <v>1134</v>
      </c>
      <c r="K1397" s="1688"/>
      <c r="L1397" s="1672"/>
      <c r="M1397" s="1672">
        <v>5400</v>
      </c>
      <c r="N1397" s="177"/>
      <c r="O1397" s="187"/>
      <c r="P1397" s="187"/>
      <c r="Q1397" s="187"/>
      <c r="R1397" s="187"/>
      <c r="S1397" s="187"/>
      <c r="T1397" s="187"/>
      <c r="U1397" s="187"/>
      <c r="V1397" s="187"/>
      <c r="W1397" s="187"/>
      <c r="X1397" s="187"/>
      <c r="Y1397" s="187"/>
      <c r="Z1397" s="187"/>
      <c r="AA1397" s="187"/>
      <c r="AB1397" s="187"/>
      <c r="AC1397" s="187"/>
      <c r="AD1397" s="187"/>
      <c r="AE1397" s="187"/>
      <c r="AF1397" s="187"/>
    </row>
    <row r="1398" spans="1:32" ht="30.6">
      <c r="A1398" s="663"/>
      <c r="B1398" s="3130" t="s">
        <v>772</v>
      </c>
      <c r="C1398" s="663" t="s">
        <v>322</v>
      </c>
      <c r="D1398" s="678" t="s">
        <v>1980</v>
      </c>
      <c r="E1398" s="700" t="s">
        <v>1927</v>
      </c>
      <c r="F1398" s="795">
        <v>2370</v>
      </c>
      <c r="G1398" s="1703" t="s">
        <v>4032</v>
      </c>
      <c r="H1398" s="1672"/>
      <c r="I1398" s="1672">
        <v>3750</v>
      </c>
      <c r="J1398" s="1739" t="s">
        <v>1134</v>
      </c>
      <c r="K1398" s="1688"/>
      <c r="L1398" s="1672"/>
      <c r="M1398" s="1672">
        <v>3100</v>
      </c>
      <c r="N1398" s="7"/>
      <c r="O1398" s="187"/>
      <c r="P1398" s="187"/>
      <c r="Q1398" s="187"/>
      <c r="R1398" s="187"/>
      <c r="S1398" s="187"/>
      <c r="T1398" s="187"/>
      <c r="U1398" s="187"/>
      <c r="V1398" s="187"/>
      <c r="W1398" s="187"/>
      <c r="X1398" s="187"/>
      <c r="Y1398" s="187"/>
      <c r="Z1398" s="187"/>
      <c r="AA1398" s="187"/>
      <c r="AB1398" s="187"/>
      <c r="AC1398" s="187"/>
      <c r="AD1398" s="187"/>
      <c r="AE1398" s="187"/>
      <c r="AF1398" s="187"/>
    </row>
    <row r="1399" spans="1:32" ht="20.399999999999999">
      <c r="A1399" s="663"/>
      <c r="B1399" s="3130" t="s">
        <v>772</v>
      </c>
      <c r="C1399" s="663" t="s">
        <v>322</v>
      </c>
      <c r="D1399" s="678" t="s">
        <v>1980</v>
      </c>
      <c r="E1399" s="700" t="s">
        <v>1927</v>
      </c>
      <c r="F1399" s="795">
        <v>2370</v>
      </c>
      <c r="G1399" s="1703" t="s">
        <v>2760</v>
      </c>
      <c r="H1399" s="1672"/>
      <c r="I1399" s="1672">
        <v>300</v>
      </c>
      <c r="J1399" s="1739" t="s">
        <v>1134</v>
      </c>
      <c r="K1399" s="1688"/>
      <c r="L1399" s="1672"/>
      <c r="M1399" s="1672">
        <v>400</v>
      </c>
      <c r="N1399" s="7"/>
      <c r="O1399" s="187"/>
      <c r="P1399" s="187"/>
      <c r="Q1399" s="187"/>
      <c r="R1399" s="187"/>
      <c r="S1399" s="187"/>
      <c r="T1399" s="187"/>
      <c r="U1399" s="187"/>
      <c r="V1399" s="187"/>
      <c r="W1399" s="187"/>
      <c r="X1399" s="187"/>
      <c r="Y1399" s="187"/>
      <c r="Z1399" s="187"/>
      <c r="AA1399" s="187"/>
      <c r="AB1399" s="187"/>
      <c r="AC1399" s="187"/>
      <c r="AD1399" s="187"/>
      <c r="AE1399" s="187"/>
      <c r="AF1399" s="187"/>
    </row>
    <row r="1400" spans="1:32">
      <c r="A1400" s="683"/>
      <c r="B1400" s="3129" t="s">
        <v>326</v>
      </c>
      <c r="C1400" s="683" t="s">
        <v>321</v>
      </c>
      <c r="D1400" s="719" t="s">
        <v>1980</v>
      </c>
      <c r="E1400" s="720" t="s">
        <v>1928</v>
      </c>
      <c r="F1400" s="685">
        <v>2370</v>
      </c>
      <c r="G1400" s="686" t="s">
        <v>223</v>
      </c>
      <c r="H1400" s="1303">
        <v>2646</v>
      </c>
      <c r="I1400" s="689"/>
      <c r="J1400" s="1494">
        <v>0</v>
      </c>
      <c r="K1400" s="667"/>
      <c r="L1400" s="1303">
        <v>74</v>
      </c>
      <c r="M1400" s="689"/>
      <c r="N1400" s="7"/>
      <c r="O1400" s="187"/>
      <c r="P1400" s="187"/>
      <c r="Q1400" s="187"/>
      <c r="R1400" s="187"/>
      <c r="S1400" s="187"/>
      <c r="T1400" s="187"/>
      <c r="U1400" s="187"/>
      <c r="V1400" s="187"/>
      <c r="W1400" s="187"/>
      <c r="X1400" s="187"/>
      <c r="Y1400" s="187"/>
      <c r="Z1400" s="187"/>
      <c r="AA1400" s="187"/>
      <c r="AB1400" s="187"/>
      <c r="AC1400" s="187"/>
      <c r="AD1400" s="187"/>
      <c r="AE1400" s="187"/>
      <c r="AF1400" s="187"/>
    </row>
    <row r="1401" spans="1:32">
      <c r="A1401" s="663"/>
      <c r="B1401" s="3130" t="s">
        <v>326</v>
      </c>
      <c r="C1401" s="663" t="s">
        <v>321</v>
      </c>
      <c r="D1401" s="678" t="s">
        <v>1980</v>
      </c>
      <c r="E1401" s="700" t="s">
        <v>1928</v>
      </c>
      <c r="F1401" s="679">
        <v>2370</v>
      </c>
      <c r="G1401" s="759" t="s">
        <v>3052</v>
      </c>
      <c r="H1401" s="660"/>
      <c r="I1401" s="660">
        <v>2646</v>
      </c>
      <c r="J1401" s="1494" t="s">
        <v>1134</v>
      </c>
      <c r="K1401" s="667"/>
      <c r="L1401" s="660"/>
      <c r="M1401" s="660"/>
      <c r="N1401" s="7"/>
      <c r="O1401" s="187"/>
      <c r="P1401" s="187"/>
      <c r="Q1401" s="187"/>
      <c r="R1401" s="187"/>
      <c r="S1401" s="187"/>
      <c r="T1401" s="187"/>
      <c r="U1401" s="187"/>
      <c r="V1401" s="187"/>
      <c r="W1401" s="187"/>
      <c r="X1401" s="187"/>
      <c r="Y1401" s="187"/>
      <c r="Z1401" s="187"/>
      <c r="AA1401" s="187"/>
      <c r="AB1401" s="187"/>
      <c r="AC1401" s="187"/>
      <c r="AD1401" s="187"/>
      <c r="AE1401" s="187"/>
      <c r="AF1401" s="187"/>
    </row>
    <row r="1402" spans="1:32">
      <c r="A1402" s="663"/>
      <c r="B1402" s="3130" t="s">
        <v>326</v>
      </c>
      <c r="C1402" s="663" t="s">
        <v>321</v>
      </c>
      <c r="D1402" s="678" t="s">
        <v>1980</v>
      </c>
      <c r="E1402" s="700" t="s">
        <v>1928</v>
      </c>
      <c r="F1402" s="679">
        <v>2370</v>
      </c>
      <c r="G1402" s="759" t="s">
        <v>1863</v>
      </c>
      <c r="H1402" s="660"/>
      <c r="I1402" s="660"/>
      <c r="J1402" s="1494" t="s">
        <v>1134</v>
      </c>
      <c r="K1402" s="667"/>
      <c r="L1402" s="660"/>
      <c r="M1402" s="660">
        <v>74</v>
      </c>
      <c r="N1402" s="7"/>
      <c r="O1402" s="187"/>
      <c r="P1402" s="187"/>
      <c r="Q1402" s="187"/>
      <c r="R1402" s="187"/>
      <c r="S1402" s="187"/>
      <c r="T1402" s="187"/>
      <c r="U1402" s="187"/>
      <c r="V1402" s="187"/>
      <c r="W1402" s="187"/>
      <c r="X1402" s="187"/>
      <c r="Y1402" s="187"/>
      <c r="Z1402" s="187"/>
      <c r="AA1402" s="187"/>
      <c r="AB1402" s="187"/>
      <c r="AC1402" s="187"/>
      <c r="AD1402" s="187"/>
      <c r="AE1402" s="187"/>
      <c r="AF1402" s="187"/>
    </row>
    <row r="1403" spans="1:32">
      <c r="A1403" s="663"/>
      <c r="B1403" s="3130" t="s">
        <v>326</v>
      </c>
      <c r="C1403" s="663" t="s">
        <v>321</v>
      </c>
      <c r="D1403" s="678" t="s">
        <v>1980</v>
      </c>
      <c r="E1403" s="700" t="s">
        <v>1928</v>
      </c>
      <c r="F1403" s="679">
        <v>2370</v>
      </c>
      <c r="G1403" s="759" t="s">
        <v>695</v>
      </c>
      <c r="H1403" s="660"/>
      <c r="I1403" s="660"/>
      <c r="J1403" s="1494" t="s">
        <v>1134</v>
      </c>
      <c r="K1403" s="667"/>
      <c r="L1403" s="660"/>
      <c r="M1403" s="660"/>
      <c r="N1403" s="7"/>
      <c r="O1403" s="187"/>
      <c r="P1403" s="187"/>
      <c r="Q1403" s="187"/>
      <c r="R1403" s="187"/>
      <c r="S1403" s="187"/>
      <c r="T1403" s="187"/>
      <c r="U1403" s="187"/>
      <c r="V1403" s="187"/>
      <c r="W1403" s="187"/>
      <c r="X1403" s="187"/>
      <c r="Y1403" s="187"/>
      <c r="Z1403" s="187"/>
      <c r="AA1403" s="187"/>
      <c r="AB1403" s="187"/>
      <c r="AC1403" s="187"/>
      <c r="AD1403" s="187"/>
      <c r="AE1403" s="187"/>
      <c r="AF1403" s="187"/>
    </row>
    <row r="1404" spans="1:32" ht="20.399999999999999">
      <c r="A1404" s="683" t="s">
        <v>709</v>
      </c>
      <c r="B1404" s="3129" t="s">
        <v>772</v>
      </c>
      <c r="C1404" s="683" t="s">
        <v>320</v>
      </c>
      <c r="D1404" s="719" t="s">
        <v>1980</v>
      </c>
      <c r="E1404" s="720" t="s">
        <v>1927</v>
      </c>
      <c r="F1404" s="824">
        <v>2512</v>
      </c>
      <c r="G1404" s="800" t="s">
        <v>779</v>
      </c>
      <c r="H1404" s="706">
        <v>2000</v>
      </c>
      <c r="I1404" s="706"/>
      <c r="J1404" s="1654">
        <v>664</v>
      </c>
      <c r="K1404" s="802"/>
      <c r="L1404" s="706">
        <v>1000</v>
      </c>
      <c r="M1404" s="706"/>
      <c r="N1404" s="7"/>
      <c r="O1404" s="187"/>
      <c r="P1404" s="187"/>
      <c r="Q1404" s="187"/>
      <c r="R1404" s="187"/>
      <c r="S1404" s="187"/>
      <c r="T1404" s="187"/>
      <c r="U1404" s="187"/>
      <c r="V1404" s="187"/>
      <c r="W1404" s="187"/>
      <c r="X1404" s="187"/>
      <c r="Y1404" s="187"/>
      <c r="Z1404" s="187"/>
      <c r="AA1404" s="187"/>
      <c r="AB1404" s="187"/>
      <c r="AC1404" s="187"/>
      <c r="AD1404" s="187"/>
      <c r="AE1404" s="187"/>
      <c r="AF1404" s="187"/>
    </row>
    <row r="1405" spans="1:32">
      <c r="A1405" s="1135"/>
      <c r="B1405" s="3137" t="s">
        <v>772</v>
      </c>
      <c r="C1405" s="774" t="s">
        <v>320</v>
      </c>
      <c r="D1405" s="678" t="s">
        <v>1980</v>
      </c>
      <c r="E1405" s="700" t="s">
        <v>1927</v>
      </c>
      <c r="F1405" s="795">
        <v>2512</v>
      </c>
      <c r="G1405" s="2007" t="s">
        <v>3095</v>
      </c>
      <c r="H1405" s="1165"/>
      <c r="I1405" s="1165">
        <v>2000</v>
      </c>
      <c r="J1405" s="1654" t="s">
        <v>1134</v>
      </c>
      <c r="K1405" s="1439"/>
      <c r="L1405" s="1165"/>
      <c r="M1405" s="1165">
        <v>1000</v>
      </c>
      <c r="N1405" s="2048"/>
      <c r="O1405" s="187"/>
      <c r="P1405" s="187"/>
      <c r="Q1405" s="187"/>
      <c r="R1405" s="187"/>
      <c r="S1405" s="187"/>
      <c r="T1405" s="187"/>
      <c r="U1405" s="187"/>
      <c r="V1405" s="187"/>
      <c r="W1405" s="187"/>
      <c r="X1405" s="187"/>
      <c r="Y1405" s="187"/>
      <c r="Z1405" s="187"/>
      <c r="AA1405" s="187"/>
      <c r="AB1405" s="187"/>
      <c r="AC1405" s="187"/>
      <c r="AD1405" s="187"/>
      <c r="AE1405" s="187"/>
      <c r="AF1405" s="187"/>
    </row>
    <row r="1406" spans="1:32" ht="20.399999999999999">
      <c r="A1406" s="683"/>
      <c r="B1406" s="3129" t="s">
        <v>772</v>
      </c>
      <c r="C1406" s="683" t="s">
        <v>369</v>
      </c>
      <c r="D1406" s="719" t="s">
        <v>1980</v>
      </c>
      <c r="E1406" s="720" t="s">
        <v>1927</v>
      </c>
      <c r="F1406" s="824">
        <v>5120</v>
      </c>
      <c r="G1406" s="800" t="s">
        <v>588</v>
      </c>
      <c r="H1406" s="706">
        <v>0</v>
      </c>
      <c r="I1406" s="706"/>
      <c r="J1406" s="1654" t="s">
        <v>1134</v>
      </c>
      <c r="K1406" s="802"/>
      <c r="L1406" s="706">
        <v>0</v>
      </c>
      <c r="M1406" s="706"/>
      <c r="N1406" s="2048"/>
      <c r="O1406" s="187"/>
      <c r="P1406" s="187"/>
      <c r="Q1406" s="187"/>
      <c r="R1406" s="187"/>
      <c r="S1406" s="187"/>
      <c r="T1406" s="187"/>
      <c r="U1406" s="187"/>
      <c r="V1406" s="187"/>
      <c r="W1406" s="187"/>
      <c r="X1406" s="187"/>
      <c r="Y1406" s="187"/>
      <c r="Z1406" s="187"/>
      <c r="AA1406" s="187"/>
      <c r="AB1406" s="187"/>
      <c r="AC1406" s="187"/>
      <c r="AD1406" s="187"/>
      <c r="AE1406" s="187"/>
      <c r="AF1406" s="187"/>
    </row>
    <row r="1407" spans="1:32">
      <c r="A1407" s="663"/>
      <c r="B1407" s="3130" t="s">
        <v>772</v>
      </c>
      <c r="C1407" s="663" t="s">
        <v>369</v>
      </c>
      <c r="D1407" s="678" t="s">
        <v>1980</v>
      </c>
      <c r="E1407" s="700" t="s">
        <v>1927</v>
      </c>
      <c r="F1407" s="795">
        <v>5120</v>
      </c>
      <c r="G1407" s="750" t="s">
        <v>1433</v>
      </c>
      <c r="H1407" s="701"/>
      <c r="I1407" s="701"/>
      <c r="J1407" s="1654" t="s">
        <v>1134</v>
      </c>
      <c r="K1407" s="792"/>
      <c r="L1407" s="701"/>
      <c r="M1407" s="701"/>
      <c r="N1407" s="2048"/>
      <c r="O1407" s="187"/>
      <c r="P1407" s="187"/>
      <c r="Q1407" s="187"/>
      <c r="R1407" s="187"/>
      <c r="S1407" s="187"/>
      <c r="T1407" s="187"/>
      <c r="U1407" s="187"/>
      <c r="V1407" s="187"/>
      <c r="W1407" s="187"/>
      <c r="X1407" s="187"/>
      <c r="Y1407" s="187"/>
      <c r="Z1407" s="187"/>
      <c r="AA1407" s="187"/>
      <c r="AB1407" s="187"/>
      <c r="AC1407" s="187"/>
      <c r="AD1407" s="187"/>
      <c r="AE1407" s="187"/>
      <c r="AF1407" s="187"/>
    </row>
    <row r="1408" spans="1:32">
      <c r="A1408" s="683"/>
      <c r="B1408" s="3129" t="s">
        <v>773</v>
      </c>
      <c r="C1408" s="683" t="s">
        <v>369</v>
      </c>
      <c r="D1408" s="719" t="s">
        <v>1980</v>
      </c>
      <c r="E1408" s="720" t="s">
        <v>1927</v>
      </c>
      <c r="F1408" s="824">
        <v>5218</v>
      </c>
      <c r="G1408" s="800" t="s">
        <v>1062</v>
      </c>
      <c r="H1408" s="706">
        <v>10000</v>
      </c>
      <c r="I1408" s="706"/>
      <c r="J1408" s="1654">
        <v>9960</v>
      </c>
      <c r="K1408" s="802"/>
      <c r="L1408" s="706">
        <v>0</v>
      </c>
      <c r="M1408" s="706"/>
      <c r="N1408" s="1065"/>
      <c r="O1408" s="187"/>
      <c r="P1408" s="187"/>
      <c r="Q1408" s="187"/>
      <c r="R1408" s="187"/>
      <c r="S1408" s="187"/>
      <c r="T1408" s="187"/>
      <c r="U1408" s="187"/>
      <c r="V1408" s="187"/>
      <c r="W1408" s="187"/>
      <c r="X1408" s="187"/>
      <c r="Y1408" s="187"/>
      <c r="Z1408" s="187"/>
      <c r="AA1408" s="187"/>
      <c r="AB1408" s="187"/>
      <c r="AC1408" s="187"/>
      <c r="AD1408" s="187"/>
      <c r="AE1408" s="187"/>
      <c r="AF1408" s="187"/>
    </row>
    <row r="1409" spans="1:32" ht="20.399999999999999">
      <c r="A1409" s="663"/>
      <c r="B1409" s="3130" t="s">
        <v>773</v>
      </c>
      <c r="C1409" s="663" t="s">
        <v>369</v>
      </c>
      <c r="D1409" s="678" t="s">
        <v>1980</v>
      </c>
      <c r="E1409" s="700" t="s">
        <v>1927</v>
      </c>
      <c r="F1409" s="795">
        <v>5218</v>
      </c>
      <c r="G1409" s="750" t="s">
        <v>2762</v>
      </c>
      <c r="H1409" s="701"/>
      <c r="I1409" s="701">
        <v>10000</v>
      </c>
      <c r="J1409" s="1654" t="s">
        <v>1134</v>
      </c>
      <c r="K1409" s="792"/>
      <c r="L1409" s="701"/>
      <c r="M1409" s="701"/>
      <c r="N1409" s="1065"/>
      <c r="O1409" s="187"/>
      <c r="P1409" s="187"/>
      <c r="Q1409" s="187"/>
      <c r="R1409" s="187"/>
      <c r="S1409" s="187"/>
      <c r="T1409" s="187"/>
      <c r="U1409" s="187"/>
      <c r="V1409" s="187"/>
      <c r="W1409" s="187"/>
      <c r="X1409" s="187"/>
      <c r="Y1409" s="187"/>
      <c r="Z1409" s="187"/>
      <c r="AA1409" s="187"/>
      <c r="AB1409" s="187"/>
      <c r="AC1409" s="187"/>
      <c r="AD1409" s="187"/>
      <c r="AE1409" s="187"/>
      <c r="AF1409" s="187"/>
    </row>
    <row r="1410" spans="1:32">
      <c r="A1410" s="683"/>
      <c r="B1410" s="3129" t="s">
        <v>774</v>
      </c>
      <c r="C1410" s="683" t="s">
        <v>324</v>
      </c>
      <c r="D1410" s="719" t="s">
        <v>1980</v>
      </c>
      <c r="E1410" s="720" t="s">
        <v>1927</v>
      </c>
      <c r="F1410" s="824">
        <v>5238</v>
      </c>
      <c r="G1410" s="800" t="s">
        <v>139</v>
      </c>
      <c r="H1410" s="706">
        <v>6600</v>
      </c>
      <c r="I1410" s="706"/>
      <c r="J1410" s="1654">
        <v>3917</v>
      </c>
      <c r="K1410" s="802"/>
      <c r="L1410" s="706">
        <v>6800</v>
      </c>
      <c r="M1410" s="2033"/>
      <c r="N1410" s="1065"/>
      <c r="O1410" s="187"/>
      <c r="P1410" s="187"/>
      <c r="Q1410" s="187"/>
      <c r="R1410" s="187"/>
      <c r="S1410" s="187"/>
      <c r="T1410" s="187"/>
      <c r="U1410" s="187"/>
      <c r="V1410" s="187"/>
      <c r="W1410" s="187"/>
      <c r="X1410" s="187"/>
      <c r="Y1410" s="187"/>
      <c r="Z1410" s="187"/>
      <c r="AA1410" s="187"/>
      <c r="AB1410" s="187"/>
      <c r="AC1410" s="187"/>
      <c r="AD1410" s="187"/>
      <c r="AE1410" s="187"/>
      <c r="AF1410" s="187"/>
    </row>
    <row r="1411" spans="1:32">
      <c r="A1411" s="663"/>
      <c r="B1411" s="3130" t="s">
        <v>774</v>
      </c>
      <c r="C1411" s="663" t="s">
        <v>324</v>
      </c>
      <c r="D1411" s="678" t="s">
        <v>1980</v>
      </c>
      <c r="E1411" s="700" t="s">
        <v>1927</v>
      </c>
      <c r="F1411" s="795">
        <v>5238</v>
      </c>
      <c r="G1411" s="750" t="s">
        <v>2761</v>
      </c>
      <c r="H1411" s="701"/>
      <c r="I1411" s="701">
        <v>2000</v>
      </c>
      <c r="J1411" s="1654" t="s">
        <v>1134</v>
      </c>
      <c r="K1411" s="792"/>
      <c r="L1411" s="701"/>
      <c r="M1411" s="701"/>
      <c r="N1411" s="1065"/>
      <c r="O1411" s="187"/>
      <c r="P1411" s="187"/>
      <c r="Q1411" s="187"/>
      <c r="R1411" s="187"/>
      <c r="S1411" s="187"/>
      <c r="T1411" s="187"/>
      <c r="U1411" s="187"/>
      <c r="V1411" s="187"/>
      <c r="W1411" s="187"/>
      <c r="X1411" s="187"/>
      <c r="Y1411" s="187"/>
      <c r="Z1411" s="187"/>
      <c r="AA1411" s="187"/>
      <c r="AB1411" s="187"/>
      <c r="AC1411" s="187"/>
      <c r="AD1411" s="187"/>
      <c r="AE1411" s="187"/>
      <c r="AF1411" s="187"/>
    </row>
    <row r="1412" spans="1:32" ht="20.399999999999999">
      <c r="A1412" s="663"/>
      <c r="B1412" s="3130" t="s">
        <v>774</v>
      </c>
      <c r="C1412" s="663" t="s">
        <v>324</v>
      </c>
      <c r="D1412" s="678" t="s">
        <v>1980</v>
      </c>
      <c r="E1412" s="700" t="s">
        <v>1927</v>
      </c>
      <c r="F1412" s="795">
        <v>5238</v>
      </c>
      <c r="G1412" s="750" t="s">
        <v>4907</v>
      </c>
      <c r="H1412" s="701"/>
      <c r="I1412" s="701">
        <v>4000</v>
      </c>
      <c r="J1412" s="1654" t="s">
        <v>1134</v>
      </c>
      <c r="K1412" s="792"/>
      <c r="L1412" s="701"/>
      <c r="M1412" s="701">
        <v>5000</v>
      </c>
      <c r="N1412" s="1065"/>
      <c r="O1412" s="187"/>
      <c r="P1412" s="187"/>
      <c r="Q1412" s="187"/>
      <c r="R1412" s="187"/>
      <c r="S1412" s="187"/>
      <c r="T1412" s="187"/>
      <c r="U1412" s="187"/>
      <c r="V1412" s="187"/>
      <c r="W1412" s="187"/>
      <c r="X1412" s="187"/>
      <c r="Y1412" s="187"/>
      <c r="Z1412" s="187"/>
      <c r="AA1412" s="187"/>
      <c r="AB1412" s="187"/>
      <c r="AC1412" s="187"/>
      <c r="AD1412" s="187"/>
      <c r="AE1412" s="187"/>
      <c r="AF1412" s="187"/>
    </row>
    <row r="1413" spans="1:32" ht="20.399999999999999">
      <c r="A1413" s="760"/>
      <c r="B1413" s="3130" t="s">
        <v>774</v>
      </c>
      <c r="C1413" s="663" t="s">
        <v>322</v>
      </c>
      <c r="D1413" s="678" t="s">
        <v>1980</v>
      </c>
      <c r="E1413" s="700" t="s">
        <v>1927</v>
      </c>
      <c r="F1413" s="795">
        <v>5238</v>
      </c>
      <c r="G1413" s="750" t="s">
        <v>4908</v>
      </c>
      <c r="H1413" s="701"/>
      <c r="I1413" s="701">
        <v>600</v>
      </c>
      <c r="J1413" s="1654" t="s">
        <v>1134</v>
      </c>
      <c r="K1413" s="792"/>
      <c r="L1413" s="701"/>
      <c r="M1413" s="701">
        <v>600</v>
      </c>
      <c r="N1413" s="1065"/>
      <c r="O1413" s="187"/>
      <c r="P1413" s="187"/>
      <c r="Q1413" s="187"/>
      <c r="R1413" s="187"/>
      <c r="S1413" s="187"/>
      <c r="T1413" s="187"/>
      <c r="U1413" s="187"/>
      <c r="V1413" s="187"/>
      <c r="W1413" s="187"/>
      <c r="X1413" s="187"/>
      <c r="Y1413" s="187"/>
      <c r="Z1413" s="187"/>
      <c r="AA1413" s="187"/>
      <c r="AB1413" s="187"/>
      <c r="AC1413" s="187"/>
      <c r="AD1413" s="187"/>
      <c r="AE1413" s="187"/>
      <c r="AF1413" s="187"/>
    </row>
    <row r="1414" spans="1:32">
      <c r="A1414" s="663"/>
      <c r="B1414" s="3130" t="s">
        <v>774</v>
      </c>
      <c r="C1414" s="663" t="s">
        <v>324</v>
      </c>
      <c r="D1414" s="678" t="s">
        <v>1980</v>
      </c>
      <c r="E1414" s="700" t="s">
        <v>1927</v>
      </c>
      <c r="F1414" s="795">
        <v>5238</v>
      </c>
      <c r="G1414" s="750" t="s">
        <v>4909</v>
      </c>
      <c r="H1414" s="701"/>
      <c r="I1414" s="701"/>
      <c r="J1414" s="1654" t="s">
        <v>1134</v>
      </c>
      <c r="K1414" s="792"/>
      <c r="L1414" s="701"/>
      <c r="M1414" s="701">
        <v>1200</v>
      </c>
      <c r="N1414" s="1065"/>
      <c r="O1414" s="187"/>
      <c r="P1414" s="187"/>
      <c r="Q1414" s="187"/>
      <c r="R1414" s="187"/>
      <c r="S1414" s="187"/>
      <c r="T1414" s="187"/>
      <c r="U1414" s="187"/>
      <c r="V1414" s="187"/>
      <c r="W1414" s="187"/>
      <c r="X1414" s="187"/>
      <c r="Y1414" s="187"/>
      <c r="Z1414" s="187"/>
      <c r="AA1414" s="187"/>
      <c r="AB1414" s="187"/>
      <c r="AC1414" s="187"/>
      <c r="AD1414" s="187"/>
      <c r="AE1414" s="187"/>
      <c r="AF1414" s="187"/>
    </row>
    <row r="1415" spans="1:32" ht="20.399999999999999">
      <c r="A1415" s="683"/>
      <c r="B1415" s="3129" t="s">
        <v>774</v>
      </c>
      <c r="C1415" s="683" t="s">
        <v>324</v>
      </c>
      <c r="D1415" s="719" t="s">
        <v>1980</v>
      </c>
      <c r="E1415" s="720" t="s">
        <v>1927</v>
      </c>
      <c r="F1415" s="824">
        <v>5239</v>
      </c>
      <c r="G1415" s="800" t="s">
        <v>1178</v>
      </c>
      <c r="H1415" s="706">
        <v>8700</v>
      </c>
      <c r="I1415" s="706"/>
      <c r="J1415" s="1654">
        <v>7545</v>
      </c>
      <c r="K1415" s="802"/>
      <c r="L1415" s="706">
        <v>11956</v>
      </c>
      <c r="M1415" s="706"/>
      <c r="N1415" s="375"/>
      <c r="O1415" s="187"/>
      <c r="P1415" s="187"/>
      <c r="Q1415" s="187"/>
      <c r="R1415" s="187"/>
      <c r="S1415" s="187"/>
      <c r="T1415" s="187"/>
      <c r="U1415" s="187"/>
      <c r="V1415" s="187"/>
      <c r="W1415" s="187"/>
      <c r="X1415" s="187"/>
      <c r="Y1415" s="187"/>
      <c r="Z1415" s="187"/>
      <c r="AA1415" s="187"/>
      <c r="AB1415" s="187"/>
      <c r="AC1415" s="187"/>
      <c r="AD1415" s="187"/>
      <c r="AE1415" s="187"/>
      <c r="AF1415" s="187"/>
    </row>
    <row r="1416" spans="1:32" ht="30.6">
      <c r="A1416" s="663"/>
      <c r="B1416" s="3130" t="s">
        <v>774</v>
      </c>
      <c r="C1416" s="663" t="s">
        <v>324</v>
      </c>
      <c r="D1416" s="678" t="s">
        <v>1980</v>
      </c>
      <c r="E1416" s="700" t="s">
        <v>1927</v>
      </c>
      <c r="F1416" s="795">
        <v>5239</v>
      </c>
      <c r="G1416" s="750" t="s">
        <v>4033</v>
      </c>
      <c r="H1416" s="701"/>
      <c r="I1416" s="701"/>
      <c r="J1416" s="1654"/>
      <c r="K1416" s="792"/>
      <c r="L1416" s="701"/>
      <c r="M1416" s="701">
        <v>5956</v>
      </c>
      <c r="N1416" s="375"/>
      <c r="O1416" s="187"/>
      <c r="P1416" s="187"/>
      <c r="Q1416" s="187"/>
      <c r="R1416" s="187"/>
      <c r="S1416" s="187"/>
      <c r="T1416" s="187"/>
      <c r="U1416" s="187"/>
      <c r="V1416" s="187"/>
      <c r="W1416" s="187"/>
      <c r="X1416" s="187"/>
      <c r="Y1416" s="187"/>
      <c r="Z1416" s="187"/>
      <c r="AA1416" s="187"/>
      <c r="AB1416" s="187"/>
      <c r="AC1416" s="187"/>
      <c r="AD1416" s="187"/>
      <c r="AE1416" s="187"/>
      <c r="AF1416" s="187"/>
    </row>
    <row r="1417" spans="1:32" ht="20.399999999999999">
      <c r="A1417" s="663"/>
      <c r="B1417" s="3130" t="s">
        <v>774</v>
      </c>
      <c r="C1417" s="663" t="s">
        <v>324</v>
      </c>
      <c r="D1417" s="678" t="s">
        <v>1980</v>
      </c>
      <c r="E1417" s="700" t="s">
        <v>1927</v>
      </c>
      <c r="F1417" s="795">
        <v>5239</v>
      </c>
      <c r="G1417" s="750" t="s">
        <v>4034</v>
      </c>
      <c r="H1417" s="701"/>
      <c r="I1417" s="701"/>
      <c r="J1417" s="1654"/>
      <c r="K1417" s="792"/>
      <c r="L1417" s="701"/>
      <c r="M1417" s="701">
        <v>6000</v>
      </c>
      <c r="N1417" s="1065"/>
      <c r="O1417" s="187"/>
      <c r="P1417" s="187"/>
      <c r="Q1417" s="187"/>
      <c r="R1417" s="187"/>
      <c r="S1417" s="187"/>
      <c r="T1417" s="187"/>
      <c r="U1417" s="187"/>
      <c r="V1417" s="187"/>
      <c r="W1417" s="187"/>
      <c r="X1417" s="187"/>
      <c r="Y1417" s="187"/>
      <c r="Z1417" s="187"/>
      <c r="AA1417" s="187"/>
      <c r="AB1417" s="187"/>
      <c r="AC1417" s="187"/>
      <c r="AD1417" s="187"/>
      <c r="AE1417" s="187"/>
      <c r="AF1417" s="187"/>
    </row>
    <row r="1418" spans="1:32">
      <c r="A1418" s="663"/>
      <c r="B1418" s="3130" t="s">
        <v>774</v>
      </c>
      <c r="C1418" s="663" t="s">
        <v>324</v>
      </c>
      <c r="D1418" s="678" t="s">
        <v>1980</v>
      </c>
      <c r="E1418" s="700" t="s">
        <v>1927</v>
      </c>
      <c r="F1418" s="795">
        <v>5239</v>
      </c>
      <c r="G1418" s="750" t="s">
        <v>2385</v>
      </c>
      <c r="H1418" s="701"/>
      <c r="I1418" s="701">
        <v>700</v>
      </c>
      <c r="J1418" s="1654" t="s">
        <v>1134</v>
      </c>
      <c r="K1418" s="792"/>
      <c r="L1418" s="701"/>
      <c r="M1418" s="701"/>
      <c r="N1418" s="1065"/>
      <c r="O1418" s="187"/>
      <c r="P1418" s="187"/>
      <c r="Q1418" s="187"/>
      <c r="R1418" s="187"/>
      <c r="S1418" s="187"/>
      <c r="T1418" s="187"/>
      <c r="U1418" s="187"/>
      <c r="V1418" s="187"/>
      <c r="W1418" s="187"/>
      <c r="X1418" s="187"/>
      <c r="Y1418" s="187"/>
      <c r="Z1418" s="187"/>
      <c r="AA1418" s="187"/>
      <c r="AB1418" s="187"/>
      <c r="AC1418" s="187"/>
      <c r="AD1418" s="187"/>
      <c r="AE1418" s="187"/>
      <c r="AF1418" s="187"/>
    </row>
    <row r="1419" spans="1:32">
      <c r="A1419" s="663"/>
      <c r="B1419" s="3130" t="s">
        <v>774</v>
      </c>
      <c r="C1419" s="663" t="s">
        <v>324</v>
      </c>
      <c r="D1419" s="678" t="s">
        <v>1980</v>
      </c>
      <c r="E1419" s="700" t="s">
        <v>1927</v>
      </c>
      <c r="F1419" s="795">
        <v>5239</v>
      </c>
      <c r="G1419" s="750" t="s">
        <v>2386</v>
      </c>
      <c r="H1419" s="701"/>
      <c r="I1419" s="701">
        <v>1185</v>
      </c>
      <c r="J1419" s="1654" t="s">
        <v>1134</v>
      </c>
      <c r="K1419" s="792"/>
      <c r="L1419" s="701"/>
      <c r="M1419" s="701"/>
      <c r="N1419" s="1065"/>
      <c r="O1419" s="187"/>
      <c r="P1419" s="187"/>
      <c r="Q1419" s="187"/>
      <c r="R1419" s="187"/>
      <c r="S1419" s="187"/>
      <c r="T1419" s="187"/>
      <c r="U1419" s="187"/>
      <c r="V1419" s="187"/>
      <c r="W1419" s="187"/>
      <c r="X1419" s="187"/>
      <c r="Y1419" s="187"/>
      <c r="Z1419" s="187"/>
      <c r="AA1419" s="187"/>
      <c r="AB1419" s="187"/>
      <c r="AC1419" s="187"/>
      <c r="AD1419" s="187"/>
      <c r="AE1419" s="187"/>
      <c r="AF1419" s="187"/>
    </row>
    <row r="1420" spans="1:32">
      <c r="A1420" s="663"/>
      <c r="B1420" s="3130" t="s">
        <v>774</v>
      </c>
      <c r="C1420" s="663" t="s">
        <v>324</v>
      </c>
      <c r="D1420" s="678" t="s">
        <v>1980</v>
      </c>
      <c r="E1420" s="700" t="s">
        <v>1927</v>
      </c>
      <c r="F1420" s="795">
        <v>5239</v>
      </c>
      <c r="G1420" s="750" t="s">
        <v>2387</v>
      </c>
      <c r="H1420" s="701"/>
      <c r="I1420" s="701">
        <v>5000</v>
      </c>
      <c r="J1420" s="1654" t="s">
        <v>1134</v>
      </c>
      <c r="K1420" s="792"/>
      <c r="L1420" s="701"/>
      <c r="M1420" s="701"/>
      <c r="N1420" s="1065"/>
      <c r="O1420" s="187"/>
      <c r="P1420" s="187"/>
      <c r="Q1420" s="187"/>
      <c r="R1420" s="187"/>
      <c r="S1420" s="187"/>
      <c r="T1420" s="187"/>
      <c r="U1420" s="187"/>
      <c r="V1420" s="187"/>
      <c r="W1420" s="187"/>
      <c r="X1420" s="187"/>
      <c r="Y1420" s="187"/>
      <c r="Z1420" s="187"/>
      <c r="AA1420" s="187"/>
      <c r="AB1420" s="187"/>
      <c r="AC1420" s="187"/>
      <c r="AD1420" s="187"/>
      <c r="AE1420" s="187"/>
      <c r="AF1420" s="187"/>
    </row>
    <row r="1421" spans="1:32">
      <c r="A1421" s="760"/>
      <c r="B1421" s="3130" t="s">
        <v>774</v>
      </c>
      <c r="C1421" s="663" t="s">
        <v>324</v>
      </c>
      <c r="D1421" s="678" t="s">
        <v>1980</v>
      </c>
      <c r="E1421" s="700" t="s">
        <v>1927</v>
      </c>
      <c r="F1421" s="795">
        <v>5239</v>
      </c>
      <c r="G1421" s="750" t="s">
        <v>2377</v>
      </c>
      <c r="H1421" s="701"/>
      <c r="I1421" s="701">
        <v>1815</v>
      </c>
      <c r="J1421" s="1654" t="s">
        <v>1134</v>
      </c>
      <c r="K1421" s="792"/>
      <c r="L1421" s="701"/>
      <c r="M1421" s="701"/>
      <c r="N1421" s="1065"/>
      <c r="O1421" s="187"/>
      <c r="P1421" s="187"/>
      <c r="Q1421" s="187"/>
      <c r="R1421" s="187"/>
      <c r="S1421" s="187"/>
      <c r="T1421" s="187"/>
      <c r="U1421" s="187"/>
      <c r="V1421" s="187"/>
      <c r="W1421" s="187"/>
      <c r="X1421" s="187"/>
      <c r="Y1421" s="187"/>
      <c r="Z1421" s="187"/>
      <c r="AA1421" s="187"/>
      <c r="AB1421" s="187"/>
      <c r="AC1421" s="187"/>
      <c r="AD1421" s="187"/>
      <c r="AE1421" s="187"/>
      <c r="AF1421" s="187"/>
    </row>
    <row r="1422" spans="1:32" ht="20.399999999999999">
      <c r="A1422" s="683"/>
      <c r="B1422" s="3129" t="s">
        <v>773</v>
      </c>
      <c r="C1422" s="683" t="s">
        <v>324</v>
      </c>
      <c r="D1422" s="719" t="s">
        <v>1980</v>
      </c>
      <c r="E1422" s="720" t="s">
        <v>1927</v>
      </c>
      <c r="F1422" s="824">
        <v>5239</v>
      </c>
      <c r="G1422" s="800" t="s">
        <v>1178</v>
      </c>
      <c r="H1422" s="706"/>
      <c r="I1422" s="706"/>
      <c r="J1422" s="1654"/>
      <c r="K1422" s="802"/>
      <c r="L1422" s="706">
        <v>35000</v>
      </c>
      <c r="M1422" s="706"/>
      <c r="N1422" s="1065"/>
      <c r="O1422" s="187"/>
      <c r="P1422" s="187"/>
      <c r="Q1422" s="187"/>
      <c r="R1422" s="187"/>
      <c r="S1422" s="187"/>
      <c r="T1422" s="187"/>
      <c r="U1422" s="187"/>
      <c r="V1422" s="187"/>
      <c r="W1422" s="187"/>
      <c r="X1422" s="187"/>
      <c r="Y1422" s="187"/>
      <c r="Z1422" s="187"/>
      <c r="AA1422" s="187"/>
      <c r="AB1422" s="187"/>
      <c r="AC1422" s="187"/>
      <c r="AD1422" s="187"/>
      <c r="AE1422" s="187"/>
      <c r="AF1422" s="187"/>
    </row>
    <row r="1423" spans="1:32">
      <c r="A1423" s="663"/>
      <c r="B1423" s="3130" t="s">
        <v>773</v>
      </c>
      <c r="C1423" s="663" t="s">
        <v>324</v>
      </c>
      <c r="D1423" s="678" t="s">
        <v>1980</v>
      </c>
      <c r="E1423" s="700" t="s">
        <v>1927</v>
      </c>
      <c r="F1423" s="795">
        <v>5239</v>
      </c>
      <c r="G1423" s="750" t="s">
        <v>4035</v>
      </c>
      <c r="H1423" s="701"/>
      <c r="I1423" s="701"/>
      <c r="J1423" s="1654" t="s">
        <v>1134</v>
      </c>
      <c r="K1423" s="792"/>
      <c r="L1423" s="701"/>
      <c r="M1423" s="701">
        <v>7000</v>
      </c>
      <c r="N1423" s="1065"/>
      <c r="O1423" s="187"/>
      <c r="P1423" s="187"/>
      <c r="Q1423" s="187"/>
      <c r="R1423" s="187"/>
      <c r="S1423" s="187"/>
      <c r="T1423" s="187"/>
      <c r="U1423" s="187"/>
      <c r="V1423" s="187"/>
      <c r="W1423" s="187"/>
      <c r="X1423" s="187"/>
      <c r="Y1423" s="187"/>
      <c r="Z1423" s="187"/>
      <c r="AA1423" s="187"/>
      <c r="AB1423" s="187"/>
      <c r="AC1423" s="187"/>
      <c r="AD1423" s="187"/>
      <c r="AE1423" s="187"/>
      <c r="AF1423" s="187"/>
    </row>
    <row r="1424" spans="1:32">
      <c r="A1424" s="2679"/>
      <c r="B1424" s="3130" t="s">
        <v>773</v>
      </c>
      <c r="C1424" s="663" t="s">
        <v>324</v>
      </c>
      <c r="D1424" s="678" t="s">
        <v>1980</v>
      </c>
      <c r="E1424" s="700" t="s">
        <v>1927</v>
      </c>
      <c r="F1424" s="795">
        <v>5239</v>
      </c>
      <c r="G1424" s="2605" t="s">
        <v>4887</v>
      </c>
      <c r="H1424" s="2615"/>
      <c r="I1424" s="2615"/>
      <c r="J1424" s="2621"/>
      <c r="K1424" s="2622"/>
      <c r="L1424" s="2615"/>
      <c r="M1424" s="2615">
        <v>28000</v>
      </c>
      <c r="N1424" s="375"/>
      <c r="O1424" s="187"/>
      <c r="P1424" s="187"/>
      <c r="Q1424" s="187"/>
      <c r="R1424" s="187"/>
      <c r="S1424" s="187"/>
      <c r="T1424" s="187"/>
      <c r="U1424" s="187"/>
      <c r="V1424" s="187"/>
      <c r="W1424" s="187"/>
      <c r="X1424" s="187"/>
      <c r="Y1424" s="187"/>
      <c r="Z1424" s="187"/>
      <c r="AA1424" s="187"/>
      <c r="AB1424" s="187"/>
      <c r="AC1424" s="187"/>
      <c r="AD1424" s="187"/>
      <c r="AE1424" s="187"/>
      <c r="AF1424" s="187"/>
    </row>
    <row r="1425" spans="1:32">
      <c r="A1425" s="683"/>
      <c r="B1425" s="3129" t="s">
        <v>1211</v>
      </c>
      <c r="C1425" s="683" t="s">
        <v>324</v>
      </c>
      <c r="D1425" s="719" t="s">
        <v>1980</v>
      </c>
      <c r="E1425" s="1406" t="s">
        <v>1927</v>
      </c>
      <c r="F1425" s="1698">
        <v>7230</v>
      </c>
      <c r="G1425" s="1691" t="s">
        <v>1027</v>
      </c>
      <c r="H1425" s="1692">
        <v>238206</v>
      </c>
      <c r="I1425" s="1692"/>
      <c r="J1425" s="1684">
        <v>152091</v>
      </c>
      <c r="K1425" s="1694"/>
      <c r="L1425" s="1692">
        <v>229039</v>
      </c>
      <c r="M1425" s="1692"/>
      <c r="N1425" s="375"/>
      <c r="O1425" s="187"/>
      <c r="P1425" s="187"/>
      <c r="Q1425" s="187"/>
      <c r="R1425" s="187"/>
      <c r="S1425" s="187"/>
      <c r="T1425" s="187"/>
      <c r="U1425" s="187"/>
      <c r="V1425" s="187"/>
      <c r="W1425" s="187"/>
      <c r="X1425" s="187"/>
      <c r="Y1425" s="187"/>
      <c r="Z1425" s="187"/>
      <c r="AA1425" s="187"/>
      <c r="AB1425" s="187"/>
      <c r="AC1425" s="187"/>
      <c r="AD1425" s="187"/>
      <c r="AE1425" s="187"/>
      <c r="AF1425" s="187"/>
    </row>
    <row r="1426" spans="1:32">
      <c r="A1426" s="760"/>
      <c r="B1426" s="3130" t="s">
        <v>1211</v>
      </c>
      <c r="C1426" s="663" t="s">
        <v>322</v>
      </c>
      <c r="D1426" s="678" t="s">
        <v>1980</v>
      </c>
      <c r="E1426" s="1407" t="s">
        <v>1927</v>
      </c>
      <c r="F1426" s="1413">
        <v>7230</v>
      </c>
      <c r="G1426" s="818" t="s">
        <v>436</v>
      </c>
      <c r="H1426" s="1683"/>
      <c r="I1426" s="1683">
        <v>102055</v>
      </c>
      <c r="J1426" s="1684" t="s">
        <v>1134</v>
      </c>
      <c r="K1426" s="1685"/>
      <c r="L1426" s="1683"/>
      <c r="M1426" s="1683">
        <v>112476</v>
      </c>
      <c r="N1426" s="375"/>
      <c r="O1426" s="187"/>
      <c r="P1426" s="187"/>
      <c r="Q1426" s="187"/>
      <c r="R1426" s="187"/>
      <c r="S1426" s="187"/>
      <c r="T1426" s="187"/>
      <c r="U1426" s="187"/>
      <c r="V1426" s="187"/>
      <c r="W1426" s="187"/>
      <c r="X1426" s="187"/>
      <c r="Y1426" s="187"/>
      <c r="Z1426" s="187"/>
      <c r="AA1426" s="187"/>
      <c r="AB1426" s="187"/>
      <c r="AC1426" s="187"/>
      <c r="AD1426" s="187"/>
      <c r="AE1426" s="187"/>
      <c r="AF1426" s="187"/>
    </row>
    <row r="1427" spans="1:32">
      <c r="A1427" s="760"/>
      <c r="B1427" s="3130" t="s">
        <v>1211</v>
      </c>
      <c r="C1427" s="663" t="s">
        <v>322</v>
      </c>
      <c r="D1427" s="678" t="s">
        <v>1980</v>
      </c>
      <c r="E1427" s="1407" t="s">
        <v>1927</v>
      </c>
      <c r="F1427" s="1413">
        <v>7230</v>
      </c>
      <c r="G1427" s="818" t="s">
        <v>772</v>
      </c>
      <c r="H1427" s="1683"/>
      <c r="I1427" s="1683">
        <v>136151.20000000001</v>
      </c>
      <c r="J1427" s="1684" t="s">
        <v>1134</v>
      </c>
      <c r="K1427" s="1685"/>
      <c r="L1427" s="1683"/>
      <c r="M1427" s="1683">
        <v>116563</v>
      </c>
      <c r="N1427" s="375"/>
      <c r="O1427" s="187"/>
      <c r="P1427" s="187"/>
      <c r="Q1427" s="187"/>
      <c r="R1427" s="187"/>
      <c r="S1427" s="187"/>
      <c r="T1427" s="187"/>
      <c r="U1427" s="187"/>
      <c r="V1427" s="187"/>
      <c r="W1427" s="187"/>
      <c r="X1427" s="187"/>
      <c r="Y1427" s="187"/>
      <c r="Z1427" s="187"/>
      <c r="AA1427" s="187"/>
      <c r="AB1427" s="187"/>
      <c r="AC1427" s="187"/>
      <c r="AD1427" s="187"/>
      <c r="AE1427" s="187"/>
      <c r="AF1427" s="187"/>
    </row>
    <row r="1428" spans="1:32">
      <c r="A1428" s="760"/>
      <c r="B1428" s="3130" t="s">
        <v>1211</v>
      </c>
      <c r="C1428" s="663" t="s">
        <v>322</v>
      </c>
      <c r="D1428" s="678" t="s">
        <v>1980</v>
      </c>
      <c r="E1428" s="1407" t="s">
        <v>1927</v>
      </c>
      <c r="F1428" s="1413">
        <v>7230</v>
      </c>
      <c r="G1428" s="818" t="s">
        <v>774</v>
      </c>
      <c r="H1428" s="1683"/>
      <c r="I1428" s="1683">
        <v>0</v>
      </c>
      <c r="J1428" s="1684" t="s">
        <v>1134</v>
      </c>
      <c r="K1428" s="1685"/>
      <c r="L1428" s="1683"/>
      <c r="M1428" s="1683">
        <v>0</v>
      </c>
      <c r="N1428" s="1065"/>
      <c r="O1428" s="187"/>
      <c r="P1428" s="187"/>
      <c r="Q1428" s="187"/>
      <c r="R1428" s="187"/>
      <c r="S1428" s="187"/>
      <c r="T1428" s="187"/>
      <c r="U1428" s="187"/>
      <c r="V1428" s="187"/>
      <c r="W1428" s="187"/>
      <c r="X1428" s="187"/>
      <c r="Y1428" s="187"/>
      <c r="Z1428" s="187"/>
      <c r="AA1428" s="187"/>
      <c r="AB1428" s="187"/>
      <c r="AC1428" s="187"/>
      <c r="AD1428" s="187"/>
      <c r="AE1428" s="187"/>
      <c r="AF1428" s="187"/>
    </row>
    <row r="1429" spans="1:32">
      <c r="A1429" s="683"/>
      <c r="B1429" s="3129" t="s">
        <v>1849</v>
      </c>
      <c r="C1429" s="683" t="s">
        <v>322</v>
      </c>
      <c r="D1429" s="719" t="s">
        <v>1980</v>
      </c>
      <c r="E1429" s="840" t="s">
        <v>1927</v>
      </c>
      <c r="F1429" s="685">
        <v>7230</v>
      </c>
      <c r="G1429" s="686" t="s">
        <v>773</v>
      </c>
      <c r="H1429" s="689">
        <v>7647</v>
      </c>
      <c r="I1429" s="689"/>
      <c r="J1429" s="1494"/>
      <c r="K1429" s="727"/>
      <c r="L1429" s="689">
        <v>122031</v>
      </c>
      <c r="M1429" s="689"/>
      <c r="N1429" s="1065"/>
      <c r="O1429" s="187"/>
      <c r="P1429" s="187"/>
      <c r="Q1429" s="187"/>
      <c r="R1429" s="187"/>
      <c r="S1429" s="187"/>
      <c r="T1429" s="187"/>
      <c r="U1429" s="187"/>
      <c r="V1429" s="187"/>
      <c r="W1429" s="187"/>
      <c r="X1429" s="187"/>
      <c r="Y1429" s="187"/>
      <c r="Z1429" s="187"/>
      <c r="AA1429" s="187"/>
      <c r="AB1429" s="187"/>
      <c r="AC1429" s="187"/>
      <c r="AD1429" s="187"/>
      <c r="AE1429" s="187"/>
      <c r="AF1429" s="187"/>
    </row>
    <row r="1430" spans="1:32" ht="11.4" customHeight="1">
      <c r="A1430" s="668"/>
      <c r="B1430" s="3144" t="s">
        <v>1849</v>
      </c>
      <c r="C1430" s="668" t="s">
        <v>322</v>
      </c>
      <c r="D1430" s="669" t="s">
        <v>1980</v>
      </c>
      <c r="E1430" s="936" t="s">
        <v>1927</v>
      </c>
      <c r="F1430" s="671">
        <v>7230</v>
      </c>
      <c r="G1430" s="717" t="s">
        <v>4541</v>
      </c>
      <c r="H1430" s="733"/>
      <c r="I1430" s="733"/>
      <c r="J1430" s="2422"/>
      <c r="K1430" s="733"/>
      <c r="L1430" s="2353"/>
      <c r="M1430" s="2353">
        <v>91031</v>
      </c>
      <c r="N1430" s="1065"/>
      <c r="O1430" s="187"/>
      <c r="P1430" s="187"/>
      <c r="Q1430" s="187"/>
      <c r="R1430" s="187"/>
      <c r="S1430" s="187"/>
      <c r="T1430" s="187"/>
      <c r="U1430" s="187"/>
      <c r="V1430" s="187"/>
      <c r="W1430" s="187"/>
      <c r="X1430" s="187"/>
      <c r="Y1430" s="187"/>
      <c r="Z1430" s="187"/>
      <c r="AA1430" s="187"/>
      <c r="AB1430" s="187"/>
      <c r="AC1430" s="187"/>
      <c r="AD1430" s="187"/>
      <c r="AE1430" s="187"/>
      <c r="AF1430" s="187"/>
    </row>
    <row r="1431" spans="1:32" ht="40.799999999999997">
      <c r="A1431" s="668"/>
      <c r="B1431" s="3144" t="s">
        <v>1849</v>
      </c>
      <c r="C1431" s="668" t="s">
        <v>322</v>
      </c>
      <c r="D1431" s="669" t="s">
        <v>1980</v>
      </c>
      <c r="E1431" s="936" t="s">
        <v>1927</v>
      </c>
      <c r="F1431" s="671">
        <v>7230</v>
      </c>
      <c r="G1431" s="717" t="s">
        <v>4542</v>
      </c>
      <c r="H1431" s="733"/>
      <c r="I1431" s="733"/>
      <c r="J1431" s="2422"/>
      <c r="K1431" s="733"/>
      <c r="L1431" s="2353"/>
      <c r="M1431" s="2353">
        <v>6000</v>
      </c>
      <c r="N1431" s="375"/>
      <c r="O1431" s="187"/>
      <c r="P1431" s="187"/>
      <c r="Q1431" s="187"/>
      <c r="R1431" s="187"/>
      <c r="S1431" s="187"/>
      <c r="T1431" s="187"/>
      <c r="U1431" s="187"/>
      <c r="V1431" s="187"/>
      <c r="W1431" s="187"/>
      <c r="X1431" s="187"/>
      <c r="Y1431" s="187"/>
      <c r="Z1431" s="187"/>
      <c r="AA1431" s="187"/>
      <c r="AB1431" s="187"/>
      <c r="AC1431" s="187"/>
      <c r="AD1431" s="187"/>
      <c r="AE1431" s="187"/>
      <c r="AF1431" s="187"/>
    </row>
    <row r="1432" spans="1:32">
      <c r="A1432" s="668"/>
      <c r="B1432" s="3144" t="s">
        <v>1849</v>
      </c>
      <c r="C1432" s="668" t="s">
        <v>322</v>
      </c>
      <c r="D1432" s="669" t="s">
        <v>1980</v>
      </c>
      <c r="E1432" s="936" t="s">
        <v>1927</v>
      </c>
      <c r="F1432" s="671">
        <v>7230</v>
      </c>
      <c r="G1432" s="717" t="s">
        <v>4886</v>
      </c>
      <c r="H1432" s="733"/>
      <c r="I1432" s="733"/>
      <c r="J1432" s="2422"/>
      <c r="K1432" s="733"/>
      <c r="L1432" s="2353"/>
      <c r="M1432" s="2353">
        <v>25000</v>
      </c>
      <c r="N1432" s="466" t="s">
        <v>4717</v>
      </c>
      <c r="O1432" s="187"/>
      <c r="P1432" s="187"/>
      <c r="Q1432" s="187"/>
      <c r="R1432" s="187"/>
      <c r="S1432" s="187"/>
      <c r="T1432" s="187"/>
      <c r="U1432" s="187"/>
      <c r="V1432" s="187"/>
      <c r="W1432" s="187"/>
      <c r="X1432" s="187"/>
      <c r="Y1432" s="187"/>
      <c r="Z1432" s="187"/>
      <c r="AA1432" s="187"/>
      <c r="AB1432" s="187"/>
      <c r="AC1432" s="187"/>
      <c r="AD1432" s="187"/>
      <c r="AE1432" s="187"/>
      <c r="AF1432" s="187"/>
    </row>
    <row r="1433" spans="1:32">
      <c r="A1433" s="668"/>
      <c r="B1433" s="3144" t="s">
        <v>1849</v>
      </c>
      <c r="C1433" s="668" t="s">
        <v>322</v>
      </c>
      <c r="D1433" s="669" t="s">
        <v>1980</v>
      </c>
      <c r="E1433" s="936" t="s">
        <v>1927</v>
      </c>
      <c r="F1433" s="671">
        <v>7230</v>
      </c>
      <c r="G1433" s="717" t="s">
        <v>2862</v>
      </c>
      <c r="H1433" s="733"/>
      <c r="I1433" s="733">
        <v>7647</v>
      </c>
      <c r="J1433" s="2422">
        <v>6716</v>
      </c>
      <c r="K1433" s="733"/>
      <c r="L1433" s="2353"/>
      <c r="M1433" s="2353"/>
      <c r="N1433" s="375"/>
      <c r="O1433" s="187"/>
      <c r="P1433" s="187"/>
      <c r="Q1433" s="187"/>
      <c r="R1433" s="187"/>
      <c r="S1433" s="187"/>
      <c r="T1433" s="187"/>
      <c r="U1433" s="187"/>
      <c r="V1433" s="187"/>
      <c r="W1433" s="187"/>
      <c r="X1433" s="187"/>
      <c r="Y1433" s="187"/>
      <c r="Z1433" s="187"/>
      <c r="AA1433" s="187"/>
      <c r="AB1433" s="187"/>
      <c r="AC1433" s="187"/>
      <c r="AD1433" s="187"/>
      <c r="AE1433" s="187"/>
      <c r="AF1433" s="187"/>
    </row>
    <row r="1434" spans="1:32">
      <c r="A1434" s="1575"/>
      <c r="B1434" s="3147" t="s">
        <v>365</v>
      </c>
      <c r="C1434" s="1575"/>
      <c r="D1434" s="1585" t="s">
        <v>1980</v>
      </c>
      <c r="E1434" s="1586" t="s">
        <v>3380</v>
      </c>
      <c r="F1434" s="1577">
        <v>1119</v>
      </c>
      <c r="G1434" s="1578" t="s">
        <v>142</v>
      </c>
      <c r="H1434" s="1587">
        <v>132</v>
      </c>
      <c r="I1434" s="1587"/>
      <c r="J1434" s="1587"/>
      <c r="K1434" s="1567"/>
      <c r="L1434" s="1588">
        <v>131</v>
      </c>
      <c r="M1434" s="1589"/>
      <c r="N1434" s="375"/>
      <c r="O1434" s="187"/>
      <c r="P1434" s="187"/>
      <c r="Q1434" s="187"/>
      <c r="R1434" s="187"/>
      <c r="S1434" s="187"/>
      <c r="T1434" s="187"/>
      <c r="U1434" s="187"/>
      <c r="V1434" s="187"/>
      <c r="W1434" s="187"/>
      <c r="X1434" s="187"/>
      <c r="Y1434" s="187"/>
      <c r="Z1434" s="187"/>
      <c r="AA1434" s="187"/>
      <c r="AB1434" s="187"/>
      <c r="AC1434" s="187"/>
      <c r="AD1434" s="187"/>
      <c r="AE1434" s="187"/>
      <c r="AF1434" s="187"/>
    </row>
    <row r="1435" spans="1:32">
      <c r="A1435" s="1495"/>
      <c r="B1435" s="3138" t="s">
        <v>365</v>
      </c>
      <c r="C1435" s="1495"/>
      <c r="D1435" s="1561" t="s">
        <v>1980</v>
      </c>
      <c r="E1435" s="1590" t="s">
        <v>3380</v>
      </c>
      <c r="F1435" s="1574">
        <v>1119</v>
      </c>
      <c r="G1435" s="1548" t="s">
        <v>436</v>
      </c>
      <c r="H1435" s="1549"/>
      <c r="I1435" s="1549">
        <v>132</v>
      </c>
      <c r="J1435" s="1549"/>
      <c r="K1435" s="1551"/>
      <c r="L1435" s="1581"/>
      <c r="M1435" s="3090">
        <v>131</v>
      </c>
      <c r="N1435" s="375"/>
      <c r="O1435" s="187"/>
      <c r="P1435" s="187"/>
      <c r="Q1435" s="187"/>
      <c r="R1435" s="187"/>
      <c r="S1435" s="187"/>
      <c r="T1435" s="187"/>
      <c r="U1435" s="187"/>
      <c r="V1435" s="187"/>
      <c r="W1435" s="187"/>
      <c r="X1435" s="187"/>
      <c r="Y1435" s="187"/>
      <c r="Z1435" s="187"/>
      <c r="AA1435" s="187"/>
      <c r="AB1435" s="187"/>
      <c r="AC1435" s="187"/>
      <c r="AD1435" s="187"/>
      <c r="AE1435" s="187"/>
      <c r="AF1435" s="187"/>
    </row>
    <row r="1436" spans="1:32" ht="20.399999999999999">
      <c r="A1436" s="1575"/>
      <c r="B1436" s="3147" t="s">
        <v>365</v>
      </c>
      <c r="C1436" s="1575"/>
      <c r="D1436" s="1585" t="s">
        <v>1980</v>
      </c>
      <c r="E1436" s="1586" t="s">
        <v>3380</v>
      </c>
      <c r="F1436" s="1577">
        <v>1210</v>
      </c>
      <c r="G1436" s="1578" t="s">
        <v>402</v>
      </c>
      <c r="H1436" s="1587">
        <v>31</v>
      </c>
      <c r="I1436" s="1587"/>
      <c r="J1436" s="1587"/>
      <c r="K1436" s="1567"/>
      <c r="L1436" s="1588">
        <v>32</v>
      </c>
      <c r="M1436" s="1587"/>
      <c r="N1436" s="375"/>
      <c r="O1436" s="187"/>
      <c r="P1436" s="187"/>
      <c r="Q1436" s="187"/>
      <c r="R1436" s="187"/>
      <c r="S1436" s="187"/>
      <c r="T1436" s="187"/>
      <c r="U1436" s="187"/>
      <c r="V1436" s="187"/>
      <c r="W1436" s="187"/>
      <c r="X1436" s="187"/>
      <c r="Y1436" s="187"/>
      <c r="Z1436" s="187"/>
      <c r="AA1436" s="187"/>
      <c r="AB1436" s="187"/>
      <c r="AC1436" s="187"/>
      <c r="AD1436" s="187"/>
      <c r="AE1436" s="187"/>
      <c r="AF1436" s="187"/>
    </row>
    <row r="1437" spans="1:32">
      <c r="A1437" s="1495"/>
      <c r="B1437" s="3138" t="s">
        <v>365</v>
      </c>
      <c r="C1437" s="1495"/>
      <c r="D1437" s="1561" t="s">
        <v>1980</v>
      </c>
      <c r="E1437" s="1590" t="s">
        <v>3380</v>
      </c>
      <c r="F1437" s="1574">
        <v>1210</v>
      </c>
      <c r="G1437" s="1548"/>
      <c r="H1437" s="1549"/>
      <c r="I1437" s="1549">
        <v>31</v>
      </c>
      <c r="J1437" s="1549"/>
      <c r="K1437" s="1551"/>
      <c r="L1437" s="1581"/>
      <c r="M1437" s="1591">
        <v>32</v>
      </c>
      <c r="N1437" s="375"/>
      <c r="O1437" s="187"/>
      <c r="P1437" s="187"/>
      <c r="Q1437" s="187"/>
      <c r="R1437" s="187"/>
      <c r="S1437" s="187"/>
      <c r="T1437" s="187"/>
      <c r="U1437" s="187"/>
      <c r="V1437" s="187"/>
      <c r="W1437" s="187"/>
      <c r="X1437" s="187"/>
      <c r="Y1437" s="187"/>
      <c r="Z1437" s="187"/>
      <c r="AA1437" s="187"/>
      <c r="AB1437" s="187"/>
      <c r="AC1437" s="187"/>
      <c r="AD1437" s="187"/>
      <c r="AE1437" s="187"/>
      <c r="AF1437" s="187"/>
    </row>
    <row r="1438" spans="1:32">
      <c r="A1438" s="1575"/>
      <c r="B1438" s="3147" t="s">
        <v>365</v>
      </c>
      <c r="C1438" s="1575"/>
      <c r="D1438" s="1585" t="s">
        <v>1980</v>
      </c>
      <c r="E1438" s="1586" t="s">
        <v>3380</v>
      </c>
      <c r="F1438" s="1577">
        <v>2239</v>
      </c>
      <c r="G1438" s="1578" t="s">
        <v>1017</v>
      </c>
      <c r="H1438" s="1587">
        <v>3880</v>
      </c>
      <c r="I1438" s="1587"/>
      <c r="J1438" s="1587"/>
      <c r="K1438" s="1567"/>
      <c r="L1438" s="1588">
        <v>1480</v>
      </c>
      <c r="M1438" s="1587"/>
      <c r="N1438" s="375"/>
      <c r="O1438" s="7"/>
      <c r="P1438" s="7"/>
      <c r="Q1438" s="7"/>
      <c r="R1438" s="7"/>
      <c r="S1438" s="7"/>
      <c r="T1438" s="7"/>
      <c r="U1438" s="7"/>
      <c r="V1438" s="7"/>
      <c r="W1438" s="7"/>
      <c r="X1438" s="7"/>
    </row>
    <row r="1439" spans="1:32">
      <c r="A1439" s="1495"/>
      <c r="B1439" s="3138" t="s">
        <v>365</v>
      </c>
      <c r="C1439" s="1495"/>
      <c r="D1439" s="1561" t="s">
        <v>1980</v>
      </c>
      <c r="E1439" s="1590" t="s">
        <v>3380</v>
      </c>
      <c r="F1439" s="1574">
        <v>2239</v>
      </c>
      <c r="G1439" s="1583" t="s">
        <v>1295</v>
      </c>
      <c r="H1439" s="1549"/>
      <c r="I1439" s="1549">
        <v>3880</v>
      </c>
      <c r="J1439" s="1549"/>
      <c r="K1439" s="1551"/>
      <c r="L1439" s="1581"/>
      <c r="M1439" s="1591">
        <v>1480</v>
      </c>
      <c r="N1439" s="1065"/>
      <c r="O1439" s="7"/>
      <c r="P1439" s="7"/>
      <c r="Q1439" s="7"/>
      <c r="R1439" s="7"/>
      <c r="S1439" s="7"/>
      <c r="T1439" s="7"/>
      <c r="U1439" s="7"/>
      <c r="V1439" s="7"/>
      <c r="W1439" s="7"/>
      <c r="X1439" s="7"/>
    </row>
    <row r="1440" spans="1:32">
      <c r="A1440" s="1495"/>
      <c r="B1440" s="3138" t="s">
        <v>365</v>
      </c>
      <c r="C1440" s="1495"/>
      <c r="D1440" s="1561" t="s">
        <v>1980</v>
      </c>
      <c r="E1440" s="1590" t="s">
        <v>3380</v>
      </c>
      <c r="F1440" s="1574">
        <v>2239</v>
      </c>
      <c r="G1440" s="1583" t="s">
        <v>319</v>
      </c>
      <c r="H1440" s="1549"/>
      <c r="I1440" s="1549"/>
      <c r="J1440" s="1549"/>
      <c r="K1440" s="1551"/>
      <c r="L1440" s="1581"/>
      <c r="M1440" s="1591">
        <v>163</v>
      </c>
      <c r="N1440" s="1065"/>
      <c r="O1440" s="7"/>
      <c r="P1440" s="7"/>
      <c r="Q1440" s="7"/>
      <c r="R1440" s="7"/>
      <c r="S1440" s="7"/>
      <c r="T1440" s="7"/>
      <c r="U1440" s="7"/>
      <c r="V1440" s="7"/>
      <c r="W1440" s="7"/>
      <c r="X1440" s="7"/>
    </row>
    <row r="1441" spans="1:32">
      <c r="A1441" s="1495"/>
      <c r="B1441" s="3138" t="s">
        <v>365</v>
      </c>
      <c r="C1441" s="1495"/>
      <c r="D1441" s="1561" t="s">
        <v>1980</v>
      </c>
      <c r="E1441" s="1590" t="s">
        <v>3380</v>
      </c>
      <c r="F1441" s="1574">
        <v>2239</v>
      </c>
      <c r="G1441" s="1583" t="s">
        <v>5219</v>
      </c>
      <c r="H1441" s="1549"/>
      <c r="I1441" s="1549"/>
      <c r="J1441" s="1549"/>
      <c r="K1441" s="1551"/>
      <c r="L1441" s="1581"/>
      <c r="M1441" s="1591">
        <v>-163</v>
      </c>
      <c r="N1441" s="1065"/>
      <c r="O1441" s="187"/>
      <c r="P1441" s="187"/>
      <c r="Q1441" s="187"/>
      <c r="R1441" s="187"/>
      <c r="S1441" s="187"/>
      <c r="T1441" s="187"/>
      <c r="U1441" s="187"/>
      <c r="V1441" s="187"/>
      <c r="W1441" s="187"/>
      <c r="X1441" s="187"/>
      <c r="Y1441" s="187"/>
      <c r="Z1441" s="187"/>
      <c r="AA1441" s="187"/>
      <c r="AB1441" s="187"/>
      <c r="AC1441" s="187"/>
      <c r="AD1441" s="187"/>
      <c r="AE1441" s="187"/>
      <c r="AF1441" s="187"/>
    </row>
    <row r="1442" spans="1:32">
      <c r="A1442" s="683"/>
      <c r="B1442" s="3129" t="s">
        <v>436</v>
      </c>
      <c r="C1442" s="683" t="s">
        <v>427</v>
      </c>
      <c r="D1442" s="719" t="s">
        <v>1980</v>
      </c>
      <c r="E1442" s="742" t="s">
        <v>1941</v>
      </c>
      <c r="F1442" s="824">
        <v>1119</v>
      </c>
      <c r="G1442" s="800" t="s">
        <v>225</v>
      </c>
      <c r="H1442" s="713">
        <v>536336.59199999995</v>
      </c>
      <c r="I1442" s="713"/>
      <c r="J1442" s="1654">
        <v>437405</v>
      </c>
      <c r="K1442" s="842"/>
      <c r="L1442" s="713">
        <v>611658.69600000023</v>
      </c>
      <c r="M1442" s="713"/>
      <c r="N1442" s="1065"/>
      <c r="O1442" s="187"/>
      <c r="P1442" s="187"/>
      <c r="Q1442" s="187"/>
      <c r="R1442" s="187"/>
      <c r="S1442" s="187"/>
      <c r="T1442" s="187"/>
      <c r="U1442" s="187"/>
      <c r="V1442" s="187"/>
      <c r="W1442" s="187"/>
      <c r="X1442" s="187"/>
      <c r="Y1442" s="187"/>
      <c r="Z1442" s="187"/>
      <c r="AA1442" s="187"/>
      <c r="AB1442" s="187"/>
      <c r="AC1442" s="187"/>
      <c r="AD1442" s="187"/>
      <c r="AE1442" s="187"/>
      <c r="AF1442" s="187"/>
    </row>
    <row r="1443" spans="1:32">
      <c r="A1443" s="663"/>
      <c r="B1443" s="3130" t="s">
        <v>436</v>
      </c>
      <c r="C1443" s="663" t="s">
        <v>427</v>
      </c>
      <c r="D1443" s="678" t="s">
        <v>1980</v>
      </c>
      <c r="E1443" s="700" t="s">
        <v>1941</v>
      </c>
      <c r="F1443" s="795">
        <v>1119</v>
      </c>
      <c r="G1443" s="812" t="s">
        <v>436</v>
      </c>
      <c r="H1443" s="714"/>
      <c r="I1443" s="714">
        <v>606336.59199999995</v>
      </c>
      <c r="J1443" s="1654" t="s">
        <v>1134</v>
      </c>
      <c r="K1443" s="842"/>
      <c r="L1443" s="714"/>
      <c r="M1443" s="714">
        <v>611658.69600000023</v>
      </c>
      <c r="N1443" s="1065"/>
      <c r="O1443" s="187"/>
      <c r="P1443" s="187"/>
      <c r="Q1443" s="187"/>
      <c r="R1443" s="187"/>
      <c r="S1443" s="187"/>
      <c r="T1443" s="187"/>
      <c r="U1443" s="187"/>
      <c r="V1443" s="187"/>
      <c r="W1443" s="187"/>
      <c r="X1443" s="187"/>
      <c r="Y1443" s="187"/>
      <c r="Z1443" s="187"/>
      <c r="AA1443" s="187"/>
      <c r="AB1443" s="187"/>
      <c r="AC1443" s="187"/>
      <c r="AD1443" s="187"/>
      <c r="AE1443" s="187"/>
      <c r="AF1443" s="187"/>
    </row>
    <row r="1444" spans="1:32" ht="22.5" customHeight="1">
      <c r="A1444" s="663"/>
      <c r="B1444" s="3130" t="s">
        <v>436</v>
      </c>
      <c r="C1444" s="663" t="s">
        <v>427</v>
      </c>
      <c r="D1444" s="678" t="s">
        <v>1980</v>
      </c>
      <c r="E1444" s="1407" t="s">
        <v>1941</v>
      </c>
      <c r="F1444" s="1413">
        <v>1119</v>
      </c>
      <c r="G1444" s="1803" t="s">
        <v>3429</v>
      </c>
      <c r="H1444" s="2158"/>
      <c r="I1444" s="2158">
        <v>-70000</v>
      </c>
      <c r="J1444" s="1684" t="s">
        <v>1134</v>
      </c>
      <c r="K1444" s="2364"/>
      <c r="L1444" s="2158"/>
      <c r="M1444" s="2158"/>
      <c r="N1444" s="1065"/>
      <c r="O1444" s="4"/>
      <c r="P1444" s="4"/>
      <c r="Q1444" s="4"/>
      <c r="R1444" s="4"/>
      <c r="S1444" s="4"/>
      <c r="T1444" s="4"/>
      <c r="U1444" s="4"/>
      <c r="V1444" s="4"/>
      <c r="W1444" s="4"/>
      <c r="X1444" s="4"/>
      <c r="Y1444" s="4"/>
      <c r="Z1444" s="4"/>
      <c r="AA1444" s="4"/>
      <c r="AB1444" s="4"/>
      <c r="AC1444" s="4"/>
      <c r="AD1444" s="4"/>
      <c r="AE1444" s="4"/>
      <c r="AF1444" s="4"/>
    </row>
    <row r="1445" spans="1:32">
      <c r="A1445" s="720"/>
      <c r="B1445" s="3129" t="s">
        <v>326</v>
      </c>
      <c r="C1445" s="720" t="s">
        <v>321</v>
      </c>
      <c r="D1445" s="823" t="s">
        <v>1980</v>
      </c>
      <c r="E1445" s="1415" t="s">
        <v>1953</v>
      </c>
      <c r="F1445" s="1698">
        <v>1119</v>
      </c>
      <c r="G1445" s="1691" t="s">
        <v>226</v>
      </c>
      <c r="H1445" s="2503">
        <v>622470.87999999989</v>
      </c>
      <c r="I1445" s="2503"/>
      <c r="J1445" s="1684">
        <v>401928.62</v>
      </c>
      <c r="K1445" s="2364"/>
      <c r="L1445" s="2503">
        <v>660002.80000000005</v>
      </c>
      <c r="M1445" s="2503"/>
      <c r="N1445" s="375"/>
      <c r="O1445" s="4"/>
      <c r="P1445" s="4"/>
      <c r="Q1445" s="4"/>
      <c r="R1445" s="4"/>
      <c r="S1445" s="4"/>
      <c r="T1445" s="4"/>
      <c r="U1445" s="4"/>
      <c r="V1445" s="4"/>
      <c r="W1445" s="4"/>
      <c r="X1445" s="4"/>
      <c r="Y1445" s="4"/>
      <c r="Z1445" s="4"/>
      <c r="AA1445" s="4"/>
      <c r="AB1445" s="4"/>
      <c r="AC1445" s="4"/>
      <c r="AD1445" s="4"/>
      <c r="AE1445" s="4"/>
      <c r="AF1445" s="4"/>
    </row>
    <row r="1446" spans="1:32">
      <c r="A1446" s="700"/>
      <c r="B1446" s="3130" t="s">
        <v>326</v>
      </c>
      <c r="C1446" s="700" t="s">
        <v>321</v>
      </c>
      <c r="D1446" s="794" t="s">
        <v>1980</v>
      </c>
      <c r="E1446" s="1407" t="s">
        <v>1953</v>
      </c>
      <c r="F1446" s="1413">
        <v>1119</v>
      </c>
      <c r="G1446" s="1803" t="s">
        <v>1295</v>
      </c>
      <c r="H1446" s="2158"/>
      <c r="I1446" s="2158">
        <v>16595</v>
      </c>
      <c r="J1446" s="1684" t="s">
        <v>1134</v>
      </c>
      <c r="K1446" s="2364"/>
      <c r="L1446" s="2158"/>
      <c r="M1446" s="2158">
        <v>0</v>
      </c>
      <c r="N1446" s="375"/>
      <c r="O1446" s="187"/>
      <c r="P1446" s="187"/>
      <c r="Q1446" s="187"/>
      <c r="R1446" s="187"/>
      <c r="S1446" s="187"/>
      <c r="T1446" s="187"/>
      <c r="U1446" s="187"/>
      <c r="V1446" s="187"/>
      <c r="W1446" s="187"/>
      <c r="X1446" s="187"/>
      <c r="Y1446" s="187"/>
      <c r="Z1446" s="187"/>
      <c r="AA1446" s="187"/>
      <c r="AB1446" s="187"/>
      <c r="AC1446" s="187"/>
      <c r="AD1446" s="187"/>
      <c r="AE1446" s="187"/>
      <c r="AF1446" s="187"/>
    </row>
    <row r="1447" spans="1:32" ht="20.399999999999999">
      <c r="A1447" s="700"/>
      <c r="B1447" s="3130" t="s">
        <v>326</v>
      </c>
      <c r="C1447" s="700" t="s">
        <v>321</v>
      </c>
      <c r="D1447" s="794" t="s">
        <v>1980</v>
      </c>
      <c r="E1447" s="1407" t="s">
        <v>1953</v>
      </c>
      <c r="F1447" s="1413">
        <v>1119</v>
      </c>
      <c r="G1447" s="1803" t="s">
        <v>1844</v>
      </c>
      <c r="H1447" s="2158"/>
      <c r="I1447" s="2158">
        <v>561403.87999999989</v>
      </c>
      <c r="J1447" s="1684" t="s">
        <v>1134</v>
      </c>
      <c r="K1447" s="2364"/>
      <c r="L1447" s="2158"/>
      <c r="M1447" s="2158">
        <v>614023.80000000005</v>
      </c>
      <c r="N1447" s="375"/>
      <c r="O1447" s="187"/>
      <c r="P1447" s="187"/>
      <c r="Q1447" s="187"/>
      <c r="R1447" s="187"/>
      <c r="S1447" s="187"/>
      <c r="T1447" s="187"/>
      <c r="U1447" s="187"/>
      <c r="V1447" s="187"/>
      <c r="W1447" s="187"/>
      <c r="X1447" s="187"/>
      <c r="Y1447" s="187"/>
      <c r="Z1447" s="187"/>
      <c r="AA1447" s="187"/>
      <c r="AB1447" s="187"/>
      <c r="AC1447" s="187"/>
      <c r="AD1447" s="187"/>
      <c r="AE1447" s="187"/>
      <c r="AF1447" s="187"/>
    </row>
    <row r="1448" spans="1:32" ht="30.6">
      <c r="A1448" s="700"/>
      <c r="B1448" s="3130" t="s">
        <v>326</v>
      </c>
      <c r="C1448" s="700" t="s">
        <v>321</v>
      </c>
      <c r="D1448" s="794" t="s">
        <v>1980</v>
      </c>
      <c r="E1448" s="1407" t="s">
        <v>1953</v>
      </c>
      <c r="F1448" s="1413">
        <v>1119</v>
      </c>
      <c r="G1448" s="1803" t="s">
        <v>5333</v>
      </c>
      <c r="H1448" s="2158"/>
      <c r="I1448" s="2158"/>
      <c r="J1448" s="1684" t="s">
        <v>1134</v>
      </c>
      <c r="K1448" s="2364"/>
      <c r="L1448" s="2158"/>
      <c r="M1448" s="2158">
        <v>45979</v>
      </c>
      <c r="N1448" s="1065"/>
    </row>
    <row r="1449" spans="1:32" ht="20.399999999999999">
      <c r="A1449" s="700"/>
      <c r="B1449" s="3130" t="s">
        <v>326</v>
      </c>
      <c r="C1449" s="700" t="s">
        <v>321</v>
      </c>
      <c r="D1449" s="794" t="s">
        <v>1980</v>
      </c>
      <c r="E1449" s="1407" t="s">
        <v>1953</v>
      </c>
      <c r="F1449" s="1413">
        <v>1119</v>
      </c>
      <c r="G1449" s="1803" t="s">
        <v>2022</v>
      </c>
      <c r="H1449" s="2158"/>
      <c r="I1449" s="2158">
        <v>-30000</v>
      </c>
      <c r="J1449" s="1684" t="s">
        <v>1134</v>
      </c>
      <c r="K1449" s="2364"/>
      <c r="L1449" s="2158"/>
      <c r="M1449" s="2158"/>
      <c r="N1449" s="1065"/>
    </row>
    <row r="1450" spans="1:32">
      <c r="A1450" s="700"/>
      <c r="B1450" s="3130" t="s">
        <v>326</v>
      </c>
      <c r="C1450" s="700" t="s">
        <v>321</v>
      </c>
      <c r="D1450" s="794" t="s">
        <v>1980</v>
      </c>
      <c r="E1450" s="1407" t="s">
        <v>1953</v>
      </c>
      <c r="F1450" s="1413">
        <v>1119</v>
      </c>
      <c r="G1450" s="1803" t="s">
        <v>1845</v>
      </c>
      <c r="H1450" s="2158"/>
      <c r="I1450" s="2158"/>
      <c r="J1450" s="1684" t="s">
        <v>1134</v>
      </c>
      <c r="K1450" s="2364"/>
      <c r="L1450" s="2158"/>
      <c r="M1450" s="2158"/>
      <c r="N1450" s="1065"/>
    </row>
    <row r="1451" spans="1:32">
      <c r="A1451" s="700"/>
      <c r="B1451" s="3130" t="s">
        <v>326</v>
      </c>
      <c r="C1451" s="700" t="s">
        <v>321</v>
      </c>
      <c r="D1451" s="794" t="s">
        <v>1980</v>
      </c>
      <c r="E1451" s="1407" t="s">
        <v>1953</v>
      </c>
      <c r="F1451" s="1413">
        <v>1119</v>
      </c>
      <c r="G1451" s="1803" t="s">
        <v>2036</v>
      </c>
      <c r="H1451" s="2158"/>
      <c r="I1451" s="2158">
        <v>74472</v>
      </c>
      <c r="J1451" s="1684" t="s">
        <v>1134</v>
      </c>
      <c r="K1451" s="2364"/>
      <c r="L1451" s="2158"/>
      <c r="M1451" s="2158"/>
      <c r="N1451" s="1065"/>
    </row>
    <row r="1452" spans="1:32" ht="20.399999999999999">
      <c r="A1452" s="683"/>
      <c r="B1452" s="3129" t="s">
        <v>436</v>
      </c>
      <c r="C1452" s="683" t="s">
        <v>427</v>
      </c>
      <c r="D1452" s="719" t="s">
        <v>1980</v>
      </c>
      <c r="E1452" s="1406" t="s">
        <v>1941</v>
      </c>
      <c r="F1452" s="1698">
        <v>1146</v>
      </c>
      <c r="G1452" s="1691" t="s">
        <v>600</v>
      </c>
      <c r="H1452" s="2151">
        <v>1000</v>
      </c>
      <c r="I1452" s="2151"/>
      <c r="J1452" s="1684">
        <v>260</v>
      </c>
      <c r="K1452" s="2364"/>
      <c r="L1452" s="2151">
        <v>1000</v>
      </c>
      <c r="M1452" s="2151"/>
      <c r="N1452" s="2048"/>
    </row>
    <row r="1453" spans="1:32">
      <c r="A1453" s="663"/>
      <c r="B1453" s="3130" t="s">
        <v>436</v>
      </c>
      <c r="C1453" s="663" t="s">
        <v>427</v>
      </c>
      <c r="D1453" s="678" t="s">
        <v>1980</v>
      </c>
      <c r="E1453" s="1407" t="s">
        <v>1941</v>
      </c>
      <c r="F1453" s="1413">
        <v>1146</v>
      </c>
      <c r="G1453" s="1803" t="s">
        <v>436</v>
      </c>
      <c r="H1453" s="2158"/>
      <c r="I1453" s="2158">
        <v>1000</v>
      </c>
      <c r="J1453" s="1684" t="s">
        <v>1134</v>
      </c>
      <c r="K1453" s="2364"/>
      <c r="L1453" s="2158"/>
      <c r="M1453" s="2158">
        <v>1000</v>
      </c>
      <c r="N1453" s="2190"/>
    </row>
    <row r="1454" spans="1:32" ht="20.399999999999999">
      <c r="A1454" s="720"/>
      <c r="B1454" s="3129" t="s">
        <v>326</v>
      </c>
      <c r="C1454" s="720" t="s">
        <v>321</v>
      </c>
      <c r="D1454" s="823" t="s">
        <v>1980</v>
      </c>
      <c r="E1454" s="1406" t="s">
        <v>1953</v>
      </c>
      <c r="F1454" s="1698">
        <v>1146</v>
      </c>
      <c r="G1454" s="1691" t="s">
        <v>600</v>
      </c>
      <c r="H1454" s="2503">
        <v>3500</v>
      </c>
      <c r="I1454" s="2503"/>
      <c r="J1454" s="1684">
        <v>0</v>
      </c>
      <c r="K1454" s="2364"/>
      <c r="L1454" s="2364">
        <v>3500</v>
      </c>
      <c r="M1454" s="2151"/>
      <c r="N1454" s="2048"/>
      <c r="O1454" s="4"/>
      <c r="P1454" s="4"/>
      <c r="Q1454" s="4"/>
      <c r="R1454" s="4"/>
      <c r="S1454" s="4"/>
      <c r="T1454" s="4"/>
      <c r="U1454" s="4"/>
      <c r="V1454" s="4"/>
      <c r="W1454" s="4"/>
      <c r="X1454" s="4"/>
      <c r="Y1454" s="4"/>
      <c r="Z1454" s="4"/>
      <c r="AA1454" s="4"/>
      <c r="AB1454" s="4"/>
      <c r="AC1454" s="4"/>
      <c r="AD1454" s="4"/>
      <c r="AE1454" s="4"/>
      <c r="AF1454" s="4"/>
    </row>
    <row r="1455" spans="1:32">
      <c r="A1455" s="700"/>
      <c r="B1455" s="3130" t="s">
        <v>326</v>
      </c>
      <c r="C1455" s="700" t="s">
        <v>321</v>
      </c>
      <c r="D1455" s="794" t="s">
        <v>1980</v>
      </c>
      <c r="E1455" s="1407" t="s">
        <v>1953</v>
      </c>
      <c r="F1455" s="1413">
        <v>1146</v>
      </c>
      <c r="G1455" s="1803" t="s">
        <v>748</v>
      </c>
      <c r="H1455" s="2158"/>
      <c r="I1455" s="2158">
        <v>3500</v>
      </c>
      <c r="J1455" s="1684" t="s">
        <v>1134</v>
      </c>
      <c r="K1455" s="2364"/>
      <c r="L1455" s="2158"/>
      <c r="M1455" s="2158">
        <v>3500</v>
      </c>
      <c r="N1455" s="381"/>
      <c r="O1455" s="187"/>
      <c r="P1455" s="187"/>
      <c r="Q1455" s="187"/>
      <c r="R1455" s="187"/>
      <c r="S1455" s="187"/>
      <c r="T1455" s="187"/>
      <c r="U1455" s="187"/>
      <c r="V1455" s="187"/>
      <c r="W1455" s="187"/>
      <c r="X1455" s="187"/>
      <c r="Y1455" s="187"/>
      <c r="Z1455" s="187"/>
      <c r="AA1455" s="187"/>
      <c r="AB1455" s="187"/>
      <c r="AC1455" s="187"/>
      <c r="AD1455" s="187"/>
      <c r="AE1455" s="187"/>
      <c r="AF1455" s="187"/>
    </row>
    <row r="1456" spans="1:32">
      <c r="A1456" s="700"/>
      <c r="B1456" s="3130" t="s">
        <v>326</v>
      </c>
      <c r="C1456" s="700" t="s">
        <v>321</v>
      </c>
      <c r="D1456" s="794" t="s">
        <v>1980</v>
      </c>
      <c r="E1456" s="1407" t="s">
        <v>1953</v>
      </c>
      <c r="F1456" s="1413">
        <v>1146</v>
      </c>
      <c r="G1456" s="1803" t="s">
        <v>721</v>
      </c>
      <c r="H1456" s="2158"/>
      <c r="I1456" s="2158"/>
      <c r="J1456" s="1684" t="s">
        <v>1134</v>
      </c>
      <c r="K1456" s="2364"/>
      <c r="L1456" s="2158"/>
      <c r="M1456" s="2158"/>
      <c r="N1456" s="2048"/>
      <c r="O1456" s="4"/>
      <c r="P1456" s="4"/>
      <c r="Q1456" s="4"/>
      <c r="R1456" s="4"/>
      <c r="S1456" s="4"/>
      <c r="T1456" s="4"/>
      <c r="U1456" s="4"/>
      <c r="V1456" s="4"/>
      <c r="W1456" s="4"/>
      <c r="X1456" s="4"/>
      <c r="Y1456" s="4"/>
      <c r="Z1456" s="4"/>
      <c r="AA1456" s="4"/>
      <c r="AB1456" s="4"/>
      <c r="AC1456" s="4"/>
      <c r="AD1456" s="4"/>
      <c r="AE1456" s="4"/>
      <c r="AF1456" s="4"/>
    </row>
    <row r="1457" spans="1:32">
      <c r="A1457" s="720"/>
      <c r="B1457" s="3129" t="s">
        <v>326</v>
      </c>
      <c r="C1457" s="720" t="s">
        <v>321</v>
      </c>
      <c r="D1457" s="823" t="s">
        <v>1980</v>
      </c>
      <c r="E1457" s="1406" t="s">
        <v>1953</v>
      </c>
      <c r="F1457" s="1698">
        <v>1147</v>
      </c>
      <c r="G1457" s="1691" t="s">
        <v>428</v>
      </c>
      <c r="H1457" s="2503">
        <v>33500</v>
      </c>
      <c r="I1457" s="2503"/>
      <c r="J1457" s="1684">
        <v>21316.28</v>
      </c>
      <c r="K1457" s="2364"/>
      <c r="L1457" s="2364">
        <v>3500</v>
      </c>
      <c r="M1457" s="2151"/>
      <c r="N1457" s="305"/>
      <c r="O1457" s="187"/>
      <c r="P1457" s="187"/>
      <c r="Q1457" s="187"/>
      <c r="R1457" s="187"/>
      <c r="S1457" s="187"/>
      <c r="T1457" s="187"/>
      <c r="U1457" s="187"/>
      <c r="V1457" s="187"/>
      <c r="W1457" s="187"/>
      <c r="X1457" s="187"/>
      <c r="Y1457" s="187"/>
      <c r="Z1457" s="187"/>
      <c r="AA1457" s="187"/>
      <c r="AB1457" s="187"/>
      <c r="AC1457" s="187"/>
      <c r="AD1457" s="187"/>
      <c r="AE1457" s="187"/>
      <c r="AF1457" s="187"/>
    </row>
    <row r="1458" spans="1:32">
      <c r="A1458" s="700"/>
      <c r="B1458" s="3130" t="s">
        <v>326</v>
      </c>
      <c r="C1458" s="700" t="s">
        <v>321</v>
      </c>
      <c r="D1458" s="794" t="s">
        <v>1980</v>
      </c>
      <c r="E1458" s="1407" t="s">
        <v>1953</v>
      </c>
      <c r="F1458" s="1413">
        <v>1147</v>
      </c>
      <c r="G1458" s="1803"/>
      <c r="H1458" s="2158"/>
      <c r="I1458" s="2158">
        <v>3500</v>
      </c>
      <c r="J1458" s="1684" t="s">
        <v>1134</v>
      </c>
      <c r="K1458" s="2364"/>
      <c r="L1458" s="2158"/>
      <c r="M1458" s="2158">
        <v>3500</v>
      </c>
      <c r="N1458" s="2048"/>
      <c r="O1458" s="4"/>
      <c r="P1458" s="4"/>
      <c r="Q1458" s="4"/>
      <c r="R1458" s="4"/>
      <c r="S1458" s="4"/>
      <c r="T1458" s="4"/>
      <c r="U1458" s="4"/>
      <c r="V1458" s="4"/>
      <c r="W1458" s="4"/>
      <c r="X1458" s="4"/>
      <c r="Y1458" s="4"/>
      <c r="Z1458" s="4"/>
      <c r="AA1458" s="4"/>
      <c r="AB1458" s="4"/>
      <c r="AC1458" s="4"/>
      <c r="AD1458" s="4"/>
      <c r="AE1458" s="4"/>
      <c r="AF1458" s="4"/>
    </row>
    <row r="1459" spans="1:32" ht="20.399999999999999">
      <c r="A1459" s="700"/>
      <c r="B1459" s="3130" t="s">
        <v>326</v>
      </c>
      <c r="C1459" s="700" t="s">
        <v>321</v>
      </c>
      <c r="D1459" s="794" t="s">
        <v>1980</v>
      </c>
      <c r="E1459" s="1407" t="s">
        <v>1953</v>
      </c>
      <c r="F1459" s="1413">
        <v>1147</v>
      </c>
      <c r="G1459" s="1803" t="s">
        <v>2022</v>
      </c>
      <c r="H1459" s="2158"/>
      <c r="I1459" s="2158">
        <v>30000</v>
      </c>
      <c r="J1459" s="1684" t="s">
        <v>1134</v>
      </c>
      <c r="K1459" s="2364"/>
      <c r="L1459" s="2158"/>
      <c r="M1459" s="2158"/>
      <c r="N1459" s="2048"/>
      <c r="O1459" s="187"/>
      <c r="P1459" s="187"/>
      <c r="Q1459" s="187"/>
      <c r="R1459" s="187"/>
      <c r="S1459" s="187"/>
      <c r="T1459" s="187"/>
      <c r="U1459" s="187"/>
      <c r="V1459" s="187"/>
      <c r="W1459" s="187"/>
      <c r="X1459" s="187"/>
      <c r="Y1459" s="187"/>
      <c r="Z1459" s="187"/>
      <c r="AA1459" s="187"/>
      <c r="AB1459" s="187"/>
      <c r="AC1459" s="187"/>
      <c r="AD1459" s="187"/>
      <c r="AE1459" s="187"/>
      <c r="AF1459" s="187"/>
    </row>
    <row r="1460" spans="1:32" ht="22.5" customHeight="1">
      <c r="A1460" s="700"/>
      <c r="B1460" s="3130" t="s">
        <v>326</v>
      </c>
      <c r="C1460" s="700" t="s">
        <v>321</v>
      </c>
      <c r="D1460" s="794" t="s">
        <v>1980</v>
      </c>
      <c r="E1460" s="1407" t="s">
        <v>1953</v>
      </c>
      <c r="F1460" s="1413">
        <v>1147</v>
      </c>
      <c r="G1460" s="1803" t="s">
        <v>722</v>
      </c>
      <c r="H1460" s="2158"/>
      <c r="I1460" s="2158"/>
      <c r="J1460" s="1684" t="s">
        <v>1134</v>
      </c>
      <c r="K1460" s="2364"/>
      <c r="L1460" s="2158"/>
      <c r="M1460" s="2158"/>
      <c r="N1460" s="2048"/>
      <c r="O1460" s="4"/>
      <c r="P1460" s="4"/>
      <c r="Q1460" s="4"/>
      <c r="R1460" s="4"/>
      <c r="S1460" s="4"/>
      <c r="T1460" s="4"/>
      <c r="U1460" s="4"/>
      <c r="V1460" s="4"/>
      <c r="W1460" s="4"/>
      <c r="X1460" s="4"/>
      <c r="Y1460" s="4"/>
      <c r="Z1460" s="4"/>
      <c r="AA1460" s="4"/>
      <c r="AB1460" s="4"/>
      <c r="AC1460" s="4"/>
      <c r="AD1460" s="4"/>
      <c r="AE1460" s="4"/>
      <c r="AF1460" s="4"/>
    </row>
    <row r="1461" spans="1:32">
      <c r="A1461" s="683"/>
      <c r="B1461" s="3129" t="s">
        <v>436</v>
      </c>
      <c r="C1461" s="683" t="s">
        <v>427</v>
      </c>
      <c r="D1461" s="719" t="s">
        <v>1980</v>
      </c>
      <c r="E1461" s="1406" t="s">
        <v>1941</v>
      </c>
      <c r="F1461" s="1698">
        <v>1147</v>
      </c>
      <c r="G1461" s="1691" t="s">
        <v>111</v>
      </c>
      <c r="H1461" s="2151">
        <v>96444.720400000006</v>
      </c>
      <c r="I1461" s="2151"/>
      <c r="J1461" s="1684">
        <v>37059</v>
      </c>
      <c r="K1461" s="2364"/>
      <c r="L1461" s="2151">
        <v>90707.676800000016</v>
      </c>
      <c r="M1461" s="2151"/>
      <c r="N1461" s="2048"/>
      <c r="O1461" s="187"/>
      <c r="P1461" s="187"/>
      <c r="Q1461" s="187"/>
      <c r="R1461" s="187"/>
      <c r="S1461" s="187"/>
      <c r="T1461" s="187"/>
      <c r="U1461" s="187"/>
      <c r="V1461" s="187"/>
      <c r="W1461" s="187"/>
      <c r="X1461" s="187"/>
      <c r="Y1461" s="187"/>
      <c r="Z1461" s="187"/>
      <c r="AA1461" s="187"/>
      <c r="AB1461" s="187"/>
      <c r="AC1461" s="187"/>
      <c r="AD1461" s="187"/>
      <c r="AE1461" s="187"/>
      <c r="AF1461" s="187"/>
    </row>
    <row r="1462" spans="1:32">
      <c r="A1462" s="663"/>
      <c r="B1462" s="3130" t="s">
        <v>436</v>
      </c>
      <c r="C1462" s="663" t="s">
        <v>427</v>
      </c>
      <c r="D1462" s="678" t="s">
        <v>1980</v>
      </c>
      <c r="E1462" s="1407" t="s">
        <v>1941</v>
      </c>
      <c r="F1462" s="1413">
        <v>1147</v>
      </c>
      <c r="G1462" s="1803" t="s">
        <v>4043</v>
      </c>
      <c r="H1462" s="2158"/>
      <c r="I1462" s="2158">
        <v>100769.72039999999</v>
      </c>
      <c r="J1462" s="1684" t="s">
        <v>1134</v>
      </c>
      <c r="K1462" s="2364"/>
      <c r="L1462" s="2158"/>
      <c r="M1462" s="2158">
        <v>90707.676800000016</v>
      </c>
      <c r="N1462" s="2048"/>
      <c r="O1462" s="187"/>
      <c r="P1462" s="187"/>
      <c r="Q1462" s="187"/>
      <c r="R1462" s="187"/>
      <c r="S1462" s="187"/>
      <c r="T1462" s="187"/>
      <c r="U1462" s="187"/>
      <c r="V1462" s="187"/>
      <c r="W1462" s="187"/>
      <c r="X1462" s="187"/>
      <c r="Y1462" s="187"/>
      <c r="Z1462" s="187"/>
      <c r="AA1462" s="187"/>
      <c r="AB1462" s="187"/>
      <c r="AC1462" s="187"/>
      <c r="AD1462" s="187"/>
      <c r="AE1462" s="187"/>
      <c r="AF1462" s="187"/>
    </row>
    <row r="1463" spans="1:32" ht="20.399999999999999">
      <c r="A1463" s="663"/>
      <c r="B1463" s="3130" t="s">
        <v>436</v>
      </c>
      <c r="C1463" s="663" t="s">
        <v>427</v>
      </c>
      <c r="D1463" s="678" t="s">
        <v>1980</v>
      </c>
      <c r="E1463" s="1407" t="s">
        <v>1941</v>
      </c>
      <c r="F1463" s="1413">
        <v>1147</v>
      </c>
      <c r="G1463" s="1803" t="s">
        <v>3066</v>
      </c>
      <c r="H1463" s="2158"/>
      <c r="I1463" s="2158">
        <v>-1000</v>
      </c>
      <c r="J1463" s="1684" t="s">
        <v>1134</v>
      </c>
      <c r="K1463" s="2364"/>
      <c r="L1463" s="2158"/>
      <c r="M1463" s="2158"/>
      <c r="N1463" s="2048"/>
      <c r="O1463" s="187"/>
      <c r="P1463" s="187"/>
      <c r="Q1463" s="187"/>
      <c r="R1463" s="187"/>
      <c r="S1463" s="187"/>
      <c r="T1463" s="187"/>
      <c r="U1463" s="187"/>
      <c r="V1463" s="187"/>
      <c r="W1463" s="187"/>
      <c r="X1463" s="187"/>
      <c r="Y1463" s="187"/>
      <c r="Z1463" s="187"/>
      <c r="AA1463" s="187"/>
      <c r="AB1463" s="187"/>
      <c r="AC1463" s="187"/>
      <c r="AD1463" s="187"/>
      <c r="AE1463" s="187"/>
      <c r="AF1463" s="187"/>
    </row>
    <row r="1464" spans="1:32" ht="20.399999999999999">
      <c r="A1464" s="663"/>
      <c r="B1464" s="3130" t="s">
        <v>436</v>
      </c>
      <c r="C1464" s="663" t="s">
        <v>427</v>
      </c>
      <c r="D1464" s="678" t="s">
        <v>1980</v>
      </c>
      <c r="E1464" s="1407" t="s">
        <v>1941</v>
      </c>
      <c r="F1464" s="1413">
        <v>1147</v>
      </c>
      <c r="G1464" s="1803" t="s">
        <v>2030</v>
      </c>
      <c r="H1464" s="2158"/>
      <c r="I1464" s="2158">
        <v>-3000</v>
      </c>
      <c r="J1464" s="1684" t="s">
        <v>1134</v>
      </c>
      <c r="K1464" s="2364"/>
      <c r="L1464" s="2158"/>
      <c r="M1464" s="2158"/>
      <c r="N1464" s="2048"/>
      <c r="O1464" s="7"/>
      <c r="P1464" s="7"/>
      <c r="Q1464" s="7"/>
      <c r="R1464" s="7"/>
      <c r="S1464" s="7"/>
      <c r="T1464" s="7"/>
      <c r="U1464" s="7"/>
      <c r="V1464" s="7"/>
      <c r="W1464" s="7"/>
      <c r="X1464" s="7"/>
    </row>
    <row r="1465" spans="1:32" ht="11.4" customHeight="1">
      <c r="A1465" s="720"/>
      <c r="B1465" s="3129" t="s">
        <v>326</v>
      </c>
      <c r="C1465" s="720" t="s">
        <v>321</v>
      </c>
      <c r="D1465" s="823" t="s">
        <v>1980</v>
      </c>
      <c r="E1465" s="1406" t="s">
        <v>1953</v>
      </c>
      <c r="F1465" s="1698">
        <v>1148</v>
      </c>
      <c r="G1465" s="1691" t="s">
        <v>112</v>
      </c>
      <c r="H1465" s="2503">
        <v>30000</v>
      </c>
      <c r="I1465" s="2503"/>
      <c r="J1465" s="1684">
        <v>16025.46</v>
      </c>
      <c r="K1465" s="2364"/>
      <c r="L1465" s="2364">
        <v>20000</v>
      </c>
      <c r="M1465" s="2503"/>
      <c r="N1465" s="2193"/>
      <c r="O1465" s="7"/>
      <c r="P1465" s="7"/>
      <c r="Q1465" s="7"/>
      <c r="R1465" s="7"/>
      <c r="S1465" s="7"/>
      <c r="T1465" s="7"/>
      <c r="U1465" s="7"/>
      <c r="V1465" s="7"/>
      <c r="W1465" s="7"/>
      <c r="X1465" s="7"/>
    </row>
    <row r="1466" spans="1:32" ht="20.399999999999999">
      <c r="A1466" s="700"/>
      <c r="B1466" s="3130" t="s">
        <v>326</v>
      </c>
      <c r="C1466" s="700" t="s">
        <v>321</v>
      </c>
      <c r="D1466" s="794" t="s">
        <v>1980</v>
      </c>
      <c r="E1466" s="1407" t="s">
        <v>1953</v>
      </c>
      <c r="F1466" s="1413">
        <v>1148</v>
      </c>
      <c r="G1466" s="818" t="s">
        <v>1844</v>
      </c>
      <c r="H1466" s="2158"/>
      <c r="I1466" s="2158">
        <v>10000</v>
      </c>
      <c r="J1466" s="1684" t="s">
        <v>1134</v>
      </c>
      <c r="K1466" s="2364"/>
      <c r="L1466" s="2158"/>
      <c r="M1466" s="2158"/>
      <c r="N1466" s="359"/>
      <c r="O1466" s="7"/>
      <c r="P1466" s="7"/>
      <c r="Q1466" s="7"/>
      <c r="R1466" s="7"/>
      <c r="S1466" s="7"/>
      <c r="T1466" s="7"/>
      <c r="U1466" s="7"/>
      <c r="V1466" s="7"/>
      <c r="W1466" s="7"/>
      <c r="X1466" s="7"/>
    </row>
    <row r="1467" spans="1:32" ht="11.4" customHeight="1">
      <c r="A1467" s="700"/>
      <c r="B1467" s="3130" t="s">
        <v>326</v>
      </c>
      <c r="C1467" s="700" t="s">
        <v>321</v>
      </c>
      <c r="D1467" s="794" t="s">
        <v>1980</v>
      </c>
      <c r="E1467" s="1407" t="s">
        <v>1953</v>
      </c>
      <c r="F1467" s="1413">
        <v>1148</v>
      </c>
      <c r="G1467" s="1803" t="s">
        <v>2036</v>
      </c>
      <c r="H1467" s="2158"/>
      <c r="I1467" s="2158">
        <v>20000</v>
      </c>
      <c r="J1467" s="1684" t="s">
        <v>1134</v>
      </c>
      <c r="K1467" s="2364"/>
      <c r="L1467" s="2158"/>
      <c r="M1467" s="2158">
        <v>20000</v>
      </c>
      <c r="N1467" s="2194" t="s">
        <v>4171</v>
      </c>
      <c r="O1467" s="7"/>
      <c r="P1467" s="7"/>
      <c r="Q1467" s="7"/>
      <c r="R1467" s="7"/>
      <c r="S1467" s="7"/>
      <c r="T1467" s="7"/>
      <c r="U1467" s="7"/>
      <c r="V1467" s="7"/>
      <c r="W1467" s="7"/>
      <c r="X1467" s="7"/>
    </row>
    <row r="1468" spans="1:32" s="9" customFormat="1">
      <c r="A1468" s="683"/>
      <c r="B1468" s="3129" t="s">
        <v>436</v>
      </c>
      <c r="C1468" s="683" t="s">
        <v>427</v>
      </c>
      <c r="D1468" s="719" t="s">
        <v>1980</v>
      </c>
      <c r="E1468" s="1406" t="s">
        <v>1941</v>
      </c>
      <c r="F1468" s="1698">
        <v>1148</v>
      </c>
      <c r="G1468" s="1691" t="s">
        <v>112</v>
      </c>
      <c r="H1468" s="2151">
        <v>5700</v>
      </c>
      <c r="I1468" s="2151"/>
      <c r="J1468" s="1684">
        <v>5660</v>
      </c>
      <c r="K1468" s="2364"/>
      <c r="L1468" s="2151">
        <v>0</v>
      </c>
      <c r="M1468" s="2151"/>
      <c r="N1468" s="126"/>
      <c r="O1468" s="63"/>
      <c r="P1468" s="63"/>
      <c r="Q1468" s="63"/>
      <c r="R1468" s="63"/>
      <c r="S1468" s="63"/>
      <c r="T1468" s="63"/>
      <c r="U1468" s="63"/>
      <c r="V1468" s="63"/>
      <c r="W1468" s="63"/>
      <c r="X1468" s="63"/>
    </row>
    <row r="1469" spans="1:32">
      <c r="A1469" s="663"/>
      <c r="B1469" s="3130" t="s">
        <v>436</v>
      </c>
      <c r="C1469" s="663" t="s">
        <v>427</v>
      </c>
      <c r="D1469" s="678" t="s">
        <v>1980</v>
      </c>
      <c r="E1469" s="1407" t="s">
        <v>1941</v>
      </c>
      <c r="F1469" s="1413">
        <v>1148</v>
      </c>
      <c r="G1469" s="1803" t="s">
        <v>112</v>
      </c>
      <c r="H1469" s="2158"/>
      <c r="I1469" s="2158">
        <v>2700</v>
      </c>
      <c r="J1469" s="1684" t="s">
        <v>1134</v>
      </c>
      <c r="K1469" s="2364"/>
      <c r="L1469" s="2158"/>
      <c r="M1469" s="2158">
        <v>0</v>
      </c>
      <c r="N1469" s="126"/>
      <c r="O1469" s="7"/>
      <c r="P1469" s="7"/>
      <c r="Q1469" s="7"/>
      <c r="R1469" s="7"/>
      <c r="S1469" s="7"/>
      <c r="T1469" s="7"/>
      <c r="U1469" s="7"/>
      <c r="V1469" s="7"/>
      <c r="W1469" s="7"/>
      <c r="X1469" s="7"/>
    </row>
    <row r="1470" spans="1:32" ht="20.399999999999999">
      <c r="A1470" s="663"/>
      <c r="B1470" s="3130" t="s">
        <v>436</v>
      </c>
      <c r="C1470" s="663" t="s">
        <v>427</v>
      </c>
      <c r="D1470" s="678" t="s">
        <v>1980</v>
      </c>
      <c r="E1470" s="1407" t="s">
        <v>1941</v>
      </c>
      <c r="F1470" s="1413">
        <v>1148</v>
      </c>
      <c r="G1470" s="1803" t="s">
        <v>2030</v>
      </c>
      <c r="H1470" s="2158"/>
      <c r="I1470" s="2158">
        <v>3000</v>
      </c>
      <c r="J1470" s="1684" t="s">
        <v>1134</v>
      </c>
      <c r="K1470" s="2364"/>
      <c r="L1470" s="2158"/>
      <c r="M1470" s="2158"/>
      <c r="N1470" s="305"/>
      <c r="O1470" s="7"/>
      <c r="P1470" s="7"/>
      <c r="Q1470" s="7"/>
      <c r="R1470" s="7"/>
      <c r="S1470" s="7"/>
      <c r="T1470" s="7"/>
      <c r="U1470" s="7"/>
      <c r="V1470" s="7"/>
      <c r="W1470" s="7"/>
      <c r="X1470" s="7"/>
    </row>
    <row r="1471" spans="1:32">
      <c r="A1471" s="683"/>
      <c r="B1471" s="3129" t="s">
        <v>774</v>
      </c>
      <c r="C1471" s="683" t="s">
        <v>369</v>
      </c>
      <c r="D1471" s="719" t="s">
        <v>1980</v>
      </c>
      <c r="E1471" s="1406" t="s">
        <v>1941</v>
      </c>
      <c r="F1471" s="1698">
        <v>1150</v>
      </c>
      <c r="G1471" s="1691" t="s">
        <v>245</v>
      </c>
      <c r="H1471" s="2151">
        <v>1000</v>
      </c>
      <c r="I1471" s="2151"/>
      <c r="J1471" s="1684">
        <v>535</v>
      </c>
      <c r="K1471" s="2364"/>
      <c r="L1471" s="2151">
        <v>1000</v>
      </c>
      <c r="M1471" s="2151"/>
      <c r="N1471" s="381"/>
      <c r="O1471" s="7"/>
      <c r="P1471" s="7"/>
      <c r="Q1471" s="7"/>
      <c r="R1471" s="7"/>
      <c r="S1471" s="7"/>
      <c r="T1471" s="7"/>
      <c r="U1471" s="7"/>
      <c r="V1471" s="7"/>
      <c r="W1471" s="7"/>
      <c r="X1471" s="7"/>
    </row>
    <row r="1472" spans="1:32" ht="20.399999999999999">
      <c r="A1472" s="663"/>
      <c r="B1472" s="3130" t="s">
        <v>774</v>
      </c>
      <c r="C1472" s="663" t="s">
        <v>369</v>
      </c>
      <c r="D1472" s="678" t="s">
        <v>1980</v>
      </c>
      <c r="E1472" s="1407" t="s">
        <v>1941</v>
      </c>
      <c r="F1472" s="1413">
        <v>1150</v>
      </c>
      <c r="G1472" s="818" t="s">
        <v>3066</v>
      </c>
      <c r="H1472" s="2158"/>
      <c r="I1472" s="2158">
        <v>1000</v>
      </c>
      <c r="J1472" s="1684" t="s">
        <v>1134</v>
      </c>
      <c r="K1472" s="2364"/>
      <c r="L1472" s="2158"/>
      <c r="M1472" s="2158">
        <v>1000</v>
      </c>
      <c r="N1472" s="2190"/>
      <c r="O1472" s="7"/>
      <c r="P1472" s="7"/>
      <c r="Q1472" s="7"/>
      <c r="R1472" s="7"/>
      <c r="S1472" s="7"/>
      <c r="T1472" s="7"/>
      <c r="U1472" s="7"/>
      <c r="V1472" s="7"/>
      <c r="W1472" s="7"/>
      <c r="X1472" s="7"/>
    </row>
    <row r="1473" spans="1:32">
      <c r="A1473" s="683"/>
      <c r="B1473" s="3129" t="s">
        <v>436</v>
      </c>
      <c r="C1473" s="683" t="s">
        <v>427</v>
      </c>
      <c r="D1473" s="719" t="s">
        <v>1980</v>
      </c>
      <c r="E1473" s="1406" t="s">
        <v>1941</v>
      </c>
      <c r="F1473" s="1698">
        <v>1210</v>
      </c>
      <c r="G1473" s="1691" t="s">
        <v>113</v>
      </c>
      <c r="H1473" s="2151">
        <v>175526.19289838642</v>
      </c>
      <c r="I1473" s="2151"/>
      <c r="J1473" s="1684">
        <v>123332</v>
      </c>
      <c r="K1473" s="2364"/>
      <c r="L1473" s="2151">
        <v>174942.40770914883</v>
      </c>
      <c r="M1473" s="2151"/>
      <c r="N1473" s="2048"/>
      <c r="O1473" s="7"/>
      <c r="P1473" s="7"/>
      <c r="Q1473" s="7"/>
      <c r="R1473" s="7"/>
      <c r="S1473" s="7"/>
      <c r="T1473" s="7"/>
      <c r="U1473" s="7"/>
      <c r="V1473" s="7"/>
      <c r="W1473" s="7"/>
    </row>
    <row r="1474" spans="1:32" ht="20.399999999999999">
      <c r="A1474" s="663"/>
      <c r="B1474" s="3130" t="s">
        <v>436</v>
      </c>
      <c r="C1474" s="663" t="s">
        <v>427</v>
      </c>
      <c r="D1474" s="678" t="s">
        <v>1980</v>
      </c>
      <c r="E1474" s="1407" t="s">
        <v>1941</v>
      </c>
      <c r="F1474" s="1413">
        <v>1210</v>
      </c>
      <c r="G1474" s="1803" t="s">
        <v>436</v>
      </c>
      <c r="H1474" s="2158"/>
      <c r="I1474" s="2158">
        <v>175526.19289838642</v>
      </c>
      <c r="J1474" s="1684" t="s">
        <v>1134</v>
      </c>
      <c r="K1474" s="2364"/>
      <c r="L1474" s="2158"/>
      <c r="M1474" s="2158">
        <v>174942.40770914883</v>
      </c>
      <c r="N1474" s="381" t="s">
        <v>2142</v>
      </c>
      <c r="O1474" s="7"/>
      <c r="P1474" s="7"/>
      <c r="Q1474" s="7"/>
      <c r="R1474" s="7"/>
      <c r="S1474" s="7"/>
      <c r="T1474" s="7"/>
      <c r="U1474" s="7"/>
      <c r="V1474" s="7"/>
      <c r="W1474" s="7"/>
      <c r="X1474" s="7"/>
    </row>
    <row r="1475" spans="1:32">
      <c r="A1475" s="663"/>
      <c r="B1475" s="3130" t="s">
        <v>436</v>
      </c>
      <c r="C1475" s="663" t="s">
        <v>427</v>
      </c>
      <c r="D1475" s="678" t="s">
        <v>1980</v>
      </c>
      <c r="E1475" s="1407" t="s">
        <v>1941</v>
      </c>
      <c r="F1475" s="1413">
        <v>1210</v>
      </c>
      <c r="G1475" s="1803" t="s">
        <v>722</v>
      </c>
      <c r="H1475" s="2158"/>
      <c r="I1475" s="2158"/>
      <c r="J1475" s="1684" t="s">
        <v>1134</v>
      </c>
      <c r="K1475" s="2364"/>
      <c r="L1475" s="2158"/>
      <c r="M1475" s="2158"/>
      <c r="N1475" s="2048"/>
      <c r="O1475" s="7"/>
      <c r="P1475" s="7"/>
      <c r="Q1475" s="7"/>
      <c r="R1475" s="7"/>
      <c r="S1475" s="7"/>
      <c r="T1475" s="7"/>
      <c r="U1475" s="7"/>
      <c r="V1475" s="7"/>
      <c r="W1475" s="7"/>
      <c r="X1475" s="7"/>
    </row>
    <row r="1476" spans="1:32">
      <c r="A1476" s="720"/>
      <c r="B1476" s="3129" t="s">
        <v>326</v>
      </c>
      <c r="C1476" s="720" t="s">
        <v>321</v>
      </c>
      <c r="D1476" s="823" t="s">
        <v>1980</v>
      </c>
      <c r="E1476" s="1406" t="s">
        <v>1953</v>
      </c>
      <c r="F1476" s="1698">
        <v>1210</v>
      </c>
      <c r="G1476" s="1691" t="s">
        <v>204</v>
      </c>
      <c r="H1476" s="2503">
        <v>156360.23579199996</v>
      </c>
      <c r="I1476" s="2503"/>
      <c r="J1476" s="1684">
        <v>93206.49</v>
      </c>
      <c r="K1476" s="2364"/>
      <c r="L1476" s="2503">
        <v>160064.51442000002</v>
      </c>
      <c r="M1476" s="2503"/>
      <c r="N1476" s="2048"/>
      <c r="O1476" s="7"/>
      <c r="P1476" s="7"/>
      <c r="Q1476" s="7"/>
      <c r="R1476" s="7"/>
      <c r="S1476" s="7"/>
      <c r="T1476" s="7"/>
      <c r="U1476" s="7"/>
      <c r="V1476" s="7"/>
      <c r="W1476" s="7"/>
      <c r="X1476" s="7"/>
    </row>
    <row r="1477" spans="1:32" ht="20.399999999999999">
      <c r="A1477" s="700"/>
      <c r="B1477" s="3130" t="s">
        <v>326</v>
      </c>
      <c r="C1477" s="700" t="s">
        <v>321</v>
      </c>
      <c r="D1477" s="794" t="s">
        <v>1980</v>
      </c>
      <c r="E1477" s="1407" t="s">
        <v>1953</v>
      </c>
      <c r="F1477" s="1413">
        <v>1210</v>
      </c>
      <c r="G1477" s="1803" t="s">
        <v>1844</v>
      </c>
      <c r="H1477" s="2158"/>
      <c r="I1477" s="2158">
        <v>138360.23579199996</v>
      </c>
      <c r="J1477" s="1684" t="s">
        <v>1134</v>
      </c>
      <c r="K1477" s="2364"/>
      <c r="L1477" s="2158"/>
      <c r="M1477" s="2158">
        <v>149217.51442000002</v>
      </c>
      <c r="N1477" s="2048"/>
      <c r="O1477" s="7"/>
      <c r="P1477" s="7"/>
      <c r="Q1477" s="7"/>
      <c r="R1477" s="7"/>
      <c r="S1477" s="7"/>
      <c r="T1477" s="7"/>
      <c r="U1477" s="7"/>
      <c r="V1477" s="7"/>
      <c r="W1477" s="7"/>
      <c r="X1477" s="7"/>
    </row>
    <row r="1478" spans="1:32" ht="61.2">
      <c r="A1478" s="700"/>
      <c r="B1478" s="3130" t="s">
        <v>326</v>
      </c>
      <c r="C1478" s="700" t="s">
        <v>321</v>
      </c>
      <c r="D1478" s="794" t="s">
        <v>1980</v>
      </c>
      <c r="E1478" s="1407" t="s">
        <v>1953</v>
      </c>
      <c r="F1478" s="1413">
        <v>1210</v>
      </c>
      <c r="G1478" s="1803" t="s">
        <v>5333</v>
      </c>
      <c r="H1478" s="2158"/>
      <c r="I1478" s="2158"/>
      <c r="J1478" s="1684" t="s">
        <v>1134</v>
      </c>
      <c r="K1478" s="2364"/>
      <c r="L1478" s="2158"/>
      <c r="M1478" s="2158">
        <v>10847</v>
      </c>
      <c r="N1478" s="2196" t="s">
        <v>4177</v>
      </c>
      <c r="O1478" s="7"/>
      <c r="P1478" s="7"/>
      <c r="Q1478" s="7"/>
      <c r="R1478" s="7"/>
      <c r="S1478" s="7"/>
      <c r="T1478" s="7"/>
      <c r="U1478" s="7"/>
      <c r="V1478" s="7"/>
      <c r="W1478" s="7"/>
      <c r="X1478" s="7"/>
    </row>
    <row r="1479" spans="1:32" ht="40.799999999999997">
      <c r="A1479" s="700"/>
      <c r="B1479" s="3130" t="s">
        <v>326</v>
      </c>
      <c r="C1479" s="700" t="s">
        <v>321</v>
      </c>
      <c r="D1479" s="794" t="s">
        <v>1980</v>
      </c>
      <c r="E1479" s="1407" t="s">
        <v>1953</v>
      </c>
      <c r="F1479" s="1413">
        <v>1210</v>
      </c>
      <c r="G1479" s="1803" t="s">
        <v>3067</v>
      </c>
      <c r="H1479" s="2158"/>
      <c r="I1479" s="2158">
        <v>-2000</v>
      </c>
      <c r="J1479" s="1684" t="s">
        <v>1134</v>
      </c>
      <c r="K1479" s="2364"/>
      <c r="L1479" s="2158"/>
      <c r="M1479" s="2158"/>
      <c r="N1479" s="2197" t="s">
        <v>4178</v>
      </c>
      <c r="O1479" s="7"/>
      <c r="P1479" s="7"/>
      <c r="Q1479" s="7"/>
      <c r="R1479" s="7"/>
      <c r="S1479" s="7"/>
      <c r="T1479" s="7"/>
      <c r="U1479" s="7"/>
      <c r="V1479" s="7"/>
      <c r="W1479" s="7"/>
      <c r="X1479" s="7"/>
    </row>
    <row r="1480" spans="1:32">
      <c r="A1480" s="700"/>
      <c r="B1480" s="3130" t="s">
        <v>326</v>
      </c>
      <c r="C1480" s="700" t="s">
        <v>321</v>
      </c>
      <c r="D1480" s="794" t="s">
        <v>1980</v>
      </c>
      <c r="E1480" s="1407" t="s">
        <v>1953</v>
      </c>
      <c r="F1480" s="1413">
        <v>1210</v>
      </c>
      <c r="G1480" s="1803" t="s">
        <v>2036</v>
      </c>
      <c r="H1480" s="2158"/>
      <c r="I1480" s="2158">
        <v>20000</v>
      </c>
      <c r="J1480" s="1684" t="s">
        <v>1134</v>
      </c>
      <c r="K1480" s="2364"/>
      <c r="L1480" s="2158"/>
      <c r="M1480" s="2158"/>
      <c r="N1480" s="381"/>
      <c r="O1480" s="187"/>
      <c r="P1480" s="187"/>
      <c r="Q1480" s="187"/>
      <c r="R1480" s="187"/>
      <c r="S1480" s="187"/>
      <c r="T1480" s="187"/>
      <c r="U1480" s="187"/>
      <c r="V1480" s="187"/>
      <c r="W1480" s="187"/>
      <c r="X1480" s="187"/>
      <c r="Y1480" s="187"/>
      <c r="Z1480" s="187"/>
      <c r="AA1480" s="187"/>
      <c r="AB1480" s="187"/>
      <c r="AC1480" s="187"/>
      <c r="AD1480" s="187"/>
      <c r="AE1480" s="187"/>
      <c r="AF1480" s="187"/>
    </row>
    <row r="1481" spans="1:32" ht="33.75" customHeight="1">
      <c r="A1481" s="700"/>
      <c r="B1481" s="3130" t="s">
        <v>326</v>
      </c>
      <c r="C1481" s="700" t="s">
        <v>321</v>
      </c>
      <c r="D1481" s="794" t="s">
        <v>1980</v>
      </c>
      <c r="E1481" s="1407" t="s">
        <v>1953</v>
      </c>
      <c r="F1481" s="1413">
        <v>1210</v>
      </c>
      <c r="G1481" s="1803" t="s">
        <v>2019</v>
      </c>
      <c r="H1481" s="2158"/>
      <c r="I1481" s="2158"/>
      <c r="J1481" s="1684" t="s">
        <v>1134</v>
      </c>
      <c r="K1481" s="2364"/>
      <c r="L1481" s="2158"/>
      <c r="M1481" s="2158"/>
      <c r="N1481" s="2198"/>
      <c r="O1481" s="7"/>
      <c r="P1481" s="7"/>
      <c r="Q1481" s="7"/>
      <c r="R1481" s="7"/>
      <c r="S1481" s="7"/>
      <c r="T1481" s="7"/>
      <c r="U1481" s="7"/>
      <c r="V1481" s="7"/>
      <c r="W1481" s="7"/>
      <c r="X1481" s="7"/>
    </row>
    <row r="1482" spans="1:32" ht="33.75" customHeight="1">
      <c r="A1482" s="683"/>
      <c r="B1482" s="3129" t="s">
        <v>436</v>
      </c>
      <c r="C1482" s="683" t="s">
        <v>427</v>
      </c>
      <c r="D1482" s="719" t="s">
        <v>1980</v>
      </c>
      <c r="E1482" s="1406" t="s">
        <v>1941</v>
      </c>
      <c r="F1482" s="1698">
        <v>1221</v>
      </c>
      <c r="G1482" s="1691" t="s">
        <v>227</v>
      </c>
      <c r="H1482" s="2151">
        <v>53680.750006973612</v>
      </c>
      <c r="I1482" s="2151"/>
      <c r="J1482" s="1684">
        <v>49098</v>
      </c>
      <c r="K1482" s="2364"/>
      <c r="L1482" s="2151">
        <v>66524.648667971225</v>
      </c>
      <c r="M1482" s="2151"/>
      <c r="N1482" s="2198"/>
      <c r="O1482" s="7"/>
      <c r="P1482" s="7"/>
      <c r="Q1482" s="7"/>
      <c r="R1482" s="7"/>
      <c r="S1482" s="7"/>
      <c r="T1482" s="7"/>
      <c r="U1482" s="7"/>
      <c r="V1482" s="7"/>
      <c r="W1482" s="7"/>
      <c r="X1482" s="7"/>
    </row>
    <row r="1483" spans="1:32">
      <c r="A1483" s="663"/>
      <c r="B1483" s="3130" t="s">
        <v>436</v>
      </c>
      <c r="C1483" s="663" t="s">
        <v>427</v>
      </c>
      <c r="D1483" s="678" t="s">
        <v>1980</v>
      </c>
      <c r="E1483" s="1407" t="s">
        <v>1941</v>
      </c>
      <c r="F1483" s="1413">
        <v>1221</v>
      </c>
      <c r="G1483" s="1803" t="s">
        <v>436</v>
      </c>
      <c r="H1483" s="2158"/>
      <c r="I1483" s="2158">
        <v>53680.750006973612</v>
      </c>
      <c r="J1483" s="1684" t="s">
        <v>1134</v>
      </c>
      <c r="K1483" s="2364"/>
      <c r="L1483" s="2158"/>
      <c r="M1483" s="2158">
        <v>55489.648667971225</v>
      </c>
      <c r="N1483" s="381"/>
      <c r="O1483" s="187"/>
      <c r="P1483" s="187"/>
      <c r="Q1483" s="187"/>
      <c r="R1483" s="187"/>
      <c r="S1483" s="187"/>
      <c r="T1483" s="187"/>
      <c r="U1483" s="187"/>
      <c r="V1483" s="187"/>
      <c r="W1483" s="187"/>
      <c r="X1483" s="187"/>
      <c r="Y1483" s="187"/>
      <c r="Z1483" s="187"/>
      <c r="AA1483" s="187"/>
      <c r="AB1483" s="187"/>
      <c r="AC1483" s="187"/>
      <c r="AD1483" s="187"/>
      <c r="AE1483" s="187"/>
      <c r="AF1483" s="187"/>
    </row>
    <row r="1484" spans="1:32" ht="33.75" customHeight="1">
      <c r="A1484" s="663"/>
      <c r="B1484" s="3130" t="s">
        <v>436</v>
      </c>
      <c r="C1484" s="663" t="s">
        <v>427</v>
      </c>
      <c r="D1484" s="678" t="s">
        <v>1980</v>
      </c>
      <c r="E1484" s="1407" t="s">
        <v>1941</v>
      </c>
      <c r="F1484" s="1413">
        <v>1221</v>
      </c>
      <c r="G1484" s="1803" t="s">
        <v>4983</v>
      </c>
      <c r="H1484" s="2158"/>
      <c r="I1484" s="2158"/>
      <c r="J1484" s="1684" t="s">
        <v>1134</v>
      </c>
      <c r="K1484" s="2364"/>
      <c r="L1484" s="2158"/>
      <c r="M1484" s="2158">
        <v>11035</v>
      </c>
      <c r="N1484" s="381"/>
      <c r="O1484" s="187"/>
      <c r="P1484" s="187"/>
      <c r="Q1484" s="187"/>
      <c r="R1484" s="187"/>
      <c r="S1484" s="187"/>
      <c r="T1484" s="187"/>
      <c r="U1484" s="187"/>
      <c r="V1484" s="187"/>
      <c r="W1484" s="187"/>
      <c r="X1484" s="187"/>
      <c r="Y1484" s="187"/>
      <c r="Z1484" s="187"/>
      <c r="AA1484" s="187"/>
      <c r="AB1484" s="187"/>
      <c r="AC1484" s="187"/>
      <c r="AD1484" s="187"/>
      <c r="AE1484" s="187"/>
      <c r="AF1484" s="187"/>
    </row>
    <row r="1485" spans="1:32" ht="20.399999999999999">
      <c r="A1485" s="720"/>
      <c r="B1485" s="3129" t="s">
        <v>326</v>
      </c>
      <c r="C1485" s="720" t="s">
        <v>321</v>
      </c>
      <c r="D1485" s="823" t="s">
        <v>1980</v>
      </c>
      <c r="E1485" s="1406" t="s">
        <v>1953</v>
      </c>
      <c r="F1485" s="1698">
        <v>1221</v>
      </c>
      <c r="G1485" s="1691" t="s">
        <v>227</v>
      </c>
      <c r="H1485" s="2503">
        <v>4000</v>
      </c>
      <c r="I1485" s="2503"/>
      <c r="J1485" s="1684">
        <v>2838.55</v>
      </c>
      <c r="K1485" s="2364"/>
      <c r="L1485" s="2503">
        <v>2000</v>
      </c>
      <c r="M1485" s="2503"/>
      <c r="N1485" s="381"/>
      <c r="O1485" s="187"/>
      <c r="P1485" s="187"/>
      <c r="Q1485" s="187"/>
      <c r="R1485" s="187"/>
      <c r="S1485" s="187"/>
      <c r="T1485" s="187"/>
      <c r="U1485" s="187"/>
      <c r="V1485" s="187"/>
      <c r="W1485" s="187"/>
      <c r="X1485" s="187"/>
      <c r="Y1485" s="187"/>
      <c r="Z1485" s="187"/>
      <c r="AA1485" s="187"/>
      <c r="AB1485" s="187"/>
      <c r="AC1485" s="187"/>
      <c r="AD1485" s="187"/>
      <c r="AE1485" s="187"/>
      <c r="AF1485" s="187"/>
    </row>
    <row r="1486" spans="1:32">
      <c r="A1486" s="700"/>
      <c r="B1486" s="3130" t="s">
        <v>326</v>
      </c>
      <c r="C1486" s="700" t="s">
        <v>321</v>
      </c>
      <c r="D1486" s="794" t="s">
        <v>1980</v>
      </c>
      <c r="E1486" s="1407" t="s">
        <v>1953</v>
      </c>
      <c r="F1486" s="1413">
        <v>1221</v>
      </c>
      <c r="G1486" s="1803"/>
      <c r="H1486" s="2158"/>
      <c r="I1486" s="2158">
        <v>2000</v>
      </c>
      <c r="J1486" s="1684" t="s">
        <v>1134</v>
      </c>
      <c r="K1486" s="2364"/>
      <c r="L1486" s="2158"/>
      <c r="M1486" s="2158">
        <v>2000</v>
      </c>
      <c r="N1486" s="381"/>
      <c r="O1486" s="187"/>
      <c r="P1486" s="187"/>
      <c r="Q1486" s="187"/>
      <c r="R1486" s="187"/>
      <c r="S1486" s="187"/>
      <c r="T1486" s="187"/>
      <c r="U1486" s="187"/>
      <c r="V1486" s="187"/>
      <c r="W1486" s="187"/>
      <c r="X1486" s="187"/>
      <c r="Y1486" s="187"/>
      <c r="Z1486" s="187"/>
      <c r="AA1486" s="187"/>
      <c r="AB1486" s="187"/>
      <c r="AC1486" s="187"/>
      <c r="AD1486" s="187"/>
      <c r="AE1486" s="187"/>
      <c r="AF1486" s="187"/>
    </row>
    <row r="1487" spans="1:32" ht="20.399999999999999" customHeight="1">
      <c r="A1487" s="700"/>
      <c r="B1487" s="3130" t="s">
        <v>326</v>
      </c>
      <c r="C1487" s="700" t="s">
        <v>321</v>
      </c>
      <c r="D1487" s="794" t="s">
        <v>1980</v>
      </c>
      <c r="E1487" s="1407" t="s">
        <v>1953</v>
      </c>
      <c r="F1487" s="1413">
        <v>1221</v>
      </c>
      <c r="G1487" s="1803" t="s">
        <v>3067</v>
      </c>
      <c r="H1487" s="2158"/>
      <c r="I1487" s="2158">
        <v>2000</v>
      </c>
      <c r="J1487" s="1684" t="s">
        <v>1134</v>
      </c>
      <c r="K1487" s="2364"/>
      <c r="L1487" s="2158"/>
      <c r="M1487" s="2158"/>
      <c r="N1487" s="2190" t="s">
        <v>4716</v>
      </c>
      <c r="O1487" s="187"/>
      <c r="P1487" s="187"/>
      <c r="Q1487" s="187"/>
      <c r="R1487" s="187"/>
      <c r="S1487" s="187"/>
      <c r="T1487" s="187"/>
      <c r="U1487" s="187"/>
      <c r="V1487" s="187"/>
      <c r="W1487" s="187"/>
      <c r="X1487" s="187"/>
      <c r="Y1487" s="187"/>
      <c r="Z1487" s="187"/>
      <c r="AA1487" s="187"/>
      <c r="AB1487" s="187"/>
      <c r="AC1487" s="187"/>
      <c r="AD1487" s="187"/>
      <c r="AE1487" s="187"/>
      <c r="AF1487" s="187"/>
    </row>
    <row r="1488" spans="1:32" ht="20.399999999999999">
      <c r="A1488" s="700"/>
      <c r="B1488" s="3130" t="s">
        <v>326</v>
      </c>
      <c r="C1488" s="700" t="s">
        <v>321</v>
      </c>
      <c r="D1488" s="794" t="s">
        <v>1980</v>
      </c>
      <c r="E1488" s="1407" t="s">
        <v>1953</v>
      </c>
      <c r="F1488" s="1413">
        <v>1221</v>
      </c>
      <c r="G1488" s="1803" t="s">
        <v>2019</v>
      </c>
      <c r="H1488" s="2158"/>
      <c r="I1488" s="2158"/>
      <c r="J1488" s="1684" t="s">
        <v>1134</v>
      </c>
      <c r="K1488" s="2364"/>
      <c r="L1488" s="2158"/>
      <c r="M1488" s="2158"/>
      <c r="N1488" s="2048"/>
      <c r="O1488" s="187"/>
      <c r="P1488" s="187"/>
      <c r="Q1488" s="187"/>
      <c r="R1488" s="187"/>
      <c r="S1488" s="187"/>
      <c r="T1488" s="187"/>
      <c r="U1488" s="187"/>
      <c r="V1488" s="187"/>
      <c r="W1488" s="187"/>
      <c r="X1488" s="187"/>
      <c r="Y1488" s="187"/>
      <c r="Z1488" s="187"/>
      <c r="AA1488" s="187"/>
      <c r="AB1488" s="187"/>
      <c r="AC1488" s="187"/>
      <c r="AD1488" s="187"/>
      <c r="AE1488" s="187"/>
      <c r="AF1488" s="187"/>
    </row>
    <row r="1489" spans="1:32">
      <c r="A1489" s="683"/>
      <c r="B1489" s="3129" t="s">
        <v>772</v>
      </c>
      <c r="C1489" s="683" t="s">
        <v>427</v>
      </c>
      <c r="D1489" s="719" t="s">
        <v>1980</v>
      </c>
      <c r="E1489" s="1406" t="s">
        <v>1941</v>
      </c>
      <c r="F1489" s="1698">
        <v>1227</v>
      </c>
      <c r="G1489" s="1691" t="s">
        <v>115</v>
      </c>
      <c r="H1489" s="2151">
        <v>200</v>
      </c>
      <c r="I1489" s="2151"/>
      <c r="J1489" s="1684">
        <v>200</v>
      </c>
      <c r="K1489" s="2364"/>
      <c r="L1489" s="2151">
        <v>200</v>
      </c>
      <c r="M1489" s="2151"/>
      <c r="N1489" s="2048"/>
      <c r="O1489" s="187"/>
      <c r="P1489" s="187"/>
      <c r="Q1489" s="187"/>
      <c r="R1489" s="187"/>
      <c r="S1489" s="187"/>
      <c r="T1489" s="187"/>
      <c r="U1489" s="187"/>
      <c r="V1489" s="187"/>
      <c r="W1489" s="187"/>
      <c r="X1489" s="187"/>
      <c r="Y1489" s="187"/>
      <c r="Z1489" s="187"/>
      <c r="AA1489" s="187"/>
      <c r="AB1489" s="187"/>
      <c r="AC1489" s="187"/>
      <c r="AD1489" s="187"/>
      <c r="AE1489" s="187"/>
      <c r="AF1489" s="187"/>
    </row>
    <row r="1490" spans="1:32" ht="20.399999999999999">
      <c r="A1490" s="774"/>
      <c r="B1490" s="3130" t="s">
        <v>772</v>
      </c>
      <c r="C1490" s="663" t="s">
        <v>427</v>
      </c>
      <c r="D1490" s="678" t="s">
        <v>1980</v>
      </c>
      <c r="E1490" s="1407" t="s">
        <v>1941</v>
      </c>
      <c r="F1490" s="1413">
        <v>1227</v>
      </c>
      <c r="G1490" s="818" t="s">
        <v>2014</v>
      </c>
      <c r="H1490" s="2158"/>
      <c r="I1490" s="2158">
        <v>200</v>
      </c>
      <c r="J1490" s="1684" t="s">
        <v>1134</v>
      </c>
      <c r="K1490" s="2360"/>
      <c r="L1490" s="2158"/>
      <c r="M1490" s="1683">
        <v>200</v>
      </c>
      <c r="N1490" s="2048"/>
      <c r="O1490" s="187"/>
      <c r="P1490" s="187"/>
      <c r="Q1490" s="187"/>
      <c r="R1490" s="187"/>
      <c r="S1490" s="187"/>
      <c r="T1490" s="187"/>
      <c r="U1490" s="187"/>
      <c r="V1490" s="187"/>
      <c r="W1490" s="187"/>
      <c r="X1490" s="187"/>
      <c r="Y1490" s="187"/>
      <c r="Z1490" s="187"/>
      <c r="AA1490" s="187"/>
      <c r="AB1490" s="187"/>
      <c r="AC1490" s="187"/>
      <c r="AD1490" s="187"/>
      <c r="AE1490" s="187"/>
      <c r="AF1490" s="187"/>
    </row>
    <row r="1491" spans="1:32">
      <c r="A1491" s="683"/>
      <c r="B1491" s="3129" t="s">
        <v>772</v>
      </c>
      <c r="C1491" s="683" t="s">
        <v>427</v>
      </c>
      <c r="D1491" s="719" t="s">
        <v>1980</v>
      </c>
      <c r="E1491" s="1406" t="s">
        <v>1941</v>
      </c>
      <c r="F1491" s="1698">
        <v>1228</v>
      </c>
      <c r="G1491" s="1691" t="s">
        <v>115</v>
      </c>
      <c r="H1491" s="2151">
        <v>4540</v>
      </c>
      <c r="I1491" s="2151"/>
      <c r="J1491" s="1684">
        <v>2442</v>
      </c>
      <c r="K1491" s="2364"/>
      <c r="L1491" s="2151">
        <v>2800</v>
      </c>
      <c r="M1491" s="2151"/>
      <c r="N1491" s="2048"/>
      <c r="O1491" s="7"/>
      <c r="P1491" s="7"/>
      <c r="Q1491" s="7"/>
    </row>
    <row r="1492" spans="1:32">
      <c r="A1492" s="774"/>
      <c r="B1492" s="3130" t="s">
        <v>772</v>
      </c>
      <c r="C1492" s="663" t="s">
        <v>427</v>
      </c>
      <c r="D1492" s="678" t="s">
        <v>1980</v>
      </c>
      <c r="E1492" s="1407" t="s">
        <v>1941</v>
      </c>
      <c r="F1492" s="1413">
        <v>1228</v>
      </c>
      <c r="G1492" s="818" t="s">
        <v>4167</v>
      </c>
      <c r="H1492" s="2158"/>
      <c r="I1492" s="2158">
        <v>2000</v>
      </c>
      <c r="J1492" s="1684" t="s">
        <v>1134</v>
      </c>
      <c r="K1492" s="2360"/>
      <c r="L1492" s="2158"/>
      <c r="M1492" s="1683">
        <v>2000</v>
      </c>
      <c r="N1492" s="2048"/>
    </row>
    <row r="1493" spans="1:32" ht="20.399999999999999">
      <c r="A1493" s="663"/>
      <c r="B1493" s="3130" t="s">
        <v>772</v>
      </c>
      <c r="C1493" s="663" t="s">
        <v>427</v>
      </c>
      <c r="D1493" s="678" t="s">
        <v>1980</v>
      </c>
      <c r="E1493" s="1407" t="s">
        <v>1941</v>
      </c>
      <c r="F1493" s="1413">
        <v>1228</v>
      </c>
      <c r="G1493" s="818" t="s">
        <v>2800</v>
      </c>
      <c r="H1493" s="1683"/>
      <c r="I1493" s="1683">
        <v>500</v>
      </c>
      <c r="J1493" s="1684" t="s">
        <v>1134</v>
      </c>
      <c r="K1493" s="1685"/>
      <c r="L1493" s="2502"/>
      <c r="M1493" s="1683">
        <v>500</v>
      </c>
      <c r="N1493" s="2190"/>
    </row>
    <row r="1494" spans="1:32" ht="20.399999999999999">
      <c r="A1494" s="663"/>
      <c r="B1494" s="3130" t="s">
        <v>772</v>
      </c>
      <c r="C1494" s="663" t="s">
        <v>427</v>
      </c>
      <c r="D1494" s="678" t="s">
        <v>1980</v>
      </c>
      <c r="E1494" s="700" t="s">
        <v>1941</v>
      </c>
      <c r="F1494" s="795">
        <v>1228</v>
      </c>
      <c r="G1494" s="1153" t="s">
        <v>4168</v>
      </c>
      <c r="H1494" s="1165"/>
      <c r="I1494" s="1165">
        <v>2100</v>
      </c>
      <c r="J1494" s="1654" t="s">
        <v>1134</v>
      </c>
      <c r="K1494" s="1439"/>
      <c r="L1494" s="1165"/>
      <c r="M1494" s="1165">
        <v>300</v>
      </c>
      <c r="N1494" s="2190"/>
      <c r="O1494" s="187"/>
      <c r="P1494" s="187"/>
      <c r="Q1494" s="187"/>
      <c r="R1494" s="187"/>
      <c r="S1494" s="187"/>
      <c r="T1494" s="187"/>
      <c r="U1494" s="187"/>
      <c r="V1494" s="187"/>
      <c r="W1494" s="187"/>
      <c r="X1494" s="187"/>
      <c r="Y1494" s="187"/>
      <c r="Z1494" s="187"/>
      <c r="AA1494" s="187"/>
      <c r="AB1494" s="187"/>
      <c r="AC1494" s="187"/>
      <c r="AD1494" s="187"/>
      <c r="AE1494" s="187"/>
      <c r="AF1494" s="187"/>
    </row>
    <row r="1495" spans="1:32" ht="20.399999999999999">
      <c r="A1495" s="663"/>
      <c r="B1495" s="3130" t="s">
        <v>772</v>
      </c>
      <c r="C1495" s="663" t="s">
        <v>427</v>
      </c>
      <c r="D1495" s="678" t="s">
        <v>1980</v>
      </c>
      <c r="E1495" s="700" t="s">
        <v>1941</v>
      </c>
      <c r="F1495" s="795">
        <v>1228</v>
      </c>
      <c r="G1495" s="750" t="s">
        <v>3157</v>
      </c>
      <c r="H1495" s="701"/>
      <c r="I1495" s="701">
        <v>-60</v>
      </c>
      <c r="J1495" s="1654" t="s">
        <v>1134</v>
      </c>
      <c r="K1495" s="792"/>
      <c r="L1495" s="701"/>
      <c r="M1495" s="701"/>
      <c r="N1495" s="2190"/>
      <c r="O1495" s="187"/>
      <c r="P1495" s="187"/>
      <c r="Q1495" s="187"/>
      <c r="R1495" s="187"/>
      <c r="S1495" s="187"/>
      <c r="T1495" s="187"/>
      <c r="U1495" s="187"/>
      <c r="V1495" s="187"/>
      <c r="W1495" s="187"/>
      <c r="X1495" s="187"/>
      <c r="Y1495" s="187"/>
      <c r="Z1495" s="187"/>
      <c r="AA1495" s="187"/>
      <c r="AB1495" s="187"/>
      <c r="AC1495" s="187"/>
      <c r="AD1495" s="187"/>
      <c r="AE1495" s="187"/>
      <c r="AF1495" s="187"/>
    </row>
    <row r="1496" spans="1:32">
      <c r="A1496" s="683"/>
      <c r="B1496" s="3129" t="s">
        <v>772</v>
      </c>
      <c r="C1496" s="683" t="s">
        <v>320</v>
      </c>
      <c r="D1496" s="719" t="s">
        <v>1980</v>
      </c>
      <c r="E1496" s="720" t="s">
        <v>1941</v>
      </c>
      <c r="F1496" s="824">
        <v>2121</v>
      </c>
      <c r="G1496" s="800" t="s">
        <v>248</v>
      </c>
      <c r="H1496" s="713">
        <v>60</v>
      </c>
      <c r="I1496" s="713"/>
      <c r="J1496" s="1654">
        <v>60</v>
      </c>
      <c r="K1496" s="842"/>
      <c r="L1496" s="713">
        <v>60</v>
      </c>
      <c r="M1496" s="713"/>
      <c r="N1496" s="2190"/>
      <c r="O1496" s="187"/>
      <c r="P1496" s="187"/>
      <c r="Q1496" s="187"/>
      <c r="R1496" s="187"/>
      <c r="S1496" s="187"/>
      <c r="T1496" s="187"/>
      <c r="U1496" s="187"/>
      <c r="V1496" s="187"/>
      <c r="W1496" s="187"/>
      <c r="X1496" s="187"/>
      <c r="Y1496" s="187"/>
      <c r="Z1496" s="187"/>
      <c r="AA1496" s="187"/>
      <c r="AB1496" s="187"/>
      <c r="AC1496" s="187"/>
      <c r="AD1496" s="187"/>
      <c r="AE1496" s="187"/>
      <c r="AF1496" s="187"/>
    </row>
    <row r="1497" spans="1:32">
      <c r="A1497" s="663" t="s">
        <v>628</v>
      </c>
      <c r="B1497" s="3130" t="s">
        <v>772</v>
      </c>
      <c r="C1497" s="663" t="s">
        <v>320</v>
      </c>
      <c r="D1497" s="678" t="s">
        <v>1980</v>
      </c>
      <c r="E1497" s="700" t="s">
        <v>1941</v>
      </c>
      <c r="F1497" s="795">
        <v>2121</v>
      </c>
      <c r="G1497" s="750" t="s">
        <v>4169</v>
      </c>
      <c r="H1497" s="714"/>
      <c r="I1497" s="714">
        <v>60</v>
      </c>
      <c r="J1497" s="1654" t="s">
        <v>1134</v>
      </c>
      <c r="K1497" s="809"/>
      <c r="L1497" s="714"/>
      <c r="M1497" s="714">
        <v>60</v>
      </c>
      <c r="N1497" s="2190"/>
      <c r="O1497" s="187"/>
      <c r="P1497" s="187"/>
      <c r="Q1497" s="187"/>
      <c r="R1497" s="187"/>
      <c r="S1497" s="187"/>
      <c r="T1497" s="187"/>
      <c r="U1497" s="187"/>
      <c r="V1497" s="187"/>
      <c r="W1497" s="187"/>
      <c r="X1497" s="187"/>
      <c r="Y1497" s="187"/>
      <c r="Z1497" s="187"/>
      <c r="AA1497" s="187"/>
      <c r="AB1497" s="187"/>
      <c r="AC1497" s="187"/>
      <c r="AD1497" s="187"/>
      <c r="AE1497" s="187"/>
      <c r="AF1497" s="187"/>
    </row>
    <row r="1498" spans="1:32" ht="20.399999999999999">
      <c r="A1498" s="683"/>
      <c r="B1498" s="3129" t="s">
        <v>772</v>
      </c>
      <c r="C1498" s="683" t="s">
        <v>320</v>
      </c>
      <c r="D1498" s="719" t="s">
        <v>1980</v>
      </c>
      <c r="E1498" s="720" t="s">
        <v>1941</v>
      </c>
      <c r="F1498" s="824">
        <v>2122</v>
      </c>
      <c r="G1498" s="800" t="s">
        <v>526</v>
      </c>
      <c r="H1498" s="713">
        <v>325</v>
      </c>
      <c r="I1498" s="713"/>
      <c r="J1498" s="1654">
        <v>325</v>
      </c>
      <c r="K1498" s="842"/>
      <c r="L1498" s="713">
        <v>325</v>
      </c>
      <c r="M1498" s="713"/>
      <c r="N1498" s="2048"/>
      <c r="O1498" s="187"/>
      <c r="P1498" s="187"/>
      <c r="Q1498" s="187"/>
      <c r="R1498" s="187"/>
      <c r="S1498" s="187"/>
      <c r="T1498" s="187"/>
      <c r="U1498" s="187"/>
      <c r="V1498" s="187"/>
      <c r="W1498" s="187"/>
      <c r="X1498" s="187"/>
      <c r="Y1498" s="187"/>
      <c r="Z1498" s="187"/>
      <c r="AA1498" s="187"/>
      <c r="AB1498" s="187"/>
      <c r="AC1498" s="187"/>
      <c r="AD1498" s="187"/>
      <c r="AE1498" s="187"/>
      <c r="AF1498" s="187"/>
    </row>
    <row r="1499" spans="1:32" ht="30.6">
      <c r="A1499" s="663" t="s">
        <v>629</v>
      </c>
      <c r="B1499" s="3130" t="s">
        <v>772</v>
      </c>
      <c r="C1499" s="663" t="s">
        <v>320</v>
      </c>
      <c r="D1499" s="678" t="s">
        <v>1980</v>
      </c>
      <c r="E1499" s="700" t="s">
        <v>1941</v>
      </c>
      <c r="F1499" s="795">
        <v>2122</v>
      </c>
      <c r="G1499" s="750" t="s">
        <v>540</v>
      </c>
      <c r="H1499" s="714"/>
      <c r="I1499" s="714">
        <v>325</v>
      </c>
      <c r="J1499" s="1654" t="s">
        <v>1134</v>
      </c>
      <c r="K1499" s="809"/>
      <c r="L1499" s="714"/>
      <c r="M1499" s="714">
        <v>325</v>
      </c>
      <c r="N1499" s="2197" t="s">
        <v>4185</v>
      </c>
      <c r="O1499" s="187"/>
      <c r="P1499" s="187"/>
      <c r="Q1499" s="187"/>
      <c r="R1499" s="187"/>
      <c r="S1499" s="187"/>
      <c r="T1499" s="187"/>
      <c r="U1499" s="187"/>
      <c r="V1499" s="187"/>
      <c r="W1499" s="187"/>
      <c r="X1499" s="187"/>
      <c r="Y1499" s="187"/>
      <c r="Z1499" s="187"/>
      <c r="AA1499" s="187"/>
      <c r="AB1499" s="187"/>
      <c r="AC1499" s="187"/>
      <c r="AD1499" s="187"/>
      <c r="AE1499" s="187"/>
      <c r="AF1499" s="187"/>
    </row>
    <row r="1500" spans="1:32">
      <c r="A1500" s="683"/>
      <c r="B1500" s="3129" t="s">
        <v>772</v>
      </c>
      <c r="C1500" s="683" t="s">
        <v>320</v>
      </c>
      <c r="D1500" s="719" t="s">
        <v>1980</v>
      </c>
      <c r="E1500" s="720" t="s">
        <v>1941</v>
      </c>
      <c r="F1500" s="824">
        <v>2210</v>
      </c>
      <c r="G1500" s="800" t="s">
        <v>572</v>
      </c>
      <c r="H1500" s="713">
        <v>450.44</v>
      </c>
      <c r="I1500" s="713"/>
      <c r="J1500" s="1654">
        <v>133</v>
      </c>
      <c r="K1500" s="842"/>
      <c r="L1500" s="713">
        <v>270</v>
      </c>
      <c r="M1500" s="713"/>
      <c r="N1500" s="2048"/>
    </row>
    <row r="1501" spans="1:32" ht="20.399999999999999">
      <c r="A1501" s="663"/>
      <c r="B1501" s="3130" t="s">
        <v>772</v>
      </c>
      <c r="C1501" s="663" t="s">
        <v>320</v>
      </c>
      <c r="D1501" s="678" t="s">
        <v>1980</v>
      </c>
      <c r="E1501" s="700" t="s">
        <v>1941</v>
      </c>
      <c r="F1501" s="795">
        <v>2210</v>
      </c>
      <c r="G1501" s="750" t="s">
        <v>450</v>
      </c>
      <c r="H1501" s="714"/>
      <c r="I1501" s="714">
        <v>250</v>
      </c>
      <c r="J1501" s="1654" t="s">
        <v>1134</v>
      </c>
      <c r="K1501" s="809"/>
      <c r="L1501" s="714"/>
      <c r="M1501" s="714">
        <v>150</v>
      </c>
      <c r="N1501" s="2048"/>
    </row>
    <row r="1502" spans="1:32" ht="20.399999999999999">
      <c r="A1502" s="663"/>
      <c r="B1502" s="3130" t="s">
        <v>772</v>
      </c>
      <c r="C1502" s="663" t="s">
        <v>320</v>
      </c>
      <c r="D1502" s="678" t="s">
        <v>1980</v>
      </c>
      <c r="E1502" s="700" t="s">
        <v>1941</v>
      </c>
      <c r="F1502" s="795">
        <v>2210</v>
      </c>
      <c r="G1502" s="750" t="s">
        <v>4170</v>
      </c>
      <c r="H1502" s="714"/>
      <c r="I1502" s="714">
        <v>200.44</v>
      </c>
      <c r="J1502" s="1654" t="s">
        <v>1134</v>
      </c>
      <c r="K1502" s="809"/>
      <c r="L1502" s="714"/>
      <c r="M1502" s="714">
        <v>120</v>
      </c>
      <c r="N1502" s="2190"/>
    </row>
    <row r="1503" spans="1:32">
      <c r="A1503" s="683" t="s">
        <v>888</v>
      </c>
      <c r="B1503" s="3129" t="s">
        <v>772</v>
      </c>
      <c r="C1503" s="683" t="s">
        <v>322</v>
      </c>
      <c r="D1503" s="719" t="s">
        <v>1980</v>
      </c>
      <c r="E1503" s="683" t="s">
        <v>1941</v>
      </c>
      <c r="F1503" s="685">
        <v>2233</v>
      </c>
      <c r="G1503" s="686" t="s">
        <v>145</v>
      </c>
      <c r="H1503" s="837">
        <v>10570</v>
      </c>
      <c r="I1503" s="837"/>
      <c r="J1503" s="1494">
        <v>3658.45</v>
      </c>
      <c r="K1503" s="1014"/>
      <c r="L1503" s="837">
        <v>10570</v>
      </c>
      <c r="M1503" s="837"/>
      <c r="N1503" s="2190" t="s">
        <v>2703</v>
      </c>
    </row>
    <row r="1504" spans="1:32" ht="51">
      <c r="A1504" s="663" t="s">
        <v>889</v>
      </c>
      <c r="B1504" s="3130" t="s">
        <v>772</v>
      </c>
      <c r="C1504" s="663" t="s">
        <v>322</v>
      </c>
      <c r="D1504" s="678" t="s">
        <v>1980</v>
      </c>
      <c r="E1504" s="663" t="s">
        <v>1941</v>
      </c>
      <c r="F1504" s="679">
        <v>2233</v>
      </c>
      <c r="G1504" s="2177" t="s">
        <v>4172</v>
      </c>
      <c r="H1504" s="660"/>
      <c r="I1504" s="660">
        <v>3570</v>
      </c>
      <c r="J1504" s="1494" t="s">
        <v>1134</v>
      </c>
      <c r="K1504" s="667"/>
      <c r="L1504" s="660"/>
      <c r="M1504" s="2169">
        <v>10000</v>
      </c>
      <c r="N1504" s="1985"/>
    </row>
    <row r="1505" spans="1:32" ht="91.8">
      <c r="A1505" s="663" t="s">
        <v>890</v>
      </c>
      <c r="B1505" s="3130" t="s">
        <v>772</v>
      </c>
      <c r="C1505" s="663" t="s">
        <v>322</v>
      </c>
      <c r="D1505" s="678" t="s">
        <v>1980</v>
      </c>
      <c r="E1505" s="663" t="s">
        <v>1941</v>
      </c>
      <c r="F1505" s="679">
        <v>2233</v>
      </c>
      <c r="G1505" s="665" t="s">
        <v>2141</v>
      </c>
      <c r="H1505" s="660"/>
      <c r="I1505" s="660">
        <v>4000</v>
      </c>
      <c r="J1505" s="1494" t="s">
        <v>1134</v>
      </c>
      <c r="K1505" s="667"/>
      <c r="L1505" s="660"/>
      <c r="M1505" s="660"/>
      <c r="N1505" s="1985"/>
    </row>
    <row r="1506" spans="1:32">
      <c r="A1506" s="663"/>
      <c r="B1506" s="3130" t="s">
        <v>772</v>
      </c>
      <c r="C1506" s="663" t="s">
        <v>322</v>
      </c>
      <c r="D1506" s="678" t="s">
        <v>1980</v>
      </c>
      <c r="E1506" s="663" t="s">
        <v>1941</v>
      </c>
      <c r="F1506" s="679">
        <v>2233</v>
      </c>
      <c r="G1506" s="681" t="s">
        <v>532</v>
      </c>
      <c r="H1506" s="660"/>
      <c r="I1506" s="660">
        <v>3000</v>
      </c>
      <c r="J1506" s="1494" t="s">
        <v>1134</v>
      </c>
      <c r="K1506" s="667"/>
      <c r="L1506" s="660"/>
      <c r="M1506" s="660">
        <v>570</v>
      </c>
      <c r="N1506" s="1985"/>
      <c r="O1506" s="187"/>
      <c r="P1506" s="187"/>
      <c r="Q1506" s="187"/>
      <c r="R1506" s="187"/>
      <c r="S1506" s="187"/>
      <c r="T1506" s="187"/>
      <c r="U1506" s="187"/>
      <c r="V1506" s="187"/>
      <c r="W1506" s="187"/>
      <c r="X1506" s="187"/>
      <c r="Y1506" s="187"/>
      <c r="Z1506" s="187"/>
      <c r="AA1506" s="187"/>
      <c r="AB1506" s="187"/>
      <c r="AC1506" s="187"/>
      <c r="AD1506" s="187"/>
      <c r="AE1506" s="187"/>
      <c r="AF1506" s="187"/>
    </row>
    <row r="1507" spans="1:32" ht="20.399999999999999">
      <c r="A1507" s="683"/>
      <c r="B1507" s="3129" t="s">
        <v>772</v>
      </c>
      <c r="C1507" s="683" t="s">
        <v>322</v>
      </c>
      <c r="D1507" s="719" t="s">
        <v>1980</v>
      </c>
      <c r="E1507" s="720" t="s">
        <v>1941</v>
      </c>
      <c r="F1507" s="824">
        <v>2234</v>
      </c>
      <c r="G1507" s="800" t="s">
        <v>218</v>
      </c>
      <c r="H1507" s="713">
        <v>3525</v>
      </c>
      <c r="I1507" s="713"/>
      <c r="J1507" s="1654">
        <v>861</v>
      </c>
      <c r="K1507" s="842"/>
      <c r="L1507" s="713">
        <v>3775</v>
      </c>
      <c r="M1507" s="713"/>
      <c r="N1507" s="1985"/>
      <c r="O1507" s="7"/>
      <c r="P1507" s="7"/>
      <c r="Q1507" s="7"/>
      <c r="R1507" s="7"/>
      <c r="S1507" s="7"/>
      <c r="T1507" s="7"/>
      <c r="U1507" s="7"/>
      <c r="V1507" s="7"/>
      <c r="W1507" s="7"/>
      <c r="X1507" s="7"/>
    </row>
    <row r="1508" spans="1:32">
      <c r="A1508" s="774"/>
      <c r="B1508" s="3137" t="s">
        <v>772</v>
      </c>
      <c r="C1508" s="774" t="s">
        <v>322</v>
      </c>
      <c r="D1508" s="873" t="s">
        <v>1980</v>
      </c>
      <c r="E1508" s="700" t="s">
        <v>1941</v>
      </c>
      <c r="F1508" s="795">
        <v>2234</v>
      </c>
      <c r="G1508" s="2195" t="s">
        <v>4174</v>
      </c>
      <c r="H1508" s="714"/>
      <c r="I1508" s="714">
        <v>1400</v>
      </c>
      <c r="J1508" s="1654" t="s">
        <v>1134</v>
      </c>
      <c r="K1508" s="809"/>
      <c r="L1508" s="714"/>
      <c r="M1508" s="701">
        <v>1650</v>
      </c>
      <c r="N1508" s="306"/>
      <c r="O1508" s="4"/>
      <c r="P1508" s="4"/>
      <c r="Q1508" s="4"/>
      <c r="R1508" s="4"/>
      <c r="S1508" s="4"/>
      <c r="T1508" s="4"/>
      <c r="U1508" s="4"/>
      <c r="V1508" s="4"/>
      <c r="W1508" s="4"/>
      <c r="X1508" s="4"/>
      <c r="Y1508" s="4"/>
      <c r="Z1508" s="4"/>
      <c r="AA1508" s="4"/>
      <c r="AB1508" s="4"/>
      <c r="AC1508" s="4"/>
      <c r="AD1508" s="4"/>
      <c r="AE1508" s="4"/>
      <c r="AF1508" s="4"/>
    </row>
    <row r="1509" spans="1:32">
      <c r="A1509" s="774"/>
      <c r="B1509" s="3137" t="s">
        <v>772</v>
      </c>
      <c r="C1509" s="774" t="s">
        <v>322</v>
      </c>
      <c r="D1509" s="873" t="s">
        <v>1980</v>
      </c>
      <c r="E1509" s="700" t="s">
        <v>1941</v>
      </c>
      <c r="F1509" s="795">
        <v>2234</v>
      </c>
      <c r="G1509" s="2195" t="s">
        <v>4173</v>
      </c>
      <c r="H1509" s="714"/>
      <c r="I1509" s="714">
        <v>2125</v>
      </c>
      <c r="J1509" s="1654" t="s">
        <v>1134</v>
      </c>
      <c r="K1509" s="809"/>
      <c r="L1509" s="714"/>
      <c r="M1509" s="701">
        <v>2125</v>
      </c>
      <c r="N1509" s="306"/>
      <c r="O1509" s="4"/>
      <c r="P1509" s="4"/>
      <c r="Q1509" s="4"/>
      <c r="R1509" s="4"/>
      <c r="S1509" s="4"/>
      <c r="T1509" s="4"/>
      <c r="U1509" s="4"/>
      <c r="V1509" s="4"/>
      <c r="W1509" s="4"/>
      <c r="X1509" s="4"/>
      <c r="Y1509" s="4"/>
      <c r="Z1509" s="4"/>
      <c r="AA1509" s="4"/>
      <c r="AB1509" s="4"/>
      <c r="AC1509" s="4"/>
      <c r="AD1509" s="4"/>
      <c r="AE1509" s="4"/>
      <c r="AF1509" s="4"/>
    </row>
    <row r="1510" spans="1:32">
      <c r="A1510" s="683"/>
      <c r="B1510" s="3129" t="s">
        <v>772</v>
      </c>
      <c r="C1510" s="683" t="s">
        <v>322</v>
      </c>
      <c r="D1510" s="719" t="s">
        <v>1980</v>
      </c>
      <c r="E1510" s="720" t="s">
        <v>1941</v>
      </c>
      <c r="F1510" s="824">
        <v>2235</v>
      </c>
      <c r="G1510" s="800" t="s">
        <v>931</v>
      </c>
      <c r="H1510" s="713">
        <v>3100</v>
      </c>
      <c r="I1510" s="713"/>
      <c r="J1510" s="1654">
        <v>3113</v>
      </c>
      <c r="K1510" s="842"/>
      <c r="L1510" s="713">
        <v>3400</v>
      </c>
      <c r="M1510" s="713"/>
      <c r="N1510" s="2048"/>
      <c r="O1510" s="4"/>
      <c r="P1510" s="4"/>
      <c r="Q1510" s="4"/>
      <c r="R1510" s="4"/>
      <c r="S1510" s="4"/>
      <c r="T1510" s="4"/>
      <c r="U1510" s="4"/>
      <c r="V1510" s="4"/>
      <c r="W1510" s="4"/>
      <c r="X1510" s="4"/>
      <c r="Y1510" s="4"/>
      <c r="Z1510" s="4"/>
      <c r="AA1510" s="4"/>
      <c r="AB1510" s="4"/>
      <c r="AC1510" s="4"/>
      <c r="AD1510" s="4"/>
      <c r="AE1510" s="4"/>
      <c r="AF1510" s="4"/>
    </row>
    <row r="1511" spans="1:32">
      <c r="A1511" s="663" t="s">
        <v>897</v>
      </c>
      <c r="B1511" s="3130" t="s">
        <v>772</v>
      </c>
      <c r="C1511" s="663" t="s">
        <v>322</v>
      </c>
      <c r="D1511" s="678" t="s">
        <v>1980</v>
      </c>
      <c r="E1511" s="700" t="s">
        <v>1941</v>
      </c>
      <c r="F1511" s="795">
        <v>2235</v>
      </c>
      <c r="G1511" s="750" t="s">
        <v>2143</v>
      </c>
      <c r="H1511" s="714"/>
      <c r="I1511" s="714">
        <v>3400</v>
      </c>
      <c r="J1511" s="1654" t="s">
        <v>1134</v>
      </c>
      <c r="K1511" s="809"/>
      <c r="L1511" s="714"/>
      <c r="M1511" s="701">
        <v>3400</v>
      </c>
      <c r="N1511" s="2048"/>
    </row>
    <row r="1512" spans="1:32" ht="30.6">
      <c r="A1512" s="663" t="s">
        <v>897</v>
      </c>
      <c r="B1512" s="3130" t="s">
        <v>772</v>
      </c>
      <c r="C1512" s="663" t="s">
        <v>322</v>
      </c>
      <c r="D1512" s="678" t="s">
        <v>1980</v>
      </c>
      <c r="E1512" s="700" t="s">
        <v>1941</v>
      </c>
      <c r="F1512" s="795">
        <v>2235</v>
      </c>
      <c r="G1512" s="812" t="s">
        <v>3108</v>
      </c>
      <c r="H1512" s="714"/>
      <c r="I1512" s="714">
        <v>-300</v>
      </c>
      <c r="J1512" s="1654" t="s">
        <v>1134</v>
      </c>
      <c r="K1512" s="842"/>
      <c r="L1512" s="714"/>
      <c r="M1512" s="714"/>
      <c r="N1512" s="2190"/>
    </row>
    <row r="1513" spans="1:32" ht="30.6">
      <c r="A1513" s="683"/>
      <c r="B1513" s="3129" t="s">
        <v>772</v>
      </c>
      <c r="C1513" s="683" t="s">
        <v>322</v>
      </c>
      <c r="D1513" s="719" t="s">
        <v>1980</v>
      </c>
      <c r="E1513" s="720" t="s">
        <v>1941</v>
      </c>
      <c r="F1513" s="824">
        <v>2239</v>
      </c>
      <c r="G1513" s="800" t="s">
        <v>122</v>
      </c>
      <c r="H1513" s="713">
        <v>10800</v>
      </c>
      <c r="I1513" s="713"/>
      <c r="J1513" s="1654">
        <v>9156</v>
      </c>
      <c r="K1513" s="842"/>
      <c r="L1513" s="713">
        <v>31174.95</v>
      </c>
      <c r="M1513" s="713"/>
      <c r="N1513" s="2190"/>
      <c r="O1513" s="187"/>
      <c r="P1513" s="187"/>
      <c r="Q1513" s="187"/>
      <c r="R1513" s="187"/>
      <c r="S1513" s="187"/>
      <c r="T1513" s="187"/>
      <c r="U1513" s="187"/>
      <c r="V1513" s="187"/>
      <c r="W1513" s="187"/>
      <c r="X1513" s="187"/>
      <c r="Y1513" s="187"/>
      <c r="Z1513" s="187"/>
      <c r="AA1513" s="187"/>
      <c r="AB1513" s="187"/>
      <c r="AC1513" s="187"/>
      <c r="AD1513" s="187"/>
      <c r="AE1513" s="187"/>
      <c r="AF1513" s="187"/>
    </row>
    <row r="1514" spans="1:32">
      <c r="A1514" s="774"/>
      <c r="B1514" s="3137" t="s">
        <v>772</v>
      </c>
      <c r="C1514" s="774" t="s">
        <v>322</v>
      </c>
      <c r="D1514" s="873" t="s">
        <v>1980</v>
      </c>
      <c r="E1514" s="700" t="s">
        <v>1941</v>
      </c>
      <c r="F1514" s="795">
        <v>2239</v>
      </c>
      <c r="G1514" s="750" t="s">
        <v>470</v>
      </c>
      <c r="H1514" s="701"/>
      <c r="I1514" s="701">
        <v>50</v>
      </c>
      <c r="J1514" s="1654" t="s">
        <v>1134</v>
      </c>
      <c r="K1514" s="792"/>
      <c r="L1514" s="701"/>
      <c r="M1514" s="701">
        <v>75</v>
      </c>
      <c r="N1514" s="2190"/>
      <c r="O1514" s="187"/>
      <c r="P1514" s="187"/>
      <c r="Q1514" s="187"/>
      <c r="R1514" s="187"/>
      <c r="S1514" s="187"/>
      <c r="T1514" s="187"/>
      <c r="U1514" s="187"/>
      <c r="V1514" s="187"/>
      <c r="W1514" s="187"/>
      <c r="X1514" s="187"/>
      <c r="Y1514" s="187"/>
      <c r="Z1514" s="187"/>
      <c r="AA1514" s="187"/>
      <c r="AB1514" s="187"/>
      <c r="AC1514" s="187"/>
      <c r="AD1514" s="187"/>
      <c r="AE1514" s="187"/>
      <c r="AF1514" s="187"/>
    </row>
    <row r="1515" spans="1:32" ht="40.799999999999997">
      <c r="A1515" s="663" t="s">
        <v>890</v>
      </c>
      <c r="B1515" s="3130" t="s">
        <v>772</v>
      </c>
      <c r="C1515" s="663" t="s">
        <v>322</v>
      </c>
      <c r="D1515" s="678" t="s">
        <v>1980</v>
      </c>
      <c r="E1515" s="700" t="s">
        <v>1941</v>
      </c>
      <c r="F1515" s="795">
        <v>2239</v>
      </c>
      <c r="G1515" s="2195" t="s">
        <v>4175</v>
      </c>
      <c r="H1515" s="714"/>
      <c r="I1515" s="714">
        <v>7000</v>
      </c>
      <c r="J1515" s="1654" t="s">
        <v>1134</v>
      </c>
      <c r="K1515" s="809"/>
      <c r="L1515" s="714"/>
      <c r="M1515" s="2188">
        <v>13200</v>
      </c>
      <c r="N1515" s="2190"/>
      <c r="O1515" s="187"/>
      <c r="P1515" s="187"/>
      <c r="Q1515" s="187"/>
      <c r="R1515" s="187"/>
      <c r="S1515" s="187"/>
      <c r="T1515" s="187"/>
      <c r="U1515" s="187"/>
      <c r="V1515" s="187"/>
      <c r="W1515" s="187"/>
      <c r="X1515" s="187"/>
      <c r="Y1515" s="187"/>
      <c r="Z1515" s="187"/>
      <c r="AA1515" s="187"/>
      <c r="AB1515" s="187"/>
      <c r="AC1515" s="187"/>
      <c r="AD1515" s="187"/>
      <c r="AE1515" s="187"/>
      <c r="AF1515" s="187"/>
    </row>
    <row r="1516" spans="1:32">
      <c r="A1516" s="2168"/>
      <c r="B1516" s="3130" t="s">
        <v>772</v>
      </c>
      <c r="C1516" s="663" t="s">
        <v>322</v>
      </c>
      <c r="D1516" s="678" t="s">
        <v>1980</v>
      </c>
      <c r="E1516" s="700" t="s">
        <v>1941</v>
      </c>
      <c r="F1516" s="795">
        <v>2239</v>
      </c>
      <c r="G1516" s="2195" t="s">
        <v>4176</v>
      </c>
      <c r="H1516" s="2189"/>
      <c r="I1516" s="2189"/>
      <c r="J1516" s="2191"/>
      <c r="K1516" s="2192"/>
      <c r="L1516" s="2189"/>
      <c r="M1516" s="2189">
        <v>6949.9500000000007</v>
      </c>
      <c r="N1516" s="2190"/>
      <c r="O1516" s="187"/>
      <c r="P1516" s="187"/>
      <c r="Q1516" s="187"/>
      <c r="R1516" s="187"/>
      <c r="S1516" s="187"/>
      <c r="T1516" s="187"/>
      <c r="U1516" s="187"/>
      <c r="V1516" s="187"/>
      <c r="W1516" s="187"/>
      <c r="X1516" s="187"/>
      <c r="Y1516" s="187"/>
      <c r="Z1516" s="187"/>
      <c r="AA1516" s="187"/>
      <c r="AB1516" s="187"/>
      <c r="AC1516" s="187"/>
      <c r="AD1516" s="187"/>
      <c r="AE1516" s="187"/>
      <c r="AF1516" s="187"/>
    </row>
    <row r="1517" spans="1:32" ht="20.399999999999999">
      <c r="A1517" s="663" t="s">
        <v>890</v>
      </c>
      <c r="B1517" s="3130" t="s">
        <v>772</v>
      </c>
      <c r="C1517" s="663" t="s">
        <v>322</v>
      </c>
      <c r="D1517" s="678" t="s">
        <v>1980</v>
      </c>
      <c r="E1517" s="700" t="s">
        <v>1941</v>
      </c>
      <c r="F1517" s="795">
        <v>2239</v>
      </c>
      <c r="G1517" s="1153" t="s">
        <v>3225</v>
      </c>
      <c r="H1517" s="1456"/>
      <c r="I1517" s="1456">
        <v>-1000</v>
      </c>
      <c r="J1517" s="1654" t="s">
        <v>1134</v>
      </c>
      <c r="K1517" s="1462"/>
      <c r="L1517" s="1456"/>
      <c r="M1517" s="1165"/>
      <c r="N1517" s="2190"/>
      <c r="O1517" s="187"/>
      <c r="P1517" s="187"/>
      <c r="Q1517" s="187"/>
      <c r="R1517" s="187"/>
      <c r="S1517" s="187"/>
      <c r="T1517" s="187"/>
      <c r="U1517" s="187"/>
      <c r="V1517" s="187"/>
      <c r="W1517" s="187"/>
      <c r="X1517" s="187"/>
      <c r="Y1517" s="187"/>
      <c r="Z1517" s="187"/>
      <c r="AA1517" s="187"/>
      <c r="AB1517" s="187"/>
      <c r="AC1517" s="187"/>
      <c r="AD1517" s="187"/>
      <c r="AE1517" s="187"/>
      <c r="AF1517" s="187"/>
    </row>
    <row r="1518" spans="1:32" ht="30.6">
      <c r="A1518" s="663" t="s">
        <v>890</v>
      </c>
      <c r="B1518" s="3130" t="s">
        <v>772</v>
      </c>
      <c r="C1518" s="663" t="s">
        <v>322</v>
      </c>
      <c r="D1518" s="678" t="s">
        <v>1980</v>
      </c>
      <c r="E1518" s="700" t="s">
        <v>1941</v>
      </c>
      <c r="F1518" s="795">
        <v>2239</v>
      </c>
      <c r="G1518" s="1569" t="s">
        <v>3427</v>
      </c>
      <c r="H1518" s="1596"/>
      <c r="I1518" s="1596">
        <v>-2000</v>
      </c>
      <c r="J1518" s="1654" t="s">
        <v>1134</v>
      </c>
      <c r="K1518" s="1640"/>
      <c r="L1518" s="1596"/>
      <c r="M1518" s="1596"/>
      <c r="N1518" s="2190"/>
      <c r="O1518" s="3"/>
      <c r="P1518" s="3"/>
      <c r="Q1518" s="3"/>
      <c r="R1518" s="3"/>
      <c r="S1518" s="3"/>
      <c r="T1518" s="3"/>
      <c r="U1518" s="3"/>
      <c r="V1518" s="3"/>
      <c r="W1518" s="3"/>
      <c r="X1518" s="3"/>
    </row>
    <row r="1519" spans="1:32" ht="40.799999999999997">
      <c r="A1519" s="1495" t="s">
        <v>890</v>
      </c>
      <c r="B1519" s="3138" t="s">
        <v>772</v>
      </c>
      <c r="C1519" s="1495" t="s">
        <v>322</v>
      </c>
      <c r="D1519" s="1561" t="s">
        <v>1980</v>
      </c>
      <c r="E1519" s="1590" t="s">
        <v>1941</v>
      </c>
      <c r="F1519" s="1562">
        <v>2239</v>
      </c>
      <c r="G1519" s="1569" t="s">
        <v>3428</v>
      </c>
      <c r="H1519" s="1596"/>
      <c r="I1519" s="1596">
        <v>-3000</v>
      </c>
      <c r="J1519" s="1654" t="s">
        <v>1134</v>
      </c>
      <c r="K1519" s="1640"/>
      <c r="L1519" s="1596"/>
      <c r="M1519" s="1596"/>
      <c r="N1519" s="2048"/>
      <c r="O1519" s="7"/>
      <c r="P1519" s="7"/>
      <c r="Q1519" s="7"/>
      <c r="R1519" s="7"/>
      <c r="S1519" s="7"/>
      <c r="T1519" s="7"/>
      <c r="U1519" s="7"/>
      <c r="V1519" s="7"/>
      <c r="W1519" s="7"/>
      <c r="X1519" s="7"/>
    </row>
    <row r="1520" spans="1:32" ht="20.399999999999999">
      <c r="A1520" s="663" t="s">
        <v>894</v>
      </c>
      <c r="B1520" s="3130" t="s">
        <v>772</v>
      </c>
      <c r="C1520" s="663" t="s">
        <v>322</v>
      </c>
      <c r="D1520" s="678" t="s">
        <v>1980</v>
      </c>
      <c r="E1520" s="700" t="s">
        <v>1941</v>
      </c>
      <c r="F1520" s="795">
        <v>2239</v>
      </c>
      <c r="G1520" s="2195" t="s">
        <v>893</v>
      </c>
      <c r="H1520" s="714"/>
      <c r="I1520" s="714">
        <v>5200</v>
      </c>
      <c r="J1520" s="1654" t="s">
        <v>1134</v>
      </c>
      <c r="K1520" s="809"/>
      <c r="L1520" s="714"/>
      <c r="M1520" s="701">
        <v>5200</v>
      </c>
      <c r="N1520" s="2198"/>
      <c r="O1520" s="187"/>
      <c r="P1520" s="187"/>
      <c r="Q1520" s="187"/>
      <c r="R1520" s="187"/>
      <c r="S1520" s="187"/>
      <c r="T1520" s="187"/>
      <c r="U1520" s="187"/>
      <c r="V1520" s="187"/>
      <c r="W1520" s="187"/>
      <c r="X1520" s="187"/>
      <c r="Y1520" s="187"/>
      <c r="Z1520" s="187"/>
      <c r="AA1520" s="187"/>
      <c r="AB1520" s="187"/>
      <c r="AC1520" s="187"/>
      <c r="AD1520" s="187"/>
      <c r="AE1520" s="187"/>
      <c r="AF1520" s="187"/>
    </row>
    <row r="1521" spans="1:32" ht="20.399999999999999">
      <c r="A1521" s="663" t="s">
        <v>896</v>
      </c>
      <c r="B1521" s="3130" t="s">
        <v>772</v>
      </c>
      <c r="C1521" s="663" t="s">
        <v>322</v>
      </c>
      <c r="D1521" s="678" t="s">
        <v>1980</v>
      </c>
      <c r="E1521" s="700" t="s">
        <v>1941</v>
      </c>
      <c r="F1521" s="795">
        <v>2239</v>
      </c>
      <c r="G1521" s="2195" t="s">
        <v>895</v>
      </c>
      <c r="H1521" s="714"/>
      <c r="I1521" s="714">
        <v>600</v>
      </c>
      <c r="J1521" s="1654" t="s">
        <v>1134</v>
      </c>
      <c r="K1521" s="809"/>
      <c r="L1521" s="714"/>
      <c r="M1521" s="714">
        <v>600</v>
      </c>
      <c r="N1521" s="2198"/>
      <c r="O1521" s="187"/>
      <c r="P1521" s="187"/>
      <c r="Q1521" s="187"/>
      <c r="R1521" s="187"/>
      <c r="S1521" s="187"/>
      <c r="T1521" s="187"/>
      <c r="U1521" s="187"/>
      <c r="V1521" s="187"/>
      <c r="W1521" s="187"/>
      <c r="X1521" s="187"/>
      <c r="Y1521" s="187"/>
      <c r="Z1521" s="187"/>
      <c r="AA1521" s="187"/>
      <c r="AB1521" s="187"/>
      <c r="AC1521" s="187"/>
      <c r="AD1521" s="187"/>
      <c r="AE1521" s="187"/>
      <c r="AF1521" s="187"/>
    </row>
    <row r="1522" spans="1:32">
      <c r="A1522" s="663" t="s">
        <v>896</v>
      </c>
      <c r="B1522" s="3130" t="s">
        <v>772</v>
      </c>
      <c r="C1522" s="663" t="s">
        <v>322</v>
      </c>
      <c r="D1522" s="678" t="s">
        <v>1980</v>
      </c>
      <c r="E1522" s="700" t="s">
        <v>1941</v>
      </c>
      <c r="F1522" s="795">
        <v>2239</v>
      </c>
      <c r="G1522" s="2195" t="s">
        <v>1108</v>
      </c>
      <c r="H1522" s="714"/>
      <c r="I1522" s="714">
        <v>2000</v>
      </c>
      <c r="J1522" s="1654" t="s">
        <v>1134</v>
      </c>
      <c r="K1522" s="809"/>
      <c r="L1522" s="714"/>
      <c r="M1522" s="714">
        <v>2000</v>
      </c>
      <c r="N1522" s="2048"/>
      <c r="O1522" s="187"/>
      <c r="P1522" s="187"/>
      <c r="Q1522" s="187"/>
      <c r="R1522" s="187"/>
      <c r="S1522" s="187"/>
      <c r="T1522" s="187"/>
      <c r="U1522" s="187"/>
      <c r="V1522" s="187"/>
      <c r="W1522" s="187"/>
      <c r="X1522" s="187"/>
      <c r="Y1522" s="187"/>
      <c r="Z1522" s="187"/>
      <c r="AA1522" s="187"/>
      <c r="AB1522" s="187"/>
      <c r="AC1522" s="187"/>
      <c r="AD1522" s="187"/>
      <c r="AE1522" s="187"/>
      <c r="AF1522" s="187"/>
    </row>
    <row r="1523" spans="1:32">
      <c r="A1523" s="663"/>
      <c r="B1523" s="3130" t="s">
        <v>772</v>
      </c>
      <c r="C1523" s="663" t="s">
        <v>322</v>
      </c>
      <c r="D1523" s="678" t="s">
        <v>1980</v>
      </c>
      <c r="E1523" s="700" t="s">
        <v>1941</v>
      </c>
      <c r="F1523" s="795">
        <v>2239</v>
      </c>
      <c r="G1523" s="2177" t="s">
        <v>4179</v>
      </c>
      <c r="H1523" s="714"/>
      <c r="I1523" s="714">
        <v>300</v>
      </c>
      <c r="J1523" s="1654" t="s">
        <v>1134</v>
      </c>
      <c r="K1523" s="809"/>
      <c r="L1523" s="714"/>
      <c r="M1523" s="714">
        <v>300</v>
      </c>
      <c r="N1523" s="2048"/>
      <c r="O1523" s="187"/>
      <c r="P1523" s="187"/>
      <c r="Q1523" s="187"/>
      <c r="R1523" s="187"/>
      <c r="S1523" s="187"/>
      <c r="T1523" s="187"/>
      <c r="U1523" s="187"/>
      <c r="V1523" s="187"/>
      <c r="W1523" s="187"/>
      <c r="X1523" s="187"/>
      <c r="Y1523" s="187"/>
      <c r="Z1523" s="187"/>
      <c r="AA1523" s="187"/>
      <c r="AB1523" s="187"/>
      <c r="AC1523" s="187"/>
      <c r="AD1523" s="187"/>
      <c r="AE1523" s="187"/>
      <c r="AF1523" s="187"/>
    </row>
    <row r="1524" spans="1:32">
      <c r="A1524" s="663" t="s">
        <v>898</v>
      </c>
      <c r="B1524" s="3130" t="s">
        <v>772</v>
      </c>
      <c r="C1524" s="663" t="s">
        <v>322</v>
      </c>
      <c r="D1524" s="678" t="s">
        <v>1980</v>
      </c>
      <c r="E1524" s="700" t="s">
        <v>1941</v>
      </c>
      <c r="F1524" s="795">
        <v>2239</v>
      </c>
      <c r="G1524" s="2177" t="s">
        <v>4180</v>
      </c>
      <c r="H1524" s="714"/>
      <c r="I1524" s="714">
        <v>300</v>
      </c>
      <c r="J1524" s="1654" t="s">
        <v>1134</v>
      </c>
      <c r="K1524" s="809"/>
      <c r="L1524" s="714"/>
      <c r="M1524" s="714">
        <v>1500</v>
      </c>
      <c r="N1524" s="2048"/>
      <c r="O1524" s="187"/>
      <c r="P1524" s="187"/>
      <c r="Q1524" s="187"/>
      <c r="R1524" s="187"/>
      <c r="S1524" s="187"/>
      <c r="T1524" s="187"/>
      <c r="U1524" s="187"/>
      <c r="V1524" s="187"/>
      <c r="W1524" s="187"/>
      <c r="X1524" s="187"/>
      <c r="Y1524" s="187"/>
      <c r="Z1524" s="187"/>
      <c r="AA1524" s="187"/>
      <c r="AB1524" s="187"/>
      <c r="AC1524" s="187"/>
      <c r="AD1524" s="187"/>
      <c r="AE1524" s="187"/>
      <c r="AF1524" s="187"/>
    </row>
    <row r="1525" spans="1:32">
      <c r="A1525" s="663" t="s">
        <v>630</v>
      </c>
      <c r="B1525" s="3130" t="s">
        <v>772</v>
      </c>
      <c r="C1525" s="663" t="s">
        <v>322</v>
      </c>
      <c r="D1525" s="678" t="s">
        <v>1980</v>
      </c>
      <c r="E1525" s="700" t="s">
        <v>1941</v>
      </c>
      <c r="F1525" s="795">
        <v>2239</v>
      </c>
      <c r="G1525" s="2177" t="s">
        <v>892</v>
      </c>
      <c r="H1525" s="714"/>
      <c r="I1525" s="714">
        <v>1000</v>
      </c>
      <c r="J1525" s="1654" t="s">
        <v>1134</v>
      </c>
      <c r="K1525" s="809"/>
      <c r="L1525" s="714"/>
      <c r="M1525" s="714">
        <v>1000</v>
      </c>
      <c r="N1525" s="2048"/>
    </row>
    <row r="1526" spans="1:32">
      <c r="A1526" s="663"/>
      <c r="B1526" s="3130" t="s">
        <v>772</v>
      </c>
      <c r="C1526" s="663" t="s">
        <v>322</v>
      </c>
      <c r="D1526" s="678" t="s">
        <v>1980</v>
      </c>
      <c r="E1526" s="700" t="s">
        <v>1941</v>
      </c>
      <c r="F1526" s="795">
        <v>2239</v>
      </c>
      <c r="G1526" s="2177" t="s">
        <v>533</v>
      </c>
      <c r="H1526" s="714"/>
      <c r="I1526" s="714">
        <v>350</v>
      </c>
      <c r="J1526" s="1654" t="s">
        <v>1134</v>
      </c>
      <c r="K1526" s="809"/>
      <c r="L1526" s="714"/>
      <c r="M1526" s="714">
        <v>350</v>
      </c>
      <c r="N1526" s="2048"/>
      <c r="O1526" s="187"/>
      <c r="P1526" s="187"/>
      <c r="Q1526" s="187"/>
      <c r="R1526" s="187"/>
      <c r="S1526" s="187"/>
      <c r="T1526" s="187"/>
      <c r="U1526" s="187"/>
      <c r="V1526" s="187"/>
      <c r="W1526" s="187"/>
      <c r="X1526" s="187"/>
      <c r="Y1526" s="187"/>
      <c r="Z1526" s="187"/>
      <c r="AA1526" s="187"/>
      <c r="AB1526" s="187"/>
      <c r="AC1526" s="187"/>
      <c r="AD1526" s="187"/>
      <c r="AE1526" s="187"/>
      <c r="AF1526" s="187"/>
    </row>
    <row r="1527" spans="1:32">
      <c r="A1527" s="683"/>
      <c r="B1527" s="3129" t="s">
        <v>772</v>
      </c>
      <c r="C1527" s="683" t="s">
        <v>320</v>
      </c>
      <c r="D1527" s="719" t="s">
        <v>1980</v>
      </c>
      <c r="E1527" s="720" t="s">
        <v>1941</v>
      </c>
      <c r="F1527" s="824">
        <v>2243</v>
      </c>
      <c r="G1527" s="800" t="s">
        <v>159</v>
      </c>
      <c r="H1527" s="713">
        <v>11000</v>
      </c>
      <c r="I1527" s="713"/>
      <c r="J1527" s="1654">
        <v>6474</v>
      </c>
      <c r="K1527" s="842"/>
      <c r="L1527" s="713">
        <v>8600</v>
      </c>
      <c r="M1527" s="713"/>
      <c r="N1527" s="2048"/>
      <c r="O1527" s="4"/>
      <c r="P1527" s="4"/>
      <c r="Q1527" s="4"/>
      <c r="R1527" s="4"/>
      <c r="S1527" s="4"/>
      <c r="T1527" s="4"/>
      <c r="U1527" s="4"/>
      <c r="V1527" s="4"/>
      <c r="W1527" s="4"/>
      <c r="X1527" s="4"/>
      <c r="Y1527" s="4"/>
      <c r="Z1527" s="4"/>
      <c r="AA1527" s="4"/>
      <c r="AB1527" s="4"/>
      <c r="AC1527" s="4"/>
      <c r="AD1527" s="4"/>
      <c r="AE1527" s="4"/>
      <c r="AF1527" s="4"/>
    </row>
    <row r="1528" spans="1:32" ht="40.799999999999997">
      <c r="A1528" s="663"/>
      <c r="B1528" s="3130" t="s">
        <v>772</v>
      </c>
      <c r="C1528" s="663" t="s">
        <v>320</v>
      </c>
      <c r="D1528" s="678" t="s">
        <v>1980</v>
      </c>
      <c r="E1528" s="700" t="s">
        <v>1941</v>
      </c>
      <c r="F1528" s="795">
        <v>2243</v>
      </c>
      <c r="G1528" s="2195" t="s">
        <v>2144</v>
      </c>
      <c r="H1528" s="701"/>
      <c r="I1528" s="701">
        <v>5000</v>
      </c>
      <c r="J1528" s="1654" t="s">
        <v>1134</v>
      </c>
      <c r="K1528" s="792"/>
      <c r="L1528" s="701"/>
      <c r="M1528" s="701">
        <v>5000</v>
      </c>
      <c r="N1528" s="2048"/>
      <c r="O1528" s="4"/>
      <c r="P1528" s="4"/>
      <c r="Q1528" s="4"/>
      <c r="R1528" s="4"/>
      <c r="S1528" s="4"/>
      <c r="T1528" s="4"/>
      <c r="U1528" s="4"/>
      <c r="V1528" s="4"/>
      <c r="W1528" s="4"/>
      <c r="X1528" s="4"/>
      <c r="Y1528" s="4"/>
      <c r="Z1528" s="4"/>
      <c r="AA1528" s="4"/>
      <c r="AB1528" s="4"/>
      <c r="AC1528" s="4"/>
      <c r="AD1528" s="4"/>
      <c r="AE1528" s="4"/>
      <c r="AF1528" s="4"/>
    </row>
    <row r="1529" spans="1:32" ht="40.799999999999997">
      <c r="A1529" s="663"/>
      <c r="B1529" s="3130" t="s">
        <v>772</v>
      </c>
      <c r="C1529" s="663" t="s">
        <v>320</v>
      </c>
      <c r="D1529" s="678" t="s">
        <v>1980</v>
      </c>
      <c r="E1529" s="700" t="s">
        <v>1941</v>
      </c>
      <c r="F1529" s="795">
        <v>2243</v>
      </c>
      <c r="G1529" s="2195" t="s">
        <v>2145</v>
      </c>
      <c r="H1529" s="701"/>
      <c r="I1529" s="701">
        <v>1000</v>
      </c>
      <c r="J1529" s="1654" t="s">
        <v>1134</v>
      </c>
      <c r="K1529" s="792"/>
      <c r="L1529" s="701"/>
      <c r="M1529" s="701">
        <v>1000</v>
      </c>
      <c r="N1529" s="2048"/>
      <c r="O1529" s="187"/>
      <c r="P1529" s="187"/>
      <c r="Q1529" s="187"/>
      <c r="R1529" s="4"/>
      <c r="S1529" s="4"/>
      <c r="T1529" s="4"/>
      <c r="V1529" s="4"/>
      <c r="W1529" s="4"/>
      <c r="X1529" s="4"/>
      <c r="Y1529" s="4"/>
      <c r="Z1529" s="4"/>
      <c r="AA1529" s="4"/>
      <c r="AB1529" s="4"/>
      <c r="AC1529" s="4"/>
      <c r="AD1529" s="4"/>
      <c r="AE1529" s="4"/>
      <c r="AF1529" s="4"/>
    </row>
    <row r="1530" spans="1:32" ht="20.399999999999999">
      <c r="A1530" s="663"/>
      <c r="B1530" s="3130" t="s">
        <v>772</v>
      </c>
      <c r="C1530" s="663" t="s">
        <v>320</v>
      </c>
      <c r="D1530" s="678" t="s">
        <v>1980</v>
      </c>
      <c r="E1530" s="700" t="s">
        <v>1941</v>
      </c>
      <c r="F1530" s="795">
        <v>2243</v>
      </c>
      <c r="G1530" s="2195" t="s">
        <v>4181</v>
      </c>
      <c r="H1530" s="701"/>
      <c r="I1530" s="701">
        <v>1000</v>
      </c>
      <c r="J1530" s="1654" t="s">
        <v>1134</v>
      </c>
      <c r="K1530" s="792"/>
      <c r="L1530" s="701"/>
      <c r="M1530" s="701">
        <v>1000</v>
      </c>
      <c r="N1530" s="2048"/>
      <c r="O1530" s="187"/>
      <c r="P1530" s="187"/>
      <c r="Q1530" s="187"/>
      <c r="R1530" s="187"/>
      <c r="S1530" s="187"/>
      <c r="T1530" s="187"/>
      <c r="U1530" s="187"/>
      <c r="V1530" s="187"/>
      <c r="W1530" s="187"/>
      <c r="X1530" s="187"/>
      <c r="Y1530" s="187"/>
      <c r="Z1530" s="187"/>
      <c r="AA1530" s="187"/>
      <c r="AB1530" s="4"/>
      <c r="AC1530" s="4"/>
      <c r="AD1530" s="4"/>
      <c r="AE1530" s="4"/>
      <c r="AF1530" s="4"/>
    </row>
    <row r="1531" spans="1:32" ht="20.399999999999999">
      <c r="A1531" s="663"/>
      <c r="B1531" s="3130" t="s">
        <v>772</v>
      </c>
      <c r="C1531" s="663" t="s">
        <v>320</v>
      </c>
      <c r="D1531" s="678" t="s">
        <v>1980</v>
      </c>
      <c r="E1531" s="700" t="s">
        <v>1941</v>
      </c>
      <c r="F1531" s="795">
        <v>2243</v>
      </c>
      <c r="G1531" s="750" t="s">
        <v>2146</v>
      </c>
      <c r="H1531" s="701"/>
      <c r="I1531" s="701">
        <v>500</v>
      </c>
      <c r="J1531" s="1654" t="s">
        <v>1134</v>
      </c>
      <c r="K1531" s="792"/>
      <c r="L1531" s="701"/>
      <c r="M1531" s="701"/>
      <c r="N1531" s="2048"/>
      <c r="O1531" s="4"/>
      <c r="P1531" s="4"/>
      <c r="Q1531" s="4"/>
      <c r="R1531" s="4"/>
      <c r="S1531" s="4"/>
      <c r="T1531" s="4"/>
      <c r="U1531" s="4"/>
      <c r="V1531" s="4"/>
      <c r="W1531" s="4"/>
      <c r="X1531" s="4"/>
      <c r="Y1531" s="4"/>
      <c r="Z1531" s="4"/>
      <c r="AA1531" s="4"/>
      <c r="AB1531" s="4"/>
      <c r="AC1531" s="4"/>
      <c r="AD1531" s="4"/>
      <c r="AE1531" s="4"/>
      <c r="AF1531" s="4"/>
    </row>
    <row r="1532" spans="1:32" ht="20.399999999999999">
      <c r="A1532" s="663"/>
      <c r="B1532" s="3130" t="s">
        <v>772</v>
      </c>
      <c r="C1532" s="663" t="s">
        <v>320</v>
      </c>
      <c r="D1532" s="678" t="s">
        <v>1980</v>
      </c>
      <c r="E1532" s="700" t="s">
        <v>1941</v>
      </c>
      <c r="F1532" s="795">
        <v>2243</v>
      </c>
      <c r="G1532" s="2195" t="s">
        <v>4182</v>
      </c>
      <c r="H1532" s="701"/>
      <c r="I1532" s="701">
        <v>1000</v>
      </c>
      <c r="J1532" s="1654" t="s">
        <v>1134</v>
      </c>
      <c r="K1532" s="792"/>
      <c r="L1532" s="701"/>
      <c r="M1532" s="2188">
        <v>600</v>
      </c>
      <c r="N1532" s="2190"/>
      <c r="O1532" s="187"/>
      <c r="P1532" s="187"/>
      <c r="Q1532" s="187"/>
      <c r="R1532" s="187"/>
      <c r="S1532" s="187"/>
      <c r="T1532" s="187"/>
      <c r="U1532" s="187"/>
      <c r="V1532" s="187"/>
      <c r="W1532" s="187"/>
      <c r="X1532" s="187"/>
      <c r="Y1532" s="187"/>
      <c r="Z1532" s="187"/>
      <c r="AA1532" s="187"/>
      <c r="AB1532" s="187"/>
      <c r="AC1532" s="187"/>
      <c r="AD1532" s="187"/>
      <c r="AE1532" s="187"/>
      <c r="AF1532" s="187"/>
    </row>
    <row r="1533" spans="1:32" ht="20.399999999999999">
      <c r="A1533" s="663"/>
      <c r="B1533" s="3130" t="s">
        <v>772</v>
      </c>
      <c r="C1533" s="663" t="s">
        <v>320</v>
      </c>
      <c r="D1533" s="678" t="s">
        <v>1980</v>
      </c>
      <c r="E1533" s="700" t="s">
        <v>1941</v>
      </c>
      <c r="F1533" s="795">
        <v>2243</v>
      </c>
      <c r="G1533" s="2195" t="s">
        <v>4183</v>
      </c>
      <c r="H1533" s="701"/>
      <c r="I1533" s="701">
        <v>1500</v>
      </c>
      <c r="J1533" s="1654" t="s">
        <v>1134</v>
      </c>
      <c r="K1533" s="792"/>
      <c r="L1533" s="701"/>
      <c r="M1533" s="2188">
        <v>1000</v>
      </c>
      <c r="N1533" s="2048"/>
      <c r="O1533" s="4"/>
      <c r="P1533" s="4"/>
      <c r="Q1533" s="4"/>
      <c r="R1533" s="4"/>
      <c r="S1533" s="4"/>
      <c r="T1533" s="4"/>
      <c r="U1533" s="4"/>
      <c r="V1533" s="4"/>
      <c r="W1533" s="4"/>
      <c r="X1533" s="4"/>
      <c r="Y1533" s="4"/>
      <c r="Z1533" s="4"/>
      <c r="AA1533" s="4"/>
      <c r="AB1533" s="4"/>
      <c r="AC1533" s="4"/>
      <c r="AD1533" s="4"/>
      <c r="AE1533" s="4"/>
      <c r="AF1533" s="4"/>
    </row>
    <row r="1534" spans="1:32">
      <c r="A1534" s="663"/>
      <c r="B1534" s="3130" t="s">
        <v>772</v>
      </c>
      <c r="C1534" s="663" t="s">
        <v>320</v>
      </c>
      <c r="D1534" s="678" t="s">
        <v>1980</v>
      </c>
      <c r="E1534" s="700" t="s">
        <v>1941</v>
      </c>
      <c r="F1534" s="795">
        <v>2243</v>
      </c>
      <c r="G1534" s="750" t="s">
        <v>357</v>
      </c>
      <c r="H1534" s="701"/>
      <c r="I1534" s="701">
        <v>1000</v>
      </c>
      <c r="J1534" s="1654" t="s">
        <v>1134</v>
      </c>
      <c r="K1534" s="792"/>
      <c r="L1534" s="701"/>
      <c r="M1534" s="701"/>
      <c r="N1534" s="2190"/>
      <c r="O1534" s="4"/>
      <c r="P1534" s="4"/>
      <c r="Q1534" s="4"/>
      <c r="R1534" s="4"/>
      <c r="S1534" s="4"/>
      <c r="T1534" s="4"/>
      <c r="U1534" s="4"/>
      <c r="V1534" s="4"/>
      <c r="W1534" s="4"/>
      <c r="X1534" s="4"/>
      <c r="Y1534" s="4"/>
      <c r="Z1534" s="4"/>
      <c r="AA1534" s="4"/>
      <c r="AB1534" s="4"/>
      <c r="AC1534" s="4"/>
      <c r="AD1534" s="4"/>
      <c r="AE1534" s="4"/>
      <c r="AF1534" s="4"/>
    </row>
    <row r="1535" spans="1:32">
      <c r="A1535" s="683"/>
      <c r="B1535" s="3129" t="s">
        <v>772</v>
      </c>
      <c r="C1535" s="683" t="s">
        <v>320</v>
      </c>
      <c r="D1535" s="719" t="s">
        <v>1980</v>
      </c>
      <c r="E1535" s="720" t="s">
        <v>1941</v>
      </c>
      <c r="F1535" s="824">
        <v>2247</v>
      </c>
      <c r="G1535" s="800" t="s">
        <v>185</v>
      </c>
      <c r="H1535" s="893">
        <v>15000</v>
      </c>
      <c r="I1535" s="893"/>
      <c r="J1535" s="1654">
        <v>10200</v>
      </c>
      <c r="K1535" s="1251"/>
      <c r="L1535" s="893">
        <v>12000</v>
      </c>
      <c r="M1535" s="893"/>
      <c r="N1535" s="2190"/>
      <c r="O1535" s="4"/>
      <c r="P1535" s="4"/>
      <c r="Q1535" s="4"/>
      <c r="R1535" s="4"/>
      <c r="S1535" s="4"/>
      <c r="T1535" s="4"/>
      <c r="U1535" s="4"/>
      <c r="V1535" s="4"/>
      <c r="W1535" s="4"/>
      <c r="X1535" s="4"/>
      <c r="Y1535" s="4"/>
      <c r="Z1535" s="4"/>
      <c r="AA1535" s="4"/>
      <c r="AB1535" s="4"/>
      <c r="AC1535" s="4"/>
      <c r="AD1535" s="4"/>
      <c r="AE1535" s="4"/>
      <c r="AF1535" s="4"/>
    </row>
    <row r="1536" spans="1:32" ht="51">
      <c r="A1536" s="774"/>
      <c r="B1536" s="3137" t="s">
        <v>772</v>
      </c>
      <c r="C1536" s="774" t="s">
        <v>320</v>
      </c>
      <c r="D1536" s="678" t="s">
        <v>1980</v>
      </c>
      <c r="E1536" s="700" t="s">
        <v>1941</v>
      </c>
      <c r="F1536" s="795">
        <v>2247</v>
      </c>
      <c r="G1536" s="2195" t="s">
        <v>4184</v>
      </c>
      <c r="H1536" s="748"/>
      <c r="I1536" s="748">
        <v>15000</v>
      </c>
      <c r="J1536" s="1654" t="s">
        <v>1134</v>
      </c>
      <c r="K1536" s="1314"/>
      <c r="L1536" s="748"/>
      <c r="M1536" s="2200">
        <v>12000</v>
      </c>
      <c r="N1536" s="2197" t="s">
        <v>4198</v>
      </c>
    </row>
    <row r="1537" spans="1:32">
      <c r="A1537" s="683"/>
      <c r="B1537" s="3129" t="s">
        <v>772</v>
      </c>
      <c r="C1537" s="683" t="s">
        <v>320</v>
      </c>
      <c r="D1537" s="719" t="s">
        <v>1980</v>
      </c>
      <c r="E1537" s="720" t="s">
        <v>1941</v>
      </c>
      <c r="F1537" s="824">
        <v>2250</v>
      </c>
      <c r="G1537" s="800" t="s">
        <v>778</v>
      </c>
      <c r="H1537" s="893">
        <v>5465.92</v>
      </c>
      <c r="I1537" s="893"/>
      <c r="J1537" s="1654">
        <v>4608</v>
      </c>
      <c r="K1537" s="1251"/>
      <c r="L1537" s="893">
        <v>5465.92</v>
      </c>
      <c r="M1537" s="893"/>
      <c r="N1537" s="2190"/>
    </row>
    <row r="1538" spans="1:32">
      <c r="A1538" s="774"/>
      <c r="B1538" s="3137" t="s">
        <v>772</v>
      </c>
      <c r="C1538" s="774" t="s">
        <v>322</v>
      </c>
      <c r="D1538" s="873" t="s">
        <v>1980</v>
      </c>
      <c r="E1538" s="700" t="s">
        <v>1941</v>
      </c>
      <c r="F1538" s="795">
        <v>2250</v>
      </c>
      <c r="G1538" s="2195" t="s">
        <v>891</v>
      </c>
      <c r="H1538" s="701"/>
      <c r="I1538" s="701">
        <v>129</v>
      </c>
      <c r="J1538" s="1654" t="s">
        <v>1134</v>
      </c>
      <c r="K1538" s="792"/>
      <c r="L1538" s="701"/>
      <c r="M1538" s="2188">
        <v>129</v>
      </c>
      <c r="N1538" s="381"/>
    </row>
    <row r="1539" spans="1:32" ht="40.799999999999997">
      <c r="A1539" s="894"/>
      <c r="B1539" s="3130" t="s">
        <v>772</v>
      </c>
      <c r="C1539" s="663" t="s">
        <v>322</v>
      </c>
      <c r="D1539" s="678" t="s">
        <v>1980</v>
      </c>
      <c r="E1539" s="700" t="s">
        <v>1941</v>
      </c>
      <c r="F1539" s="795">
        <v>2250</v>
      </c>
      <c r="G1539" s="2201" t="s">
        <v>4186</v>
      </c>
      <c r="H1539" s="895"/>
      <c r="I1539" s="701">
        <v>4300</v>
      </c>
      <c r="J1539" s="1654" t="s">
        <v>1134</v>
      </c>
      <c r="K1539" s="2202"/>
      <c r="L1539" s="895"/>
      <c r="M1539" s="2188">
        <v>4300</v>
      </c>
      <c r="N1539" s="2190"/>
    </row>
    <row r="1540" spans="1:32" ht="40.799999999999997">
      <c r="A1540" s="663"/>
      <c r="B1540" s="3130" t="s">
        <v>772</v>
      </c>
      <c r="C1540" s="663" t="s">
        <v>320</v>
      </c>
      <c r="D1540" s="678" t="s">
        <v>1980</v>
      </c>
      <c r="E1540" s="700" t="s">
        <v>1941</v>
      </c>
      <c r="F1540" s="795">
        <v>2250</v>
      </c>
      <c r="G1540" s="2195" t="s">
        <v>4922</v>
      </c>
      <c r="H1540" s="714"/>
      <c r="I1540" s="714">
        <v>561.91999999999996</v>
      </c>
      <c r="J1540" s="1654" t="s">
        <v>1134</v>
      </c>
      <c r="K1540" s="809"/>
      <c r="L1540" s="714"/>
      <c r="M1540" s="2188">
        <v>561.91999999999996</v>
      </c>
      <c r="N1540" s="2190"/>
    </row>
    <row r="1541" spans="1:32">
      <c r="A1541" s="663"/>
      <c r="B1541" s="3130" t="s">
        <v>772</v>
      </c>
      <c r="C1541" s="663" t="s">
        <v>320</v>
      </c>
      <c r="D1541" s="678" t="s">
        <v>1980</v>
      </c>
      <c r="E1541" s="700" t="s">
        <v>1941</v>
      </c>
      <c r="F1541" s="795">
        <v>2250</v>
      </c>
      <c r="G1541" s="2195" t="s">
        <v>887</v>
      </c>
      <c r="H1541" s="714"/>
      <c r="I1541" s="714">
        <v>400</v>
      </c>
      <c r="J1541" s="1654" t="s">
        <v>1134</v>
      </c>
      <c r="K1541" s="809"/>
      <c r="L1541" s="714"/>
      <c r="M1541" s="701">
        <v>400</v>
      </c>
      <c r="N1541" s="2048"/>
    </row>
    <row r="1542" spans="1:32">
      <c r="A1542" s="663"/>
      <c r="B1542" s="3130" t="s">
        <v>772</v>
      </c>
      <c r="C1542" s="663" t="s">
        <v>320</v>
      </c>
      <c r="D1542" s="678" t="s">
        <v>1980</v>
      </c>
      <c r="E1542" s="700" t="s">
        <v>1941</v>
      </c>
      <c r="F1542" s="795">
        <v>2250</v>
      </c>
      <c r="G1542" s="2201" t="s">
        <v>2147</v>
      </c>
      <c r="H1542" s="714"/>
      <c r="I1542" s="714">
        <v>75</v>
      </c>
      <c r="J1542" s="1654" t="s">
        <v>1134</v>
      </c>
      <c r="K1542" s="809"/>
      <c r="L1542" s="714"/>
      <c r="M1542" s="701">
        <v>75</v>
      </c>
      <c r="N1542" s="2048"/>
    </row>
    <row r="1543" spans="1:32">
      <c r="A1543" s="683"/>
      <c r="B1543" s="3129" t="s">
        <v>772</v>
      </c>
      <c r="C1543" s="683" t="s">
        <v>322</v>
      </c>
      <c r="D1543" s="719" t="s">
        <v>1980</v>
      </c>
      <c r="E1543" s="720" t="s">
        <v>1941</v>
      </c>
      <c r="F1543" s="824">
        <v>2311</v>
      </c>
      <c r="G1543" s="800" t="s">
        <v>129</v>
      </c>
      <c r="H1543" s="713">
        <v>4850</v>
      </c>
      <c r="I1543" s="713"/>
      <c r="J1543" s="1654">
        <v>3626</v>
      </c>
      <c r="K1543" s="842"/>
      <c r="L1543" s="713">
        <v>4050</v>
      </c>
      <c r="M1543" s="713"/>
      <c r="N1543" s="2048"/>
      <c r="O1543" s="187"/>
      <c r="P1543" s="187"/>
      <c r="Q1543" s="187"/>
      <c r="R1543" s="187"/>
      <c r="S1543" s="187"/>
      <c r="T1543" s="187"/>
      <c r="U1543" s="187"/>
      <c r="V1543" s="187"/>
      <c r="W1543" s="187"/>
      <c r="X1543" s="187"/>
      <c r="Y1543" s="187"/>
      <c r="Z1543" s="187"/>
      <c r="AA1543" s="187"/>
      <c r="AB1543" s="187"/>
      <c r="AC1543" s="187"/>
      <c r="AD1543" s="187"/>
      <c r="AE1543" s="187"/>
      <c r="AF1543" s="187"/>
    </row>
    <row r="1544" spans="1:32" ht="20.399999999999999">
      <c r="A1544" s="663"/>
      <c r="B1544" s="3130" t="s">
        <v>772</v>
      </c>
      <c r="C1544" s="663" t="s">
        <v>322</v>
      </c>
      <c r="D1544" s="678" t="s">
        <v>1980</v>
      </c>
      <c r="E1544" s="700" t="s">
        <v>1941</v>
      </c>
      <c r="F1544" s="795">
        <v>2311</v>
      </c>
      <c r="G1544" s="2195" t="s">
        <v>4187</v>
      </c>
      <c r="H1544" s="714"/>
      <c r="I1544" s="714">
        <v>2900</v>
      </c>
      <c r="J1544" s="1654" t="s">
        <v>1134</v>
      </c>
      <c r="K1544" s="809"/>
      <c r="L1544" s="714"/>
      <c r="M1544" s="2203">
        <v>2500</v>
      </c>
      <c r="N1544" s="2048"/>
      <c r="O1544" s="7"/>
      <c r="P1544" s="7"/>
      <c r="Q1544" s="7"/>
      <c r="R1544" s="7"/>
      <c r="S1544" s="7"/>
      <c r="T1544" s="7"/>
      <c r="U1544" s="7"/>
      <c r="V1544" s="7"/>
      <c r="W1544" s="7"/>
      <c r="X1544" s="7"/>
    </row>
    <row r="1545" spans="1:32">
      <c r="A1545" s="663"/>
      <c r="B1545" s="3130" t="s">
        <v>772</v>
      </c>
      <c r="C1545" s="663" t="s">
        <v>322</v>
      </c>
      <c r="D1545" s="678" t="s">
        <v>1980</v>
      </c>
      <c r="E1545" s="700" t="s">
        <v>1941</v>
      </c>
      <c r="F1545" s="795">
        <v>2311</v>
      </c>
      <c r="G1545" s="2195" t="s">
        <v>228</v>
      </c>
      <c r="H1545" s="714"/>
      <c r="I1545" s="714">
        <v>850</v>
      </c>
      <c r="J1545" s="1654" t="s">
        <v>1134</v>
      </c>
      <c r="K1545" s="809"/>
      <c r="L1545" s="714"/>
      <c r="M1545" s="2188">
        <v>850</v>
      </c>
      <c r="N1545" s="2048"/>
    </row>
    <row r="1546" spans="1:32">
      <c r="A1546" s="663"/>
      <c r="B1546" s="3130" t="s">
        <v>772</v>
      </c>
      <c r="C1546" s="663" t="s">
        <v>322</v>
      </c>
      <c r="D1546" s="678" t="s">
        <v>1980</v>
      </c>
      <c r="E1546" s="700" t="s">
        <v>1941</v>
      </c>
      <c r="F1546" s="795">
        <v>2311</v>
      </c>
      <c r="G1546" s="2195" t="s">
        <v>631</v>
      </c>
      <c r="H1546" s="714"/>
      <c r="I1546" s="714">
        <v>1100</v>
      </c>
      <c r="J1546" s="1654" t="s">
        <v>1134</v>
      </c>
      <c r="K1546" s="809"/>
      <c r="L1546" s="714"/>
      <c r="M1546" s="2204">
        <v>700</v>
      </c>
      <c r="N1546" s="2048"/>
      <c r="O1546" s="187"/>
      <c r="P1546" s="187"/>
      <c r="Q1546" s="187"/>
      <c r="R1546" s="187"/>
      <c r="S1546" s="187"/>
      <c r="T1546" s="187"/>
      <c r="U1546" s="187"/>
      <c r="V1546" s="187"/>
      <c r="W1546" s="187"/>
      <c r="X1546" s="187"/>
      <c r="Y1546" s="187"/>
      <c r="Z1546" s="187"/>
      <c r="AA1546" s="187"/>
      <c r="AB1546" s="187"/>
      <c r="AC1546" s="187"/>
      <c r="AD1546" s="187"/>
      <c r="AE1546" s="187"/>
      <c r="AF1546" s="187"/>
    </row>
    <row r="1547" spans="1:32">
      <c r="A1547" s="683" t="s">
        <v>899</v>
      </c>
      <c r="B1547" s="3129" t="s">
        <v>774</v>
      </c>
      <c r="C1547" s="683" t="s">
        <v>324</v>
      </c>
      <c r="D1547" s="823" t="s">
        <v>1980</v>
      </c>
      <c r="E1547" s="720" t="s">
        <v>1941</v>
      </c>
      <c r="F1547" s="824">
        <v>2312</v>
      </c>
      <c r="G1547" s="800" t="s">
        <v>131</v>
      </c>
      <c r="H1547" s="713">
        <v>13670</v>
      </c>
      <c r="I1547" s="713"/>
      <c r="J1547" s="1654">
        <v>11638</v>
      </c>
      <c r="K1547" s="842"/>
      <c r="L1547" s="713">
        <v>6800</v>
      </c>
      <c r="M1547" s="713"/>
      <c r="N1547" s="2048"/>
    </row>
    <row r="1548" spans="1:32">
      <c r="A1548" s="663"/>
      <c r="B1548" s="3130" t="s">
        <v>774</v>
      </c>
      <c r="C1548" s="663" t="s">
        <v>324</v>
      </c>
      <c r="D1548" s="794" t="s">
        <v>1980</v>
      </c>
      <c r="E1548" s="700" t="s">
        <v>1941</v>
      </c>
      <c r="F1548" s="795">
        <v>2312</v>
      </c>
      <c r="G1548" s="2195" t="s">
        <v>471</v>
      </c>
      <c r="H1548" s="714"/>
      <c r="I1548" s="714">
        <v>3000</v>
      </c>
      <c r="J1548" s="1654" t="s">
        <v>1134</v>
      </c>
      <c r="K1548" s="809"/>
      <c r="L1548" s="714"/>
      <c r="M1548" s="2199">
        <v>3000</v>
      </c>
      <c r="N1548" s="2048"/>
    </row>
    <row r="1549" spans="1:32" ht="20.399999999999999">
      <c r="A1549" s="663"/>
      <c r="B1549" s="3130" t="s">
        <v>774</v>
      </c>
      <c r="C1549" s="663" t="s">
        <v>324</v>
      </c>
      <c r="D1549" s="794" t="s">
        <v>1980</v>
      </c>
      <c r="E1549" s="700" t="s">
        <v>1941</v>
      </c>
      <c r="F1549" s="795">
        <v>2312</v>
      </c>
      <c r="G1549" s="2195" t="s">
        <v>1442</v>
      </c>
      <c r="H1549" s="701"/>
      <c r="I1549" s="701">
        <v>1500</v>
      </c>
      <c r="J1549" s="1654" t="s">
        <v>1134</v>
      </c>
      <c r="K1549" s="792"/>
      <c r="L1549" s="701"/>
      <c r="M1549" s="2188">
        <v>1500</v>
      </c>
      <c r="N1549" s="2048"/>
    </row>
    <row r="1550" spans="1:32">
      <c r="A1550" s="2168"/>
      <c r="B1550" s="3130" t="s">
        <v>774</v>
      </c>
      <c r="C1550" s="663" t="s">
        <v>324</v>
      </c>
      <c r="D1550" s="794" t="s">
        <v>1980</v>
      </c>
      <c r="E1550" s="700" t="s">
        <v>1941</v>
      </c>
      <c r="F1550" s="795">
        <v>2312</v>
      </c>
      <c r="G1550" s="2195" t="s">
        <v>4189</v>
      </c>
      <c r="H1550" s="2188"/>
      <c r="I1550" s="2188"/>
      <c r="J1550" s="2191"/>
      <c r="K1550" s="2205"/>
      <c r="L1550" s="2188"/>
      <c r="M1550" s="2188">
        <v>1020</v>
      </c>
      <c r="N1550" s="2048"/>
      <c r="O1550" s="4"/>
      <c r="P1550" s="4"/>
      <c r="Q1550" s="4"/>
      <c r="R1550" s="4"/>
      <c r="S1550" s="4"/>
      <c r="T1550" s="4"/>
      <c r="U1550" s="4"/>
      <c r="V1550" s="4"/>
      <c r="W1550" s="4"/>
      <c r="X1550" s="4"/>
      <c r="Y1550" s="4"/>
      <c r="Z1550" s="4"/>
      <c r="AA1550" s="4"/>
      <c r="AB1550" s="4"/>
      <c r="AC1550" s="4"/>
      <c r="AD1550" s="4"/>
      <c r="AE1550" s="4"/>
      <c r="AF1550" s="4"/>
    </row>
    <row r="1551" spans="1:32">
      <c r="A1551" s="2168"/>
      <c r="B1551" s="3130" t="s">
        <v>774</v>
      </c>
      <c r="C1551" s="663" t="s">
        <v>324</v>
      </c>
      <c r="D1551" s="794" t="s">
        <v>1980</v>
      </c>
      <c r="E1551" s="700" t="s">
        <v>1941</v>
      </c>
      <c r="F1551" s="795">
        <v>2312</v>
      </c>
      <c r="G1551" s="2195" t="s">
        <v>4190</v>
      </c>
      <c r="H1551" s="2188"/>
      <c r="I1551" s="2188"/>
      <c r="J1551" s="2191"/>
      <c r="K1551" s="2205"/>
      <c r="L1551" s="2188"/>
      <c r="M1551" s="2199">
        <v>600</v>
      </c>
      <c r="N1551" s="2048"/>
      <c r="O1551" s="4"/>
      <c r="P1551" s="4"/>
      <c r="Q1551" s="4"/>
      <c r="R1551" s="4"/>
      <c r="S1551" s="4"/>
      <c r="T1551" s="4"/>
      <c r="U1551" s="4"/>
      <c r="V1551" s="4"/>
      <c r="W1551" s="4"/>
      <c r="X1551" s="4"/>
      <c r="Y1551" s="4"/>
      <c r="Z1551" s="4"/>
      <c r="AA1551" s="4"/>
      <c r="AB1551" s="4"/>
      <c r="AC1551" s="4"/>
      <c r="AD1551" s="4"/>
      <c r="AE1551" s="4"/>
      <c r="AF1551" s="4"/>
    </row>
    <row r="1552" spans="1:32">
      <c r="A1552" s="2168"/>
      <c r="B1552" s="3130" t="s">
        <v>774</v>
      </c>
      <c r="C1552" s="663" t="s">
        <v>324</v>
      </c>
      <c r="D1552" s="794" t="s">
        <v>1980</v>
      </c>
      <c r="E1552" s="700" t="s">
        <v>1941</v>
      </c>
      <c r="F1552" s="795">
        <v>2312</v>
      </c>
      <c r="G1552" s="2195" t="s">
        <v>4191</v>
      </c>
      <c r="H1552" s="2188"/>
      <c r="I1552" s="2188"/>
      <c r="J1552" s="2191"/>
      <c r="K1552" s="2205"/>
      <c r="L1552" s="2188"/>
      <c r="M1552" s="2199">
        <v>180</v>
      </c>
      <c r="N1552" s="2048"/>
      <c r="O1552" s="187"/>
      <c r="P1552" s="187"/>
      <c r="Q1552" s="187"/>
      <c r="R1552" s="187"/>
      <c r="S1552" s="187"/>
      <c r="T1552" s="187"/>
      <c r="U1552" s="187"/>
      <c r="V1552" s="187"/>
      <c r="W1552" s="187"/>
      <c r="X1552" s="187"/>
      <c r="Y1552" s="187"/>
      <c r="Z1552" s="187"/>
      <c r="AA1552" s="187"/>
      <c r="AB1552" s="187"/>
      <c r="AC1552" s="187"/>
      <c r="AD1552" s="187"/>
      <c r="AE1552" s="187"/>
      <c r="AF1552" s="187"/>
    </row>
    <row r="1553" spans="1:32">
      <c r="A1553" s="2168"/>
      <c r="B1553" s="3130" t="s">
        <v>774</v>
      </c>
      <c r="C1553" s="663" t="s">
        <v>324</v>
      </c>
      <c r="D1553" s="794" t="s">
        <v>1980</v>
      </c>
      <c r="E1553" s="700" t="s">
        <v>1941</v>
      </c>
      <c r="F1553" s="795">
        <v>2312</v>
      </c>
      <c r="G1553" s="2195" t="s">
        <v>4192</v>
      </c>
      <c r="H1553" s="2188"/>
      <c r="I1553" s="2188"/>
      <c r="J1553" s="2191"/>
      <c r="K1553" s="2205"/>
      <c r="L1553" s="2188"/>
      <c r="M1553" s="2199">
        <v>500</v>
      </c>
      <c r="N1553" s="2048"/>
    </row>
    <row r="1554" spans="1:32">
      <c r="A1554" s="663"/>
      <c r="B1554" s="3130" t="s">
        <v>774</v>
      </c>
      <c r="C1554" s="663" t="s">
        <v>324</v>
      </c>
      <c r="D1554" s="794" t="s">
        <v>1980</v>
      </c>
      <c r="E1554" s="700" t="s">
        <v>1941</v>
      </c>
      <c r="F1554" s="795">
        <v>2312</v>
      </c>
      <c r="G1554" s="2195" t="s">
        <v>4188</v>
      </c>
      <c r="H1554" s="701"/>
      <c r="I1554" s="701">
        <v>1000</v>
      </c>
      <c r="J1554" s="1654" t="s">
        <v>1134</v>
      </c>
      <c r="K1554" s="792"/>
      <c r="L1554" s="701"/>
      <c r="M1554" s="2188"/>
      <c r="N1554" s="2048"/>
    </row>
    <row r="1555" spans="1:32">
      <c r="A1555" s="663"/>
      <c r="B1555" s="3130" t="s">
        <v>774</v>
      </c>
      <c r="C1555" s="663" t="s">
        <v>324</v>
      </c>
      <c r="D1555" s="794" t="s">
        <v>1980</v>
      </c>
      <c r="E1555" s="700" t="s">
        <v>1941</v>
      </c>
      <c r="F1555" s="795">
        <v>2312</v>
      </c>
      <c r="G1555" s="750" t="s">
        <v>2161</v>
      </c>
      <c r="H1555" s="714"/>
      <c r="I1555" s="714">
        <v>420</v>
      </c>
      <c r="J1555" s="1654" t="s">
        <v>1134</v>
      </c>
      <c r="K1555" s="809"/>
      <c r="L1555" s="714"/>
      <c r="M1555" s="701"/>
      <c r="N1555" s="2048"/>
      <c r="O1555" s="4"/>
      <c r="P1555" s="4"/>
      <c r="Q1555" s="4"/>
      <c r="R1555" s="4"/>
      <c r="S1555" s="4"/>
      <c r="T1555" s="4"/>
      <c r="U1555" s="4"/>
      <c r="V1555" s="4"/>
      <c r="W1555" s="4"/>
      <c r="X1555" s="4"/>
      <c r="Y1555" s="4"/>
      <c r="Z1555" s="4"/>
      <c r="AA1555" s="4"/>
      <c r="AB1555" s="4"/>
      <c r="AC1555" s="4"/>
      <c r="AD1555" s="4"/>
      <c r="AE1555" s="4"/>
      <c r="AF1555" s="4"/>
    </row>
    <row r="1556" spans="1:32" ht="30.6">
      <c r="A1556" s="663"/>
      <c r="B1556" s="3130" t="s">
        <v>774</v>
      </c>
      <c r="C1556" s="663" t="s">
        <v>324</v>
      </c>
      <c r="D1556" s="794" t="s">
        <v>1980</v>
      </c>
      <c r="E1556" s="700" t="s">
        <v>1941</v>
      </c>
      <c r="F1556" s="795">
        <v>2312</v>
      </c>
      <c r="G1556" s="750" t="s">
        <v>3295</v>
      </c>
      <c r="H1556" s="714"/>
      <c r="I1556" s="714">
        <v>3000</v>
      </c>
      <c r="J1556" s="1654" t="s">
        <v>1134</v>
      </c>
      <c r="K1556" s="809"/>
      <c r="L1556" s="714"/>
      <c r="M1556" s="714"/>
      <c r="N1556" s="2048"/>
      <c r="O1556" s="4"/>
      <c r="P1556" s="4"/>
      <c r="Q1556" s="4"/>
      <c r="R1556" s="4"/>
      <c r="S1556" s="4"/>
      <c r="T1556" s="4"/>
      <c r="U1556" s="4"/>
      <c r="V1556" s="4"/>
      <c r="W1556" s="4"/>
      <c r="X1556" s="4"/>
      <c r="Y1556" s="4"/>
      <c r="Z1556" s="4"/>
      <c r="AA1556" s="4"/>
      <c r="AB1556" s="4"/>
      <c r="AC1556" s="4"/>
      <c r="AD1556" s="4"/>
      <c r="AE1556" s="4"/>
      <c r="AF1556" s="4"/>
    </row>
    <row r="1557" spans="1:32" ht="40.799999999999997">
      <c r="A1557" s="603"/>
      <c r="B1557" s="3130" t="s">
        <v>774</v>
      </c>
      <c r="C1557" s="663" t="s">
        <v>324</v>
      </c>
      <c r="D1557" s="794" t="s">
        <v>1980</v>
      </c>
      <c r="E1557" s="700" t="s">
        <v>1941</v>
      </c>
      <c r="F1557" s="795">
        <v>2312</v>
      </c>
      <c r="G1557" s="1153" t="s">
        <v>3296</v>
      </c>
      <c r="H1557" s="1456"/>
      <c r="I1557" s="1456">
        <v>1750</v>
      </c>
      <c r="J1557" s="1654" t="s">
        <v>1134</v>
      </c>
      <c r="K1557" s="1462"/>
      <c r="L1557" s="1456"/>
      <c r="M1557" s="1456"/>
      <c r="N1557" s="2048"/>
      <c r="O1557" s="4"/>
      <c r="P1557" s="4"/>
      <c r="Q1557" s="4"/>
      <c r="R1557" s="4"/>
      <c r="S1557" s="4"/>
      <c r="T1557" s="4"/>
      <c r="U1557" s="4"/>
      <c r="V1557" s="4"/>
      <c r="W1557" s="4"/>
      <c r="X1557" s="4"/>
      <c r="Y1557" s="4"/>
      <c r="Z1557" s="4"/>
      <c r="AA1557" s="4"/>
      <c r="AB1557" s="4"/>
      <c r="AC1557" s="4"/>
      <c r="AD1557" s="4"/>
      <c r="AE1557" s="4"/>
      <c r="AF1557" s="4"/>
    </row>
    <row r="1558" spans="1:32" ht="30.6">
      <c r="A1558" s="1495"/>
      <c r="B1558" s="3138" t="s">
        <v>774</v>
      </c>
      <c r="C1558" s="1495" t="s">
        <v>324</v>
      </c>
      <c r="D1558" s="1560" t="s">
        <v>1980</v>
      </c>
      <c r="E1558" s="1590" t="s">
        <v>1941</v>
      </c>
      <c r="F1558" s="1562">
        <v>2312</v>
      </c>
      <c r="G1558" s="1569" t="s">
        <v>3426</v>
      </c>
      <c r="H1558" s="1596"/>
      <c r="I1558" s="1596">
        <v>1000</v>
      </c>
      <c r="J1558" s="1654" t="s">
        <v>1134</v>
      </c>
      <c r="K1558" s="1640"/>
      <c r="L1558" s="1596"/>
      <c r="M1558" s="1596"/>
      <c r="N1558" s="2048"/>
      <c r="O1558" s="4"/>
      <c r="P1558" s="4"/>
      <c r="Q1558" s="4"/>
      <c r="R1558" s="4"/>
      <c r="S1558" s="4"/>
      <c r="T1558" s="4"/>
      <c r="U1558" s="4"/>
      <c r="V1558" s="4"/>
      <c r="W1558" s="4"/>
      <c r="X1558" s="4"/>
      <c r="Y1558" s="4"/>
      <c r="Z1558" s="4"/>
      <c r="AA1558" s="4"/>
      <c r="AB1558" s="4"/>
      <c r="AC1558" s="4"/>
      <c r="AD1558" s="4"/>
      <c r="AE1558" s="4"/>
      <c r="AF1558" s="4"/>
    </row>
    <row r="1559" spans="1:32" ht="20.399999999999999">
      <c r="A1559" s="683"/>
      <c r="B1559" s="3129" t="s">
        <v>772</v>
      </c>
      <c r="C1559" s="683" t="s">
        <v>320</v>
      </c>
      <c r="D1559" s="719" t="s">
        <v>1980</v>
      </c>
      <c r="E1559" s="720" t="s">
        <v>1941</v>
      </c>
      <c r="F1559" s="824">
        <v>2314</v>
      </c>
      <c r="G1559" s="800" t="s">
        <v>1435</v>
      </c>
      <c r="H1559" s="893">
        <v>6200</v>
      </c>
      <c r="I1559" s="893"/>
      <c r="J1559" s="1654">
        <v>1731</v>
      </c>
      <c r="K1559" s="1251"/>
      <c r="L1559" s="893">
        <v>6300</v>
      </c>
      <c r="M1559" s="893"/>
      <c r="N1559" s="2048"/>
      <c r="O1559" s="4"/>
      <c r="P1559" s="4"/>
      <c r="Q1559" s="4"/>
      <c r="R1559" s="4"/>
      <c r="S1559" s="4"/>
      <c r="T1559" s="4"/>
      <c r="U1559" s="4"/>
      <c r="V1559" s="4"/>
      <c r="W1559" s="4"/>
      <c r="X1559" s="4"/>
      <c r="Y1559" s="4"/>
      <c r="Z1559" s="4"/>
      <c r="AA1559" s="4"/>
      <c r="AB1559" s="4"/>
      <c r="AC1559" s="4"/>
      <c r="AD1559" s="4"/>
      <c r="AE1559" s="4"/>
      <c r="AF1559" s="4"/>
    </row>
    <row r="1560" spans="1:32" ht="20.399999999999999">
      <c r="A1560" s="663"/>
      <c r="B1560" s="3130" t="s">
        <v>772</v>
      </c>
      <c r="C1560" s="663" t="s">
        <v>320</v>
      </c>
      <c r="D1560" s="678" t="s">
        <v>1980</v>
      </c>
      <c r="E1560" s="700" t="s">
        <v>1941</v>
      </c>
      <c r="F1560" s="795">
        <v>2314</v>
      </c>
      <c r="G1560" s="2195" t="s">
        <v>4193</v>
      </c>
      <c r="H1560" s="701"/>
      <c r="I1560" s="701">
        <v>1100</v>
      </c>
      <c r="J1560" s="1654" t="s">
        <v>1134</v>
      </c>
      <c r="K1560" s="792"/>
      <c r="L1560" s="701"/>
      <c r="M1560" s="701">
        <v>1100</v>
      </c>
      <c r="N1560" s="2190"/>
      <c r="O1560" s="4"/>
      <c r="P1560" s="4"/>
      <c r="Q1560" s="4"/>
      <c r="R1560" s="4"/>
      <c r="S1560" s="4"/>
      <c r="T1560" s="4"/>
      <c r="U1560" s="4"/>
      <c r="V1560" s="4"/>
      <c r="W1560" s="4"/>
      <c r="X1560" s="4"/>
      <c r="Y1560" s="4"/>
      <c r="Z1560" s="4"/>
      <c r="AA1560" s="4"/>
      <c r="AB1560" s="4"/>
      <c r="AC1560" s="4"/>
      <c r="AD1560" s="4"/>
      <c r="AE1560" s="4"/>
      <c r="AF1560" s="4"/>
    </row>
    <row r="1561" spans="1:32">
      <c r="A1561" s="663"/>
      <c r="B1561" s="3130" t="s">
        <v>772</v>
      </c>
      <c r="C1561" s="663" t="s">
        <v>320</v>
      </c>
      <c r="D1561" s="678" t="s">
        <v>1980</v>
      </c>
      <c r="E1561" s="700" t="s">
        <v>1941</v>
      </c>
      <c r="F1561" s="795">
        <v>2314</v>
      </c>
      <c r="G1561" s="2195" t="s">
        <v>679</v>
      </c>
      <c r="H1561" s="701"/>
      <c r="I1561" s="701">
        <v>3000</v>
      </c>
      <c r="J1561" s="1654" t="s">
        <v>1134</v>
      </c>
      <c r="K1561" s="792"/>
      <c r="L1561" s="701"/>
      <c r="M1561" s="701">
        <v>3000</v>
      </c>
      <c r="N1561" s="381"/>
      <c r="O1561" s="4"/>
      <c r="P1561" s="4"/>
      <c r="Q1561" s="4"/>
      <c r="R1561" s="4"/>
      <c r="S1561" s="4"/>
      <c r="T1561" s="4"/>
      <c r="U1561" s="4"/>
      <c r="V1561" s="4"/>
      <c r="W1561" s="4"/>
      <c r="X1561" s="4"/>
      <c r="Y1561" s="4"/>
      <c r="Z1561" s="4"/>
      <c r="AA1561" s="4"/>
      <c r="AB1561" s="4"/>
      <c r="AC1561" s="4"/>
      <c r="AD1561" s="4"/>
      <c r="AE1561" s="4"/>
      <c r="AF1561" s="4"/>
    </row>
    <row r="1562" spans="1:32" ht="30.6">
      <c r="A1562" s="663"/>
      <c r="B1562" s="3130" t="s">
        <v>772</v>
      </c>
      <c r="C1562" s="663" t="s">
        <v>320</v>
      </c>
      <c r="D1562" s="678" t="s">
        <v>1980</v>
      </c>
      <c r="E1562" s="700" t="s">
        <v>1941</v>
      </c>
      <c r="F1562" s="795">
        <v>2314</v>
      </c>
      <c r="G1562" s="2195" t="s">
        <v>4194</v>
      </c>
      <c r="H1562" s="701"/>
      <c r="I1562" s="701">
        <v>650</v>
      </c>
      <c r="J1562" s="1654" t="s">
        <v>1134</v>
      </c>
      <c r="K1562" s="792"/>
      <c r="L1562" s="701"/>
      <c r="M1562" s="701">
        <v>650</v>
      </c>
      <c r="N1562" s="2190"/>
      <c r="O1562" s="4"/>
      <c r="P1562" s="4"/>
      <c r="Q1562" s="4"/>
      <c r="R1562" s="4"/>
      <c r="S1562" s="4"/>
      <c r="T1562" s="4"/>
      <c r="U1562" s="4"/>
      <c r="V1562" s="4"/>
      <c r="W1562" s="4"/>
      <c r="X1562" s="4"/>
      <c r="Y1562" s="4"/>
      <c r="Z1562" s="4"/>
      <c r="AA1562" s="4"/>
      <c r="AB1562" s="4"/>
      <c r="AC1562" s="4"/>
      <c r="AD1562" s="4"/>
      <c r="AE1562" s="4"/>
      <c r="AF1562" s="4"/>
    </row>
    <row r="1563" spans="1:32">
      <c r="A1563" s="2168"/>
      <c r="B1563" s="3130" t="s">
        <v>772</v>
      </c>
      <c r="C1563" s="663" t="s">
        <v>320</v>
      </c>
      <c r="D1563" s="678" t="s">
        <v>1980</v>
      </c>
      <c r="E1563" s="700" t="s">
        <v>1941</v>
      </c>
      <c r="F1563" s="795">
        <v>2314</v>
      </c>
      <c r="G1563" s="2195" t="s">
        <v>4195</v>
      </c>
      <c r="H1563" s="2188"/>
      <c r="I1563" s="2188"/>
      <c r="J1563" s="2191"/>
      <c r="K1563" s="2205"/>
      <c r="L1563" s="2188"/>
      <c r="M1563" s="2188">
        <v>100</v>
      </c>
      <c r="N1563" s="2048"/>
      <c r="O1563" s="4"/>
      <c r="P1563" s="4"/>
      <c r="Q1563" s="4"/>
      <c r="R1563" s="4"/>
      <c r="S1563" s="4"/>
      <c r="T1563" s="4"/>
      <c r="U1563" s="4"/>
      <c r="V1563" s="4"/>
      <c r="W1563" s="4"/>
      <c r="X1563" s="4"/>
      <c r="Y1563" s="4"/>
      <c r="Z1563" s="4"/>
      <c r="AA1563" s="4"/>
      <c r="AB1563" s="4"/>
      <c r="AC1563" s="4"/>
      <c r="AD1563" s="4"/>
      <c r="AE1563" s="4"/>
      <c r="AF1563" s="4"/>
    </row>
    <row r="1564" spans="1:32">
      <c r="A1564" s="663"/>
      <c r="B1564" s="3130" t="s">
        <v>772</v>
      </c>
      <c r="C1564" s="663" t="s">
        <v>320</v>
      </c>
      <c r="D1564" s="678" t="s">
        <v>1980</v>
      </c>
      <c r="E1564" s="700" t="s">
        <v>1941</v>
      </c>
      <c r="F1564" s="795">
        <v>2314</v>
      </c>
      <c r="G1564" s="750" t="s">
        <v>2148</v>
      </c>
      <c r="H1564" s="701"/>
      <c r="I1564" s="701">
        <v>450</v>
      </c>
      <c r="J1564" s="1654" t="s">
        <v>1134</v>
      </c>
      <c r="K1564" s="792"/>
      <c r="L1564" s="701"/>
      <c r="M1564" s="2188">
        <v>450</v>
      </c>
      <c r="N1564" s="2048"/>
    </row>
    <row r="1565" spans="1:32">
      <c r="A1565" s="663"/>
      <c r="B1565" s="3130" t="s">
        <v>772</v>
      </c>
      <c r="C1565" s="663" t="s">
        <v>320</v>
      </c>
      <c r="D1565" s="678" t="s">
        <v>1980</v>
      </c>
      <c r="E1565" s="700" t="s">
        <v>1941</v>
      </c>
      <c r="F1565" s="795">
        <v>2314</v>
      </c>
      <c r="G1565" s="750" t="s">
        <v>680</v>
      </c>
      <c r="H1565" s="701"/>
      <c r="I1565" s="701">
        <v>1000</v>
      </c>
      <c r="J1565" s="1654" t="s">
        <v>1134</v>
      </c>
      <c r="K1565" s="792"/>
      <c r="L1565" s="701"/>
      <c r="M1565" s="2188">
        <v>1000</v>
      </c>
      <c r="N1565" s="2048"/>
      <c r="O1565" s="4"/>
      <c r="P1565" s="4"/>
      <c r="Q1565" s="4"/>
      <c r="R1565" s="4"/>
      <c r="S1565" s="4"/>
      <c r="T1565" s="4"/>
      <c r="U1565" s="4"/>
      <c r="V1565" s="4"/>
      <c r="W1565" s="4"/>
      <c r="X1565" s="4"/>
      <c r="Y1565" s="4"/>
      <c r="Z1565" s="4"/>
      <c r="AA1565" s="4"/>
      <c r="AB1565" s="4"/>
      <c r="AC1565" s="4"/>
      <c r="AD1565" s="4"/>
      <c r="AE1565" s="4"/>
      <c r="AF1565" s="4"/>
    </row>
    <row r="1566" spans="1:32">
      <c r="A1566" s="683"/>
      <c r="B1566" s="3129" t="s">
        <v>772</v>
      </c>
      <c r="C1566" s="683" t="s">
        <v>320</v>
      </c>
      <c r="D1566" s="719" t="s">
        <v>1980</v>
      </c>
      <c r="E1566" s="720" t="s">
        <v>1941</v>
      </c>
      <c r="F1566" s="824">
        <v>2322</v>
      </c>
      <c r="G1566" s="826" t="s">
        <v>229</v>
      </c>
      <c r="H1566" s="713">
        <v>3000</v>
      </c>
      <c r="I1566" s="713"/>
      <c r="J1566" s="1654">
        <v>1930</v>
      </c>
      <c r="K1566" s="842"/>
      <c r="L1566" s="713">
        <v>3000</v>
      </c>
      <c r="M1566" s="713"/>
      <c r="N1566" s="2048"/>
      <c r="O1566" s="4"/>
      <c r="P1566" s="4"/>
      <c r="Q1566" s="4"/>
      <c r="R1566" s="4"/>
      <c r="S1566" s="4"/>
      <c r="T1566" s="4"/>
      <c r="U1566" s="4"/>
      <c r="V1566" s="4"/>
      <c r="W1566" s="4"/>
      <c r="X1566" s="4"/>
      <c r="Y1566" s="4"/>
      <c r="Z1566" s="4"/>
      <c r="AA1566" s="4"/>
      <c r="AB1566" s="4"/>
      <c r="AC1566" s="4"/>
      <c r="AD1566" s="4"/>
      <c r="AE1566" s="4"/>
      <c r="AF1566" s="4"/>
    </row>
    <row r="1567" spans="1:32">
      <c r="A1567" s="663"/>
      <c r="B1567" s="3130" t="s">
        <v>772</v>
      </c>
      <c r="C1567" s="663" t="s">
        <v>320</v>
      </c>
      <c r="D1567" s="678" t="s">
        <v>1980</v>
      </c>
      <c r="E1567" s="700" t="s">
        <v>1941</v>
      </c>
      <c r="F1567" s="795">
        <v>2322</v>
      </c>
      <c r="G1567" s="750" t="s">
        <v>1109</v>
      </c>
      <c r="H1567" s="714"/>
      <c r="I1567" s="714">
        <v>3000</v>
      </c>
      <c r="J1567" s="1654" t="s">
        <v>1134</v>
      </c>
      <c r="K1567" s="809"/>
      <c r="L1567" s="714"/>
      <c r="M1567" s="714">
        <v>3000</v>
      </c>
      <c r="N1567" s="2048"/>
    </row>
    <row r="1568" spans="1:32">
      <c r="A1568" s="683"/>
      <c r="B1568" s="3129" t="s">
        <v>772</v>
      </c>
      <c r="C1568" s="683" t="s">
        <v>322</v>
      </c>
      <c r="D1568" s="719" t="s">
        <v>1980</v>
      </c>
      <c r="E1568" s="720" t="s">
        <v>1941</v>
      </c>
      <c r="F1568" s="824">
        <v>2341</v>
      </c>
      <c r="G1568" s="800" t="s">
        <v>230</v>
      </c>
      <c r="H1568" s="713">
        <v>300</v>
      </c>
      <c r="I1568" s="713"/>
      <c r="J1568" s="1654">
        <v>127.6</v>
      </c>
      <c r="K1568" s="842"/>
      <c r="L1568" s="713">
        <v>200</v>
      </c>
      <c r="M1568" s="713"/>
      <c r="N1568" s="2048"/>
    </row>
    <row r="1569" spans="1:14">
      <c r="A1569" s="663"/>
      <c r="B1569" s="3130" t="s">
        <v>772</v>
      </c>
      <c r="C1569" s="663" t="s">
        <v>322</v>
      </c>
      <c r="D1569" s="678" t="s">
        <v>1980</v>
      </c>
      <c r="E1569" s="700" t="s">
        <v>1941</v>
      </c>
      <c r="F1569" s="795">
        <v>2341</v>
      </c>
      <c r="G1569" s="750" t="s">
        <v>231</v>
      </c>
      <c r="H1569" s="714"/>
      <c r="I1569" s="714">
        <v>300</v>
      </c>
      <c r="J1569" s="1654" t="s">
        <v>1134</v>
      </c>
      <c r="K1569" s="809"/>
      <c r="L1569" s="714"/>
      <c r="M1569" s="714">
        <v>200</v>
      </c>
      <c r="N1569" s="2211"/>
    </row>
    <row r="1570" spans="1:14">
      <c r="A1570" s="683"/>
      <c r="B1570" s="3129" t="s">
        <v>772</v>
      </c>
      <c r="C1570" s="683" t="s">
        <v>320</v>
      </c>
      <c r="D1570" s="719" t="s">
        <v>1980</v>
      </c>
      <c r="E1570" s="720" t="s">
        <v>1941</v>
      </c>
      <c r="F1570" s="824">
        <v>2350</v>
      </c>
      <c r="G1570" s="800" t="s">
        <v>133</v>
      </c>
      <c r="H1570" s="713">
        <v>9500</v>
      </c>
      <c r="I1570" s="713"/>
      <c r="J1570" s="1654">
        <v>9300</v>
      </c>
      <c r="K1570" s="842"/>
      <c r="L1570" s="713">
        <v>6400</v>
      </c>
      <c r="M1570" s="713"/>
      <c r="N1570" s="2211"/>
    </row>
    <row r="1571" spans="1:14" ht="40.799999999999997">
      <c r="A1571" s="663"/>
      <c r="B1571" s="3130" t="s">
        <v>772</v>
      </c>
      <c r="C1571" s="663" t="s">
        <v>320</v>
      </c>
      <c r="D1571" s="678" t="s">
        <v>1980</v>
      </c>
      <c r="E1571" s="700" t="s">
        <v>1941</v>
      </c>
      <c r="F1571" s="795">
        <v>2350</v>
      </c>
      <c r="G1571" s="2195" t="s">
        <v>4196</v>
      </c>
      <c r="H1571" s="714"/>
      <c r="I1571" s="714">
        <v>1000</v>
      </c>
      <c r="J1571" s="1654" t="s">
        <v>1134</v>
      </c>
      <c r="K1571" s="809"/>
      <c r="L1571" s="714"/>
      <c r="M1571" s="2206">
        <v>2000</v>
      </c>
      <c r="N1571" s="2211"/>
    </row>
    <row r="1572" spans="1:14" ht="30.6">
      <c r="A1572" s="663"/>
      <c r="B1572" s="3130" t="s">
        <v>772</v>
      </c>
      <c r="C1572" s="663" t="s">
        <v>320</v>
      </c>
      <c r="D1572" s="678" t="s">
        <v>1980</v>
      </c>
      <c r="E1572" s="700" t="s">
        <v>1941</v>
      </c>
      <c r="F1572" s="795">
        <v>2350</v>
      </c>
      <c r="G1572" s="2195" t="s">
        <v>232</v>
      </c>
      <c r="H1572" s="714"/>
      <c r="I1572" s="714">
        <v>2000</v>
      </c>
      <c r="J1572" s="1654" t="s">
        <v>1134</v>
      </c>
      <c r="K1572" s="809"/>
      <c r="L1572" s="2207"/>
      <c r="M1572" s="2199">
        <v>2000</v>
      </c>
      <c r="N1572" s="656" t="s">
        <v>4208</v>
      </c>
    </row>
    <row r="1573" spans="1:14" ht="20.399999999999999">
      <c r="A1573" s="2168"/>
      <c r="B1573" s="3130" t="s">
        <v>772</v>
      </c>
      <c r="C1573" s="663" t="s">
        <v>320</v>
      </c>
      <c r="D1573" s="678" t="s">
        <v>1980</v>
      </c>
      <c r="E1573" s="700" t="s">
        <v>1941</v>
      </c>
      <c r="F1573" s="795">
        <v>2350</v>
      </c>
      <c r="G1573" s="2195" t="s">
        <v>4197</v>
      </c>
      <c r="H1573" s="2189"/>
      <c r="I1573" s="2189"/>
      <c r="J1573" s="2191"/>
      <c r="K1573" s="2192"/>
      <c r="L1573" s="2208"/>
      <c r="M1573" s="2199">
        <v>2400</v>
      </c>
      <c r="N1573" s="2198"/>
    </row>
    <row r="1574" spans="1:14" ht="40.799999999999997">
      <c r="A1574" s="663"/>
      <c r="B1574" s="3130" t="s">
        <v>772</v>
      </c>
      <c r="C1574" s="663" t="s">
        <v>320</v>
      </c>
      <c r="D1574" s="678" t="s">
        <v>1980</v>
      </c>
      <c r="E1574" s="700" t="s">
        <v>1941</v>
      </c>
      <c r="F1574" s="795">
        <v>2350</v>
      </c>
      <c r="G1574" s="750" t="s">
        <v>2149</v>
      </c>
      <c r="H1574" s="714"/>
      <c r="I1574" s="714">
        <v>3000</v>
      </c>
      <c r="J1574" s="1654" t="s">
        <v>1134</v>
      </c>
      <c r="K1574" s="809"/>
      <c r="L1574" s="2207"/>
      <c r="M1574" s="2207"/>
      <c r="N1574" s="656" t="s">
        <v>4210</v>
      </c>
    </row>
    <row r="1575" spans="1:14" ht="146.25" customHeight="1">
      <c r="A1575" s="603"/>
      <c r="B1575" s="3130" t="s">
        <v>772</v>
      </c>
      <c r="C1575" s="663" t="s">
        <v>320</v>
      </c>
      <c r="D1575" s="678" t="s">
        <v>1980</v>
      </c>
      <c r="E1575" s="700" t="s">
        <v>1941</v>
      </c>
      <c r="F1575" s="795">
        <v>2350</v>
      </c>
      <c r="G1575" s="1153" t="s">
        <v>3225</v>
      </c>
      <c r="H1575" s="1456"/>
      <c r="I1575" s="1456">
        <v>1000</v>
      </c>
      <c r="J1575" s="1654" t="s">
        <v>1134</v>
      </c>
      <c r="K1575" s="1462"/>
      <c r="L1575" s="1456"/>
      <c r="M1575" s="1165"/>
      <c r="N1575" s="656" t="s">
        <v>4212</v>
      </c>
    </row>
    <row r="1576" spans="1:14">
      <c r="A1576" s="663"/>
      <c r="B1576" s="3130" t="s">
        <v>772</v>
      </c>
      <c r="C1576" s="663" t="s">
        <v>320</v>
      </c>
      <c r="D1576" s="678" t="s">
        <v>1980</v>
      </c>
      <c r="E1576" s="700" t="s">
        <v>1941</v>
      </c>
      <c r="F1576" s="795">
        <v>2350</v>
      </c>
      <c r="G1576" s="750" t="s">
        <v>2150</v>
      </c>
      <c r="H1576" s="714"/>
      <c r="I1576" s="714">
        <v>1500</v>
      </c>
      <c r="J1576" s="1654" t="s">
        <v>1134</v>
      </c>
      <c r="K1576" s="809"/>
      <c r="L1576" s="714"/>
      <c r="M1576" s="2209"/>
      <c r="N1576" s="656"/>
    </row>
    <row r="1577" spans="1:14" ht="122.4">
      <c r="A1577" s="603"/>
      <c r="B1577" s="3130" t="s">
        <v>772</v>
      </c>
      <c r="C1577" s="663" t="s">
        <v>320</v>
      </c>
      <c r="D1577" s="678" t="s">
        <v>1980</v>
      </c>
      <c r="E1577" s="700" t="s">
        <v>1941</v>
      </c>
      <c r="F1577" s="795">
        <v>2350</v>
      </c>
      <c r="G1577" s="1153" t="s">
        <v>3297</v>
      </c>
      <c r="H1577" s="1456"/>
      <c r="I1577" s="1456">
        <v>1000</v>
      </c>
      <c r="J1577" s="1654" t="s">
        <v>1134</v>
      </c>
      <c r="K1577" s="1462"/>
      <c r="L1577" s="1456"/>
      <c r="M1577" s="2209"/>
      <c r="N1577" s="2198" t="s">
        <v>4215</v>
      </c>
    </row>
    <row r="1578" spans="1:14">
      <c r="A1578" s="683"/>
      <c r="B1578" s="3129" t="s">
        <v>772</v>
      </c>
      <c r="C1578" s="683" t="s">
        <v>322</v>
      </c>
      <c r="D1578" s="719" t="s">
        <v>1980</v>
      </c>
      <c r="E1578" s="720" t="s">
        <v>1941</v>
      </c>
      <c r="F1578" s="824">
        <v>2361</v>
      </c>
      <c r="G1578" s="800" t="s">
        <v>1434</v>
      </c>
      <c r="H1578" s="713">
        <v>600</v>
      </c>
      <c r="I1578" s="713"/>
      <c r="J1578" s="1654">
        <v>600</v>
      </c>
      <c r="K1578" s="842"/>
      <c r="L1578" s="713">
        <v>600</v>
      </c>
      <c r="M1578" s="713"/>
      <c r="N1578" s="2198"/>
    </row>
    <row r="1579" spans="1:14" ht="20.399999999999999">
      <c r="A1579" s="663"/>
      <c r="B1579" s="3130" t="s">
        <v>772</v>
      </c>
      <c r="C1579" s="663" t="s">
        <v>324</v>
      </c>
      <c r="D1579" s="678" t="s">
        <v>1980</v>
      </c>
      <c r="E1579" s="700" t="s">
        <v>1941</v>
      </c>
      <c r="F1579" s="795">
        <v>2361</v>
      </c>
      <c r="G1579" s="2195" t="s">
        <v>2154</v>
      </c>
      <c r="H1579" s="2188"/>
      <c r="I1579" s="2188">
        <v>600</v>
      </c>
      <c r="J1579" s="2191" t="s">
        <v>1134</v>
      </c>
      <c r="K1579" s="2205"/>
      <c r="L1579" s="2188"/>
      <c r="M1579" s="2188">
        <v>600</v>
      </c>
      <c r="N1579" s="2048"/>
    </row>
    <row r="1580" spans="1:14">
      <c r="A1580" s="683"/>
      <c r="B1580" s="3129" t="s">
        <v>773</v>
      </c>
      <c r="C1580" s="683" t="s">
        <v>322</v>
      </c>
      <c r="D1580" s="719" t="s">
        <v>1980</v>
      </c>
      <c r="E1580" s="720" t="s">
        <v>1941</v>
      </c>
      <c r="F1580" s="824">
        <v>2361</v>
      </c>
      <c r="G1580" s="800" t="s">
        <v>1434</v>
      </c>
      <c r="H1580" s="713">
        <v>11400</v>
      </c>
      <c r="I1580" s="713"/>
      <c r="J1580" s="1654">
        <v>10429</v>
      </c>
      <c r="K1580" s="842"/>
      <c r="L1580" s="713">
        <v>5030</v>
      </c>
      <c r="M1580" s="713"/>
      <c r="N1580" s="2190" t="s">
        <v>4214</v>
      </c>
    </row>
    <row r="1581" spans="1:14">
      <c r="A1581" s="663"/>
      <c r="B1581" s="3130" t="s">
        <v>773</v>
      </c>
      <c r="C1581" s="663" t="s">
        <v>324</v>
      </c>
      <c r="D1581" s="678" t="s">
        <v>1980</v>
      </c>
      <c r="E1581" s="700" t="s">
        <v>1941</v>
      </c>
      <c r="F1581" s="795">
        <v>2361</v>
      </c>
      <c r="G1581" s="2195" t="s">
        <v>4199</v>
      </c>
      <c r="H1581" s="714"/>
      <c r="I1581" s="714"/>
      <c r="J1581" s="1654"/>
      <c r="K1581" s="809"/>
      <c r="L1581" s="714"/>
      <c r="M1581" s="701">
        <v>1680</v>
      </c>
      <c r="N1581" s="2211"/>
    </row>
    <row r="1582" spans="1:14" ht="20.399999999999999">
      <c r="A1582" s="663"/>
      <c r="B1582" s="3130" t="s">
        <v>773</v>
      </c>
      <c r="C1582" s="663" t="s">
        <v>324</v>
      </c>
      <c r="D1582" s="678" t="s">
        <v>1980</v>
      </c>
      <c r="E1582" s="700" t="s">
        <v>1941</v>
      </c>
      <c r="F1582" s="795">
        <v>2361</v>
      </c>
      <c r="G1582" s="2195" t="s">
        <v>4200</v>
      </c>
      <c r="H1582" s="714"/>
      <c r="I1582" s="714"/>
      <c r="J1582" s="1654"/>
      <c r="K1582" s="809"/>
      <c r="L1582" s="714"/>
      <c r="M1582" s="701">
        <v>600</v>
      </c>
      <c r="N1582" s="2190"/>
    </row>
    <row r="1583" spans="1:14">
      <c r="A1583" s="663"/>
      <c r="B1583" s="3130" t="s">
        <v>773</v>
      </c>
      <c r="C1583" s="663" t="s">
        <v>324</v>
      </c>
      <c r="D1583" s="678" t="s">
        <v>1980</v>
      </c>
      <c r="E1583" s="700" t="s">
        <v>1941</v>
      </c>
      <c r="F1583" s="795">
        <v>2361</v>
      </c>
      <c r="G1583" s="2195" t="s">
        <v>4201</v>
      </c>
      <c r="H1583" s="714"/>
      <c r="I1583" s="714"/>
      <c r="J1583" s="1654"/>
      <c r="K1583" s="809"/>
      <c r="L1583" s="714"/>
      <c r="M1583" s="2188">
        <v>600</v>
      </c>
      <c r="N1583" s="2190"/>
    </row>
    <row r="1584" spans="1:14">
      <c r="A1584" s="663"/>
      <c r="B1584" s="3130" t="s">
        <v>773</v>
      </c>
      <c r="C1584" s="663" t="s">
        <v>324</v>
      </c>
      <c r="D1584" s="678" t="s">
        <v>1980</v>
      </c>
      <c r="E1584" s="700" t="s">
        <v>1941</v>
      </c>
      <c r="F1584" s="795">
        <v>2361</v>
      </c>
      <c r="G1584" s="2195" t="s">
        <v>4202</v>
      </c>
      <c r="H1584" s="714"/>
      <c r="I1584" s="714"/>
      <c r="J1584" s="1654"/>
      <c r="K1584" s="809"/>
      <c r="L1584" s="714"/>
      <c r="M1584" s="2188">
        <v>2150</v>
      </c>
      <c r="N1584" s="2190"/>
    </row>
    <row r="1585" spans="1:32" ht="20.399999999999999">
      <c r="A1585" s="663"/>
      <c r="B1585" s="3130" t="s">
        <v>773</v>
      </c>
      <c r="C1585" s="663" t="s">
        <v>324</v>
      </c>
      <c r="D1585" s="678" t="s">
        <v>1980</v>
      </c>
      <c r="E1585" s="700" t="s">
        <v>1941</v>
      </c>
      <c r="F1585" s="795">
        <v>2361</v>
      </c>
      <c r="G1585" s="750" t="s">
        <v>2151</v>
      </c>
      <c r="H1585" s="714"/>
      <c r="I1585" s="714">
        <v>1440</v>
      </c>
      <c r="J1585" s="1654" t="s">
        <v>1134</v>
      </c>
      <c r="K1585" s="809"/>
      <c r="L1585" s="714"/>
      <c r="M1585" s="701"/>
      <c r="N1585" s="2190"/>
      <c r="O1585" s="187"/>
      <c r="P1585" s="187"/>
      <c r="Q1585" s="187"/>
      <c r="R1585" s="4"/>
      <c r="S1585" s="4"/>
      <c r="T1585" s="4"/>
      <c r="U1585" s="4"/>
      <c r="V1585" s="4"/>
      <c r="W1585" s="4"/>
      <c r="X1585" s="4"/>
      <c r="Y1585" s="4"/>
      <c r="Z1585" s="4"/>
      <c r="AA1585" s="4"/>
      <c r="AB1585" s="4"/>
      <c r="AC1585" s="4"/>
      <c r="AD1585" s="4"/>
      <c r="AE1585" s="4"/>
    </row>
    <row r="1586" spans="1:32" ht="20.399999999999999">
      <c r="A1586" s="663"/>
      <c r="B1586" s="3130" t="s">
        <v>773</v>
      </c>
      <c r="C1586" s="663" t="s">
        <v>324</v>
      </c>
      <c r="D1586" s="678" t="s">
        <v>1980</v>
      </c>
      <c r="E1586" s="700" t="s">
        <v>1941</v>
      </c>
      <c r="F1586" s="795">
        <v>2361</v>
      </c>
      <c r="G1586" s="750" t="s">
        <v>2151</v>
      </c>
      <c r="H1586" s="714"/>
      <c r="I1586" s="714">
        <v>1440</v>
      </c>
      <c r="J1586" s="1654" t="s">
        <v>1134</v>
      </c>
      <c r="K1586" s="809"/>
      <c r="L1586" s="714"/>
      <c r="M1586" s="701"/>
      <c r="N1586" s="2190"/>
      <c r="O1586" s="3"/>
      <c r="P1586" s="3"/>
      <c r="Q1586" s="3"/>
      <c r="R1586" s="3"/>
      <c r="S1586" s="3"/>
      <c r="T1586" s="3"/>
      <c r="U1586" s="3"/>
      <c r="V1586" s="3"/>
      <c r="W1586" s="3"/>
      <c r="X1586" s="3"/>
      <c r="Y1586" s="3"/>
      <c r="Z1586" s="3"/>
      <c r="AA1586" s="3"/>
      <c r="AB1586" s="3"/>
      <c r="AC1586" s="3"/>
      <c r="AD1586" s="3"/>
      <c r="AE1586" s="3"/>
    </row>
    <row r="1587" spans="1:32" ht="20.399999999999999">
      <c r="A1587" s="663"/>
      <c r="B1587" s="3130" t="s">
        <v>773</v>
      </c>
      <c r="C1587" s="663" t="s">
        <v>324</v>
      </c>
      <c r="D1587" s="678" t="s">
        <v>1980</v>
      </c>
      <c r="E1587" s="700" t="s">
        <v>1941</v>
      </c>
      <c r="F1587" s="795">
        <v>2361</v>
      </c>
      <c r="G1587" s="750" t="s">
        <v>2151</v>
      </c>
      <c r="H1587" s="714"/>
      <c r="I1587" s="714">
        <v>960</v>
      </c>
      <c r="J1587" s="1654" t="s">
        <v>1134</v>
      </c>
      <c r="K1587" s="809"/>
      <c r="L1587" s="714"/>
      <c r="M1587" s="701"/>
      <c r="N1587" s="2018"/>
      <c r="O1587" s="187"/>
      <c r="P1587" s="187"/>
      <c r="Q1587" s="187"/>
      <c r="R1587" s="187"/>
      <c r="S1587" s="187"/>
      <c r="T1587" s="187"/>
      <c r="U1587" s="187"/>
      <c r="V1587" s="187"/>
      <c r="W1587" s="187"/>
      <c r="X1587" s="187"/>
      <c r="Y1587" s="187"/>
      <c r="Z1587" s="187"/>
      <c r="AA1587" s="187"/>
      <c r="AB1587" s="187"/>
      <c r="AC1587" s="187"/>
      <c r="AD1587" s="187"/>
      <c r="AE1587" s="187"/>
      <c r="AF1587" s="187"/>
    </row>
    <row r="1588" spans="1:32" ht="20.399999999999999">
      <c r="A1588" s="663"/>
      <c r="B1588" s="3130" t="s">
        <v>773</v>
      </c>
      <c r="C1588" s="663" t="s">
        <v>324</v>
      </c>
      <c r="D1588" s="678" t="s">
        <v>1980</v>
      </c>
      <c r="E1588" s="700" t="s">
        <v>1941</v>
      </c>
      <c r="F1588" s="795">
        <v>2361</v>
      </c>
      <c r="G1588" s="750" t="s">
        <v>2151</v>
      </c>
      <c r="H1588" s="714"/>
      <c r="I1588" s="714">
        <v>960</v>
      </c>
      <c r="J1588" s="1654" t="s">
        <v>1134</v>
      </c>
      <c r="K1588" s="809"/>
      <c r="L1588" s="714"/>
      <c r="M1588" s="701"/>
      <c r="N1588" s="306"/>
      <c r="O1588" s="7"/>
      <c r="P1588" s="7"/>
      <c r="Q1588" s="7"/>
      <c r="R1588" s="7"/>
      <c r="S1588" s="7"/>
      <c r="T1588" s="7"/>
      <c r="U1588" s="7"/>
      <c r="V1588" s="7"/>
      <c r="W1588" s="7"/>
      <c r="X1588" s="7"/>
      <c r="Y1588" s="7"/>
      <c r="Z1588" s="7"/>
      <c r="AA1588" s="7"/>
      <c r="AB1588" s="7"/>
      <c r="AC1588" s="7"/>
      <c r="AD1588" s="7"/>
      <c r="AE1588" s="7"/>
      <c r="AF1588" s="7"/>
    </row>
    <row r="1589" spans="1:32" ht="61.2">
      <c r="A1589" s="663"/>
      <c r="B1589" s="3130" t="s">
        <v>773</v>
      </c>
      <c r="C1589" s="663" t="s">
        <v>324</v>
      </c>
      <c r="D1589" s="678" t="s">
        <v>1980</v>
      </c>
      <c r="E1589" s="700" t="s">
        <v>1941</v>
      </c>
      <c r="F1589" s="795">
        <v>2361</v>
      </c>
      <c r="G1589" s="750" t="s">
        <v>2152</v>
      </c>
      <c r="H1589" s="714"/>
      <c r="I1589" s="714">
        <v>1200</v>
      </c>
      <c r="J1589" s="1654" t="s">
        <v>1134</v>
      </c>
      <c r="K1589" s="809"/>
      <c r="L1589" s="714"/>
      <c r="M1589" s="701"/>
      <c r="N1589" s="656" t="s">
        <v>4221</v>
      </c>
      <c r="O1589" s="7"/>
      <c r="P1589" s="7"/>
      <c r="Q1589" s="7"/>
      <c r="R1589" s="7"/>
      <c r="S1589" s="7"/>
      <c r="T1589" s="7"/>
      <c r="U1589" s="7"/>
      <c r="V1589" s="7"/>
      <c r="W1589" s="7"/>
      <c r="X1589" s="7"/>
      <c r="Y1589" s="7"/>
      <c r="Z1589" s="7"/>
      <c r="AA1589" s="7"/>
      <c r="AB1589" s="7"/>
      <c r="AC1589" s="7"/>
      <c r="AD1589" s="7"/>
      <c r="AE1589" s="7"/>
      <c r="AF1589" s="7"/>
    </row>
    <row r="1590" spans="1:32" ht="20.399999999999999">
      <c r="A1590" s="663"/>
      <c r="B1590" s="3130" t="s">
        <v>773</v>
      </c>
      <c r="C1590" s="663" t="s">
        <v>324</v>
      </c>
      <c r="D1590" s="678" t="s">
        <v>1980</v>
      </c>
      <c r="E1590" s="700" t="s">
        <v>1941</v>
      </c>
      <c r="F1590" s="795">
        <v>2361</v>
      </c>
      <c r="G1590" s="750" t="s">
        <v>2153</v>
      </c>
      <c r="H1590" s="714"/>
      <c r="I1590" s="714">
        <v>5400</v>
      </c>
      <c r="J1590" s="1654" t="s">
        <v>1134</v>
      </c>
      <c r="K1590" s="809"/>
      <c r="L1590" s="714"/>
      <c r="M1590" s="701"/>
      <c r="N1590" s="2190"/>
      <c r="O1590" s="7"/>
      <c r="P1590" s="7"/>
      <c r="Q1590" s="7"/>
      <c r="R1590" s="7"/>
      <c r="S1590" s="7"/>
      <c r="T1590" s="7"/>
      <c r="U1590" s="7"/>
      <c r="V1590" s="7"/>
      <c r="W1590" s="7"/>
      <c r="X1590" s="7"/>
      <c r="Y1590" s="7"/>
      <c r="Z1590" s="7"/>
      <c r="AA1590" s="7"/>
      <c r="AB1590" s="7"/>
      <c r="AC1590" s="7"/>
      <c r="AD1590" s="7"/>
      <c r="AE1590" s="7"/>
      <c r="AF1590" s="7"/>
    </row>
    <row r="1591" spans="1:32">
      <c r="A1591" s="683"/>
      <c r="B1591" s="3129" t="s">
        <v>772</v>
      </c>
      <c r="C1591" s="683" t="s">
        <v>322</v>
      </c>
      <c r="D1591" s="719" t="s">
        <v>1980</v>
      </c>
      <c r="E1591" s="720" t="s">
        <v>1941</v>
      </c>
      <c r="F1591" s="824">
        <v>2370</v>
      </c>
      <c r="G1591" s="800" t="s">
        <v>209</v>
      </c>
      <c r="H1591" s="713">
        <v>13900</v>
      </c>
      <c r="I1591" s="713"/>
      <c r="J1591" s="1654">
        <v>13369</v>
      </c>
      <c r="K1591" s="842"/>
      <c r="L1591" s="713">
        <v>12950</v>
      </c>
      <c r="M1591" s="713"/>
      <c r="N1591" s="2190"/>
      <c r="O1591" s="7"/>
      <c r="P1591" s="7"/>
      <c r="Q1591" s="7"/>
      <c r="R1591" s="7"/>
      <c r="S1591" s="7"/>
      <c r="T1591" s="7"/>
      <c r="U1591" s="7"/>
      <c r="V1591" s="7"/>
      <c r="W1591" s="7"/>
      <c r="X1591" s="7"/>
      <c r="Y1591" s="7"/>
      <c r="Z1591" s="7"/>
      <c r="AA1591" s="7"/>
      <c r="AB1591" s="7"/>
      <c r="AC1591" s="7"/>
      <c r="AD1591" s="7"/>
      <c r="AE1591" s="7"/>
      <c r="AF1591" s="7"/>
    </row>
    <row r="1592" spans="1:32" ht="20.399999999999999">
      <c r="A1592" s="663"/>
      <c r="B1592" s="3130" t="s">
        <v>772</v>
      </c>
      <c r="C1592" s="663" t="s">
        <v>324</v>
      </c>
      <c r="D1592" s="678" t="s">
        <v>1980</v>
      </c>
      <c r="E1592" s="700" t="s">
        <v>1941</v>
      </c>
      <c r="F1592" s="795">
        <v>2370</v>
      </c>
      <c r="G1592" s="2195" t="s">
        <v>632</v>
      </c>
      <c r="H1592" s="2199"/>
      <c r="I1592" s="2199">
        <v>1500</v>
      </c>
      <c r="J1592" s="2191" t="s">
        <v>1134</v>
      </c>
      <c r="K1592" s="2210"/>
      <c r="L1592" s="2199"/>
      <c r="M1592" s="2188">
        <v>1000</v>
      </c>
      <c r="N1592" s="2190"/>
      <c r="O1592" s="187"/>
      <c r="P1592" s="187"/>
      <c r="Q1592" s="187"/>
    </row>
    <row r="1593" spans="1:32" ht="20.399999999999999">
      <c r="A1593" s="663"/>
      <c r="B1593" s="3130" t="s">
        <v>772</v>
      </c>
      <c r="C1593" s="663" t="s">
        <v>322</v>
      </c>
      <c r="D1593" s="678" t="s">
        <v>1980</v>
      </c>
      <c r="E1593" s="700" t="s">
        <v>1941</v>
      </c>
      <c r="F1593" s="795">
        <v>2370</v>
      </c>
      <c r="G1593" s="2195" t="s">
        <v>415</v>
      </c>
      <c r="H1593" s="2199"/>
      <c r="I1593" s="2199">
        <v>8500</v>
      </c>
      <c r="J1593" s="2191" t="s">
        <v>1134</v>
      </c>
      <c r="K1593" s="2210"/>
      <c r="L1593" s="2199"/>
      <c r="M1593" s="2188">
        <v>7500</v>
      </c>
      <c r="N1593" s="2190"/>
      <c r="O1593" s="7"/>
      <c r="P1593" s="7"/>
      <c r="Q1593" s="7"/>
      <c r="R1593" s="7"/>
      <c r="S1593" s="7"/>
      <c r="T1593" s="7"/>
      <c r="U1593" s="7"/>
      <c r="V1593" s="7"/>
      <c r="W1593" s="7"/>
      <c r="X1593" s="7"/>
      <c r="Y1593" s="7"/>
      <c r="Z1593" s="7"/>
      <c r="AA1593" s="7"/>
      <c r="AB1593" s="7"/>
      <c r="AC1593" s="7"/>
      <c r="AD1593" s="7"/>
      <c r="AE1593" s="7"/>
      <c r="AF1593" s="7"/>
    </row>
    <row r="1594" spans="1:32" ht="20.399999999999999">
      <c r="A1594" s="663"/>
      <c r="B1594" s="3130" t="s">
        <v>772</v>
      </c>
      <c r="C1594" s="663" t="s">
        <v>322</v>
      </c>
      <c r="D1594" s="678" t="s">
        <v>1980</v>
      </c>
      <c r="E1594" s="700" t="s">
        <v>1941</v>
      </c>
      <c r="F1594" s="795">
        <v>2370</v>
      </c>
      <c r="G1594" s="2195" t="s">
        <v>4203</v>
      </c>
      <c r="H1594" s="2199"/>
      <c r="I1594" s="2199">
        <v>200</v>
      </c>
      <c r="J1594" s="2191" t="s">
        <v>1134</v>
      </c>
      <c r="K1594" s="2210"/>
      <c r="L1594" s="2199"/>
      <c r="M1594" s="2199">
        <v>450</v>
      </c>
      <c r="N1594" s="2190"/>
      <c r="O1594" s="7"/>
      <c r="P1594" s="7"/>
      <c r="Q1594" s="7"/>
      <c r="R1594" s="7"/>
      <c r="S1594" s="7"/>
      <c r="T1594" s="7"/>
      <c r="U1594" s="7"/>
      <c r="V1594" s="7"/>
      <c r="W1594" s="7"/>
      <c r="X1594" s="7"/>
      <c r="Y1594" s="7"/>
      <c r="Z1594" s="7"/>
      <c r="AA1594" s="7"/>
      <c r="AB1594" s="7"/>
      <c r="AC1594" s="7"/>
      <c r="AD1594" s="7"/>
      <c r="AE1594" s="7"/>
      <c r="AF1594" s="7"/>
    </row>
    <row r="1595" spans="1:32">
      <c r="A1595" s="663"/>
      <c r="B1595" s="3130" t="s">
        <v>772</v>
      </c>
      <c r="C1595" s="663" t="s">
        <v>322</v>
      </c>
      <c r="D1595" s="678" t="s">
        <v>1980</v>
      </c>
      <c r="E1595" s="700" t="s">
        <v>1941</v>
      </c>
      <c r="F1595" s="795">
        <v>2370</v>
      </c>
      <c r="G1595" s="2195" t="s">
        <v>4204</v>
      </c>
      <c r="H1595" s="2199"/>
      <c r="I1595" s="2199">
        <v>1000</v>
      </c>
      <c r="J1595" s="2191" t="s">
        <v>1134</v>
      </c>
      <c r="K1595" s="2210"/>
      <c r="L1595" s="2199"/>
      <c r="M1595" s="2188">
        <v>1000</v>
      </c>
      <c r="N1595" s="2190"/>
      <c r="O1595" s="187"/>
      <c r="P1595" s="187"/>
      <c r="Q1595" s="187"/>
    </row>
    <row r="1596" spans="1:32">
      <c r="A1596" s="663"/>
      <c r="B1596" s="3130" t="s">
        <v>772</v>
      </c>
      <c r="C1596" s="663" t="s">
        <v>322</v>
      </c>
      <c r="D1596" s="678" t="s">
        <v>1980</v>
      </c>
      <c r="E1596" s="700" t="s">
        <v>1941</v>
      </c>
      <c r="F1596" s="795">
        <v>2370</v>
      </c>
      <c r="G1596" s="2195" t="s">
        <v>2155</v>
      </c>
      <c r="H1596" s="2199"/>
      <c r="I1596" s="2199">
        <v>1000</v>
      </c>
      <c r="J1596" s="2191" t="s">
        <v>1134</v>
      </c>
      <c r="K1596" s="2210"/>
      <c r="L1596" s="2199"/>
      <c r="M1596" s="2188">
        <v>1000</v>
      </c>
      <c r="N1596" s="2048"/>
      <c r="O1596" s="7"/>
      <c r="P1596" s="7"/>
      <c r="Q1596" s="7"/>
      <c r="R1596" s="7"/>
      <c r="S1596" s="7"/>
      <c r="T1596" s="7"/>
      <c r="U1596" s="7"/>
      <c r="V1596" s="7"/>
      <c r="W1596" s="7"/>
      <c r="X1596" s="7"/>
      <c r="Y1596" s="7"/>
      <c r="Z1596" s="7"/>
      <c r="AA1596" s="7"/>
      <c r="AB1596" s="7"/>
      <c r="AC1596" s="7"/>
      <c r="AD1596" s="7"/>
      <c r="AE1596" s="7"/>
      <c r="AF1596" s="7"/>
    </row>
    <row r="1597" spans="1:32" ht="40.799999999999997">
      <c r="A1597" s="663"/>
      <c r="B1597" s="3130" t="s">
        <v>772</v>
      </c>
      <c r="C1597" s="663" t="s">
        <v>322</v>
      </c>
      <c r="D1597" s="678" t="s">
        <v>1980</v>
      </c>
      <c r="E1597" s="700" t="s">
        <v>1941</v>
      </c>
      <c r="F1597" s="795">
        <v>2370</v>
      </c>
      <c r="G1597" s="2195" t="s">
        <v>4205</v>
      </c>
      <c r="H1597" s="2199"/>
      <c r="I1597" s="2199">
        <v>3000</v>
      </c>
      <c r="J1597" s="2191" t="s">
        <v>1134</v>
      </c>
      <c r="K1597" s="2210"/>
      <c r="L1597" s="2199"/>
      <c r="M1597" s="2199">
        <v>2000</v>
      </c>
      <c r="N1597" s="2190" t="s">
        <v>4222</v>
      </c>
      <c r="O1597" s="187"/>
      <c r="P1597" s="187"/>
      <c r="Q1597" s="187"/>
    </row>
    <row r="1598" spans="1:32" ht="20.399999999999999">
      <c r="A1598" s="663"/>
      <c r="B1598" s="3130" t="s">
        <v>772</v>
      </c>
      <c r="C1598" s="663" t="s">
        <v>322</v>
      </c>
      <c r="D1598" s="678" t="s">
        <v>1980</v>
      </c>
      <c r="E1598" s="700" t="s">
        <v>1941</v>
      </c>
      <c r="F1598" s="795">
        <v>2370</v>
      </c>
      <c r="G1598" s="750" t="s">
        <v>3096</v>
      </c>
      <c r="H1598" s="714"/>
      <c r="I1598" s="714">
        <v>-300</v>
      </c>
      <c r="J1598" s="1654" t="s">
        <v>1134</v>
      </c>
      <c r="K1598" s="809"/>
      <c r="L1598" s="714"/>
      <c r="M1598" s="714"/>
      <c r="N1598" s="2048"/>
      <c r="O1598" s="7"/>
      <c r="P1598" s="7"/>
      <c r="Q1598" s="7"/>
      <c r="R1598" s="7"/>
      <c r="S1598" s="7"/>
      <c r="T1598" s="7"/>
      <c r="U1598" s="7"/>
      <c r="V1598" s="7"/>
      <c r="W1598" s="7"/>
      <c r="X1598" s="7"/>
      <c r="Y1598" s="7"/>
      <c r="Z1598" s="7"/>
      <c r="AA1598" s="7"/>
      <c r="AB1598" s="7"/>
      <c r="AC1598" s="7"/>
      <c r="AD1598" s="7"/>
      <c r="AE1598" s="7"/>
      <c r="AF1598" s="7"/>
    </row>
    <row r="1599" spans="1:32" ht="61.2">
      <c r="A1599" s="603"/>
      <c r="B1599" s="3130" t="s">
        <v>772</v>
      </c>
      <c r="C1599" s="663" t="s">
        <v>322</v>
      </c>
      <c r="D1599" s="678" t="s">
        <v>1980</v>
      </c>
      <c r="E1599" s="700" t="s">
        <v>1941</v>
      </c>
      <c r="F1599" s="795">
        <v>2370</v>
      </c>
      <c r="G1599" s="1153" t="s">
        <v>3297</v>
      </c>
      <c r="H1599" s="1456"/>
      <c r="I1599" s="1456">
        <v>-1000</v>
      </c>
      <c r="J1599" s="1654" t="s">
        <v>1134</v>
      </c>
      <c r="K1599" s="1462"/>
      <c r="L1599" s="1456"/>
      <c r="M1599" s="2209"/>
      <c r="N1599" s="2048"/>
      <c r="O1599" s="7"/>
      <c r="P1599" s="7"/>
      <c r="Q1599" s="7"/>
      <c r="R1599" s="7"/>
      <c r="S1599" s="7"/>
      <c r="T1599" s="7"/>
      <c r="U1599" s="7"/>
      <c r="V1599" s="7"/>
      <c r="W1599" s="7"/>
      <c r="X1599" s="7"/>
      <c r="Y1599" s="7"/>
      <c r="Z1599" s="7"/>
      <c r="AA1599" s="7"/>
      <c r="AB1599" s="7"/>
      <c r="AC1599" s="7"/>
      <c r="AD1599" s="7"/>
      <c r="AE1599" s="7"/>
      <c r="AF1599" s="7"/>
    </row>
    <row r="1600" spans="1:32">
      <c r="A1600" s="683"/>
      <c r="B1600" s="3129" t="s">
        <v>772</v>
      </c>
      <c r="C1600" s="683" t="s">
        <v>320</v>
      </c>
      <c r="D1600" s="719" t="s">
        <v>1980</v>
      </c>
      <c r="E1600" s="720" t="s">
        <v>1941</v>
      </c>
      <c r="F1600" s="824">
        <v>2390</v>
      </c>
      <c r="G1600" s="800" t="s">
        <v>135</v>
      </c>
      <c r="H1600" s="713">
        <v>0</v>
      </c>
      <c r="I1600" s="713"/>
      <c r="J1600" s="1654" t="s">
        <v>1134</v>
      </c>
      <c r="K1600" s="842"/>
      <c r="L1600" s="713">
        <v>0</v>
      </c>
      <c r="M1600" s="713"/>
      <c r="N1600" s="177"/>
    </row>
    <row r="1601" spans="1:14">
      <c r="A1601" s="663"/>
      <c r="B1601" s="3130" t="s">
        <v>772</v>
      </c>
      <c r="C1601" s="663" t="s">
        <v>320</v>
      </c>
      <c r="D1601" s="678" t="s">
        <v>1980</v>
      </c>
      <c r="E1601" s="700" t="s">
        <v>1941</v>
      </c>
      <c r="F1601" s="795">
        <v>2390</v>
      </c>
      <c r="G1601" s="750"/>
      <c r="H1601" s="701"/>
      <c r="I1601" s="701"/>
      <c r="J1601" s="1654" t="s">
        <v>1134</v>
      </c>
      <c r="K1601" s="792"/>
      <c r="L1601" s="701"/>
      <c r="M1601" s="701"/>
      <c r="N1601" s="655"/>
    </row>
    <row r="1602" spans="1:14">
      <c r="A1602" s="683"/>
      <c r="B1602" s="3129" t="s">
        <v>772</v>
      </c>
      <c r="C1602" s="683" t="s">
        <v>320</v>
      </c>
      <c r="D1602" s="719" t="s">
        <v>1980</v>
      </c>
      <c r="E1602" s="720" t="s">
        <v>1941</v>
      </c>
      <c r="F1602" s="824">
        <v>2400</v>
      </c>
      <c r="G1602" s="800" t="s">
        <v>805</v>
      </c>
      <c r="H1602" s="893">
        <v>75</v>
      </c>
      <c r="I1602" s="893"/>
      <c r="J1602" s="1654">
        <v>0</v>
      </c>
      <c r="K1602" s="1251"/>
      <c r="L1602" s="893">
        <v>75</v>
      </c>
      <c r="M1602" s="893"/>
      <c r="N1602" s="177"/>
    </row>
    <row r="1603" spans="1:14">
      <c r="A1603" s="663"/>
      <c r="B1603" s="3130" t="s">
        <v>772</v>
      </c>
      <c r="C1603" s="663" t="s">
        <v>320</v>
      </c>
      <c r="D1603" s="678" t="s">
        <v>1980</v>
      </c>
      <c r="E1603" s="700" t="s">
        <v>1941</v>
      </c>
      <c r="F1603" s="795">
        <v>2400</v>
      </c>
      <c r="G1603" s="750" t="s">
        <v>4206</v>
      </c>
      <c r="H1603" s="714"/>
      <c r="I1603" s="714">
        <v>75</v>
      </c>
      <c r="J1603" s="1654" t="s">
        <v>1134</v>
      </c>
      <c r="K1603" s="809"/>
      <c r="L1603" s="714"/>
      <c r="M1603" s="714">
        <v>75</v>
      </c>
      <c r="N1603" s="177"/>
    </row>
    <row r="1604" spans="1:14" ht="20.399999999999999">
      <c r="A1604" s="683"/>
      <c r="B1604" s="3129" t="s">
        <v>772</v>
      </c>
      <c r="C1604" s="683" t="s">
        <v>320</v>
      </c>
      <c r="D1604" s="719" t="s">
        <v>1980</v>
      </c>
      <c r="E1604" s="720" t="s">
        <v>1941</v>
      </c>
      <c r="F1604" s="824">
        <v>2512</v>
      </c>
      <c r="G1604" s="800" t="s">
        <v>779</v>
      </c>
      <c r="H1604" s="893">
        <v>300</v>
      </c>
      <c r="I1604" s="893"/>
      <c r="J1604" s="1654">
        <v>214</v>
      </c>
      <c r="K1604" s="1251"/>
      <c r="L1604" s="893">
        <v>330</v>
      </c>
      <c r="M1604" s="893"/>
      <c r="N1604" s="177"/>
    </row>
    <row r="1605" spans="1:14" ht="20.399999999999999">
      <c r="A1605" s="663"/>
      <c r="B1605" s="3130" t="s">
        <v>772</v>
      </c>
      <c r="C1605" s="663" t="s">
        <v>320</v>
      </c>
      <c r="D1605" s="678" t="s">
        <v>1980</v>
      </c>
      <c r="E1605" s="700" t="s">
        <v>1941</v>
      </c>
      <c r="F1605" s="795">
        <v>2512</v>
      </c>
      <c r="G1605" s="750" t="s">
        <v>3096</v>
      </c>
      <c r="H1605" s="714"/>
      <c r="I1605" s="714">
        <v>300</v>
      </c>
      <c r="J1605" s="1654" t="s">
        <v>1134</v>
      </c>
      <c r="K1605" s="809"/>
      <c r="L1605" s="714"/>
      <c r="M1605" s="714">
        <v>330</v>
      </c>
      <c r="N1605" s="1223"/>
    </row>
    <row r="1606" spans="1:14" ht="20.399999999999999">
      <c r="A1606" s="683"/>
      <c r="B1606" s="3129" t="s">
        <v>774</v>
      </c>
      <c r="C1606" s="683" t="s">
        <v>324</v>
      </c>
      <c r="D1606" s="719" t="s">
        <v>1980</v>
      </c>
      <c r="E1606" s="720" t="s">
        <v>1941</v>
      </c>
      <c r="F1606" s="824">
        <v>5120</v>
      </c>
      <c r="G1606" s="800" t="s">
        <v>588</v>
      </c>
      <c r="H1606" s="713">
        <v>0</v>
      </c>
      <c r="I1606" s="713"/>
      <c r="J1606" s="1654" t="s">
        <v>1134</v>
      </c>
      <c r="K1606" s="842"/>
      <c r="L1606" s="713">
        <v>0</v>
      </c>
      <c r="M1606" s="713"/>
      <c r="N1606" s="1223"/>
    </row>
    <row r="1607" spans="1:14">
      <c r="A1607" s="663"/>
      <c r="B1607" s="3130" t="s">
        <v>774</v>
      </c>
      <c r="C1607" s="663" t="s">
        <v>324</v>
      </c>
      <c r="D1607" s="678" t="s">
        <v>1980</v>
      </c>
      <c r="E1607" s="700" t="s">
        <v>1941</v>
      </c>
      <c r="F1607" s="795">
        <v>5120</v>
      </c>
      <c r="G1607" s="750"/>
      <c r="H1607" s="714"/>
      <c r="I1607" s="714"/>
      <c r="J1607" s="1654" t="s">
        <v>1134</v>
      </c>
      <c r="K1607" s="809"/>
      <c r="L1607" s="714"/>
      <c r="M1607" s="714"/>
      <c r="N1607" s="1223"/>
    </row>
    <row r="1608" spans="1:14">
      <c r="A1608" s="683"/>
      <c r="B1608" s="3129" t="s">
        <v>774</v>
      </c>
      <c r="C1608" s="683" t="s">
        <v>324</v>
      </c>
      <c r="D1608" s="719" t="s">
        <v>1980</v>
      </c>
      <c r="E1608" s="720" t="s">
        <v>1941</v>
      </c>
      <c r="F1608" s="824">
        <v>5238</v>
      </c>
      <c r="G1608" s="800" t="s">
        <v>139</v>
      </c>
      <c r="H1608" s="713">
        <v>7400</v>
      </c>
      <c r="I1608" s="713"/>
      <c r="J1608" s="1654">
        <v>7399.63</v>
      </c>
      <c r="K1608" s="842"/>
      <c r="L1608" s="713">
        <v>24310</v>
      </c>
      <c r="M1608" s="713"/>
      <c r="N1608" s="1223"/>
    </row>
    <row r="1609" spans="1:14">
      <c r="A1609" s="663"/>
      <c r="B1609" s="3130" t="s">
        <v>774</v>
      </c>
      <c r="C1609" s="663" t="s">
        <v>324</v>
      </c>
      <c r="D1609" s="678" t="s">
        <v>1980</v>
      </c>
      <c r="E1609" s="700" t="s">
        <v>1941</v>
      </c>
      <c r="F1609" s="795">
        <v>5238</v>
      </c>
      <c r="G1609" s="2195" t="s">
        <v>4207</v>
      </c>
      <c r="H1609" s="714"/>
      <c r="I1609" s="714">
        <v>750</v>
      </c>
      <c r="J1609" s="1654" t="s">
        <v>1134</v>
      </c>
      <c r="K1609" s="809"/>
      <c r="L1609" s="714"/>
      <c r="M1609" s="2188">
        <v>920</v>
      </c>
      <c r="N1609" s="1223"/>
    </row>
    <row r="1610" spans="1:14">
      <c r="A1610" s="663"/>
      <c r="B1610" s="3130" t="s">
        <v>774</v>
      </c>
      <c r="C1610" s="663" t="s">
        <v>324</v>
      </c>
      <c r="D1610" s="678" t="s">
        <v>1980</v>
      </c>
      <c r="E1610" s="700" t="s">
        <v>1941</v>
      </c>
      <c r="F1610" s="795">
        <v>5238</v>
      </c>
      <c r="G1610" s="750" t="s">
        <v>2156</v>
      </c>
      <c r="H1610" s="714"/>
      <c r="I1610" s="714">
        <v>750</v>
      </c>
      <c r="J1610" s="1654" t="s">
        <v>1134</v>
      </c>
      <c r="K1610" s="809"/>
      <c r="L1610" s="714"/>
      <c r="M1610" s="701"/>
      <c r="N1610" s="125"/>
    </row>
    <row r="1611" spans="1:14" ht="40.799999999999997">
      <c r="A1611" s="2168"/>
      <c r="B1611" s="3130" t="s">
        <v>774</v>
      </c>
      <c r="C1611" s="663" t="s">
        <v>324</v>
      </c>
      <c r="D1611" s="678" t="s">
        <v>1980</v>
      </c>
      <c r="E1611" s="700" t="s">
        <v>1941</v>
      </c>
      <c r="F1611" s="795">
        <v>5238</v>
      </c>
      <c r="G1611" s="2195" t="s">
        <v>4209</v>
      </c>
      <c r="H1611" s="2199"/>
      <c r="I1611" s="2199"/>
      <c r="J1611" s="2191" t="s">
        <v>1134</v>
      </c>
      <c r="K1611" s="2210"/>
      <c r="L1611" s="2199"/>
      <c r="M1611" s="2199">
        <v>750</v>
      </c>
      <c r="N1611" s="176" t="s">
        <v>3310</v>
      </c>
    </row>
    <row r="1612" spans="1:14" ht="20.399999999999999">
      <c r="A1612" s="2168"/>
      <c r="B1612" s="3130" t="s">
        <v>774</v>
      </c>
      <c r="C1612" s="663" t="s">
        <v>324</v>
      </c>
      <c r="D1612" s="678" t="s">
        <v>1980</v>
      </c>
      <c r="E1612" s="700" t="s">
        <v>1941</v>
      </c>
      <c r="F1612" s="795">
        <v>5238</v>
      </c>
      <c r="G1612" s="2195" t="s">
        <v>4213</v>
      </c>
      <c r="H1612" s="2199"/>
      <c r="I1612" s="2199"/>
      <c r="J1612" s="2191"/>
      <c r="K1612" s="2210"/>
      <c r="L1612" s="2199"/>
      <c r="M1612" s="2199">
        <v>10800</v>
      </c>
      <c r="N1612" s="176"/>
    </row>
    <row r="1613" spans="1:14" ht="20.399999999999999">
      <c r="A1613" s="663"/>
      <c r="B1613" s="3130" t="s">
        <v>774</v>
      </c>
      <c r="C1613" s="663" t="s">
        <v>324</v>
      </c>
      <c r="D1613" s="678" t="s">
        <v>1980</v>
      </c>
      <c r="E1613" s="700" t="s">
        <v>1941</v>
      </c>
      <c r="F1613" s="795">
        <v>5238</v>
      </c>
      <c r="G1613" s="750" t="s">
        <v>1443</v>
      </c>
      <c r="H1613" s="714"/>
      <c r="I1613" s="714">
        <v>8400</v>
      </c>
      <c r="J1613" s="1654" t="s">
        <v>1134</v>
      </c>
      <c r="K1613" s="809"/>
      <c r="L1613" s="714"/>
      <c r="M1613" s="714">
        <v>11840</v>
      </c>
      <c r="N1613" s="176"/>
    </row>
    <row r="1614" spans="1:14" ht="40.799999999999997">
      <c r="A1614" s="603"/>
      <c r="B1614" s="3130" t="s">
        <v>774</v>
      </c>
      <c r="C1614" s="663" t="s">
        <v>324</v>
      </c>
      <c r="D1614" s="678" t="s">
        <v>1980</v>
      </c>
      <c r="E1614" s="700" t="s">
        <v>1941</v>
      </c>
      <c r="F1614" s="795">
        <v>5238</v>
      </c>
      <c r="G1614" s="1153" t="s">
        <v>3296</v>
      </c>
      <c r="H1614" s="1456"/>
      <c r="I1614" s="1456">
        <v>-1750</v>
      </c>
      <c r="J1614" s="1654" t="s">
        <v>1134</v>
      </c>
      <c r="K1614" s="1462"/>
      <c r="L1614" s="1456"/>
      <c r="M1614" s="1456"/>
      <c r="N1614" s="176"/>
    </row>
    <row r="1615" spans="1:14">
      <c r="A1615" s="683"/>
      <c r="B1615" s="3129" t="s">
        <v>773</v>
      </c>
      <c r="C1615" s="720" t="s">
        <v>325</v>
      </c>
      <c r="D1615" s="823" t="s">
        <v>1980</v>
      </c>
      <c r="E1615" s="720" t="s">
        <v>1941</v>
      </c>
      <c r="F1615" s="824">
        <v>5238</v>
      </c>
      <c r="G1615" s="800" t="s">
        <v>139</v>
      </c>
      <c r="H1615" s="713">
        <v>0</v>
      </c>
      <c r="I1615" s="713"/>
      <c r="J1615" s="1654" t="s">
        <v>1134</v>
      </c>
      <c r="K1615" s="842"/>
      <c r="L1615" s="713">
        <v>4000</v>
      </c>
      <c r="M1615" s="713"/>
      <c r="N1615" s="176"/>
    </row>
    <row r="1616" spans="1:14">
      <c r="A1616" s="668"/>
      <c r="B1616" s="3144" t="s">
        <v>773</v>
      </c>
      <c r="C1616" s="670" t="s">
        <v>324</v>
      </c>
      <c r="D1616" s="702" t="s">
        <v>1980</v>
      </c>
      <c r="E1616" s="670" t="s">
        <v>1941</v>
      </c>
      <c r="F1616" s="703">
        <v>5238</v>
      </c>
      <c r="G1616" s="704" t="s">
        <v>4211</v>
      </c>
      <c r="H1616" s="705"/>
      <c r="I1616" s="705"/>
      <c r="J1616" s="1654"/>
      <c r="K1616" s="705"/>
      <c r="L1616" s="705"/>
      <c r="M1616" s="705">
        <v>4000</v>
      </c>
      <c r="N1616" s="2018"/>
    </row>
    <row r="1617" spans="1:22" ht="20.399999999999999">
      <c r="A1617" s="683"/>
      <c r="B1617" s="3129" t="s">
        <v>774</v>
      </c>
      <c r="C1617" s="683" t="s">
        <v>324</v>
      </c>
      <c r="D1617" s="719" t="s">
        <v>1980</v>
      </c>
      <c r="E1617" s="720" t="s">
        <v>1941</v>
      </c>
      <c r="F1617" s="824">
        <v>5239</v>
      </c>
      <c r="G1617" s="800" t="s">
        <v>1178</v>
      </c>
      <c r="H1617" s="713">
        <v>8250</v>
      </c>
      <c r="I1617" s="713"/>
      <c r="J1617" s="1654">
        <v>7805</v>
      </c>
      <c r="K1617" s="842"/>
      <c r="L1617" s="713">
        <v>13230</v>
      </c>
      <c r="M1617" s="713"/>
      <c r="N1617" s="305"/>
    </row>
    <row r="1618" spans="1:22">
      <c r="A1618" s="663"/>
      <c r="B1618" s="3130" t="s">
        <v>774</v>
      </c>
      <c r="C1618" s="663" t="s">
        <v>324</v>
      </c>
      <c r="D1618" s="678" t="s">
        <v>1980</v>
      </c>
      <c r="E1618" s="700" t="s">
        <v>1941</v>
      </c>
      <c r="F1618" s="795">
        <v>5239</v>
      </c>
      <c r="G1618" s="750" t="s">
        <v>2157</v>
      </c>
      <c r="H1618" s="714"/>
      <c r="I1618" s="714">
        <v>1500</v>
      </c>
      <c r="J1618" s="1654" t="s">
        <v>1134</v>
      </c>
      <c r="K1618" s="809"/>
      <c r="L1618" s="714"/>
      <c r="M1618" s="701">
        <v>1500</v>
      </c>
      <c r="N1618" s="305"/>
    </row>
    <row r="1619" spans="1:22">
      <c r="A1619" s="663"/>
      <c r="B1619" s="3130" t="s">
        <v>774</v>
      </c>
      <c r="C1619" s="663" t="s">
        <v>324</v>
      </c>
      <c r="D1619" s="678" t="s">
        <v>1980</v>
      </c>
      <c r="E1619" s="700" t="s">
        <v>1941</v>
      </c>
      <c r="F1619" s="795">
        <v>5239</v>
      </c>
      <c r="G1619" s="750" t="s">
        <v>2158</v>
      </c>
      <c r="H1619" s="714"/>
      <c r="I1619" s="714">
        <v>1500</v>
      </c>
      <c r="J1619" s="1654" t="s">
        <v>1134</v>
      </c>
      <c r="K1619" s="809"/>
      <c r="L1619" s="714"/>
      <c r="M1619" s="701">
        <v>1500</v>
      </c>
      <c r="N1619" s="305"/>
    </row>
    <row r="1620" spans="1:22" ht="30.6">
      <c r="A1620" s="603"/>
      <c r="B1620" s="3130" t="s">
        <v>774</v>
      </c>
      <c r="C1620" s="663" t="s">
        <v>324</v>
      </c>
      <c r="D1620" s="678" t="s">
        <v>1980</v>
      </c>
      <c r="E1620" s="700" t="s">
        <v>1941</v>
      </c>
      <c r="F1620" s="795">
        <v>5239</v>
      </c>
      <c r="G1620" s="750" t="s">
        <v>3295</v>
      </c>
      <c r="H1620" s="1456"/>
      <c r="I1620" s="1456">
        <v>-3000</v>
      </c>
      <c r="J1620" s="1654" t="s">
        <v>1134</v>
      </c>
      <c r="K1620" s="1462"/>
      <c r="L1620" s="1456"/>
      <c r="M1620" s="1165"/>
      <c r="N1620" s="305"/>
    </row>
    <row r="1621" spans="1:22">
      <c r="A1621" s="2168"/>
      <c r="B1621" s="3130" t="s">
        <v>774</v>
      </c>
      <c r="C1621" s="663" t="s">
        <v>324</v>
      </c>
      <c r="D1621" s="678" t="s">
        <v>1980</v>
      </c>
      <c r="E1621" s="700" t="s">
        <v>1941</v>
      </c>
      <c r="F1621" s="795">
        <v>5239</v>
      </c>
      <c r="G1621" s="2195" t="s">
        <v>4217</v>
      </c>
      <c r="H1621" s="2189"/>
      <c r="I1621" s="2189"/>
      <c r="J1621" s="2191"/>
      <c r="K1621" s="2192"/>
      <c r="L1621" s="2189"/>
      <c r="M1621" s="2188">
        <v>2660</v>
      </c>
      <c r="N1621" s="1466"/>
    </row>
    <row r="1622" spans="1:22">
      <c r="A1622" s="2168"/>
      <c r="B1622" s="3130" t="s">
        <v>774</v>
      </c>
      <c r="C1622" s="663" t="s">
        <v>324</v>
      </c>
      <c r="D1622" s="678" t="s">
        <v>1980</v>
      </c>
      <c r="E1622" s="700" t="s">
        <v>1941</v>
      </c>
      <c r="F1622" s="795">
        <v>5239</v>
      </c>
      <c r="G1622" s="2195" t="s">
        <v>4216</v>
      </c>
      <c r="H1622" s="2189"/>
      <c r="I1622" s="2189"/>
      <c r="J1622" s="2191"/>
      <c r="K1622" s="2192"/>
      <c r="L1622" s="2189"/>
      <c r="M1622" s="2188">
        <v>690</v>
      </c>
      <c r="N1622" s="1466"/>
    </row>
    <row r="1623" spans="1:22">
      <c r="A1623" s="2168"/>
      <c r="B1623" s="3130" t="s">
        <v>774</v>
      </c>
      <c r="C1623" s="663" t="s">
        <v>324</v>
      </c>
      <c r="D1623" s="678" t="s">
        <v>1980</v>
      </c>
      <c r="E1623" s="700" t="s">
        <v>1941</v>
      </c>
      <c r="F1623" s="795">
        <v>5239</v>
      </c>
      <c r="G1623" s="2195" t="s">
        <v>4218</v>
      </c>
      <c r="H1623" s="2189"/>
      <c r="I1623" s="2189"/>
      <c r="J1623" s="2191"/>
      <c r="K1623" s="2192"/>
      <c r="L1623" s="2189"/>
      <c r="M1623" s="2188">
        <v>2680</v>
      </c>
      <c r="N1623" s="1466"/>
    </row>
    <row r="1624" spans="1:22">
      <c r="A1624" s="2168"/>
      <c r="B1624" s="3130" t="s">
        <v>774</v>
      </c>
      <c r="C1624" s="663" t="s">
        <v>324</v>
      </c>
      <c r="D1624" s="678" t="s">
        <v>1980</v>
      </c>
      <c r="E1624" s="700" t="s">
        <v>1941</v>
      </c>
      <c r="F1624" s="795">
        <v>5239</v>
      </c>
      <c r="G1624" s="2195" t="s">
        <v>4219</v>
      </c>
      <c r="H1624" s="2189"/>
      <c r="I1624" s="2189"/>
      <c r="J1624" s="2191"/>
      <c r="K1624" s="2192"/>
      <c r="L1624" s="2189"/>
      <c r="M1624" s="2188">
        <v>800</v>
      </c>
      <c r="N1624" s="1466"/>
    </row>
    <row r="1625" spans="1:22">
      <c r="A1625" s="2168"/>
      <c r="B1625" s="3130" t="s">
        <v>774</v>
      </c>
      <c r="C1625" s="663" t="s">
        <v>324</v>
      </c>
      <c r="D1625" s="678" t="s">
        <v>1980</v>
      </c>
      <c r="E1625" s="700" t="s">
        <v>1941</v>
      </c>
      <c r="F1625" s="795">
        <v>5239</v>
      </c>
      <c r="G1625" s="2195" t="s">
        <v>4220</v>
      </c>
      <c r="H1625" s="2189"/>
      <c r="I1625" s="2189"/>
      <c r="J1625" s="2191"/>
      <c r="K1625" s="2192"/>
      <c r="L1625" s="2189"/>
      <c r="M1625" s="2188">
        <v>3400</v>
      </c>
      <c r="N1625" s="1466"/>
    </row>
    <row r="1626" spans="1:22">
      <c r="A1626" s="663"/>
      <c r="B1626" s="3130" t="s">
        <v>774</v>
      </c>
      <c r="C1626" s="663" t="s">
        <v>324</v>
      </c>
      <c r="D1626" s="678" t="s">
        <v>1980</v>
      </c>
      <c r="E1626" s="700" t="s">
        <v>1941</v>
      </c>
      <c r="F1626" s="795">
        <v>5239</v>
      </c>
      <c r="G1626" s="750" t="s">
        <v>2159</v>
      </c>
      <c r="H1626" s="714"/>
      <c r="I1626" s="714">
        <v>4600</v>
      </c>
      <c r="J1626" s="1654" t="s">
        <v>1134</v>
      </c>
      <c r="K1626" s="809"/>
      <c r="L1626" s="714"/>
      <c r="M1626" s="701"/>
      <c r="N1626" s="1466"/>
    </row>
    <row r="1627" spans="1:22">
      <c r="A1627" s="663"/>
      <c r="B1627" s="3130" t="s">
        <v>774</v>
      </c>
      <c r="C1627" s="663" t="s">
        <v>324</v>
      </c>
      <c r="D1627" s="678" t="s">
        <v>1980</v>
      </c>
      <c r="E1627" s="700" t="s">
        <v>1941</v>
      </c>
      <c r="F1627" s="795">
        <v>5239</v>
      </c>
      <c r="G1627" s="750" t="s">
        <v>2160</v>
      </c>
      <c r="H1627" s="714"/>
      <c r="I1627" s="714">
        <v>650</v>
      </c>
      <c r="J1627" s="1654" t="s">
        <v>1134</v>
      </c>
      <c r="K1627" s="809"/>
      <c r="L1627" s="714"/>
      <c r="M1627" s="701"/>
      <c r="N1627" s="1466"/>
    </row>
    <row r="1628" spans="1:22" ht="11.4" customHeight="1">
      <c r="A1628" s="663"/>
      <c r="B1628" s="3130" t="s">
        <v>774</v>
      </c>
      <c r="C1628" s="663" t="s">
        <v>324</v>
      </c>
      <c r="D1628" s="678" t="s">
        <v>1980</v>
      </c>
      <c r="E1628" s="700" t="s">
        <v>1941</v>
      </c>
      <c r="F1628" s="795">
        <v>5239</v>
      </c>
      <c r="G1628" s="750" t="s">
        <v>2161</v>
      </c>
      <c r="H1628" s="714"/>
      <c r="I1628" s="714">
        <v>0</v>
      </c>
      <c r="J1628" s="1654" t="s">
        <v>1134</v>
      </c>
      <c r="K1628" s="809"/>
      <c r="L1628" s="714"/>
      <c r="M1628" s="701"/>
      <c r="N1628" s="1466"/>
    </row>
    <row r="1629" spans="1:22" ht="11.4" customHeight="1">
      <c r="A1629" s="663"/>
      <c r="B1629" s="3130" t="s">
        <v>774</v>
      </c>
      <c r="C1629" s="663" t="s">
        <v>324</v>
      </c>
      <c r="D1629" s="678" t="s">
        <v>1980</v>
      </c>
      <c r="E1629" s="700" t="s">
        <v>1941</v>
      </c>
      <c r="F1629" s="795">
        <v>5239</v>
      </c>
      <c r="G1629" s="750" t="s">
        <v>2162</v>
      </c>
      <c r="H1629" s="701"/>
      <c r="I1629" s="701">
        <v>1000</v>
      </c>
      <c r="J1629" s="1654" t="s">
        <v>1134</v>
      </c>
      <c r="K1629" s="792"/>
      <c r="L1629" s="701"/>
      <c r="M1629" s="714"/>
      <c r="N1629" s="1466"/>
    </row>
    <row r="1630" spans="1:22" ht="11.4" customHeight="1">
      <c r="A1630" s="663"/>
      <c r="B1630" s="3130" t="s">
        <v>774</v>
      </c>
      <c r="C1630" s="663" t="s">
        <v>324</v>
      </c>
      <c r="D1630" s="678" t="s">
        <v>1980</v>
      </c>
      <c r="E1630" s="700" t="s">
        <v>1941</v>
      </c>
      <c r="F1630" s="795">
        <v>5239</v>
      </c>
      <c r="G1630" s="750" t="s">
        <v>3426</v>
      </c>
      <c r="H1630" s="701"/>
      <c r="I1630" s="701">
        <v>-1000</v>
      </c>
      <c r="J1630" s="1654" t="s">
        <v>1134</v>
      </c>
      <c r="K1630" s="792"/>
      <c r="L1630" s="701"/>
      <c r="M1630" s="714"/>
      <c r="N1630" s="1466"/>
    </row>
    <row r="1631" spans="1:22" ht="40.799999999999997">
      <c r="A1631" s="663"/>
      <c r="B1631" s="3130" t="s">
        <v>774</v>
      </c>
      <c r="C1631" s="663" t="s">
        <v>324</v>
      </c>
      <c r="D1631" s="678" t="s">
        <v>1980</v>
      </c>
      <c r="E1631" s="700" t="s">
        <v>1941</v>
      </c>
      <c r="F1631" s="795">
        <v>5239</v>
      </c>
      <c r="G1631" s="750" t="s">
        <v>3428</v>
      </c>
      <c r="H1631" s="701"/>
      <c r="I1631" s="701">
        <v>3000</v>
      </c>
      <c r="J1631" s="1654" t="s">
        <v>1134</v>
      </c>
      <c r="K1631" s="792"/>
      <c r="L1631" s="701"/>
      <c r="M1631" s="714"/>
      <c r="N1631" s="1466"/>
      <c r="O1631" s="187"/>
      <c r="P1631" s="187"/>
      <c r="Q1631" s="187"/>
      <c r="R1631" s="187"/>
      <c r="S1631" s="187"/>
      <c r="T1631" s="187"/>
      <c r="U1631" s="187"/>
      <c r="V1631" s="187"/>
    </row>
    <row r="1632" spans="1:22" ht="11.4" customHeight="1">
      <c r="A1632" s="683"/>
      <c r="B1632" s="3129" t="s">
        <v>773</v>
      </c>
      <c r="C1632" s="720" t="s">
        <v>325</v>
      </c>
      <c r="D1632" s="823" t="s">
        <v>1980</v>
      </c>
      <c r="E1632" s="720" t="s">
        <v>1941</v>
      </c>
      <c r="F1632" s="824">
        <v>5239</v>
      </c>
      <c r="G1632" s="800" t="s">
        <v>1178</v>
      </c>
      <c r="H1632" s="713">
        <v>0</v>
      </c>
      <c r="I1632" s="713"/>
      <c r="J1632" s="1654" t="s">
        <v>1134</v>
      </c>
      <c r="K1632" s="842"/>
      <c r="L1632" s="713">
        <v>48900</v>
      </c>
      <c r="M1632" s="713"/>
      <c r="N1632" s="1466"/>
    </row>
    <row r="1633" spans="1:22" ht="11.4" customHeight="1">
      <c r="A1633" s="668"/>
      <c r="B1633" s="3144" t="s">
        <v>773</v>
      </c>
      <c r="C1633" s="670" t="s">
        <v>325</v>
      </c>
      <c r="D1633" s="702" t="s">
        <v>1980</v>
      </c>
      <c r="E1633" s="670" t="s">
        <v>1941</v>
      </c>
      <c r="F1633" s="703">
        <v>5239</v>
      </c>
      <c r="G1633" s="704" t="s">
        <v>4845</v>
      </c>
      <c r="H1633" s="705"/>
      <c r="I1633" s="705"/>
      <c r="J1633" s="1654" t="s">
        <v>1134</v>
      </c>
      <c r="K1633" s="705"/>
      <c r="L1633" s="705"/>
      <c r="M1633" s="705">
        <v>48900</v>
      </c>
      <c r="N1633" s="1466"/>
      <c r="O1633" s="187"/>
      <c r="P1633" s="187"/>
      <c r="Q1633" s="187"/>
      <c r="R1633" s="187"/>
      <c r="S1633" s="187"/>
      <c r="T1633" s="187"/>
      <c r="U1633" s="187"/>
      <c r="V1633" s="187"/>
    </row>
    <row r="1634" spans="1:22" ht="30.6">
      <c r="A1634" s="728" t="s">
        <v>531</v>
      </c>
      <c r="B1634" s="3129" t="s">
        <v>326</v>
      </c>
      <c r="C1634" s="683" t="s">
        <v>321</v>
      </c>
      <c r="D1634" s="719" t="s">
        <v>1980</v>
      </c>
      <c r="E1634" s="720" t="s">
        <v>1941</v>
      </c>
      <c r="F1634" s="824">
        <v>7245</v>
      </c>
      <c r="G1634" s="800" t="s">
        <v>521</v>
      </c>
      <c r="H1634" s="706">
        <v>0</v>
      </c>
      <c r="I1634" s="706"/>
      <c r="J1634" s="1654" t="s">
        <v>1134</v>
      </c>
      <c r="K1634" s="802"/>
      <c r="L1634" s="706">
        <v>0</v>
      </c>
      <c r="M1634" s="706"/>
      <c r="N1634" s="1466"/>
      <c r="O1634" s="187"/>
      <c r="P1634" s="187"/>
      <c r="Q1634" s="187"/>
      <c r="R1634" s="187"/>
      <c r="S1634" s="187"/>
      <c r="T1634" s="187"/>
      <c r="U1634" s="187"/>
      <c r="V1634" s="187"/>
    </row>
    <row r="1635" spans="1:22" ht="11.4" customHeight="1">
      <c r="A1635" s="663"/>
      <c r="B1635" s="3130" t="s">
        <v>326</v>
      </c>
      <c r="C1635" s="663" t="s">
        <v>321</v>
      </c>
      <c r="D1635" s="678" t="s">
        <v>1980</v>
      </c>
      <c r="E1635" s="700" t="s">
        <v>1941</v>
      </c>
      <c r="F1635" s="795">
        <v>7245</v>
      </c>
      <c r="G1635" s="812" t="s">
        <v>2163</v>
      </c>
      <c r="H1635" s="701"/>
      <c r="I1635" s="701"/>
      <c r="J1635" s="1654" t="s">
        <v>1134</v>
      </c>
      <c r="K1635" s="792"/>
      <c r="L1635" s="701"/>
      <c r="M1635" s="715"/>
      <c r="N1635" s="1466"/>
    </row>
    <row r="1636" spans="1:22" ht="11.4" customHeight="1">
      <c r="A1636" s="683"/>
      <c r="B1636" s="3129" t="s">
        <v>772</v>
      </c>
      <c r="C1636" s="683" t="s">
        <v>322</v>
      </c>
      <c r="D1636" s="719" t="s">
        <v>1980</v>
      </c>
      <c r="E1636" s="1415" t="s">
        <v>1956</v>
      </c>
      <c r="F1636" s="685">
        <v>2233</v>
      </c>
      <c r="G1636" s="686" t="s">
        <v>216</v>
      </c>
      <c r="H1636" s="837">
        <v>4818</v>
      </c>
      <c r="I1636" s="837"/>
      <c r="J1636" s="1494">
        <v>1980.9</v>
      </c>
      <c r="K1636" s="688"/>
      <c r="L1636" s="1962">
        <v>4818</v>
      </c>
      <c r="M1636" s="1962"/>
      <c r="N1636" s="1466"/>
    </row>
    <row r="1637" spans="1:22" ht="30.6">
      <c r="A1637" s="663"/>
      <c r="B1637" s="3130" t="s">
        <v>772</v>
      </c>
      <c r="C1637" s="663" t="s">
        <v>322</v>
      </c>
      <c r="D1637" s="678" t="s">
        <v>1980</v>
      </c>
      <c r="E1637" s="1407" t="s">
        <v>1956</v>
      </c>
      <c r="F1637" s="725">
        <v>2233</v>
      </c>
      <c r="G1637" s="750" t="s">
        <v>2125</v>
      </c>
      <c r="H1637" s="676"/>
      <c r="I1637" s="676">
        <v>4818</v>
      </c>
      <c r="J1637" s="1494" t="s">
        <v>1134</v>
      </c>
      <c r="K1637" s="680"/>
      <c r="L1637" s="1681"/>
      <c r="M1637" s="1681">
        <v>4818</v>
      </c>
      <c r="N1637" s="2018"/>
    </row>
    <row r="1638" spans="1:22" ht="20.399999999999999">
      <c r="A1638" s="683"/>
      <c r="B1638" s="3129" t="s">
        <v>772</v>
      </c>
      <c r="C1638" s="683" t="s">
        <v>322</v>
      </c>
      <c r="D1638" s="719" t="s">
        <v>1980</v>
      </c>
      <c r="E1638" s="1406" t="s">
        <v>1956</v>
      </c>
      <c r="F1638" s="694">
        <v>2239</v>
      </c>
      <c r="G1638" s="865" t="s">
        <v>233</v>
      </c>
      <c r="H1638" s="837">
        <v>578528.16</v>
      </c>
      <c r="I1638" s="837"/>
      <c r="J1638" s="1494">
        <v>356752.39</v>
      </c>
      <c r="K1638" s="688"/>
      <c r="L1638" s="1962">
        <v>578528.16</v>
      </c>
      <c r="M1638" s="1962"/>
      <c r="N1638" s="305"/>
    </row>
    <row r="1639" spans="1:22">
      <c r="A1639" s="663"/>
      <c r="B1639" s="3130" t="s">
        <v>772</v>
      </c>
      <c r="C1639" s="663" t="s">
        <v>322</v>
      </c>
      <c r="D1639" s="678" t="s">
        <v>1980</v>
      </c>
      <c r="E1639" s="1407" t="s">
        <v>1956</v>
      </c>
      <c r="F1639" s="679">
        <v>2239</v>
      </c>
      <c r="G1639" s="699" t="s">
        <v>2127</v>
      </c>
      <c r="H1639" s="676"/>
      <c r="I1639" s="676">
        <v>396900</v>
      </c>
      <c r="J1639" s="1494" t="s">
        <v>1134</v>
      </c>
      <c r="K1639" s="680"/>
      <c r="L1639" s="1681"/>
      <c r="M1639" s="1681">
        <v>396900</v>
      </c>
      <c r="N1639" s="2018"/>
    </row>
    <row r="1640" spans="1:22" ht="20.399999999999999">
      <c r="A1640" s="663"/>
      <c r="B1640" s="3130" t="s">
        <v>772</v>
      </c>
      <c r="C1640" s="663" t="s">
        <v>322</v>
      </c>
      <c r="D1640" s="678" t="s">
        <v>1980</v>
      </c>
      <c r="E1640" s="1407" t="s">
        <v>1956</v>
      </c>
      <c r="F1640" s="725">
        <v>2239</v>
      </c>
      <c r="G1640" s="699" t="s">
        <v>2128</v>
      </c>
      <c r="H1640" s="676"/>
      <c r="I1640" s="676">
        <v>181628.16</v>
      </c>
      <c r="J1640" s="1494" t="s">
        <v>1134</v>
      </c>
      <c r="K1640" s="680"/>
      <c r="L1640" s="1958"/>
      <c r="M1640" s="1681">
        <v>181628.16</v>
      </c>
      <c r="N1640" s="305"/>
    </row>
    <row r="1641" spans="1:22">
      <c r="A1641" s="683"/>
      <c r="B1641" s="3129" t="s">
        <v>326</v>
      </c>
      <c r="C1641" s="683" t="s">
        <v>321</v>
      </c>
      <c r="D1641" s="719" t="s">
        <v>1980</v>
      </c>
      <c r="E1641" s="1406" t="s">
        <v>1956</v>
      </c>
      <c r="F1641" s="1698">
        <v>2363</v>
      </c>
      <c r="G1641" s="1691" t="s">
        <v>234</v>
      </c>
      <c r="H1641" s="2151">
        <v>51175.915000000001</v>
      </c>
      <c r="I1641" s="2151"/>
      <c r="J1641" s="1684">
        <v>42506.04</v>
      </c>
      <c r="K1641" s="2364"/>
      <c r="L1641" s="2151">
        <v>52751</v>
      </c>
      <c r="M1641" s="2151"/>
      <c r="N1641" s="2018"/>
    </row>
    <row r="1642" spans="1:22">
      <c r="A1642" s="663"/>
      <c r="B1642" s="3130" t="s">
        <v>326</v>
      </c>
      <c r="C1642" s="663" t="s">
        <v>321</v>
      </c>
      <c r="D1642" s="678" t="s">
        <v>1980</v>
      </c>
      <c r="E1642" s="1407" t="s">
        <v>1956</v>
      </c>
      <c r="F1642" s="1413">
        <v>2363</v>
      </c>
      <c r="G1642" s="818" t="s">
        <v>1846</v>
      </c>
      <c r="H1642" s="2158"/>
      <c r="I1642" s="2158">
        <v>-2261</v>
      </c>
      <c r="J1642" s="1684" t="s">
        <v>1134</v>
      </c>
      <c r="K1642" s="2360"/>
      <c r="L1642" s="2158"/>
      <c r="M1642" s="2158">
        <v>5049</v>
      </c>
      <c r="N1642" s="305"/>
    </row>
    <row r="1643" spans="1:22" ht="20.399999999999999">
      <c r="A1643" s="663"/>
      <c r="B1643" s="3130" t="s">
        <v>326</v>
      </c>
      <c r="C1643" s="663" t="s">
        <v>321</v>
      </c>
      <c r="D1643" s="678" t="s">
        <v>1980</v>
      </c>
      <c r="E1643" s="1407" t="s">
        <v>1956</v>
      </c>
      <c r="F1643" s="1413">
        <v>2363</v>
      </c>
      <c r="G1643" s="818" t="s">
        <v>2126</v>
      </c>
      <c r="H1643" s="2158"/>
      <c r="I1643" s="2158">
        <v>53436.915000000001</v>
      </c>
      <c r="J1643" s="1684" t="s">
        <v>1134</v>
      </c>
      <c r="K1643" s="2360"/>
      <c r="L1643" s="2158"/>
      <c r="M1643" s="2629">
        <v>47702</v>
      </c>
      <c r="N1643" s="2018"/>
    </row>
    <row r="1644" spans="1:22">
      <c r="A1644" s="683"/>
      <c r="B1644" s="3129" t="s">
        <v>772</v>
      </c>
      <c r="C1644" s="683" t="s">
        <v>322</v>
      </c>
      <c r="D1644" s="719" t="s">
        <v>1980</v>
      </c>
      <c r="E1644" s="1406" t="s">
        <v>1956</v>
      </c>
      <c r="F1644" s="1698">
        <v>2363</v>
      </c>
      <c r="G1644" s="1691" t="s">
        <v>234</v>
      </c>
      <c r="H1644" s="2151">
        <v>53436.915000000001</v>
      </c>
      <c r="I1644" s="2151"/>
      <c r="J1644" s="1684"/>
      <c r="K1644" s="2364"/>
      <c r="L1644" s="2151">
        <v>47702</v>
      </c>
      <c r="M1644" s="2151"/>
      <c r="N1644" s="305"/>
    </row>
    <row r="1645" spans="1:22" ht="20.399999999999999">
      <c r="A1645" s="663"/>
      <c r="B1645" s="3130" t="s">
        <v>772</v>
      </c>
      <c r="C1645" s="663" t="s">
        <v>322</v>
      </c>
      <c r="D1645" s="678" t="s">
        <v>1980</v>
      </c>
      <c r="E1645" s="1407" t="s">
        <v>1956</v>
      </c>
      <c r="F1645" s="1413">
        <v>2363</v>
      </c>
      <c r="G1645" s="818" t="s">
        <v>2126</v>
      </c>
      <c r="H1645" s="2158"/>
      <c r="I1645" s="2158">
        <v>53436.915000000001</v>
      </c>
      <c r="J1645" s="1684" t="s">
        <v>1134</v>
      </c>
      <c r="K1645" s="2360"/>
      <c r="L1645" s="2158"/>
      <c r="M1645" s="2158">
        <v>47702</v>
      </c>
      <c r="N1645" s="305"/>
      <c r="O1645" s="187"/>
      <c r="P1645" s="187"/>
      <c r="Q1645" s="187"/>
      <c r="R1645" s="187"/>
      <c r="S1645" s="187"/>
      <c r="T1645" s="187"/>
      <c r="U1645" s="187"/>
      <c r="V1645" s="187"/>
    </row>
    <row r="1646" spans="1:22" ht="11.4" customHeight="1">
      <c r="A1646" s="683"/>
      <c r="B1646" s="3129" t="s">
        <v>326</v>
      </c>
      <c r="C1646" s="683" t="s">
        <v>322</v>
      </c>
      <c r="D1646" s="719" t="s">
        <v>1980</v>
      </c>
      <c r="E1646" s="1406" t="s">
        <v>1956</v>
      </c>
      <c r="F1646" s="721">
        <v>3261</v>
      </c>
      <c r="G1646" s="865" t="s">
        <v>1292</v>
      </c>
      <c r="H1646" s="837">
        <v>40698</v>
      </c>
      <c r="I1646" s="837"/>
      <c r="J1646" s="1494">
        <v>6607.94</v>
      </c>
      <c r="K1646" s="688"/>
      <c r="L1646" s="837">
        <v>16870</v>
      </c>
      <c r="M1646" s="837"/>
      <c r="N1646" s="305"/>
    </row>
    <row r="1647" spans="1:22" ht="11.4" customHeight="1">
      <c r="A1647" s="663"/>
      <c r="B1647" s="3130" t="s">
        <v>326</v>
      </c>
      <c r="C1647" s="663" t="s">
        <v>322</v>
      </c>
      <c r="D1647" s="678" t="s">
        <v>1980</v>
      </c>
      <c r="E1647" s="1407" t="s">
        <v>1956</v>
      </c>
      <c r="F1647" s="725">
        <v>3261</v>
      </c>
      <c r="G1647" s="665" t="s">
        <v>2878</v>
      </c>
      <c r="H1647" s="676"/>
      <c r="I1647" s="676">
        <v>11656.99643021691</v>
      </c>
      <c r="J1647" s="1494" t="s">
        <v>1134</v>
      </c>
      <c r="K1647" s="680"/>
      <c r="L1647" s="676"/>
      <c r="M1647" s="3125">
        <v>11247</v>
      </c>
      <c r="N1647" s="305"/>
    </row>
    <row r="1648" spans="1:22" ht="11.4" customHeight="1">
      <c r="A1648" s="663"/>
      <c r="B1648" s="3130" t="s">
        <v>326</v>
      </c>
      <c r="C1648" s="663" t="s">
        <v>322</v>
      </c>
      <c r="D1648" s="678" t="s">
        <v>1980</v>
      </c>
      <c r="E1648" s="1407" t="s">
        <v>1956</v>
      </c>
      <c r="F1648" s="725">
        <v>3261</v>
      </c>
      <c r="G1648" s="665" t="s">
        <v>2877</v>
      </c>
      <c r="H1648" s="676"/>
      <c r="I1648" s="676">
        <v>5827.998215108455</v>
      </c>
      <c r="J1648" s="1494" t="s">
        <v>1134</v>
      </c>
      <c r="K1648" s="680"/>
      <c r="L1648" s="676"/>
      <c r="M1648" s="3125">
        <v>5623</v>
      </c>
      <c r="N1648" s="305"/>
    </row>
    <row r="1649" spans="1:14" ht="20.399999999999999">
      <c r="A1649" s="663"/>
      <c r="B1649" s="3130" t="s">
        <v>326</v>
      </c>
      <c r="C1649" s="663" t="s">
        <v>322</v>
      </c>
      <c r="D1649" s="678" t="s">
        <v>1980</v>
      </c>
      <c r="E1649" s="1407" t="s">
        <v>1956</v>
      </c>
      <c r="F1649" s="725">
        <v>3261</v>
      </c>
      <c r="G1649" s="665" t="s">
        <v>2973</v>
      </c>
      <c r="H1649" s="676"/>
      <c r="I1649" s="676">
        <v>-7573</v>
      </c>
      <c r="J1649" s="1494" t="s">
        <v>1134</v>
      </c>
      <c r="K1649" s="680"/>
      <c r="L1649" s="676"/>
      <c r="M1649" s="676"/>
      <c r="N1649" s="1466"/>
    </row>
    <row r="1650" spans="1:14" ht="11.4" customHeight="1">
      <c r="A1650" s="663"/>
      <c r="B1650" s="3130" t="s">
        <v>326</v>
      </c>
      <c r="C1650" s="663" t="s">
        <v>322</v>
      </c>
      <c r="D1650" s="678" t="s">
        <v>1980</v>
      </c>
      <c r="E1650" s="1407" t="s">
        <v>1956</v>
      </c>
      <c r="F1650" s="725">
        <v>3261</v>
      </c>
      <c r="G1650" s="665" t="s">
        <v>4795</v>
      </c>
      <c r="H1650" s="676"/>
      <c r="I1650" s="676">
        <v>30436</v>
      </c>
      <c r="J1650" s="1494" t="s">
        <v>1134</v>
      </c>
      <c r="K1650" s="680"/>
      <c r="L1650" s="676"/>
      <c r="M1650" s="676"/>
      <c r="N1650" s="1466"/>
    </row>
    <row r="1651" spans="1:14" ht="20.399999999999999">
      <c r="A1651" s="663"/>
      <c r="B1651" s="3130" t="s">
        <v>326</v>
      </c>
      <c r="C1651" s="663" t="s">
        <v>322</v>
      </c>
      <c r="D1651" s="678" t="s">
        <v>1980</v>
      </c>
      <c r="E1651" s="1407" t="s">
        <v>1956</v>
      </c>
      <c r="F1651" s="725">
        <v>3261</v>
      </c>
      <c r="G1651" s="665" t="s">
        <v>4796</v>
      </c>
      <c r="H1651" s="676"/>
      <c r="I1651" s="676">
        <v>350</v>
      </c>
      <c r="J1651" s="1494" t="s">
        <v>1134</v>
      </c>
      <c r="K1651" s="680"/>
      <c r="L1651" s="676"/>
      <c r="M1651" s="676"/>
      <c r="N1651" s="2018"/>
    </row>
    <row r="1652" spans="1:14" ht="11.4" customHeight="1">
      <c r="A1652" s="683"/>
      <c r="B1652" s="3129" t="s">
        <v>436</v>
      </c>
      <c r="C1652" s="683" t="s">
        <v>427</v>
      </c>
      <c r="D1652" s="719" t="s">
        <v>1980</v>
      </c>
      <c r="E1652" s="742" t="s">
        <v>1925</v>
      </c>
      <c r="F1652" s="824">
        <v>1119</v>
      </c>
      <c r="G1652" s="800" t="s">
        <v>235</v>
      </c>
      <c r="H1652" s="893">
        <v>1004565.36</v>
      </c>
      <c r="I1652" s="893"/>
      <c r="J1652" s="1654">
        <v>776455</v>
      </c>
      <c r="K1652" s="1251"/>
      <c r="L1652" s="893">
        <v>1033659.0240000003</v>
      </c>
      <c r="M1652" s="893"/>
      <c r="N1652" s="57"/>
    </row>
    <row r="1653" spans="1:14">
      <c r="A1653" s="663"/>
      <c r="B1653" s="3130" t="s">
        <v>436</v>
      </c>
      <c r="C1653" s="663" t="s">
        <v>427</v>
      </c>
      <c r="D1653" s="678" t="s">
        <v>1980</v>
      </c>
      <c r="E1653" s="2515" t="s">
        <v>1925</v>
      </c>
      <c r="F1653" s="795">
        <v>1119</v>
      </c>
      <c r="G1653" s="812" t="s">
        <v>436</v>
      </c>
      <c r="H1653" s="752"/>
      <c r="I1653" s="752">
        <v>992115.35999999987</v>
      </c>
      <c r="J1653" s="1654" t="s">
        <v>1134</v>
      </c>
      <c r="K1653" s="1252"/>
      <c r="L1653" s="752"/>
      <c r="M1653" s="752">
        <v>1033659.0240000003</v>
      </c>
      <c r="N1653" s="381"/>
    </row>
    <row r="1654" spans="1:14" ht="40.799999999999997">
      <c r="A1654" s="1263"/>
      <c r="B1654" s="3130" t="s">
        <v>436</v>
      </c>
      <c r="C1654" s="663" t="s">
        <v>427</v>
      </c>
      <c r="D1654" s="678" t="s">
        <v>1980</v>
      </c>
      <c r="E1654" s="2515" t="s">
        <v>1925</v>
      </c>
      <c r="F1654" s="795">
        <v>1119</v>
      </c>
      <c r="G1654" s="2245" t="s">
        <v>2984</v>
      </c>
      <c r="H1654" s="2516"/>
      <c r="I1654" s="2516">
        <v>26250</v>
      </c>
      <c r="J1654" s="1654" t="s">
        <v>1134</v>
      </c>
      <c r="K1654" s="2517"/>
      <c r="L1654" s="2516"/>
      <c r="M1654" s="2516"/>
      <c r="N1654" s="57"/>
    </row>
    <row r="1655" spans="1:14" ht="20.399999999999999">
      <c r="A1655" s="663"/>
      <c r="B1655" s="3130" t="s">
        <v>436</v>
      </c>
      <c r="C1655" s="663" t="s">
        <v>427</v>
      </c>
      <c r="D1655" s="678" t="s">
        <v>1980</v>
      </c>
      <c r="E1655" s="2515" t="s">
        <v>1925</v>
      </c>
      <c r="F1655" s="795">
        <v>1119</v>
      </c>
      <c r="G1655" s="812" t="s">
        <v>3277</v>
      </c>
      <c r="H1655" s="752"/>
      <c r="I1655" s="752">
        <v>-12800</v>
      </c>
      <c r="J1655" s="1654" t="s">
        <v>1134</v>
      </c>
      <c r="K1655" s="1252"/>
      <c r="L1655" s="752"/>
      <c r="M1655" s="752"/>
      <c r="N1655" s="305"/>
    </row>
    <row r="1656" spans="1:14" ht="20.399999999999999">
      <c r="A1656" s="663"/>
      <c r="B1656" s="3130" t="s">
        <v>436</v>
      </c>
      <c r="C1656" s="663" t="s">
        <v>427</v>
      </c>
      <c r="D1656" s="678" t="s">
        <v>1980</v>
      </c>
      <c r="E1656" s="700" t="s">
        <v>1925</v>
      </c>
      <c r="F1656" s="795">
        <v>1119</v>
      </c>
      <c r="G1656" s="812" t="s">
        <v>3409</v>
      </c>
      <c r="H1656" s="752"/>
      <c r="I1656" s="752">
        <v>-1000</v>
      </c>
      <c r="J1656" s="1654" t="s">
        <v>1134</v>
      </c>
      <c r="K1656" s="1252"/>
      <c r="L1656" s="752"/>
      <c r="M1656" s="752"/>
      <c r="N1656" s="57"/>
    </row>
    <row r="1657" spans="1:14">
      <c r="A1657" s="683"/>
      <c r="B1657" s="3129" t="s">
        <v>326</v>
      </c>
      <c r="C1657" s="683" t="s">
        <v>321</v>
      </c>
      <c r="D1657" s="719" t="s">
        <v>1980</v>
      </c>
      <c r="E1657" s="742" t="s">
        <v>1926</v>
      </c>
      <c r="F1657" s="824">
        <v>1119</v>
      </c>
      <c r="G1657" s="800" t="s">
        <v>226</v>
      </c>
      <c r="H1657" s="2518">
        <v>281638</v>
      </c>
      <c r="I1657" s="893"/>
      <c r="J1657" s="1654">
        <v>174843.68</v>
      </c>
      <c r="K1657" s="1251"/>
      <c r="L1657" s="2518">
        <v>305708.88</v>
      </c>
      <c r="M1657" s="893"/>
      <c r="N1657" s="2018"/>
    </row>
    <row r="1658" spans="1:14">
      <c r="A1658" s="663"/>
      <c r="B1658" s="3130" t="s">
        <v>326</v>
      </c>
      <c r="C1658" s="663" t="s">
        <v>321</v>
      </c>
      <c r="D1658" s="678" t="s">
        <v>1980</v>
      </c>
      <c r="E1658" s="700" t="s">
        <v>1926</v>
      </c>
      <c r="F1658" s="795">
        <v>1119</v>
      </c>
      <c r="G1658" s="812" t="s">
        <v>645</v>
      </c>
      <c r="H1658" s="752"/>
      <c r="I1658" s="752">
        <v>600</v>
      </c>
      <c r="J1658" s="1654" t="s">
        <v>1134</v>
      </c>
      <c r="K1658" s="1252"/>
      <c r="L1658" s="752"/>
      <c r="M1658" s="752">
        <v>2721</v>
      </c>
      <c r="N1658" s="305"/>
    </row>
    <row r="1659" spans="1:14">
      <c r="A1659" s="663"/>
      <c r="B1659" s="3130" t="s">
        <v>326</v>
      </c>
      <c r="C1659" s="663" t="s">
        <v>321</v>
      </c>
      <c r="D1659" s="678" t="s">
        <v>1980</v>
      </c>
      <c r="E1659" s="700" t="s">
        <v>1926</v>
      </c>
      <c r="F1659" s="795">
        <v>1119</v>
      </c>
      <c r="G1659" s="812" t="s">
        <v>748</v>
      </c>
      <c r="H1659" s="752"/>
      <c r="I1659" s="752">
        <v>260357.44</v>
      </c>
      <c r="J1659" s="1654" t="s">
        <v>1134</v>
      </c>
      <c r="K1659" s="1252"/>
      <c r="L1659" s="752"/>
      <c r="M1659" s="752">
        <v>302987.88</v>
      </c>
      <c r="N1659" s="305"/>
    </row>
    <row r="1660" spans="1:14">
      <c r="A1660" s="663"/>
      <c r="B1660" s="3130" t="s">
        <v>326</v>
      </c>
      <c r="C1660" s="663" t="s">
        <v>321</v>
      </c>
      <c r="D1660" s="678" t="s">
        <v>1980</v>
      </c>
      <c r="E1660" s="700" t="s">
        <v>1926</v>
      </c>
      <c r="F1660" s="795">
        <v>1119</v>
      </c>
      <c r="G1660" s="812" t="s">
        <v>2874</v>
      </c>
      <c r="H1660" s="752"/>
      <c r="I1660" s="752">
        <v>26448.559999999998</v>
      </c>
      <c r="J1660" s="1654" t="s">
        <v>1134</v>
      </c>
      <c r="K1660" s="1252"/>
      <c r="L1660" s="752"/>
      <c r="M1660" s="2519"/>
      <c r="N1660" s="381"/>
    </row>
    <row r="1661" spans="1:14">
      <c r="A1661" s="663"/>
      <c r="B1661" s="3130" t="s">
        <v>326</v>
      </c>
      <c r="C1661" s="663" t="s">
        <v>321</v>
      </c>
      <c r="D1661" s="678" t="s">
        <v>1980</v>
      </c>
      <c r="E1661" s="700" t="s">
        <v>1926</v>
      </c>
      <c r="F1661" s="795">
        <v>1119</v>
      </c>
      <c r="G1661" s="812" t="s">
        <v>721</v>
      </c>
      <c r="H1661" s="752"/>
      <c r="I1661" s="752"/>
      <c r="J1661" s="1654" t="s">
        <v>1134</v>
      </c>
      <c r="K1661" s="1252"/>
      <c r="L1661" s="752"/>
      <c r="M1661" s="752"/>
      <c r="N1661" s="2522"/>
    </row>
    <row r="1662" spans="1:14">
      <c r="A1662" s="663"/>
      <c r="B1662" s="3130" t="s">
        <v>326</v>
      </c>
      <c r="C1662" s="663" t="s">
        <v>321</v>
      </c>
      <c r="D1662" s="678" t="s">
        <v>1980</v>
      </c>
      <c r="E1662" s="700" t="s">
        <v>1926</v>
      </c>
      <c r="F1662" s="795">
        <v>1119</v>
      </c>
      <c r="G1662" s="812" t="s">
        <v>3412</v>
      </c>
      <c r="H1662" s="752"/>
      <c r="I1662" s="752">
        <v>-1768</v>
      </c>
      <c r="J1662" s="1654" t="s">
        <v>1134</v>
      </c>
      <c r="K1662" s="1252"/>
      <c r="L1662" s="752"/>
      <c r="M1662" s="752"/>
      <c r="N1662" s="2522"/>
    </row>
    <row r="1663" spans="1:14" ht="20.399999999999999">
      <c r="A1663" s="663"/>
      <c r="B1663" s="3130" t="s">
        <v>326</v>
      </c>
      <c r="C1663" s="663" t="s">
        <v>321</v>
      </c>
      <c r="D1663" s="678" t="s">
        <v>1980</v>
      </c>
      <c r="E1663" s="700" t="s">
        <v>1926</v>
      </c>
      <c r="F1663" s="795">
        <v>1119</v>
      </c>
      <c r="G1663" s="1553" t="s">
        <v>3413</v>
      </c>
      <c r="H1663" s="752"/>
      <c r="I1663" s="752">
        <v>-2000</v>
      </c>
      <c r="J1663" s="1654" t="s">
        <v>1134</v>
      </c>
      <c r="K1663" s="1252"/>
      <c r="L1663" s="752"/>
      <c r="M1663" s="752"/>
      <c r="N1663" s="2522"/>
    </row>
    <row r="1664" spans="1:14" ht="20.399999999999999">
      <c r="A1664" s="663"/>
      <c r="B1664" s="3130" t="s">
        <v>326</v>
      </c>
      <c r="C1664" s="663" t="s">
        <v>321</v>
      </c>
      <c r="D1664" s="678" t="s">
        <v>1980</v>
      </c>
      <c r="E1664" s="700" t="s">
        <v>1926</v>
      </c>
      <c r="F1664" s="795">
        <v>1119</v>
      </c>
      <c r="G1664" s="1553" t="s">
        <v>3064</v>
      </c>
      <c r="H1664" s="752"/>
      <c r="I1664" s="752">
        <v>-1000</v>
      </c>
      <c r="J1664" s="1654" t="s">
        <v>1134</v>
      </c>
      <c r="K1664" s="1252"/>
      <c r="L1664" s="752"/>
      <c r="M1664" s="752"/>
      <c r="N1664" s="57"/>
    </row>
    <row r="1665" spans="1:14" ht="11.4" customHeight="1">
      <c r="A1665" s="663"/>
      <c r="B1665" s="3130" t="s">
        <v>326</v>
      </c>
      <c r="C1665" s="663" t="s">
        <v>321</v>
      </c>
      <c r="D1665" s="678" t="s">
        <v>1980</v>
      </c>
      <c r="E1665" s="700" t="s">
        <v>1926</v>
      </c>
      <c r="F1665" s="795">
        <v>1119</v>
      </c>
      <c r="G1665" s="1553" t="s">
        <v>3294</v>
      </c>
      <c r="H1665" s="752"/>
      <c r="I1665" s="752">
        <v>-1000</v>
      </c>
      <c r="J1665" s="1654" t="s">
        <v>1134</v>
      </c>
      <c r="K1665" s="1252"/>
      <c r="L1665" s="752"/>
      <c r="M1665" s="752"/>
      <c r="N1665" s="57"/>
    </row>
    <row r="1666" spans="1:14" ht="11.4" customHeight="1">
      <c r="A1666" s="683"/>
      <c r="B1666" s="3129" t="s">
        <v>326</v>
      </c>
      <c r="C1666" s="683" t="s">
        <v>321</v>
      </c>
      <c r="D1666" s="719" t="s">
        <v>1980</v>
      </c>
      <c r="E1666" s="720" t="s">
        <v>1926</v>
      </c>
      <c r="F1666" s="824">
        <v>1146</v>
      </c>
      <c r="G1666" s="800"/>
      <c r="H1666" s="2518">
        <v>1000</v>
      </c>
      <c r="I1666" s="893"/>
      <c r="J1666" s="1654">
        <v>0</v>
      </c>
      <c r="K1666" s="1252"/>
      <c r="L1666" s="2518">
        <v>0</v>
      </c>
      <c r="M1666" s="893"/>
      <c r="N1666" s="57"/>
    </row>
    <row r="1667" spans="1:14" ht="11.4" customHeight="1">
      <c r="A1667" s="663"/>
      <c r="B1667" s="3130" t="s">
        <v>326</v>
      </c>
      <c r="C1667" s="663" t="s">
        <v>321</v>
      </c>
      <c r="D1667" s="678" t="s">
        <v>1980</v>
      </c>
      <c r="E1667" s="700" t="s">
        <v>1926</v>
      </c>
      <c r="F1667" s="795">
        <v>1146</v>
      </c>
      <c r="G1667" s="812" t="s">
        <v>748</v>
      </c>
      <c r="H1667" s="752"/>
      <c r="I1667" s="752">
        <v>3000</v>
      </c>
      <c r="J1667" s="1654" t="s">
        <v>1134</v>
      </c>
      <c r="K1667" s="1252"/>
      <c r="L1667" s="752"/>
      <c r="M1667" s="752">
        <v>0</v>
      </c>
      <c r="N1667" s="57"/>
    </row>
    <row r="1668" spans="1:14" ht="20.399999999999999">
      <c r="A1668" s="663"/>
      <c r="B1668" s="3130" t="s">
        <v>326</v>
      </c>
      <c r="C1668" s="663" t="s">
        <v>321</v>
      </c>
      <c r="D1668" s="678" t="s">
        <v>1980</v>
      </c>
      <c r="E1668" s="700" t="s">
        <v>1926</v>
      </c>
      <c r="F1668" s="795">
        <v>1146</v>
      </c>
      <c r="G1668" s="812" t="s">
        <v>3093</v>
      </c>
      <c r="H1668" s="752"/>
      <c r="I1668" s="752">
        <v>-2000</v>
      </c>
      <c r="J1668" s="1654" t="s">
        <v>1134</v>
      </c>
      <c r="K1668" s="1252"/>
      <c r="L1668" s="752"/>
      <c r="M1668" s="752"/>
      <c r="N1668" s="2018"/>
    </row>
    <row r="1669" spans="1:14">
      <c r="A1669" s="683"/>
      <c r="B1669" s="3129" t="s">
        <v>326</v>
      </c>
      <c r="C1669" s="683" t="s">
        <v>321</v>
      </c>
      <c r="D1669" s="719" t="s">
        <v>1980</v>
      </c>
      <c r="E1669" s="720" t="s">
        <v>1926</v>
      </c>
      <c r="F1669" s="824">
        <v>1147</v>
      </c>
      <c r="G1669" s="800" t="s">
        <v>582</v>
      </c>
      <c r="H1669" s="2518">
        <v>6000</v>
      </c>
      <c r="I1669" s="893"/>
      <c r="J1669" s="1654">
        <v>3868.76</v>
      </c>
      <c r="K1669" s="1252"/>
      <c r="L1669" s="2518">
        <v>5000</v>
      </c>
      <c r="M1669" s="893"/>
      <c r="N1669" s="381"/>
    </row>
    <row r="1670" spans="1:14" ht="11.4" customHeight="1">
      <c r="A1670" s="663"/>
      <c r="B1670" s="3130" t="s">
        <v>326</v>
      </c>
      <c r="C1670" s="663" t="s">
        <v>321</v>
      </c>
      <c r="D1670" s="678" t="s">
        <v>1980</v>
      </c>
      <c r="E1670" s="700" t="s">
        <v>1926</v>
      </c>
      <c r="F1670" s="795">
        <v>1147</v>
      </c>
      <c r="G1670" s="812" t="s">
        <v>748</v>
      </c>
      <c r="H1670" s="752"/>
      <c r="I1670" s="752">
        <v>2000</v>
      </c>
      <c r="J1670" s="1654" t="s">
        <v>1134</v>
      </c>
      <c r="K1670" s="1252"/>
      <c r="L1670" s="752"/>
      <c r="M1670" s="752">
        <v>5000</v>
      </c>
      <c r="N1670" s="57"/>
    </row>
    <row r="1671" spans="1:14" ht="11.4" customHeight="1">
      <c r="A1671" s="663"/>
      <c r="B1671" s="3130" t="s">
        <v>326</v>
      </c>
      <c r="C1671" s="663" t="s">
        <v>321</v>
      </c>
      <c r="D1671" s="678" t="s">
        <v>1980</v>
      </c>
      <c r="E1671" s="700" t="s">
        <v>1926</v>
      </c>
      <c r="F1671" s="795">
        <v>1147</v>
      </c>
      <c r="G1671" s="812" t="s">
        <v>3093</v>
      </c>
      <c r="H1671" s="752"/>
      <c r="I1671" s="752">
        <v>2000</v>
      </c>
      <c r="J1671" s="1654" t="s">
        <v>1134</v>
      </c>
      <c r="K1671" s="1252"/>
      <c r="L1671" s="752"/>
      <c r="M1671" s="752"/>
      <c r="N1671" s="57"/>
    </row>
    <row r="1672" spans="1:14" ht="20.399999999999999">
      <c r="A1672" s="663"/>
      <c r="B1672" s="3130" t="s">
        <v>326</v>
      </c>
      <c r="C1672" s="663" t="s">
        <v>321</v>
      </c>
      <c r="D1672" s="678" t="s">
        <v>1980</v>
      </c>
      <c r="E1672" s="700" t="s">
        <v>1926</v>
      </c>
      <c r="F1672" s="795">
        <v>1147</v>
      </c>
      <c r="G1672" s="812" t="s">
        <v>3413</v>
      </c>
      <c r="H1672" s="752"/>
      <c r="I1672" s="752">
        <v>2000</v>
      </c>
      <c r="J1672" s="1654" t="s">
        <v>1134</v>
      </c>
      <c r="K1672" s="1252"/>
      <c r="L1672" s="752"/>
      <c r="M1672" s="752"/>
      <c r="N1672" s="1466"/>
    </row>
    <row r="1673" spans="1:14">
      <c r="A1673" s="683"/>
      <c r="B1673" s="3129" t="s">
        <v>436</v>
      </c>
      <c r="C1673" s="683" t="s">
        <v>427</v>
      </c>
      <c r="D1673" s="823" t="s">
        <v>1980</v>
      </c>
      <c r="E1673" s="720" t="s">
        <v>1925</v>
      </c>
      <c r="F1673" s="824">
        <v>1141</v>
      </c>
      <c r="G1673" s="800" t="s">
        <v>149</v>
      </c>
      <c r="H1673" s="893">
        <v>0</v>
      </c>
      <c r="I1673" s="893"/>
      <c r="J1673" s="1654" t="s">
        <v>1134</v>
      </c>
      <c r="K1673" s="1252"/>
      <c r="L1673" s="893">
        <v>0</v>
      </c>
      <c r="M1673" s="893"/>
      <c r="N1673" s="1466"/>
    </row>
    <row r="1674" spans="1:14" s="16" customFormat="1" ht="11.4" customHeight="1">
      <c r="A1674" s="663"/>
      <c r="B1674" s="3130" t="s">
        <v>436</v>
      </c>
      <c r="C1674" s="663" t="s">
        <v>427</v>
      </c>
      <c r="D1674" s="794" t="s">
        <v>1980</v>
      </c>
      <c r="E1674" s="700" t="s">
        <v>1925</v>
      </c>
      <c r="F1674" s="795">
        <v>1141</v>
      </c>
      <c r="G1674" s="812" t="s">
        <v>436</v>
      </c>
      <c r="H1674" s="752"/>
      <c r="I1674" s="752"/>
      <c r="J1674" s="1654" t="s">
        <v>1134</v>
      </c>
      <c r="K1674" s="1252"/>
      <c r="L1674" s="752"/>
      <c r="M1674" s="752"/>
      <c r="N1674" s="1466"/>
    </row>
    <row r="1675" spans="1:14" ht="11.4" customHeight="1">
      <c r="A1675" s="683"/>
      <c r="B1675" s="3129" t="s">
        <v>436</v>
      </c>
      <c r="C1675" s="683" t="s">
        <v>427</v>
      </c>
      <c r="D1675" s="823" t="s">
        <v>1980</v>
      </c>
      <c r="E1675" s="720" t="s">
        <v>1925</v>
      </c>
      <c r="F1675" s="824">
        <v>1142</v>
      </c>
      <c r="G1675" s="800" t="s">
        <v>110</v>
      </c>
      <c r="H1675" s="893">
        <v>0</v>
      </c>
      <c r="I1675" s="893"/>
      <c r="J1675" s="1654" t="s">
        <v>1134</v>
      </c>
      <c r="K1675" s="1252"/>
      <c r="L1675" s="893">
        <v>0</v>
      </c>
      <c r="M1675" s="893"/>
      <c r="N1675" s="1466"/>
    </row>
    <row r="1676" spans="1:14" ht="11.4" customHeight="1">
      <c r="A1676" s="663"/>
      <c r="B1676" s="3130" t="s">
        <v>436</v>
      </c>
      <c r="C1676" s="663" t="s">
        <v>427</v>
      </c>
      <c r="D1676" s="794" t="s">
        <v>1980</v>
      </c>
      <c r="E1676" s="700" t="s">
        <v>1925</v>
      </c>
      <c r="F1676" s="795">
        <v>1142</v>
      </c>
      <c r="G1676" s="812" t="s">
        <v>436</v>
      </c>
      <c r="H1676" s="752"/>
      <c r="I1676" s="752"/>
      <c r="J1676" s="1654" t="s">
        <v>1134</v>
      </c>
      <c r="K1676" s="1252"/>
      <c r="L1676" s="752"/>
      <c r="M1676" s="752"/>
      <c r="N1676" s="1466"/>
    </row>
    <row r="1677" spans="1:14" ht="11.4" customHeight="1">
      <c r="A1677" s="683"/>
      <c r="B1677" s="3129" t="s">
        <v>436</v>
      </c>
      <c r="C1677" s="683" t="s">
        <v>427</v>
      </c>
      <c r="D1677" s="823" t="s">
        <v>1980</v>
      </c>
      <c r="E1677" s="720" t="s">
        <v>1925</v>
      </c>
      <c r="F1677" s="824">
        <v>1146</v>
      </c>
      <c r="G1677" s="800" t="s">
        <v>367</v>
      </c>
      <c r="H1677" s="893">
        <v>2000</v>
      </c>
      <c r="I1677" s="893"/>
      <c r="J1677" s="1654">
        <v>0</v>
      </c>
      <c r="K1677" s="1252"/>
      <c r="L1677" s="893">
        <v>2000</v>
      </c>
      <c r="M1677" s="893"/>
      <c r="N1677" s="2018"/>
    </row>
    <row r="1678" spans="1:14">
      <c r="A1678" s="663"/>
      <c r="B1678" s="3130" t="s">
        <v>436</v>
      </c>
      <c r="C1678" s="663" t="s">
        <v>427</v>
      </c>
      <c r="D1678" s="794" t="s">
        <v>1980</v>
      </c>
      <c r="E1678" s="700" t="s">
        <v>1925</v>
      </c>
      <c r="F1678" s="795">
        <v>1146</v>
      </c>
      <c r="G1678" s="812" t="s">
        <v>436</v>
      </c>
      <c r="H1678" s="752"/>
      <c r="I1678" s="752">
        <v>2000</v>
      </c>
      <c r="J1678" s="1654" t="s">
        <v>1134</v>
      </c>
      <c r="K1678" s="1252"/>
      <c r="L1678" s="752"/>
      <c r="M1678" s="752">
        <v>2000</v>
      </c>
      <c r="N1678" s="57"/>
    </row>
    <row r="1679" spans="1:14">
      <c r="A1679" s="683"/>
      <c r="B1679" s="3129" t="s">
        <v>436</v>
      </c>
      <c r="C1679" s="683" t="s">
        <v>427</v>
      </c>
      <c r="D1679" s="823" t="s">
        <v>1980</v>
      </c>
      <c r="E1679" s="720" t="s">
        <v>1925</v>
      </c>
      <c r="F1679" s="824">
        <v>1147</v>
      </c>
      <c r="G1679" s="800" t="s">
        <v>367</v>
      </c>
      <c r="H1679" s="893">
        <v>108072</v>
      </c>
      <c r="I1679" s="893"/>
      <c r="J1679" s="1654">
        <v>67806</v>
      </c>
      <c r="K1679" s="1252"/>
      <c r="L1679" s="893">
        <v>148617.60374000005</v>
      </c>
      <c r="M1679" s="893"/>
      <c r="N1679" s="57"/>
    </row>
    <row r="1680" spans="1:14">
      <c r="A1680" s="663"/>
      <c r="B1680" s="3130" t="s">
        <v>436</v>
      </c>
      <c r="C1680" s="663" t="s">
        <v>427</v>
      </c>
      <c r="D1680" s="794" t="s">
        <v>1980</v>
      </c>
      <c r="E1680" s="700" t="s">
        <v>1925</v>
      </c>
      <c r="F1680" s="795">
        <v>1147</v>
      </c>
      <c r="G1680" s="812" t="s">
        <v>436</v>
      </c>
      <c r="H1680" s="752"/>
      <c r="I1680" s="752">
        <v>92310.46000000005</v>
      </c>
      <c r="J1680" s="1654" t="s">
        <v>1134</v>
      </c>
      <c r="K1680" s="1252"/>
      <c r="L1680" s="752"/>
      <c r="M1680" s="752">
        <v>93104.155700000018</v>
      </c>
      <c r="N1680" s="17"/>
    </row>
    <row r="1681" spans="1:14" ht="20.399999999999999">
      <c r="A1681" s="663"/>
      <c r="B1681" s="3130" t="s">
        <v>436</v>
      </c>
      <c r="C1681" s="663" t="s">
        <v>427</v>
      </c>
      <c r="D1681" s="678" t="s">
        <v>1980</v>
      </c>
      <c r="E1681" s="700" t="s">
        <v>1925</v>
      </c>
      <c r="F1681" s="795">
        <v>1147</v>
      </c>
      <c r="G1681" s="812" t="s">
        <v>4709</v>
      </c>
      <c r="H1681" s="752"/>
      <c r="I1681" s="752">
        <v>37762.411535999978</v>
      </c>
      <c r="J1681" s="1654" t="s">
        <v>1134</v>
      </c>
      <c r="K1681" s="1252"/>
      <c r="L1681" s="752"/>
      <c r="M1681" s="752">
        <v>55513.448040000032</v>
      </c>
      <c r="N1681" s="17" t="s">
        <v>3962</v>
      </c>
    </row>
    <row r="1682" spans="1:14" ht="22.5" customHeight="1">
      <c r="A1682" s="2168"/>
      <c r="B1682" s="3130" t="s">
        <v>436</v>
      </c>
      <c r="C1682" s="663" t="s">
        <v>427</v>
      </c>
      <c r="D1682" s="678" t="s">
        <v>1980</v>
      </c>
      <c r="E1682" s="700" t="s">
        <v>1925</v>
      </c>
      <c r="F1682" s="795">
        <v>1147</v>
      </c>
      <c r="G1682" s="2182" t="s">
        <v>3293</v>
      </c>
      <c r="H1682" s="2520"/>
      <c r="I1682" s="2520">
        <v>-4000</v>
      </c>
      <c r="J1682" s="2191"/>
      <c r="K1682" s="2521"/>
      <c r="L1682" s="2520"/>
      <c r="M1682" s="2520"/>
      <c r="N1682" s="125"/>
    </row>
    <row r="1683" spans="1:14" ht="20.399999999999999">
      <c r="A1683" s="663"/>
      <c r="B1683" s="3130" t="s">
        <v>436</v>
      </c>
      <c r="C1683" s="663" t="s">
        <v>427</v>
      </c>
      <c r="D1683" s="678" t="s">
        <v>1980</v>
      </c>
      <c r="E1683" s="700" t="s">
        <v>1925</v>
      </c>
      <c r="F1683" s="795">
        <v>1147</v>
      </c>
      <c r="G1683" s="812" t="s">
        <v>3406</v>
      </c>
      <c r="H1683" s="752"/>
      <c r="I1683" s="752">
        <v>-3000</v>
      </c>
      <c r="J1683" s="1654" t="s">
        <v>1134</v>
      </c>
      <c r="K1683" s="1252"/>
      <c r="L1683" s="752"/>
      <c r="M1683" s="752"/>
      <c r="N1683" s="57"/>
    </row>
    <row r="1684" spans="1:14" ht="22.5" customHeight="1">
      <c r="A1684" s="663"/>
      <c r="B1684" s="3130" t="s">
        <v>436</v>
      </c>
      <c r="C1684" s="663" t="s">
        <v>427</v>
      </c>
      <c r="D1684" s="678" t="s">
        <v>1980</v>
      </c>
      <c r="E1684" s="700" t="s">
        <v>1925</v>
      </c>
      <c r="F1684" s="795">
        <v>1147</v>
      </c>
      <c r="G1684" s="812" t="s">
        <v>3408</v>
      </c>
      <c r="H1684" s="752"/>
      <c r="I1684" s="752">
        <v>-15000</v>
      </c>
      <c r="J1684" s="1654" t="s">
        <v>1134</v>
      </c>
      <c r="K1684" s="1252"/>
      <c r="L1684" s="752"/>
      <c r="M1684" s="752"/>
      <c r="N1684" s="305"/>
    </row>
    <row r="1685" spans="1:14">
      <c r="A1685" s="683"/>
      <c r="B1685" s="3129" t="s">
        <v>326</v>
      </c>
      <c r="C1685" s="683" t="s">
        <v>321</v>
      </c>
      <c r="D1685" s="719" t="s">
        <v>1980</v>
      </c>
      <c r="E1685" s="720" t="s">
        <v>1926</v>
      </c>
      <c r="F1685" s="824">
        <v>1148</v>
      </c>
      <c r="G1685" s="800" t="s">
        <v>112</v>
      </c>
      <c r="H1685" s="2518">
        <v>1000</v>
      </c>
      <c r="I1685" s="893"/>
      <c r="J1685" s="1654" t="s">
        <v>1134</v>
      </c>
      <c r="K1685" s="1252"/>
      <c r="L1685" s="2518">
        <v>1000</v>
      </c>
      <c r="M1685" s="893"/>
      <c r="N1685" s="305"/>
    </row>
    <row r="1686" spans="1:14" ht="20.399999999999999">
      <c r="A1686" s="663"/>
      <c r="B1686" s="3130" t="s">
        <v>326</v>
      </c>
      <c r="C1686" s="663" t="s">
        <v>321</v>
      </c>
      <c r="D1686" s="678" t="s">
        <v>1980</v>
      </c>
      <c r="E1686" s="700" t="s">
        <v>1926</v>
      </c>
      <c r="F1686" s="795">
        <v>1148</v>
      </c>
      <c r="G1686" s="750" t="s">
        <v>3064</v>
      </c>
      <c r="H1686" s="752"/>
      <c r="I1686" s="752">
        <v>1000</v>
      </c>
      <c r="J1686" s="1654" t="s">
        <v>1134</v>
      </c>
      <c r="K1686" s="1252"/>
      <c r="L1686" s="752"/>
      <c r="M1686" s="752">
        <v>1000</v>
      </c>
      <c r="N1686" s="305"/>
    </row>
    <row r="1687" spans="1:14">
      <c r="A1687" s="683"/>
      <c r="B1687" s="3129" t="s">
        <v>436</v>
      </c>
      <c r="C1687" s="683" t="s">
        <v>427</v>
      </c>
      <c r="D1687" s="719" t="s">
        <v>1980</v>
      </c>
      <c r="E1687" s="720" t="s">
        <v>1925</v>
      </c>
      <c r="F1687" s="824">
        <v>1148</v>
      </c>
      <c r="G1687" s="800" t="s">
        <v>112</v>
      </c>
      <c r="H1687" s="893">
        <v>3600</v>
      </c>
      <c r="I1687" s="893"/>
      <c r="J1687" s="1654">
        <v>3266</v>
      </c>
      <c r="K1687" s="1252"/>
      <c r="L1687" s="893">
        <v>0</v>
      </c>
      <c r="M1687" s="893"/>
      <c r="N1687" s="305"/>
    </row>
    <row r="1688" spans="1:14" ht="20.399999999999999">
      <c r="A1688" s="663"/>
      <c r="B1688" s="3130" t="s">
        <v>436</v>
      </c>
      <c r="C1688" s="663" t="s">
        <v>427</v>
      </c>
      <c r="D1688" s="678" t="s">
        <v>1980</v>
      </c>
      <c r="E1688" s="700" t="s">
        <v>1925</v>
      </c>
      <c r="F1688" s="795">
        <v>1148</v>
      </c>
      <c r="G1688" s="812" t="s">
        <v>3406</v>
      </c>
      <c r="H1688" s="752"/>
      <c r="I1688" s="752">
        <v>3600</v>
      </c>
      <c r="J1688" s="1654" t="s">
        <v>1134</v>
      </c>
      <c r="K1688" s="1252"/>
      <c r="L1688" s="752"/>
      <c r="M1688" s="752"/>
      <c r="N1688" s="305" t="s">
        <v>3964</v>
      </c>
    </row>
    <row r="1689" spans="1:14">
      <c r="A1689" s="663"/>
      <c r="B1689" s="3130" t="s">
        <v>436</v>
      </c>
      <c r="C1689" s="663" t="s">
        <v>427</v>
      </c>
      <c r="D1689" s="678" t="s">
        <v>1980</v>
      </c>
      <c r="E1689" s="700" t="s">
        <v>1925</v>
      </c>
      <c r="F1689" s="795">
        <v>1148</v>
      </c>
      <c r="G1689" s="750"/>
      <c r="H1689" s="752"/>
      <c r="I1689" s="752"/>
      <c r="J1689" s="1654" t="s">
        <v>1134</v>
      </c>
      <c r="K1689" s="1252"/>
      <c r="L1689" s="752"/>
      <c r="M1689" s="752"/>
      <c r="N1689" s="381"/>
    </row>
    <row r="1690" spans="1:14">
      <c r="A1690" s="663"/>
      <c r="B1690" s="3130" t="s">
        <v>436</v>
      </c>
      <c r="C1690" s="663" t="s">
        <v>427</v>
      </c>
      <c r="D1690" s="678" t="s">
        <v>1980</v>
      </c>
      <c r="E1690" s="700" t="s">
        <v>1925</v>
      </c>
      <c r="F1690" s="795">
        <v>1148</v>
      </c>
      <c r="G1690" s="812" t="s">
        <v>152</v>
      </c>
      <c r="H1690" s="752"/>
      <c r="I1690" s="752"/>
      <c r="J1690" s="1654" t="s">
        <v>1134</v>
      </c>
      <c r="K1690" s="1252"/>
      <c r="L1690" s="752"/>
      <c r="M1690" s="752"/>
      <c r="N1690" s="2712" t="s">
        <v>4893</v>
      </c>
    </row>
    <row r="1691" spans="1:14" ht="51">
      <c r="A1691" s="683"/>
      <c r="B1691" s="3129" t="s">
        <v>772</v>
      </c>
      <c r="C1691" s="720" t="s">
        <v>322</v>
      </c>
      <c r="D1691" s="823" t="s">
        <v>1980</v>
      </c>
      <c r="E1691" s="720" t="s">
        <v>1925</v>
      </c>
      <c r="F1691" s="824">
        <v>1150</v>
      </c>
      <c r="G1691" s="800" t="s">
        <v>723</v>
      </c>
      <c r="H1691" s="893">
        <v>0</v>
      </c>
      <c r="I1691" s="893"/>
      <c r="J1691" s="1654" t="s">
        <v>1134</v>
      </c>
      <c r="K1691" s="1252"/>
      <c r="L1691" s="893">
        <v>0</v>
      </c>
      <c r="M1691" s="893"/>
      <c r="N1691" s="381" t="s">
        <v>3965</v>
      </c>
    </row>
    <row r="1692" spans="1:14" ht="20.399999999999999">
      <c r="A1692" s="663"/>
      <c r="B1692" s="3130" t="s">
        <v>772</v>
      </c>
      <c r="C1692" s="700" t="s">
        <v>322</v>
      </c>
      <c r="D1692" s="794" t="s">
        <v>1980</v>
      </c>
      <c r="E1692" s="700" t="s">
        <v>1925</v>
      </c>
      <c r="F1692" s="795">
        <v>1150</v>
      </c>
      <c r="G1692" s="812" t="s">
        <v>2007</v>
      </c>
      <c r="H1692" s="752"/>
      <c r="I1692" s="752"/>
      <c r="J1692" s="1654" t="s">
        <v>1134</v>
      </c>
      <c r="K1692" s="1252"/>
      <c r="L1692" s="752"/>
      <c r="M1692" s="752"/>
      <c r="N1692" s="381"/>
    </row>
    <row r="1693" spans="1:14">
      <c r="A1693" s="683"/>
      <c r="B1693" s="3129" t="s">
        <v>436</v>
      </c>
      <c r="C1693" s="720" t="s">
        <v>427</v>
      </c>
      <c r="D1693" s="823" t="s">
        <v>1980</v>
      </c>
      <c r="E1693" s="720" t="s">
        <v>1925</v>
      </c>
      <c r="F1693" s="824">
        <v>1210</v>
      </c>
      <c r="G1693" s="800" t="s">
        <v>113</v>
      </c>
      <c r="H1693" s="893">
        <v>279496.99187877541</v>
      </c>
      <c r="I1693" s="893"/>
      <c r="J1693" s="1654">
        <v>214045</v>
      </c>
      <c r="K1693" s="1251"/>
      <c r="L1693" s="893">
        <v>287999.72920814407</v>
      </c>
      <c r="M1693" s="893"/>
      <c r="N1693" s="57"/>
    </row>
    <row r="1694" spans="1:14">
      <c r="A1694" s="663"/>
      <c r="B1694" s="3130" t="s">
        <v>436</v>
      </c>
      <c r="C1694" s="700" t="s">
        <v>427</v>
      </c>
      <c r="D1694" s="794" t="s">
        <v>1980</v>
      </c>
      <c r="E1694" s="700" t="s">
        <v>1925</v>
      </c>
      <c r="F1694" s="795">
        <v>1210</v>
      </c>
      <c r="G1694" s="812" t="s">
        <v>436</v>
      </c>
      <c r="H1694" s="752"/>
      <c r="I1694" s="752">
        <v>273303.99187877541</v>
      </c>
      <c r="J1694" s="1654" t="s">
        <v>1134</v>
      </c>
      <c r="K1694" s="1252"/>
      <c r="L1694" s="752"/>
      <c r="M1694" s="752">
        <v>287999.72920814407</v>
      </c>
      <c r="N1694" s="305"/>
    </row>
    <row r="1695" spans="1:14" ht="40.799999999999997">
      <c r="A1695" s="1263"/>
      <c r="B1695" s="3130" t="s">
        <v>436</v>
      </c>
      <c r="C1695" s="700" t="s">
        <v>427</v>
      </c>
      <c r="D1695" s="794" t="s">
        <v>1980</v>
      </c>
      <c r="E1695" s="700" t="s">
        <v>1925</v>
      </c>
      <c r="F1695" s="795">
        <v>1210</v>
      </c>
      <c r="G1695" s="2245" t="s">
        <v>2984</v>
      </c>
      <c r="H1695" s="2516"/>
      <c r="I1695" s="2516">
        <v>6193</v>
      </c>
      <c r="J1695" s="1654" t="s">
        <v>1134</v>
      </c>
      <c r="K1695" s="2517"/>
      <c r="L1695" s="2516"/>
      <c r="M1695" s="2516"/>
      <c r="N1695" s="305"/>
    </row>
    <row r="1696" spans="1:14">
      <c r="A1696" s="663"/>
      <c r="B1696" s="3130" t="s">
        <v>436</v>
      </c>
      <c r="C1696" s="700" t="s">
        <v>427</v>
      </c>
      <c r="D1696" s="794" t="s">
        <v>1980</v>
      </c>
      <c r="E1696" s="700" t="s">
        <v>1925</v>
      </c>
      <c r="F1696" s="795">
        <v>1210</v>
      </c>
      <c r="G1696" s="812" t="s">
        <v>722</v>
      </c>
      <c r="H1696" s="752"/>
      <c r="I1696" s="752"/>
      <c r="J1696" s="1654" t="s">
        <v>1134</v>
      </c>
      <c r="K1696" s="1252"/>
      <c r="L1696" s="752"/>
      <c r="M1696" s="752"/>
      <c r="N1696" s="305" t="s">
        <v>2354</v>
      </c>
    </row>
    <row r="1697" spans="1:22">
      <c r="A1697" s="683"/>
      <c r="B1697" s="3129" t="s">
        <v>326</v>
      </c>
      <c r="C1697" s="720" t="s">
        <v>321</v>
      </c>
      <c r="D1697" s="823" t="s">
        <v>1980</v>
      </c>
      <c r="E1697" s="720" t="s">
        <v>1926</v>
      </c>
      <c r="F1697" s="824">
        <v>1210</v>
      </c>
      <c r="G1697" s="800" t="s">
        <v>204</v>
      </c>
      <c r="H1697" s="1251">
        <v>63837</v>
      </c>
      <c r="I1697" s="893"/>
      <c r="J1697" s="1654">
        <v>39360.54</v>
      </c>
      <c r="K1697" s="1251"/>
      <c r="L1697" s="2518">
        <v>67890.240892000002</v>
      </c>
      <c r="M1697" s="893"/>
      <c r="N1697" s="17"/>
    </row>
    <row r="1698" spans="1:22">
      <c r="A1698" s="663"/>
      <c r="B1698" s="3130" t="s">
        <v>326</v>
      </c>
      <c r="C1698" s="700" t="s">
        <v>321</v>
      </c>
      <c r="D1698" s="794" t="s">
        <v>1980</v>
      </c>
      <c r="E1698" s="700" t="s">
        <v>1926</v>
      </c>
      <c r="F1698" s="795">
        <v>1210</v>
      </c>
      <c r="G1698" s="812" t="s">
        <v>645</v>
      </c>
      <c r="H1698" s="752"/>
      <c r="I1698" s="752"/>
      <c r="J1698" s="1654" t="s">
        <v>1134</v>
      </c>
      <c r="K1698" s="1251"/>
      <c r="L1698" s="752"/>
      <c r="M1698" s="752"/>
      <c r="N1698" s="17"/>
    </row>
    <row r="1699" spans="1:22">
      <c r="A1699" s="663"/>
      <c r="B1699" s="3130" t="s">
        <v>326</v>
      </c>
      <c r="C1699" s="700" t="s">
        <v>321</v>
      </c>
      <c r="D1699" s="794" t="s">
        <v>1980</v>
      </c>
      <c r="E1699" s="700" t="s">
        <v>1926</v>
      </c>
      <c r="F1699" s="795">
        <v>1210</v>
      </c>
      <c r="G1699" s="812" t="s">
        <v>748</v>
      </c>
      <c r="H1699" s="752"/>
      <c r="I1699" s="752">
        <v>60597.820096000003</v>
      </c>
      <c r="J1699" s="1654" t="s">
        <v>1134</v>
      </c>
      <c r="K1699" s="1251"/>
      <c r="L1699" s="752"/>
      <c r="M1699" s="752">
        <v>67890.240892000002</v>
      </c>
    </row>
    <row r="1700" spans="1:22">
      <c r="A1700" s="663"/>
      <c r="B1700" s="3130" t="s">
        <v>326</v>
      </c>
      <c r="C1700" s="700" t="s">
        <v>321</v>
      </c>
      <c r="D1700" s="794" t="s">
        <v>1980</v>
      </c>
      <c r="E1700" s="700" t="s">
        <v>1926</v>
      </c>
      <c r="F1700" s="795">
        <v>1210</v>
      </c>
      <c r="G1700" s="812" t="s">
        <v>2874</v>
      </c>
      <c r="H1700" s="752"/>
      <c r="I1700" s="752">
        <v>6239.1799039999969</v>
      </c>
      <c r="J1700" s="1654" t="s">
        <v>1134</v>
      </c>
      <c r="K1700" s="1251"/>
      <c r="L1700" s="752"/>
      <c r="M1700" s="2519"/>
      <c r="N1700" s="3"/>
    </row>
    <row r="1701" spans="1:22" ht="20.399999999999999">
      <c r="A1701" s="663"/>
      <c r="B1701" s="3130" t="s">
        <v>326</v>
      </c>
      <c r="C1701" s="700" t="s">
        <v>321</v>
      </c>
      <c r="D1701" s="794" t="s">
        <v>1980</v>
      </c>
      <c r="E1701" s="700" t="s">
        <v>1926</v>
      </c>
      <c r="F1701" s="795">
        <v>1210</v>
      </c>
      <c r="G1701" s="812" t="s">
        <v>3069</v>
      </c>
      <c r="H1701" s="752"/>
      <c r="I1701" s="752">
        <v>-2000</v>
      </c>
      <c r="J1701" s="1654" t="s">
        <v>1134</v>
      </c>
      <c r="K1701" s="1251"/>
      <c r="L1701" s="752"/>
      <c r="M1701" s="752"/>
      <c r="N1701" s="3"/>
    </row>
    <row r="1702" spans="1:22" ht="20.399999999999999">
      <c r="A1702" s="663"/>
      <c r="B1702" s="3130" t="s">
        <v>326</v>
      </c>
      <c r="C1702" s="700" t="s">
        <v>321</v>
      </c>
      <c r="D1702" s="794" t="s">
        <v>1980</v>
      </c>
      <c r="E1702" s="700" t="s">
        <v>1926</v>
      </c>
      <c r="F1702" s="795">
        <v>1210</v>
      </c>
      <c r="G1702" s="812" t="s">
        <v>3217</v>
      </c>
      <c r="H1702" s="752"/>
      <c r="I1702" s="752">
        <v>-1000</v>
      </c>
      <c r="J1702" s="1654" t="s">
        <v>1134</v>
      </c>
      <c r="K1702" s="1251"/>
      <c r="L1702" s="752"/>
      <c r="M1702" s="752"/>
      <c r="N1702" s="3"/>
    </row>
    <row r="1703" spans="1:22" ht="30.6">
      <c r="A1703" s="663"/>
      <c r="B1703" s="3130" t="s">
        <v>326</v>
      </c>
      <c r="C1703" s="700" t="s">
        <v>321</v>
      </c>
      <c r="D1703" s="794" t="s">
        <v>1980</v>
      </c>
      <c r="E1703" s="700" t="s">
        <v>1926</v>
      </c>
      <c r="F1703" s="795">
        <v>1210</v>
      </c>
      <c r="G1703" s="812" t="s">
        <v>2039</v>
      </c>
      <c r="H1703" s="752"/>
      <c r="I1703" s="752"/>
      <c r="J1703" s="1654" t="s">
        <v>1134</v>
      </c>
      <c r="K1703" s="1251"/>
      <c r="L1703" s="752"/>
      <c r="M1703" s="752"/>
      <c r="N1703" s="3" t="s">
        <v>3967</v>
      </c>
    </row>
    <row r="1704" spans="1:22">
      <c r="A1704" s="683"/>
      <c r="B1704" s="3129" t="s">
        <v>436</v>
      </c>
      <c r="C1704" s="720" t="s">
        <v>427</v>
      </c>
      <c r="D1704" s="823" t="s">
        <v>1980</v>
      </c>
      <c r="E1704" s="720" t="s">
        <v>1925</v>
      </c>
      <c r="F1704" s="824">
        <v>1221</v>
      </c>
      <c r="G1704" s="800" t="s">
        <v>114</v>
      </c>
      <c r="H1704" s="893">
        <v>75646.621670566703</v>
      </c>
      <c r="I1704" s="893"/>
      <c r="J1704" s="1654">
        <v>71592</v>
      </c>
      <c r="K1704" s="1251"/>
      <c r="L1704" s="893">
        <v>60511.848469622069</v>
      </c>
      <c r="M1704" s="893"/>
      <c r="N1704" s="3"/>
    </row>
    <row r="1705" spans="1:22">
      <c r="A1705" s="663"/>
      <c r="B1705" s="3130" t="s">
        <v>436</v>
      </c>
      <c r="C1705" s="700" t="s">
        <v>427</v>
      </c>
      <c r="D1705" s="794" t="s">
        <v>1980</v>
      </c>
      <c r="E1705" s="700" t="s">
        <v>1925</v>
      </c>
      <c r="F1705" s="795">
        <v>1221</v>
      </c>
      <c r="G1705" s="812" t="s">
        <v>436</v>
      </c>
      <c r="H1705" s="752"/>
      <c r="I1705" s="752">
        <v>56646.621670566703</v>
      </c>
      <c r="J1705" s="1654" t="s">
        <v>1134</v>
      </c>
      <c r="K1705" s="1252"/>
      <c r="L1705" s="752"/>
      <c r="M1705" s="752">
        <v>60511.848469622069</v>
      </c>
      <c r="N1705" s="7"/>
    </row>
    <row r="1706" spans="1:22" ht="20.399999999999999">
      <c r="A1706" s="663"/>
      <c r="B1706" s="3130" t="s">
        <v>436</v>
      </c>
      <c r="C1706" s="700" t="s">
        <v>427</v>
      </c>
      <c r="D1706" s="794" t="s">
        <v>1980</v>
      </c>
      <c r="E1706" s="700" t="s">
        <v>1925</v>
      </c>
      <c r="F1706" s="795">
        <v>1221</v>
      </c>
      <c r="G1706" s="812" t="s">
        <v>3278</v>
      </c>
      <c r="H1706" s="752"/>
      <c r="I1706" s="752">
        <v>4000</v>
      </c>
      <c r="J1706" s="1654" t="s">
        <v>1134</v>
      </c>
      <c r="K1706" s="1252"/>
      <c r="L1706" s="752"/>
      <c r="M1706" s="752"/>
      <c r="N1706" s="7"/>
    </row>
    <row r="1707" spans="1:22" ht="20.399999999999999">
      <c r="A1707" s="663"/>
      <c r="B1707" s="3130" t="s">
        <v>436</v>
      </c>
      <c r="C1707" s="700" t="s">
        <v>427</v>
      </c>
      <c r="D1707" s="794" t="s">
        <v>1980</v>
      </c>
      <c r="E1707" s="700" t="s">
        <v>1925</v>
      </c>
      <c r="F1707" s="795">
        <v>1221</v>
      </c>
      <c r="G1707" s="812" t="s">
        <v>3407</v>
      </c>
      <c r="H1707" s="752"/>
      <c r="I1707" s="752">
        <v>15000</v>
      </c>
      <c r="J1707" s="1654" t="s">
        <v>1134</v>
      </c>
      <c r="K1707" s="1252"/>
      <c r="L1707" s="752"/>
      <c r="M1707" s="752"/>
      <c r="N1707" s="3"/>
    </row>
    <row r="1708" spans="1:22">
      <c r="A1708" s="683"/>
      <c r="B1708" s="3129" t="s">
        <v>326</v>
      </c>
      <c r="C1708" s="720" t="s">
        <v>321</v>
      </c>
      <c r="D1708" s="823" t="s">
        <v>1980</v>
      </c>
      <c r="E1708" s="720" t="s">
        <v>1926</v>
      </c>
      <c r="F1708" s="824">
        <v>1221</v>
      </c>
      <c r="G1708" s="800" t="s">
        <v>114</v>
      </c>
      <c r="H1708" s="1251">
        <v>6000</v>
      </c>
      <c r="I1708" s="893"/>
      <c r="J1708" s="1654">
        <v>4047.78</v>
      </c>
      <c r="K1708" s="1251"/>
      <c r="L1708" s="1251">
        <v>5000</v>
      </c>
      <c r="M1708" s="893"/>
      <c r="N1708" s="7"/>
    </row>
    <row r="1709" spans="1:22">
      <c r="A1709" s="663"/>
      <c r="B1709" s="3130" t="s">
        <v>326</v>
      </c>
      <c r="C1709" s="700" t="s">
        <v>321</v>
      </c>
      <c r="D1709" s="794" t="s">
        <v>1980</v>
      </c>
      <c r="E1709" s="700" t="s">
        <v>1926</v>
      </c>
      <c r="F1709" s="795">
        <v>1221</v>
      </c>
      <c r="G1709" s="812" t="s">
        <v>748</v>
      </c>
      <c r="H1709" s="752"/>
      <c r="I1709" s="752">
        <v>2000</v>
      </c>
      <c r="J1709" s="1654" t="s">
        <v>1134</v>
      </c>
      <c r="K1709" s="1251"/>
      <c r="L1709" s="752"/>
      <c r="M1709" s="752">
        <v>5000</v>
      </c>
      <c r="N1709" s="3"/>
    </row>
    <row r="1710" spans="1:22" ht="20.399999999999999">
      <c r="A1710" s="663"/>
      <c r="B1710" s="3130" t="s">
        <v>326</v>
      </c>
      <c r="C1710" s="700" t="s">
        <v>321</v>
      </c>
      <c r="D1710" s="794" t="s">
        <v>1980</v>
      </c>
      <c r="E1710" s="700" t="s">
        <v>1926</v>
      </c>
      <c r="F1710" s="795">
        <v>1221</v>
      </c>
      <c r="G1710" s="812" t="s">
        <v>3069</v>
      </c>
      <c r="H1710" s="752"/>
      <c r="I1710" s="752">
        <v>2000</v>
      </c>
      <c r="J1710" s="1654" t="s">
        <v>1134</v>
      </c>
      <c r="K1710" s="1251"/>
      <c r="L1710" s="752"/>
      <c r="M1710" s="752"/>
      <c r="N1710" s="57"/>
    </row>
    <row r="1711" spans="1:22" ht="20.399999999999999">
      <c r="A1711" s="663"/>
      <c r="B1711" s="3130" t="s">
        <v>326</v>
      </c>
      <c r="C1711" s="700" t="s">
        <v>321</v>
      </c>
      <c r="D1711" s="794" t="s">
        <v>1980</v>
      </c>
      <c r="E1711" s="700" t="s">
        <v>1926</v>
      </c>
      <c r="F1711" s="795">
        <v>1221</v>
      </c>
      <c r="G1711" s="812" t="s">
        <v>3217</v>
      </c>
      <c r="H1711" s="752"/>
      <c r="I1711" s="752">
        <v>1000</v>
      </c>
      <c r="J1711" s="1654" t="s">
        <v>1134</v>
      </c>
      <c r="K1711" s="1251"/>
      <c r="L1711" s="752"/>
      <c r="M1711" s="752"/>
      <c r="N1711" s="57"/>
    </row>
    <row r="1712" spans="1:22" ht="20.399999999999999">
      <c r="A1712" s="663"/>
      <c r="B1712" s="3130" t="s">
        <v>326</v>
      </c>
      <c r="C1712" s="700" t="s">
        <v>321</v>
      </c>
      <c r="D1712" s="794" t="s">
        <v>1980</v>
      </c>
      <c r="E1712" s="700" t="s">
        <v>1926</v>
      </c>
      <c r="F1712" s="795">
        <v>1221</v>
      </c>
      <c r="G1712" s="812" t="s">
        <v>3294</v>
      </c>
      <c r="H1712" s="752"/>
      <c r="I1712" s="752">
        <v>1000</v>
      </c>
      <c r="J1712" s="1654" t="s">
        <v>1134</v>
      </c>
      <c r="K1712" s="1251"/>
      <c r="L1712" s="752"/>
      <c r="M1712" s="752"/>
      <c r="N1712" s="57"/>
      <c r="O1712" s="7"/>
      <c r="P1712" s="7"/>
      <c r="Q1712" s="7"/>
      <c r="R1712" s="7"/>
      <c r="S1712" s="7"/>
      <c r="T1712" s="7"/>
      <c r="U1712" s="7"/>
      <c r="V1712" s="7"/>
    </row>
    <row r="1713" spans="1:22" ht="20.399999999999999">
      <c r="A1713" s="849"/>
      <c r="B1713" s="3129" t="s">
        <v>436</v>
      </c>
      <c r="C1713" s="683" t="s">
        <v>427</v>
      </c>
      <c r="D1713" s="719" t="s">
        <v>1980</v>
      </c>
      <c r="E1713" s="720" t="s">
        <v>1925</v>
      </c>
      <c r="F1713" s="824">
        <v>1227</v>
      </c>
      <c r="G1713" s="800" t="s">
        <v>781</v>
      </c>
      <c r="H1713" s="893">
        <v>600</v>
      </c>
      <c r="I1713" s="893"/>
      <c r="J1713" s="1654">
        <v>400</v>
      </c>
      <c r="K1713" s="1251"/>
      <c r="L1713" s="893">
        <v>600</v>
      </c>
      <c r="M1713" s="893"/>
      <c r="N1713" s="57"/>
    </row>
    <row r="1714" spans="1:22">
      <c r="A1714" s="663"/>
      <c r="B1714" s="3130" t="s">
        <v>436</v>
      </c>
      <c r="C1714" s="663" t="s">
        <v>427</v>
      </c>
      <c r="D1714" s="873" t="s">
        <v>1980</v>
      </c>
      <c r="E1714" s="700" t="s">
        <v>1925</v>
      </c>
      <c r="F1714" s="795">
        <v>1227</v>
      </c>
      <c r="G1714" s="812" t="s">
        <v>3960</v>
      </c>
      <c r="H1714" s="752"/>
      <c r="I1714" s="752">
        <v>400</v>
      </c>
      <c r="J1714" s="1654" t="s">
        <v>1134</v>
      </c>
      <c r="K1714" s="1252"/>
      <c r="L1714" s="752"/>
      <c r="M1714" s="752">
        <v>600</v>
      </c>
      <c r="N1714" s="57"/>
      <c r="O1714" s="7"/>
      <c r="P1714" s="7"/>
      <c r="Q1714" s="7"/>
      <c r="R1714" s="7"/>
      <c r="S1714" s="7"/>
      <c r="T1714" s="7"/>
      <c r="U1714" s="7"/>
      <c r="V1714" s="7"/>
    </row>
    <row r="1715" spans="1:22" ht="20.399999999999999">
      <c r="A1715" s="872"/>
      <c r="B1715" s="3130" t="s">
        <v>436</v>
      </c>
      <c r="C1715" s="663" t="s">
        <v>427</v>
      </c>
      <c r="D1715" s="873" t="s">
        <v>1980</v>
      </c>
      <c r="E1715" s="700" t="s">
        <v>1925</v>
      </c>
      <c r="F1715" s="795">
        <v>1227</v>
      </c>
      <c r="G1715" s="812" t="s">
        <v>2006</v>
      </c>
      <c r="H1715" s="748"/>
      <c r="I1715" s="748">
        <v>200</v>
      </c>
      <c r="J1715" s="1654" t="s">
        <v>1134</v>
      </c>
      <c r="K1715" s="1314"/>
      <c r="L1715" s="748"/>
      <c r="M1715" s="748"/>
      <c r="N1715" s="57"/>
    </row>
    <row r="1716" spans="1:22">
      <c r="A1716" s="849"/>
      <c r="B1716" s="3129" t="s">
        <v>772</v>
      </c>
      <c r="C1716" s="683" t="s">
        <v>427</v>
      </c>
      <c r="D1716" s="719" t="s">
        <v>1980</v>
      </c>
      <c r="E1716" s="720" t="s">
        <v>1925</v>
      </c>
      <c r="F1716" s="685">
        <v>1228</v>
      </c>
      <c r="G1716" s="686" t="s">
        <v>614</v>
      </c>
      <c r="H1716" s="731">
        <v>5600</v>
      </c>
      <c r="I1716" s="731"/>
      <c r="J1716" s="1494">
        <v>2176</v>
      </c>
      <c r="K1716" s="747"/>
      <c r="L1716" s="893">
        <v>4500</v>
      </c>
      <c r="M1716" s="893"/>
      <c r="N1716" s="57"/>
      <c r="O1716" s="7"/>
      <c r="P1716" s="7"/>
      <c r="Q1716" s="7"/>
      <c r="R1716" s="7"/>
      <c r="S1716" s="7"/>
      <c r="T1716" s="7"/>
      <c r="U1716" s="7"/>
      <c r="V1716" s="7"/>
    </row>
    <row r="1717" spans="1:22" ht="20.399999999999999">
      <c r="A1717" s="872"/>
      <c r="B1717" s="3130" t="s">
        <v>772</v>
      </c>
      <c r="C1717" s="663" t="s">
        <v>427</v>
      </c>
      <c r="D1717" s="873" t="s">
        <v>1980</v>
      </c>
      <c r="E1717" s="700" t="s">
        <v>1925</v>
      </c>
      <c r="F1717" s="795">
        <v>1228</v>
      </c>
      <c r="G1717" s="750" t="s">
        <v>3961</v>
      </c>
      <c r="H1717" s="748"/>
      <c r="I1717" s="748">
        <v>5000</v>
      </c>
      <c r="J1717" s="1654" t="s">
        <v>1134</v>
      </c>
      <c r="K1717" s="1314"/>
      <c r="L1717" s="748"/>
      <c r="M1717" s="1982">
        <v>2400</v>
      </c>
      <c r="N1717" s="57"/>
      <c r="O1717" s="7"/>
      <c r="P1717" s="7"/>
      <c r="Q1717" s="7"/>
      <c r="R1717" s="7"/>
      <c r="S1717" s="7"/>
      <c r="T1717" s="7"/>
      <c r="U1717" s="7"/>
      <c r="V1717" s="7"/>
    </row>
    <row r="1718" spans="1:22" ht="22.5" customHeight="1">
      <c r="A1718" s="663"/>
      <c r="B1718" s="3130" t="s">
        <v>772</v>
      </c>
      <c r="C1718" s="663" t="s">
        <v>427</v>
      </c>
      <c r="D1718" s="873" t="s">
        <v>1980</v>
      </c>
      <c r="E1718" s="700" t="s">
        <v>1925</v>
      </c>
      <c r="F1718" s="679">
        <v>1228</v>
      </c>
      <c r="G1718" s="608" t="s">
        <v>4165</v>
      </c>
      <c r="H1718" s="1130"/>
      <c r="I1718" s="1130">
        <v>600</v>
      </c>
      <c r="J1718" s="1494" t="s">
        <v>1134</v>
      </c>
      <c r="K1718" s="646"/>
      <c r="L1718" s="1165"/>
      <c r="M1718" s="1165">
        <v>2100</v>
      </c>
      <c r="N1718" s="2019" t="s">
        <v>2754</v>
      </c>
    </row>
    <row r="1719" spans="1:22">
      <c r="A1719" s="683"/>
      <c r="B1719" s="3129" t="s">
        <v>772</v>
      </c>
      <c r="C1719" s="683" t="s">
        <v>322</v>
      </c>
      <c r="D1719" s="719" t="s">
        <v>1980</v>
      </c>
      <c r="E1719" s="720" t="s">
        <v>1925</v>
      </c>
      <c r="F1719" s="824">
        <v>2111</v>
      </c>
      <c r="G1719" s="800" t="s">
        <v>213</v>
      </c>
      <c r="H1719" s="893">
        <v>0</v>
      </c>
      <c r="I1719" s="893"/>
      <c r="J1719" s="1654" t="s">
        <v>1134</v>
      </c>
      <c r="K1719" s="1251"/>
      <c r="L1719" s="893">
        <v>0</v>
      </c>
      <c r="M1719" s="893"/>
      <c r="N1719" s="3"/>
    </row>
    <row r="1720" spans="1:22" ht="22.5" customHeight="1">
      <c r="A1720" s="663"/>
      <c r="B1720" s="3130" t="s">
        <v>772</v>
      </c>
      <c r="C1720" s="663" t="s">
        <v>322</v>
      </c>
      <c r="D1720" s="678" t="s">
        <v>1980</v>
      </c>
      <c r="E1720" s="700" t="s">
        <v>1925</v>
      </c>
      <c r="F1720" s="795">
        <v>2111</v>
      </c>
      <c r="G1720" s="750" t="s">
        <v>214</v>
      </c>
      <c r="H1720" s="748"/>
      <c r="I1720" s="748"/>
      <c r="J1720" s="1654" t="s">
        <v>1134</v>
      </c>
      <c r="K1720" s="1314"/>
      <c r="L1720" s="748"/>
      <c r="M1720" s="748"/>
      <c r="N1720" s="3"/>
      <c r="O1720" s="7"/>
      <c r="P1720" s="7"/>
      <c r="Q1720" s="7"/>
      <c r="R1720" s="7"/>
      <c r="S1720" s="7"/>
      <c r="T1720" s="7"/>
      <c r="U1720" s="7"/>
      <c r="V1720" s="7"/>
    </row>
    <row r="1721" spans="1:22">
      <c r="A1721" s="683"/>
      <c r="B1721" s="3129" t="s">
        <v>772</v>
      </c>
      <c r="C1721" s="683" t="s">
        <v>322</v>
      </c>
      <c r="D1721" s="719" t="s">
        <v>1980</v>
      </c>
      <c r="E1721" s="720" t="s">
        <v>1925</v>
      </c>
      <c r="F1721" s="824">
        <v>2112</v>
      </c>
      <c r="G1721" s="800" t="s">
        <v>215</v>
      </c>
      <c r="H1721" s="893">
        <v>0</v>
      </c>
      <c r="I1721" s="893"/>
      <c r="J1721" s="1654" t="s">
        <v>1134</v>
      </c>
      <c r="K1721" s="1251"/>
      <c r="L1721" s="893">
        <v>0</v>
      </c>
      <c r="M1721" s="893"/>
      <c r="N1721" s="3"/>
      <c r="O1721" s="7"/>
      <c r="P1721" s="7"/>
      <c r="Q1721" s="7"/>
      <c r="R1721" s="7"/>
      <c r="S1721" s="7"/>
      <c r="T1721" s="7"/>
      <c r="U1721" s="7"/>
      <c r="V1721" s="7"/>
    </row>
    <row r="1722" spans="1:22">
      <c r="A1722" s="663"/>
      <c r="B1722" s="3130" t="s">
        <v>772</v>
      </c>
      <c r="C1722" s="663" t="s">
        <v>322</v>
      </c>
      <c r="D1722" s="678" t="s">
        <v>1980</v>
      </c>
      <c r="E1722" s="700" t="s">
        <v>1925</v>
      </c>
      <c r="F1722" s="795">
        <v>2112</v>
      </c>
      <c r="G1722" s="750" t="s">
        <v>214</v>
      </c>
      <c r="H1722" s="748"/>
      <c r="I1722" s="748"/>
      <c r="J1722" s="1654" t="s">
        <v>1134</v>
      </c>
      <c r="K1722" s="1314"/>
      <c r="L1722" s="748"/>
      <c r="M1722" s="748"/>
      <c r="N1722" s="3"/>
      <c r="O1722" s="7"/>
      <c r="P1722" s="7"/>
      <c r="Q1722" s="7"/>
      <c r="R1722" s="7"/>
      <c r="S1722" s="7"/>
      <c r="T1722" s="7"/>
      <c r="U1722" s="7"/>
      <c r="V1722" s="7"/>
    </row>
    <row r="1723" spans="1:22">
      <c r="A1723" s="683"/>
      <c r="B1723" s="3129" t="s">
        <v>772</v>
      </c>
      <c r="C1723" s="683" t="s">
        <v>320</v>
      </c>
      <c r="D1723" s="719" t="s">
        <v>1980</v>
      </c>
      <c r="E1723" s="720" t="s">
        <v>1925</v>
      </c>
      <c r="F1723" s="824">
        <v>2210</v>
      </c>
      <c r="G1723" s="800" t="s">
        <v>572</v>
      </c>
      <c r="H1723" s="893">
        <v>2072</v>
      </c>
      <c r="I1723" s="893"/>
      <c r="J1723" s="1654">
        <v>1889</v>
      </c>
      <c r="K1723" s="1251"/>
      <c r="L1723" s="893">
        <v>4880</v>
      </c>
      <c r="M1723" s="893"/>
      <c r="N1723" s="3"/>
    </row>
    <row r="1724" spans="1:22" ht="20.399999999999999">
      <c r="A1724" s="663"/>
      <c r="B1724" s="3130" t="s">
        <v>772</v>
      </c>
      <c r="C1724" s="663" t="s">
        <v>320</v>
      </c>
      <c r="D1724" s="678" t="s">
        <v>1980</v>
      </c>
      <c r="E1724" s="700" t="s">
        <v>1925</v>
      </c>
      <c r="F1724" s="795">
        <v>2210</v>
      </c>
      <c r="G1724" s="750" t="s">
        <v>3963</v>
      </c>
      <c r="H1724" s="748"/>
      <c r="I1724" s="748">
        <v>620</v>
      </c>
      <c r="J1724" s="1654" t="s">
        <v>1134</v>
      </c>
      <c r="K1724" s="1314"/>
      <c r="L1724" s="748"/>
      <c r="M1724" s="748">
        <v>3428</v>
      </c>
      <c r="N1724" s="3" t="s">
        <v>3970</v>
      </c>
    </row>
    <row r="1725" spans="1:22" ht="20.399999999999999">
      <c r="A1725" s="663"/>
      <c r="B1725" s="3130" t="s">
        <v>772</v>
      </c>
      <c r="C1725" s="663" t="s">
        <v>320</v>
      </c>
      <c r="D1725" s="678" t="s">
        <v>1980</v>
      </c>
      <c r="E1725" s="700" t="s">
        <v>1925</v>
      </c>
      <c r="F1725" s="795">
        <v>2210</v>
      </c>
      <c r="G1725" s="750" t="s">
        <v>701</v>
      </c>
      <c r="H1725" s="748"/>
      <c r="I1725" s="748">
        <v>1452</v>
      </c>
      <c r="J1725" s="1654" t="s">
        <v>1134</v>
      </c>
      <c r="K1725" s="1314"/>
      <c r="L1725" s="748"/>
      <c r="M1725" s="748">
        <v>1452</v>
      </c>
      <c r="N1725" s="57"/>
    </row>
    <row r="1726" spans="1:22">
      <c r="A1726" s="683"/>
      <c r="B1726" s="3129" t="s">
        <v>772</v>
      </c>
      <c r="C1726" s="683" t="s">
        <v>320</v>
      </c>
      <c r="D1726" s="719" t="s">
        <v>1980</v>
      </c>
      <c r="E1726" s="720" t="s">
        <v>1925</v>
      </c>
      <c r="F1726" s="824">
        <v>2223</v>
      </c>
      <c r="G1726" s="800" t="s">
        <v>154</v>
      </c>
      <c r="H1726" s="893">
        <v>23000</v>
      </c>
      <c r="I1726" s="893"/>
      <c r="J1726" s="1654">
        <v>15624</v>
      </c>
      <c r="K1726" s="1251"/>
      <c r="L1726" s="893">
        <v>23000</v>
      </c>
      <c r="M1726" s="893"/>
      <c r="N1726" s="2020"/>
    </row>
    <row r="1727" spans="1:22">
      <c r="A1727" s="663"/>
      <c r="B1727" s="3130" t="s">
        <v>772</v>
      </c>
      <c r="C1727" s="663" t="s">
        <v>320</v>
      </c>
      <c r="D1727" s="678" t="s">
        <v>1980</v>
      </c>
      <c r="E1727" s="700" t="s">
        <v>1925</v>
      </c>
      <c r="F1727" s="795">
        <v>2223</v>
      </c>
      <c r="G1727" s="750" t="s">
        <v>683</v>
      </c>
      <c r="H1727" s="748"/>
      <c r="I1727" s="748">
        <v>25000</v>
      </c>
      <c r="J1727" s="1654" t="s">
        <v>1134</v>
      </c>
      <c r="K1727" s="1314"/>
      <c r="L1727" s="748"/>
      <c r="M1727" s="1987">
        <v>23000</v>
      </c>
      <c r="N1727" s="381" t="s">
        <v>2358</v>
      </c>
    </row>
    <row r="1728" spans="1:22" ht="20.399999999999999">
      <c r="A1728" s="603"/>
      <c r="B1728" s="3130" t="s">
        <v>772</v>
      </c>
      <c r="C1728" s="663" t="s">
        <v>320</v>
      </c>
      <c r="D1728" s="678" t="s">
        <v>1980</v>
      </c>
      <c r="E1728" s="700" t="s">
        <v>1925</v>
      </c>
      <c r="F1728" s="795">
        <v>2223</v>
      </c>
      <c r="G1728" s="1153" t="s">
        <v>3094</v>
      </c>
      <c r="H1728" s="2002"/>
      <c r="I1728" s="2002">
        <v>-2000</v>
      </c>
      <c r="J1728" s="1654" t="s">
        <v>1134</v>
      </c>
      <c r="K1728" s="2003"/>
      <c r="L1728" s="2002"/>
      <c r="M1728" s="2002"/>
      <c r="N1728" s="381"/>
      <c r="O1728" s="7"/>
      <c r="P1728" s="7"/>
      <c r="Q1728" s="7"/>
      <c r="R1728" s="7"/>
      <c r="S1728" s="7"/>
      <c r="T1728" s="7"/>
      <c r="U1728" s="7"/>
      <c r="V1728" s="7"/>
    </row>
    <row r="1729" spans="1:14">
      <c r="A1729" s="683"/>
      <c r="B1729" s="3129" t="s">
        <v>772</v>
      </c>
      <c r="C1729" s="683" t="s">
        <v>322</v>
      </c>
      <c r="D1729" s="719" t="s">
        <v>1980</v>
      </c>
      <c r="E1729" s="720" t="s">
        <v>1925</v>
      </c>
      <c r="F1729" s="824">
        <v>2233</v>
      </c>
      <c r="G1729" s="800" t="s">
        <v>236</v>
      </c>
      <c r="H1729" s="893">
        <v>1120</v>
      </c>
      <c r="I1729" s="893"/>
      <c r="J1729" s="1654">
        <v>572</v>
      </c>
      <c r="K1729" s="1251"/>
      <c r="L1729" s="893">
        <v>2120</v>
      </c>
      <c r="M1729" s="893"/>
      <c r="N1729" s="305"/>
    </row>
    <row r="1730" spans="1:14">
      <c r="A1730" s="663"/>
      <c r="B1730" s="3130" t="s">
        <v>772</v>
      </c>
      <c r="C1730" s="663" t="s">
        <v>322</v>
      </c>
      <c r="D1730" s="678" t="s">
        <v>1980</v>
      </c>
      <c r="E1730" s="700" t="s">
        <v>1925</v>
      </c>
      <c r="F1730" s="795">
        <v>2233</v>
      </c>
      <c r="G1730" s="1008" t="s">
        <v>875</v>
      </c>
      <c r="H1730" s="748"/>
      <c r="I1730" s="748">
        <v>120</v>
      </c>
      <c r="J1730" s="1654" t="s">
        <v>1134</v>
      </c>
      <c r="K1730" s="1314"/>
      <c r="L1730" s="748"/>
      <c r="M1730" s="748">
        <v>120</v>
      </c>
      <c r="N1730" s="57"/>
    </row>
    <row r="1731" spans="1:14" ht="33.75" customHeight="1">
      <c r="A1731" s="1669"/>
      <c r="B1731" s="3130" t="s">
        <v>772</v>
      </c>
      <c r="C1731" s="663" t="s">
        <v>322</v>
      </c>
      <c r="D1731" s="678" t="s">
        <v>1980</v>
      </c>
      <c r="E1731" s="700" t="s">
        <v>1925</v>
      </c>
      <c r="F1731" s="795">
        <v>2233</v>
      </c>
      <c r="G1731" s="1008" t="s">
        <v>3966</v>
      </c>
      <c r="H1731" s="1964"/>
      <c r="I1731" s="1964"/>
      <c r="J1731" s="1739"/>
      <c r="K1731" s="1995"/>
      <c r="L1731" s="1964"/>
      <c r="M1731" s="1964">
        <v>1000</v>
      </c>
      <c r="N1731" s="305"/>
    </row>
    <row r="1732" spans="1:14" ht="20.399999999999999">
      <c r="A1732" s="663"/>
      <c r="B1732" s="3130" t="s">
        <v>772</v>
      </c>
      <c r="C1732" s="663" t="s">
        <v>322</v>
      </c>
      <c r="D1732" s="678" t="s">
        <v>1980</v>
      </c>
      <c r="E1732" s="700" t="s">
        <v>1925</v>
      </c>
      <c r="F1732" s="795">
        <v>2233</v>
      </c>
      <c r="G1732" s="750" t="s">
        <v>2355</v>
      </c>
      <c r="H1732" s="748"/>
      <c r="I1732" s="748">
        <v>1000</v>
      </c>
      <c r="J1732" s="1654" t="s">
        <v>1134</v>
      </c>
      <c r="K1732" s="1314"/>
      <c r="L1732" s="748"/>
      <c r="M1732" s="748">
        <v>1000</v>
      </c>
      <c r="N1732" s="57"/>
    </row>
    <row r="1733" spans="1:14" ht="33.75" customHeight="1">
      <c r="A1733" s="849"/>
      <c r="B1733" s="3129" t="s">
        <v>772</v>
      </c>
      <c r="C1733" s="683" t="s">
        <v>322</v>
      </c>
      <c r="D1733" s="719" t="s">
        <v>1980</v>
      </c>
      <c r="E1733" s="720" t="s">
        <v>1925</v>
      </c>
      <c r="F1733" s="685">
        <v>2234</v>
      </c>
      <c r="G1733" s="686" t="s">
        <v>237</v>
      </c>
      <c r="H1733" s="731">
        <v>2870</v>
      </c>
      <c r="I1733" s="731"/>
      <c r="J1733" s="1494">
        <v>1069</v>
      </c>
      <c r="K1733" s="747"/>
      <c r="L1733" s="731">
        <v>2950</v>
      </c>
      <c r="M1733" s="731"/>
      <c r="N1733" s="57" t="s">
        <v>3973</v>
      </c>
    </row>
    <row r="1734" spans="1:14" ht="11.4" customHeight="1">
      <c r="A1734" s="872"/>
      <c r="B1734" s="3137" t="s">
        <v>772</v>
      </c>
      <c r="C1734" s="774" t="s">
        <v>322</v>
      </c>
      <c r="D1734" s="873" t="s">
        <v>1980</v>
      </c>
      <c r="E1734" s="700" t="s">
        <v>1925</v>
      </c>
      <c r="F1734" s="679">
        <v>2234</v>
      </c>
      <c r="G1734" s="699" t="s">
        <v>4097</v>
      </c>
      <c r="H1734" s="741"/>
      <c r="I1734" s="741">
        <v>1120</v>
      </c>
      <c r="J1734" s="1494" t="s">
        <v>1134</v>
      </c>
      <c r="K1734" s="732"/>
      <c r="L1734" s="741"/>
      <c r="M1734" s="1136">
        <v>1200</v>
      </c>
      <c r="N1734" s="2023"/>
    </row>
    <row r="1735" spans="1:14" ht="20.399999999999999">
      <c r="A1735" s="1148"/>
      <c r="B1735" s="3137" t="s">
        <v>772</v>
      </c>
      <c r="C1735" s="774" t="s">
        <v>322</v>
      </c>
      <c r="D1735" s="873" t="s">
        <v>1980</v>
      </c>
      <c r="E1735" s="700" t="s">
        <v>1925</v>
      </c>
      <c r="F1735" s="679">
        <v>2234</v>
      </c>
      <c r="G1735" s="754" t="s">
        <v>2749</v>
      </c>
      <c r="H1735" s="1136"/>
      <c r="I1735" s="1136">
        <v>1750</v>
      </c>
      <c r="J1735" s="1494" t="s">
        <v>1134</v>
      </c>
      <c r="K1735" s="757"/>
      <c r="L1735" s="1136"/>
      <c r="M1735" s="1136">
        <v>1750</v>
      </c>
      <c r="N1735" s="57"/>
    </row>
    <row r="1736" spans="1:14">
      <c r="A1736" s="849"/>
      <c r="B1736" s="3129" t="s">
        <v>772</v>
      </c>
      <c r="C1736" s="683" t="s">
        <v>322</v>
      </c>
      <c r="D1736" s="719" t="s">
        <v>1980</v>
      </c>
      <c r="E1736" s="720" t="s">
        <v>1925</v>
      </c>
      <c r="F1736" s="685">
        <v>2235</v>
      </c>
      <c r="G1736" s="686" t="s">
        <v>1139</v>
      </c>
      <c r="H1736" s="731">
        <v>3000</v>
      </c>
      <c r="I1736" s="731"/>
      <c r="J1736" s="1494">
        <v>2685</v>
      </c>
      <c r="K1736" s="747"/>
      <c r="L1736" s="731">
        <v>3000</v>
      </c>
      <c r="M1736" s="731"/>
      <c r="N1736" s="57"/>
    </row>
    <row r="1737" spans="1:14" ht="20.399999999999999">
      <c r="A1737" s="663"/>
      <c r="B1737" s="3130" t="s">
        <v>772</v>
      </c>
      <c r="C1737" s="663" t="s">
        <v>322</v>
      </c>
      <c r="D1737" s="678" t="s">
        <v>1980</v>
      </c>
      <c r="E1737" s="700" t="s">
        <v>1925</v>
      </c>
      <c r="F1737" s="679">
        <v>2235</v>
      </c>
      <c r="G1737" s="665" t="s">
        <v>1103</v>
      </c>
      <c r="H1737" s="741"/>
      <c r="I1737" s="741">
        <v>3000</v>
      </c>
      <c r="J1737" s="1494" t="s">
        <v>1134</v>
      </c>
      <c r="K1737" s="732"/>
      <c r="L1737" s="741"/>
      <c r="M1737" s="741">
        <v>3000</v>
      </c>
      <c r="N1737" s="57"/>
    </row>
    <row r="1738" spans="1:14">
      <c r="A1738" s="683"/>
      <c r="B1738" s="3129" t="s">
        <v>772</v>
      </c>
      <c r="C1738" s="683" t="s">
        <v>322</v>
      </c>
      <c r="D1738" s="719" t="s">
        <v>1980</v>
      </c>
      <c r="E1738" s="720" t="s">
        <v>1925</v>
      </c>
      <c r="F1738" s="685">
        <v>2239</v>
      </c>
      <c r="G1738" s="686" t="s">
        <v>177</v>
      </c>
      <c r="H1738" s="731">
        <v>11900</v>
      </c>
      <c r="I1738" s="731"/>
      <c r="J1738" s="1494">
        <v>8700</v>
      </c>
      <c r="K1738" s="747"/>
      <c r="L1738" s="731">
        <v>18000</v>
      </c>
      <c r="M1738" s="731"/>
      <c r="N1738" s="57"/>
    </row>
    <row r="1739" spans="1:14" ht="20.399999999999999">
      <c r="A1739" s="774"/>
      <c r="B1739" s="3137" t="s">
        <v>772</v>
      </c>
      <c r="C1739" s="774" t="s">
        <v>322</v>
      </c>
      <c r="D1739" s="873" t="s">
        <v>1980</v>
      </c>
      <c r="E1739" s="700" t="s">
        <v>1925</v>
      </c>
      <c r="F1739" s="679">
        <v>2239</v>
      </c>
      <c r="G1739" s="665" t="s">
        <v>1629</v>
      </c>
      <c r="H1739" s="741"/>
      <c r="I1739" s="741"/>
      <c r="J1739" s="1494" t="s">
        <v>1134</v>
      </c>
      <c r="K1739" s="732"/>
      <c r="L1739" s="741"/>
      <c r="M1739" s="741"/>
      <c r="N1739" s="57"/>
    </row>
    <row r="1740" spans="1:14">
      <c r="A1740" s="774"/>
      <c r="B1740" s="3137" t="s">
        <v>772</v>
      </c>
      <c r="C1740" s="774" t="s">
        <v>322</v>
      </c>
      <c r="D1740" s="873" t="s">
        <v>1980</v>
      </c>
      <c r="E1740" s="700" t="s">
        <v>1925</v>
      </c>
      <c r="F1740" s="679">
        <v>2239</v>
      </c>
      <c r="G1740" s="665" t="s">
        <v>3969</v>
      </c>
      <c r="H1740" s="741"/>
      <c r="I1740" s="741">
        <v>200</v>
      </c>
      <c r="J1740" s="1494" t="s">
        <v>1134</v>
      </c>
      <c r="K1740" s="732"/>
      <c r="L1740" s="741"/>
      <c r="M1740" s="741">
        <v>200</v>
      </c>
      <c r="N1740" s="57"/>
    </row>
    <row r="1741" spans="1:14" ht="20.399999999999999">
      <c r="A1741" s="663"/>
      <c r="B1741" s="3137" t="s">
        <v>772</v>
      </c>
      <c r="C1741" s="774" t="s">
        <v>322</v>
      </c>
      <c r="D1741" s="873" t="s">
        <v>1980</v>
      </c>
      <c r="E1741" s="700" t="s">
        <v>1925</v>
      </c>
      <c r="F1741" s="679">
        <v>2239</v>
      </c>
      <c r="G1741" s="675" t="s">
        <v>3968</v>
      </c>
      <c r="H1741" s="864"/>
      <c r="I1741" s="864">
        <v>12800</v>
      </c>
      <c r="J1741" s="1494" t="s">
        <v>1134</v>
      </c>
      <c r="K1741" s="897"/>
      <c r="L1741" s="864"/>
      <c r="M1741" s="864">
        <v>17600</v>
      </c>
      <c r="N1741" s="57"/>
    </row>
    <row r="1742" spans="1:14">
      <c r="A1742" s="1669"/>
      <c r="B1742" s="3137" t="s">
        <v>772</v>
      </c>
      <c r="C1742" s="774" t="s">
        <v>322</v>
      </c>
      <c r="D1742" s="873" t="s">
        <v>1980</v>
      </c>
      <c r="E1742" s="700" t="s">
        <v>1925</v>
      </c>
      <c r="F1742" s="679">
        <v>2239</v>
      </c>
      <c r="G1742" s="1718" t="s">
        <v>4098</v>
      </c>
      <c r="H1742" s="2120"/>
      <c r="I1742" s="2120"/>
      <c r="J1742" s="1673"/>
      <c r="K1742" s="2121"/>
      <c r="L1742" s="2120"/>
      <c r="M1742" s="2120">
        <v>200</v>
      </c>
      <c r="N1742" s="57"/>
    </row>
    <row r="1743" spans="1:14" ht="20.399999999999999">
      <c r="A1743" s="1135"/>
      <c r="B1743" s="3137" t="s">
        <v>772</v>
      </c>
      <c r="C1743" s="774" t="s">
        <v>322</v>
      </c>
      <c r="D1743" s="873" t="s">
        <v>1980</v>
      </c>
      <c r="E1743" s="700" t="s">
        <v>1925</v>
      </c>
      <c r="F1743" s="679">
        <v>2239</v>
      </c>
      <c r="G1743" s="1129" t="s">
        <v>3409</v>
      </c>
      <c r="H1743" s="1136"/>
      <c r="I1743" s="1136">
        <v>1000</v>
      </c>
      <c r="J1743" s="1494" t="s">
        <v>1134</v>
      </c>
      <c r="K1743" s="757"/>
      <c r="L1743" s="1136"/>
      <c r="M1743" s="1136"/>
      <c r="N1743" s="57"/>
    </row>
    <row r="1744" spans="1:14" ht="20.399999999999999">
      <c r="A1744" s="1135"/>
      <c r="B1744" s="3137" t="s">
        <v>772</v>
      </c>
      <c r="C1744" s="774" t="s">
        <v>322</v>
      </c>
      <c r="D1744" s="873" t="s">
        <v>1980</v>
      </c>
      <c r="E1744" s="700" t="s">
        <v>1925</v>
      </c>
      <c r="F1744" s="679">
        <v>2239</v>
      </c>
      <c r="G1744" s="1129" t="s">
        <v>3450</v>
      </c>
      <c r="H1744" s="1136"/>
      <c r="I1744" s="1136">
        <v>-600</v>
      </c>
      <c r="J1744" s="1494"/>
      <c r="K1744" s="757"/>
      <c r="L1744" s="1136"/>
      <c r="M1744" s="1136"/>
      <c r="N1744" s="57"/>
    </row>
    <row r="1745" spans="1:14" ht="20.399999999999999">
      <c r="A1745" s="663"/>
      <c r="B1745" s="3137" t="s">
        <v>772</v>
      </c>
      <c r="C1745" s="774" t="s">
        <v>322</v>
      </c>
      <c r="D1745" s="873" t="s">
        <v>1980</v>
      </c>
      <c r="E1745" s="700" t="s">
        <v>1925</v>
      </c>
      <c r="F1745" s="679">
        <v>2239</v>
      </c>
      <c r="G1745" s="665" t="s">
        <v>3457</v>
      </c>
      <c r="H1745" s="741"/>
      <c r="I1745" s="741">
        <v>-1500</v>
      </c>
      <c r="J1745" s="1494" t="s">
        <v>1134</v>
      </c>
      <c r="K1745" s="732"/>
      <c r="L1745" s="741"/>
      <c r="M1745" s="741"/>
      <c r="N1745" s="57"/>
    </row>
    <row r="1746" spans="1:14">
      <c r="A1746" s="683"/>
      <c r="B1746" s="3129" t="s">
        <v>774</v>
      </c>
      <c r="C1746" s="683" t="s">
        <v>327</v>
      </c>
      <c r="D1746" s="719" t="s">
        <v>1980</v>
      </c>
      <c r="E1746" s="720" t="s">
        <v>1925</v>
      </c>
      <c r="F1746" s="824">
        <v>2241</v>
      </c>
      <c r="G1746" s="800" t="s">
        <v>156</v>
      </c>
      <c r="H1746" s="893">
        <v>0</v>
      </c>
      <c r="I1746" s="893"/>
      <c r="J1746" s="1654" t="s">
        <v>1134</v>
      </c>
      <c r="K1746" s="1251"/>
      <c r="L1746" s="893">
        <v>0</v>
      </c>
      <c r="M1746" s="893"/>
      <c r="N1746" s="57"/>
    </row>
    <row r="1747" spans="1:14">
      <c r="A1747" s="774" t="s">
        <v>709</v>
      </c>
      <c r="B1747" s="3137" t="s">
        <v>774</v>
      </c>
      <c r="C1747" s="774" t="s">
        <v>327</v>
      </c>
      <c r="D1747" s="873" t="s">
        <v>1980</v>
      </c>
      <c r="E1747" s="700" t="s">
        <v>1925</v>
      </c>
      <c r="F1747" s="795">
        <v>2241</v>
      </c>
      <c r="G1747" s="750"/>
      <c r="H1747" s="748"/>
      <c r="I1747" s="748"/>
      <c r="J1747" s="1654" t="s">
        <v>1134</v>
      </c>
      <c r="K1747" s="1314"/>
      <c r="L1747" s="748"/>
      <c r="M1747" s="748"/>
      <c r="N1747" s="57"/>
    </row>
    <row r="1748" spans="1:14" ht="20.399999999999999">
      <c r="A1748" s="683"/>
      <c r="B1748" s="3129" t="s">
        <v>772</v>
      </c>
      <c r="C1748" s="683" t="s">
        <v>320</v>
      </c>
      <c r="D1748" s="719" t="s">
        <v>1980</v>
      </c>
      <c r="E1748" s="720" t="s">
        <v>1925</v>
      </c>
      <c r="F1748" s="824">
        <v>2243</v>
      </c>
      <c r="G1748" s="800" t="s">
        <v>198</v>
      </c>
      <c r="H1748" s="893">
        <v>1820</v>
      </c>
      <c r="I1748" s="893"/>
      <c r="J1748" s="1654">
        <v>239</v>
      </c>
      <c r="K1748" s="1251"/>
      <c r="L1748" s="893">
        <v>1420</v>
      </c>
      <c r="M1748" s="893"/>
      <c r="N1748" s="57"/>
    </row>
    <row r="1749" spans="1:14">
      <c r="A1749" s="774"/>
      <c r="B1749" s="3137" t="s">
        <v>772</v>
      </c>
      <c r="C1749" s="774" t="s">
        <v>320</v>
      </c>
      <c r="D1749" s="678" t="s">
        <v>1980</v>
      </c>
      <c r="E1749" s="700" t="s">
        <v>1925</v>
      </c>
      <c r="F1749" s="795">
        <v>2243</v>
      </c>
      <c r="G1749" s="1008" t="s">
        <v>412</v>
      </c>
      <c r="H1749" s="748"/>
      <c r="I1749" s="748">
        <v>220</v>
      </c>
      <c r="J1749" s="1654" t="s">
        <v>1134</v>
      </c>
      <c r="K1749" s="2006"/>
      <c r="L1749" s="748"/>
      <c r="M1749" s="748">
        <v>220</v>
      </c>
      <c r="N1749" s="57"/>
    </row>
    <row r="1750" spans="1:14" ht="20.399999999999999">
      <c r="A1750" s="872"/>
      <c r="B1750" s="3137" t="s">
        <v>772</v>
      </c>
      <c r="C1750" s="774" t="s">
        <v>320</v>
      </c>
      <c r="D1750" s="873" t="s">
        <v>1980</v>
      </c>
      <c r="E1750" s="700" t="s">
        <v>1925</v>
      </c>
      <c r="F1750" s="795">
        <v>2243</v>
      </c>
      <c r="G1750" s="750" t="s">
        <v>238</v>
      </c>
      <c r="H1750" s="748"/>
      <c r="I1750" s="748">
        <v>100</v>
      </c>
      <c r="J1750" s="1654" t="s">
        <v>1134</v>
      </c>
      <c r="K1750" s="2006"/>
      <c r="L1750" s="748"/>
      <c r="M1750" s="748">
        <v>100</v>
      </c>
      <c r="N1750" s="57"/>
    </row>
    <row r="1751" spans="1:14" ht="20.399999999999999">
      <c r="A1751" s="774"/>
      <c r="B1751" s="3137" t="s">
        <v>772</v>
      </c>
      <c r="C1751" s="774" t="s">
        <v>320</v>
      </c>
      <c r="D1751" s="678" t="s">
        <v>1980</v>
      </c>
      <c r="E1751" s="700" t="s">
        <v>1925</v>
      </c>
      <c r="F1751" s="795">
        <v>2243</v>
      </c>
      <c r="G1751" s="745" t="s">
        <v>535</v>
      </c>
      <c r="H1751" s="748"/>
      <c r="I1751" s="748">
        <v>800</v>
      </c>
      <c r="J1751" s="1654" t="s">
        <v>1134</v>
      </c>
      <c r="K1751" s="2006"/>
      <c r="L1751" s="748"/>
      <c r="M1751" s="1987">
        <v>400</v>
      </c>
      <c r="N1751" s="57"/>
    </row>
    <row r="1752" spans="1:14" ht="20.399999999999999">
      <c r="A1752" s="774"/>
      <c r="B1752" s="3137" t="s">
        <v>772</v>
      </c>
      <c r="C1752" s="774" t="s">
        <v>320</v>
      </c>
      <c r="D1752" s="873" t="s">
        <v>1980</v>
      </c>
      <c r="E1752" s="700" t="s">
        <v>1925</v>
      </c>
      <c r="F1752" s="795">
        <v>2243</v>
      </c>
      <c r="G1752" s="745" t="s">
        <v>2356</v>
      </c>
      <c r="H1752" s="748"/>
      <c r="I1752" s="748">
        <v>700</v>
      </c>
      <c r="J1752" s="1654" t="s">
        <v>1134</v>
      </c>
      <c r="K1752" s="2006"/>
      <c r="L1752" s="748"/>
      <c r="M1752" s="748">
        <v>700</v>
      </c>
      <c r="N1752" s="3"/>
    </row>
    <row r="1753" spans="1:14">
      <c r="A1753" s="683"/>
      <c r="B1753" s="3129" t="s">
        <v>772</v>
      </c>
      <c r="C1753" s="683" t="s">
        <v>327</v>
      </c>
      <c r="D1753" s="719" t="s">
        <v>1980</v>
      </c>
      <c r="E1753" s="720" t="s">
        <v>1925</v>
      </c>
      <c r="F1753" s="824">
        <v>2244</v>
      </c>
      <c r="G1753" s="800" t="s">
        <v>330</v>
      </c>
      <c r="H1753" s="893">
        <v>270</v>
      </c>
      <c r="I1753" s="893"/>
      <c r="J1753" s="1654">
        <v>25.65</v>
      </c>
      <c r="K1753" s="1251"/>
      <c r="L1753" s="893">
        <v>0</v>
      </c>
      <c r="M1753" s="893"/>
      <c r="N1753" s="3"/>
    </row>
    <row r="1754" spans="1:14" ht="20.399999999999999">
      <c r="A1754" s="774"/>
      <c r="B1754" s="3137" t="s">
        <v>772</v>
      </c>
      <c r="C1754" s="774" t="s">
        <v>327</v>
      </c>
      <c r="D1754" s="873" t="s">
        <v>1980</v>
      </c>
      <c r="E1754" s="700" t="s">
        <v>1925</v>
      </c>
      <c r="F1754" s="795">
        <v>2244</v>
      </c>
      <c r="G1754" s="745" t="s">
        <v>2689</v>
      </c>
      <c r="H1754" s="748"/>
      <c r="I1754" s="748">
        <v>270</v>
      </c>
      <c r="J1754" s="1654" t="s">
        <v>1134</v>
      </c>
      <c r="K1754" s="2006"/>
      <c r="L1754" s="748"/>
      <c r="M1754" s="748"/>
      <c r="N1754" s="3"/>
    </row>
    <row r="1755" spans="1:14">
      <c r="A1755" s="683"/>
      <c r="B1755" s="3129" t="s">
        <v>772</v>
      </c>
      <c r="C1755" s="683" t="s">
        <v>327</v>
      </c>
      <c r="D1755" s="719" t="s">
        <v>1980</v>
      </c>
      <c r="E1755" s="720" t="s">
        <v>1925</v>
      </c>
      <c r="F1755" s="685">
        <v>2247</v>
      </c>
      <c r="G1755" s="686" t="s">
        <v>185</v>
      </c>
      <c r="H1755" s="731">
        <v>16250</v>
      </c>
      <c r="I1755" s="731"/>
      <c r="J1755" s="1494">
        <v>11748</v>
      </c>
      <c r="K1755" s="747"/>
      <c r="L1755" s="731">
        <v>15400</v>
      </c>
      <c r="M1755" s="731"/>
      <c r="N1755" s="3"/>
    </row>
    <row r="1756" spans="1:14">
      <c r="A1756" s="774"/>
      <c r="B1756" s="3137" t="s">
        <v>772</v>
      </c>
      <c r="C1756" s="774" t="s">
        <v>327</v>
      </c>
      <c r="D1756" s="873" t="s">
        <v>1980</v>
      </c>
      <c r="E1756" s="700" t="s">
        <v>1925</v>
      </c>
      <c r="F1756" s="679">
        <v>2247</v>
      </c>
      <c r="G1756" s="665" t="s">
        <v>2357</v>
      </c>
      <c r="H1756" s="741"/>
      <c r="I1756" s="741">
        <v>15400</v>
      </c>
      <c r="J1756" s="1494" t="s">
        <v>1134</v>
      </c>
      <c r="K1756" s="732"/>
      <c r="L1756" s="741"/>
      <c r="M1756" s="741">
        <v>15400</v>
      </c>
      <c r="N1756" s="3"/>
    </row>
    <row r="1757" spans="1:14" ht="20.399999999999999">
      <c r="A1757" s="774"/>
      <c r="B1757" s="3137" t="s">
        <v>772</v>
      </c>
      <c r="C1757" s="774" t="s">
        <v>327</v>
      </c>
      <c r="D1757" s="873" t="s">
        <v>1980</v>
      </c>
      <c r="E1757" s="700" t="s">
        <v>1925</v>
      </c>
      <c r="F1757" s="679">
        <v>2247</v>
      </c>
      <c r="G1757" s="665" t="s">
        <v>2712</v>
      </c>
      <c r="H1757" s="741"/>
      <c r="I1757" s="741">
        <v>2250</v>
      </c>
      <c r="J1757" s="1494" t="s">
        <v>1134</v>
      </c>
      <c r="K1757" s="732"/>
      <c r="L1757" s="741"/>
      <c r="M1757" s="741"/>
      <c r="N1757" s="3"/>
    </row>
    <row r="1758" spans="1:14" ht="71.400000000000006">
      <c r="A1758" s="774"/>
      <c r="B1758" s="3137" t="s">
        <v>772</v>
      </c>
      <c r="C1758" s="774" t="s">
        <v>327</v>
      </c>
      <c r="D1758" s="873" t="s">
        <v>1980</v>
      </c>
      <c r="E1758" s="700" t="s">
        <v>1925</v>
      </c>
      <c r="F1758" s="679">
        <v>2247</v>
      </c>
      <c r="G1758" s="665" t="s">
        <v>3369</v>
      </c>
      <c r="H1758" s="741"/>
      <c r="I1758" s="741">
        <v>-1400</v>
      </c>
      <c r="J1758" s="1494" t="s">
        <v>1134</v>
      </c>
      <c r="K1758" s="732"/>
      <c r="L1758" s="741"/>
      <c r="M1758" s="741"/>
      <c r="N1758" s="3"/>
    </row>
    <row r="1759" spans="1:14" ht="20.399999999999999">
      <c r="A1759" s="683"/>
      <c r="B1759" s="3129" t="s">
        <v>772</v>
      </c>
      <c r="C1759" s="683" t="s">
        <v>327</v>
      </c>
      <c r="D1759" s="719" t="s">
        <v>1980</v>
      </c>
      <c r="E1759" s="720" t="s">
        <v>1925</v>
      </c>
      <c r="F1759" s="824">
        <v>2249</v>
      </c>
      <c r="G1759" s="800" t="s">
        <v>282</v>
      </c>
      <c r="H1759" s="893">
        <v>5500</v>
      </c>
      <c r="I1759" s="893"/>
      <c r="J1759" s="1654"/>
      <c r="K1759" s="1251"/>
      <c r="L1759" s="893">
        <v>5500</v>
      </c>
      <c r="M1759" s="893"/>
      <c r="N1759" s="3"/>
    </row>
    <row r="1760" spans="1:14" ht="20.399999999999999">
      <c r="A1760" s="774"/>
      <c r="B1760" s="3137" t="s">
        <v>772</v>
      </c>
      <c r="C1760" s="774" t="s">
        <v>327</v>
      </c>
      <c r="D1760" s="873" t="s">
        <v>1980</v>
      </c>
      <c r="E1760" s="700" t="s">
        <v>1925</v>
      </c>
      <c r="F1760" s="795">
        <v>2249</v>
      </c>
      <c r="G1760" s="745" t="s">
        <v>1629</v>
      </c>
      <c r="H1760" s="748"/>
      <c r="I1760" s="741">
        <v>5500</v>
      </c>
      <c r="J1760" s="1654"/>
      <c r="K1760" s="2006"/>
      <c r="L1760" s="748"/>
      <c r="M1760" s="748">
        <v>5500</v>
      </c>
      <c r="N1760" s="57"/>
    </row>
    <row r="1761" spans="1:14" ht="22.5" customHeight="1">
      <c r="A1761" s="683"/>
      <c r="B1761" s="3129" t="s">
        <v>772</v>
      </c>
      <c r="C1761" s="683" t="s">
        <v>320</v>
      </c>
      <c r="D1761" s="719" t="s">
        <v>1980</v>
      </c>
      <c r="E1761" s="720" t="s">
        <v>1925</v>
      </c>
      <c r="F1761" s="824">
        <v>2250</v>
      </c>
      <c r="G1761" s="800" t="s">
        <v>1142</v>
      </c>
      <c r="H1761" s="893">
        <v>3560.76</v>
      </c>
      <c r="I1761" s="893"/>
      <c r="J1761" s="1654">
        <v>1899</v>
      </c>
      <c r="K1761" s="1251"/>
      <c r="L1761" s="893">
        <v>3560.76</v>
      </c>
      <c r="M1761" s="893"/>
      <c r="N1761" s="385"/>
    </row>
    <row r="1762" spans="1:14">
      <c r="A1762" s="663"/>
      <c r="B1762" s="3130" t="s">
        <v>772</v>
      </c>
      <c r="C1762" s="663" t="s">
        <v>320</v>
      </c>
      <c r="D1762" s="678" t="s">
        <v>1980</v>
      </c>
      <c r="E1762" s="700" t="s">
        <v>1925</v>
      </c>
      <c r="F1762" s="795">
        <v>2250</v>
      </c>
      <c r="G1762" s="750" t="s">
        <v>876</v>
      </c>
      <c r="H1762" s="748"/>
      <c r="I1762" s="748">
        <v>684</v>
      </c>
      <c r="J1762" s="1654" t="s">
        <v>1134</v>
      </c>
      <c r="K1762" s="1314"/>
      <c r="L1762" s="748"/>
      <c r="M1762" s="748">
        <v>684</v>
      </c>
      <c r="N1762" s="57"/>
    </row>
    <row r="1763" spans="1:14" ht="20.399999999999999">
      <c r="A1763" s="900"/>
      <c r="B1763" s="3137" t="s">
        <v>772</v>
      </c>
      <c r="C1763" s="774" t="s">
        <v>322</v>
      </c>
      <c r="D1763" s="901" t="s">
        <v>1980</v>
      </c>
      <c r="E1763" s="902" t="s">
        <v>1925</v>
      </c>
      <c r="F1763" s="795">
        <v>2250</v>
      </c>
      <c r="G1763" s="750" t="s">
        <v>3971</v>
      </c>
      <c r="H1763" s="2021"/>
      <c r="I1763" s="748">
        <v>2000.76</v>
      </c>
      <c r="J1763" s="1654" t="s">
        <v>1134</v>
      </c>
      <c r="K1763" s="2022"/>
      <c r="L1763" s="2021"/>
      <c r="M1763" s="748">
        <v>2000.76</v>
      </c>
      <c r="N1763" s="57"/>
    </row>
    <row r="1764" spans="1:14">
      <c r="A1764" s="900"/>
      <c r="B1764" s="3137" t="s">
        <v>772</v>
      </c>
      <c r="C1764" s="774" t="s">
        <v>322</v>
      </c>
      <c r="D1764" s="901" t="s">
        <v>1980</v>
      </c>
      <c r="E1764" s="902" t="s">
        <v>1925</v>
      </c>
      <c r="F1764" s="795">
        <v>2250</v>
      </c>
      <c r="G1764" s="750" t="s">
        <v>3972</v>
      </c>
      <c r="H1764" s="2021"/>
      <c r="I1764" s="748">
        <v>826</v>
      </c>
      <c r="J1764" s="1654" t="s">
        <v>1134</v>
      </c>
      <c r="K1764" s="2022"/>
      <c r="L1764" s="2021"/>
      <c r="M1764" s="748">
        <v>826</v>
      </c>
      <c r="N1764" s="57"/>
    </row>
    <row r="1765" spans="1:14">
      <c r="A1765" s="774"/>
      <c r="B1765" s="3137" t="s">
        <v>772</v>
      </c>
      <c r="C1765" s="774" t="s">
        <v>322</v>
      </c>
      <c r="D1765" s="873" t="s">
        <v>1980</v>
      </c>
      <c r="E1765" s="700" t="s">
        <v>1925</v>
      </c>
      <c r="F1765" s="795">
        <v>2250</v>
      </c>
      <c r="G1765" s="750" t="s">
        <v>534</v>
      </c>
      <c r="H1765" s="748"/>
      <c r="I1765" s="748">
        <v>50</v>
      </c>
      <c r="J1765" s="1654" t="s">
        <v>1134</v>
      </c>
      <c r="K1765" s="1314"/>
      <c r="L1765" s="748"/>
      <c r="M1765" s="748">
        <v>50</v>
      </c>
      <c r="N1765" s="57"/>
    </row>
    <row r="1766" spans="1:14">
      <c r="A1766" s="683"/>
      <c r="B1766" s="3129" t="s">
        <v>772</v>
      </c>
      <c r="C1766" s="683" t="s">
        <v>320</v>
      </c>
      <c r="D1766" s="719" t="s">
        <v>1980</v>
      </c>
      <c r="E1766" s="720" t="s">
        <v>1925</v>
      </c>
      <c r="F1766" s="824">
        <v>2263</v>
      </c>
      <c r="G1766" s="800" t="s">
        <v>239</v>
      </c>
      <c r="H1766" s="893">
        <v>5520</v>
      </c>
      <c r="I1766" s="893"/>
      <c r="J1766" s="1654">
        <v>5257</v>
      </c>
      <c r="K1766" s="1251"/>
      <c r="L1766" s="893">
        <v>5520</v>
      </c>
      <c r="M1766" s="893"/>
      <c r="N1766" s="57"/>
    </row>
    <row r="1767" spans="1:14" ht="30.6">
      <c r="A1767" s="663"/>
      <c r="B1767" s="3130" t="s">
        <v>772</v>
      </c>
      <c r="C1767" s="663" t="s">
        <v>320</v>
      </c>
      <c r="D1767" s="678" t="s">
        <v>1980</v>
      </c>
      <c r="E1767" s="700" t="s">
        <v>1925</v>
      </c>
      <c r="F1767" s="795">
        <v>2263</v>
      </c>
      <c r="G1767" s="750" t="s">
        <v>5019</v>
      </c>
      <c r="H1767" s="748"/>
      <c r="I1767" s="748">
        <v>5520</v>
      </c>
      <c r="J1767" s="1654" t="s">
        <v>1134</v>
      </c>
      <c r="K1767" s="1314"/>
      <c r="L1767" s="748"/>
      <c r="M1767" s="748">
        <v>5520</v>
      </c>
      <c r="N1767" s="57"/>
    </row>
    <row r="1768" spans="1:14">
      <c r="A1768" s="683"/>
      <c r="B1768" s="3129" t="s">
        <v>772</v>
      </c>
      <c r="C1768" s="683" t="s">
        <v>322</v>
      </c>
      <c r="D1768" s="823" t="s">
        <v>1980</v>
      </c>
      <c r="E1768" s="720" t="s">
        <v>1925</v>
      </c>
      <c r="F1768" s="824">
        <v>2311</v>
      </c>
      <c r="G1768" s="800" t="s">
        <v>129</v>
      </c>
      <c r="H1768" s="893">
        <v>3171</v>
      </c>
      <c r="I1768" s="893"/>
      <c r="J1768" s="1654">
        <v>3491</v>
      </c>
      <c r="K1768" s="1251"/>
      <c r="L1768" s="893">
        <v>3171</v>
      </c>
      <c r="M1768" s="893"/>
      <c r="N1768" s="57"/>
    </row>
    <row r="1769" spans="1:14">
      <c r="A1769" s="663"/>
      <c r="B1769" s="3130" t="s">
        <v>772</v>
      </c>
      <c r="C1769" s="663" t="s">
        <v>322</v>
      </c>
      <c r="D1769" s="794" t="s">
        <v>1980</v>
      </c>
      <c r="E1769" s="700" t="s">
        <v>1925</v>
      </c>
      <c r="F1769" s="795">
        <v>2311</v>
      </c>
      <c r="G1769" s="750" t="s">
        <v>240</v>
      </c>
      <c r="H1769" s="748"/>
      <c r="I1769" s="748">
        <v>550</v>
      </c>
      <c r="J1769" s="1654" t="s">
        <v>1134</v>
      </c>
      <c r="K1769" s="1314"/>
      <c r="L1769" s="748"/>
      <c r="M1769" s="1987">
        <v>550</v>
      </c>
      <c r="N1769" s="57"/>
    </row>
    <row r="1770" spans="1:14" ht="20.399999999999999">
      <c r="A1770" s="663"/>
      <c r="B1770" s="3130" t="s">
        <v>772</v>
      </c>
      <c r="C1770" s="663" t="s">
        <v>322</v>
      </c>
      <c r="D1770" s="794" t="s">
        <v>1980</v>
      </c>
      <c r="E1770" s="700" t="s">
        <v>1925</v>
      </c>
      <c r="F1770" s="795">
        <v>2311</v>
      </c>
      <c r="G1770" s="750" t="s">
        <v>2359</v>
      </c>
      <c r="H1770" s="748"/>
      <c r="I1770" s="748">
        <v>2071</v>
      </c>
      <c r="J1770" s="1654" t="s">
        <v>1134</v>
      </c>
      <c r="K1770" s="1314"/>
      <c r="L1770" s="748"/>
      <c r="M1770" s="748">
        <v>2071</v>
      </c>
      <c r="N1770" s="57"/>
    </row>
    <row r="1771" spans="1:14">
      <c r="A1771" s="663"/>
      <c r="B1771" s="3130" t="s">
        <v>772</v>
      </c>
      <c r="C1771" s="663" t="s">
        <v>322</v>
      </c>
      <c r="D1771" s="794" t="s">
        <v>1980</v>
      </c>
      <c r="E1771" s="700" t="s">
        <v>1925</v>
      </c>
      <c r="F1771" s="795">
        <v>2311</v>
      </c>
      <c r="G1771" s="750" t="s">
        <v>2360</v>
      </c>
      <c r="H1771" s="748"/>
      <c r="I1771" s="748">
        <v>550</v>
      </c>
      <c r="J1771" s="1654" t="s">
        <v>1134</v>
      </c>
      <c r="K1771" s="1314"/>
      <c r="L1771" s="748"/>
      <c r="M1771" s="748">
        <v>550</v>
      </c>
      <c r="N1771" s="57"/>
    </row>
    <row r="1772" spans="1:14">
      <c r="A1772" s="683"/>
      <c r="B1772" s="3129" t="s">
        <v>772</v>
      </c>
      <c r="C1772" s="683" t="s">
        <v>322</v>
      </c>
      <c r="D1772" s="719" t="s">
        <v>1980</v>
      </c>
      <c r="E1772" s="720" t="s">
        <v>1925</v>
      </c>
      <c r="F1772" s="824">
        <v>2312</v>
      </c>
      <c r="G1772" s="800" t="s">
        <v>131</v>
      </c>
      <c r="H1772" s="893">
        <v>22856</v>
      </c>
      <c r="I1772" s="893"/>
      <c r="J1772" s="1654">
        <v>23919</v>
      </c>
      <c r="K1772" s="1251"/>
      <c r="L1772" s="893">
        <v>20913</v>
      </c>
      <c r="M1772" s="893"/>
      <c r="N1772" s="57"/>
    </row>
    <row r="1773" spans="1:14" ht="30.6">
      <c r="A1773" s="663"/>
      <c r="B1773" s="3130" t="s">
        <v>772</v>
      </c>
      <c r="C1773" s="663" t="s">
        <v>322</v>
      </c>
      <c r="D1773" s="678" t="s">
        <v>1980</v>
      </c>
      <c r="E1773" s="700" t="s">
        <v>1925</v>
      </c>
      <c r="F1773" s="795">
        <v>2312</v>
      </c>
      <c r="G1773" s="750" t="s">
        <v>3974</v>
      </c>
      <c r="H1773" s="748"/>
      <c r="I1773" s="748">
        <v>2550</v>
      </c>
      <c r="J1773" s="1654" t="s">
        <v>1134</v>
      </c>
      <c r="K1773" s="1314"/>
      <c r="L1773" s="748"/>
      <c r="M1773" s="2024">
        <v>3550</v>
      </c>
      <c r="N1773" s="57"/>
    </row>
    <row r="1774" spans="1:14">
      <c r="A1774" s="663"/>
      <c r="B1774" s="3130" t="s">
        <v>772</v>
      </c>
      <c r="C1774" s="663" t="s">
        <v>322</v>
      </c>
      <c r="D1774" s="678" t="s">
        <v>1980</v>
      </c>
      <c r="E1774" s="700" t="s">
        <v>1925</v>
      </c>
      <c r="F1774" s="795">
        <v>2312</v>
      </c>
      <c r="G1774" s="1703" t="s">
        <v>2361</v>
      </c>
      <c r="H1774" s="748"/>
      <c r="I1774" s="748">
        <v>600</v>
      </c>
      <c r="J1774" s="1654" t="s">
        <v>1134</v>
      </c>
      <c r="K1774" s="1314"/>
      <c r="L1774" s="748"/>
      <c r="M1774" s="1964"/>
      <c r="N1774" s="57"/>
    </row>
    <row r="1775" spans="1:14">
      <c r="A1775" s="663"/>
      <c r="B1775" s="3130" t="s">
        <v>772</v>
      </c>
      <c r="C1775" s="663" t="s">
        <v>322</v>
      </c>
      <c r="D1775" s="678" t="s">
        <v>1980</v>
      </c>
      <c r="E1775" s="700" t="s">
        <v>1925</v>
      </c>
      <c r="F1775" s="795">
        <v>2312</v>
      </c>
      <c r="G1775" s="1703" t="s">
        <v>3975</v>
      </c>
      <c r="H1775" s="748"/>
      <c r="I1775" s="748">
        <v>300</v>
      </c>
      <c r="J1775" s="1654" t="s">
        <v>1134</v>
      </c>
      <c r="K1775" s="1314"/>
      <c r="L1775" s="748"/>
      <c r="M1775" s="1964">
        <v>300</v>
      </c>
      <c r="N1775" s="57"/>
    </row>
    <row r="1776" spans="1:14" ht="20.399999999999999">
      <c r="A1776" s="663"/>
      <c r="B1776" s="3130" t="s">
        <v>772</v>
      </c>
      <c r="C1776" s="663" t="s">
        <v>322</v>
      </c>
      <c r="D1776" s="678" t="s">
        <v>1980</v>
      </c>
      <c r="E1776" s="700" t="s">
        <v>1925</v>
      </c>
      <c r="F1776" s="795">
        <v>2312</v>
      </c>
      <c r="G1776" s="1703" t="s">
        <v>3976</v>
      </c>
      <c r="H1776" s="748"/>
      <c r="I1776" s="748">
        <v>2600</v>
      </c>
      <c r="J1776" s="1654" t="s">
        <v>1134</v>
      </c>
      <c r="K1776" s="1314"/>
      <c r="L1776" s="748"/>
      <c r="M1776" s="1964">
        <v>3850</v>
      </c>
      <c r="N1776" s="57"/>
    </row>
    <row r="1777" spans="1:14">
      <c r="A1777" s="663"/>
      <c r="B1777" s="3130" t="s">
        <v>772</v>
      </c>
      <c r="C1777" s="663" t="s">
        <v>322</v>
      </c>
      <c r="D1777" s="678" t="s">
        <v>1980</v>
      </c>
      <c r="E1777" s="700" t="s">
        <v>1925</v>
      </c>
      <c r="F1777" s="795">
        <v>2312</v>
      </c>
      <c r="G1777" s="1703" t="s">
        <v>3977</v>
      </c>
      <c r="H1777" s="748"/>
      <c r="I1777" s="748">
        <v>3648</v>
      </c>
      <c r="J1777" s="1654" t="s">
        <v>1134</v>
      </c>
      <c r="K1777" s="1314"/>
      <c r="L1777" s="748"/>
      <c r="M1777" s="1964">
        <v>768</v>
      </c>
      <c r="N1777" s="57"/>
    </row>
    <row r="1778" spans="1:14">
      <c r="A1778" s="663"/>
      <c r="B1778" s="3130" t="s">
        <v>772</v>
      </c>
      <c r="C1778" s="663" t="s">
        <v>322</v>
      </c>
      <c r="D1778" s="678" t="s">
        <v>1980</v>
      </c>
      <c r="E1778" s="700" t="s">
        <v>1925</v>
      </c>
      <c r="F1778" s="795">
        <v>2312</v>
      </c>
      <c r="G1778" s="1703" t="s">
        <v>1630</v>
      </c>
      <c r="H1778" s="748"/>
      <c r="I1778" s="748">
        <v>1200</v>
      </c>
      <c r="J1778" s="1654" t="s">
        <v>1134</v>
      </c>
      <c r="K1778" s="1314"/>
      <c r="L1778" s="748"/>
      <c r="M1778" s="1964">
        <v>1400</v>
      </c>
      <c r="N1778" s="57"/>
    </row>
    <row r="1779" spans="1:14" ht="20.399999999999999">
      <c r="A1779" s="663"/>
      <c r="B1779" s="3130" t="s">
        <v>772</v>
      </c>
      <c r="C1779" s="663" t="s">
        <v>322</v>
      </c>
      <c r="D1779" s="678" t="s">
        <v>1980</v>
      </c>
      <c r="E1779" s="700" t="s">
        <v>1925</v>
      </c>
      <c r="F1779" s="795">
        <v>2312</v>
      </c>
      <c r="G1779" s="1703" t="s">
        <v>5215</v>
      </c>
      <c r="H1779" s="748"/>
      <c r="I1779" s="748">
        <v>600</v>
      </c>
      <c r="J1779" s="1654" t="s">
        <v>1134</v>
      </c>
      <c r="K1779" s="1314"/>
      <c r="L1779" s="748"/>
      <c r="M1779" s="1964">
        <v>445</v>
      </c>
      <c r="N1779" s="2023"/>
    </row>
    <row r="1780" spans="1:14" ht="12" customHeight="1">
      <c r="A1780" s="663"/>
      <c r="B1780" s="3130" t="s">
        <v>772</v>
      </c>
      <c r="C1780" s="663" t="s">
        <v>322</v>
      </c>
      <c r="D1780" s="678" t="s">
        <v>1980</v>
      </c>
      <c r="E1780" s="700" t="s">
        <v>1925</v>
      </c>
      <c r="F1780" s="795">
        <v>2312</v>
      </c>
      <c r="G1780" s="1703" t="s">
        <v>3978</v>
      </c>
      <c r="H1780" s="748"/>
      <c r="I1780" s="748">
        <v>400</v>
      </c>
      <c r="J1780" s="1654" t="s">
        <v>1134</v>
      </c>
      <c r="K1780" s="1314"/>
      <c r="L1780" s="748"/>
      <c r="M1780" s="1964">
        <v>6300</v>
      </c>
      <c r="N1780" s="2023"/>
    </row>
    <row r="1781" spans="1:14">
      <c r="A1781" s="663"/>
      <c r="B1781" s="3130" t="s">
        <v>772</v>
      </c>
      <c r="C1781" s="663" t="s">
        <v>322</v>
      </c>
      <c r="D1781" s="678" t="s">
        <v>1980</v>
      </c>
      <c r="E1781" s="700" t="s">
        <v>1925</v>
      </c>
      <c r="F1781" s="795">
        <v>2312</v>
      </c>
      <c r="G1781" s="1703" t="s">
        <v>3979</v>
      </c>
      <c r="H1781" s="748"/>
      <c r="I1781" s="748">
        <v>1000</v>
      </c>
      <c r="J1781" s="1654" t="s">
        <v>1134</v>
      </c>
      <c r="K1781" s="1314"/>
      <c r="L1781" s="748"/>
      <c r="M1781" s="1964">
        <v>1300</v>
      </c>
      <c r="N1781" s="2023"/>
    </row>
    <row r="1782" spans="1:14" s="78" customFormat="1">
      <c r="A1782" s="663"/>
      <c r="B1782" s="3130" t="s">
        <v>772</v>
      </c>
      <c r="C1782" s="663" t="s">
        <v>324</v>
      </c>
      <c r="D1782" s="678" t="s">
        <v>1980</v>
      </c>
      <c r="E1782" s="700" t="s">
        <v>1925</v>
      </c>
      <c r="F1782" s="795">
        <v>2312</v>
      </c>
      <c r="G1782" s="1703" t="s">
        <v>2362</v>
      </c>
      <c r="H1782" s="748"/>
      <c r="I1782" s="748">
        <v>5280</v>
      </c>
      <c r="J1782" s="1654" t="s">
        <v>1134</v>
      </c>
      <c r="K1782" s="1314"/>
      <c r="L1782" s="748"/>
      <c r="M1782" s="1964"/>
      <c r="N1782" s="57"/>
    </row>
    <row r="1783" spans="1:14" s="78" customFormat="1" ht="20.399999999999999">
      <c r="A1783" s="663"/>
      <c r="B1783" s="3130" t="s">
        <v>772</v>
      </c>
      <c r="C1783" s="663" t="s">
        <v>324</v>
      </c>
      <c r="D1783" s="678" t="s">
        <v>1980</v>
      </c>
      <c r="E1783" s="700" t="s">
        <v>1925</v>
      </c>
      <c r="F1783" s="795">
        <v>2312</v>
      </c>
      <c r="G1783" s="1703" t="s">
        <v>3980</v>
      </c>
      <c r="H1783" s="748"/>
      <c r="I1783" s="748">
        <v>2982</v>
      </c>
      <c r="J1783" s="1654" t="s">
        <v>1134</v>
      </c>
      <c r="K1783" s="1314"/>
      <c r="L1783" s="748"/>
      <c r="M1783" s="1964">
        <v>1600</v>
      </c>
      <c r="N1783" s="57"/>
    </row>
    <row r="1784" spans="1:14">
      <c r="A1784" s="663"/>
      <c r="B1784" s="3130" t="s">
        <v>772</v>
      </c>
      <c r="C1784" s="663" t="s">
        <v>320</v>
      </c>
      <c r="D1784" s="678" t="s">
        <v>1980</v>
      </c>
      <c r="E1784" s="700" t="s">
        <v>1925</v>
      </c>
      <c r="F1784" s="795">
        <v>2312</v>
      </c>
      <c r="G1784" s="1703" t="s">
        <v>3981</v>
      </c>
      <c r="H1784" s="748"/>
      <c r="I1784" s="748">
        <v>840</v>
      </c>
      <c r="J1784" s="1654" t="s">
        <v>1134</v>
      </c>
      <c r="K1784" s="1314"/>
      <c r="L1784" s="748"/>
      <c r="M1784" s="1964">
        <v>400</v>
      </c>
      <c r="N1784" s="57"/>
    </row>
    <row r="1785" spans="1:14" ht="20.399999999999999">
      <c r="A1785" s="1669"/>
      <c r="B1785" s="3130" t="s">
        <v>772</v>
      </c>
      <c r="C1785" s="663" t="s">
        <v>320</v>
      </c>
      <c r="D1785" s="678" t="s">
        <v>1980</v>
      </c>
      <c r="E1785" s="700" t="s">
        <v>1925</v>
      </c>
      <c r="F1785" s="795">
        <v>2312</v>
      </c>
      <c r="G1785" s="1703" t="s">
        <v>3982</v>
      </c>
      <c r="H1785" s="1964"/>
      <c r="I1785" s="1964"/>
      <c r="J1785" s="1739"/>
      <c r="K1785" s="1995"/>
      <c r="L1785" s="1964"/>
      <c r="M1785" s="1964">
        <v>1000</v>
      </c>
      <c r="N1785" s="57"/>
    </row>
    <row r="1786" spans="1:14" ht="20.399999999999999">
      <c r="A1786" s="663"/>
      <c r="B1786" s="3130" t="s">
        <v>772</v>
      </c>
      <c r="C1786" s="663" t="s">
        <v>324</v>
      </c>
      <c r="D1786" s="678" t="s">
        <v>1980</v>
      </c>
      <c r="E1786" s="700" t="s">
        <v>1925</v>
      </c>
      <c r="F1786" s="795">
        <v>2312</v>
      </c>
      <c r="G1786" s="750" t="s">
        <v>3216</v>
      </c>
      <c r="H1786" s="748"/>
      <c r="I1786" s="748">
        <v>-144</v>
      </c>
      <c r="J1786" s="1654" t="s">
        <v>1134</v>
      </c>
      <c r="K1786" s="1314"/>
      <c r="L1786" s="748"/>
      <c r="M1786" s="748"/>
      <c r="N1786" s="17"/>
    </row>
    <row r="1787" spans="1:14" ht="20.399999999999999">
      <c r="A1787" s="663"/>
      <c r="B1787" s="3130" t="s">
        <v>772</v>
      </c>
      <c r="C1787" s="663" t="s">
        <v>322</v>
      </c>
      <c r="D1787" s="678" t="s">
        <v>1980</v>
      </c>
      <c r="E1787" s="700" t="s">
        <v>1925</v>
      </c>
      <c r="F1787" s="795">
        <v>2312</v>
      </c>
      <c r="G1787" s="750" t="s">
        <v>3410</v>
      </c>
      <c r="H1787" s="748"/>
      <c r="I1787" s="748">
        <v>1000</v>
      </c>
      <c r="J1787" s="1654" t="s">
        <v>1134</v>
      </c>
      <c r="K1787" s="1314"/>
      <c r="L1787" s="748"/>
      <c r="M1787" s="748"/>
      <c r="N1787" s="17"/>
    </row>
    <row r="1788" spans="1:14" ht="12" customHeight="1">
      <c r="A1788" s="683"/>
      <c r="B1788" s="3129" t="s">
        <v>772</v>
      </c>
      <c r="C1788" s="683" t="s">
        <v>320</v>
      </c>
      <c r="D1788" s="719" t="s">
        <v>1980</v>
      </c>
      <c r="E1788" s="720" t="s">
        <v>1925</v>
      </c>
      <c r="F1788" s="685">
        <v>2314</v>
      </c>
      <c r="G1788" s="686" t="s">
        <v>1143</v>
      </c>
      <c r="H1788" s="731">
        <v>2826</v>
      </c>
      <c r="I1788" s="731"/>
      <c r="J1788" s="1494">
        <v>1591</v>
      </c>
      <c r="K1788" s="747"/>
      <c r="L1788" s="731">
        <v>2907</v>
      </c>
      <c r="M1788" s="731"/>
      <c r="N1788" s="17"/>
    </row>
    <row r="1789" spans="1:14" ht="12" customHeight="1">
      <c r="A1789" s="663"/>
      <c r="B1789" s="3130" t="s">
        <v>772</v>
      </c>
      <c r="C1789" s="663" t="s">
        <v>320</v>
      </c>
      <c r="D1789" s="678" t="s">
        <v>1980</v>
      </c>
      <c r="E1789" s="700" t="s">
        <v>1925</v>
      </c>
      <c r="F1789" s="679">
        <v>2314</v>
      </c>
      <c r="G1789" s="1671" t="s">
        <v>3983</v>
      </c>
      <c r="H1789" s="741"/>
      <c r="I1789" s="741">
        <v>600</v>
      </c>
      <c r="J1789" s="1494" t="s">
        <v>1134</v>
      </c>
      <c r="K1789" s="732"/>
      <c r="L1789" s="741"/>
      <c r="M1789" s="741">
        <v>600</v>
      </c>
      <c r="N1789" s="17"/>
    </row>
    <row r="1790" spans="1:14">
      <c r="A1790" s="663"/>
      <c r="B1790" s="3130" t="s">
        <v>772</v>
      </c>
      <c r="C1790" s="663" t="s">
        <v>320</v>
      </c>
      <c r="D1790" s="678" t="s">
        <v>1980</v>
      </c>
      <c r="E1790" s="700" t="s">
        <v>1925</v>
      </c>
      <c r="F1790" s="679">
        <v>2314</v>
      </c>
      <c r="G1790" s="1671" t="s">
        <v>2363</v>
      </c>
      <c r="H1790" s="741"/>
      <c r="I1790" s="741">
        <v>500</v>
      </c>
      <c r="J1790" s="1494" t="s">
        <v>1134</v>
      </c>
      <c r="K1790" s="732"/>
      <c r="L1790" s="741"/>
      <c r="M1790" s="741">
        <v>500</v>
      </c>
      <c r="N1790" s="57"/>
    </row>
    <row r="1791" spans="1:14" ht="20.399999999999999">
      <c r="A1791" s="663"/>
      <c r="B1791" s="3130" t="s">
        <v>772</v>
      </c>
      <c r="C1791" s="663" t="s">
        <v>320</v>
      </c>
      <c r="D1791" s="678" t="s">
        <v>1980</v>
      </c>
      <c r="E1791" s="700" t="s">
        <v>1925</v>
      </c>
      <c r="F1791" s="679">
        <v>2314</v>
      </c>
      <c r="G1791" s="1671" t="s">
        <v>2364</v>
      </c>
      <c r="H1791" s="741"/>
      <c r="I1791" s="741">
        <v>500</v>
      </c>
      <c r="J1791" s="1494" t="s">
        <v>1134</v>
      </c>
      <c r="K1791" s="732"/>
      <c r="L1791" s="741"/>
      <c r="M1791" s="741">
        <v>500</v>
      </c>
      <c r="N1791" s="57"/>
    </row>
    <row r="1792" spans="1:14" ht="20.399999999999999">
      <c r="A1792" s="663"/>
      <c r="B1792" s="3130" t="s">
        <v>772</v>
      </c>
      <c r="C1792" s="663" t="s">
        <v>320</v>
      </c>
      <c r="D1792" s="678" t="s">
        <v>1980</v>
      </c>
      <c r="E1792" s="700" t="s">
        <v>1925</v>
      </c>
      <c r="F1792" s="679">
        <v>2314</v>
      </c>
      <c r="G1792" s="1671" t="s">
        <v>2365</v>
      </c>
      <c r="H1792" s="741"/>
      <c r="I1792" s="741">
        <v>752</v>
      </c>
      <c r="J1792" s="1494" t="s">
        <v>1134</v>
      </c>
      <c r="K1792" s="732"/>
      <c r="L1792" s="741"/>
      <c r="M1792" s="741">
        <v>752</v>
      </c>
      <c r="N1792" s="57"/>
    </row>
    <row r="1793" spans="1:14" ht="20.399999999999999">
      <c r="A1793" s="663"/>
      <c r="B1793" s="3130" t="s">
        <v>772</v>
      </c>
      <c r="C1793" s="663" t="s">
        <v>320</v>
      </c>
      <c r="D1793" s="678" t="s">
        <v>1980</v>
      </c>
      <c r="E1793" s="700" t="s">
        <v>1925</v>
      </c>
      <c r="F1793" s="679">
        <v>2314</v>
      </c>
      <c r="G1793" s="1671" t="s">
        <v>2366</v>
      </c>
      <c r="H1793" s="741"/>
      <c r="I1793" s="741">
        <v>405</v>
      </c>
      <c r="J1793" s="1494" t="s">
        <v>1134</v>
      </c>
      <c r="K1793" s="732"/>
      <c r="L1793" s="741"/>
      <c r="M1793" s="741">
        <v>405</v>
      </c>
      <c r="N1793" s="381"/>
    </row>
    <row r="1794" spans="1:14">
      <c r="A1794" s="663"/>
      <c r="B1794" s="3130" t="s">
        <v>772</v>
      </c>
      <c r="C1794" s="663" t="s">
        <v>320</v>
      </c>
      <c r="D1794" s="678" t="s">
        <v>1980</v>
      </c>
      <c r="E1794" s="700" t="s">
        <v>1925</v>
      </c>
      <c r="F1794" s="679">
        <v>2314</v>
      </c>
      <c r="G1794" s="1671" t="s">
        <v>684</v>
      </c>
      <c r="H1794" s="741"/>
      <c r="I1794" s="741">
        <v>150</v>
      </c>
      <c r="J1794" s="1494" t="s">
        <v>1134</v>
      </c>
      <c r="K1794" s="732"/>
      <c r="L1794" s="741"/>
      <c r="M1794" s="741">
        <v>150</v>
      </c>
      <c r="N1794" s="57"/>
    </row>
    <row r="1795" spans="1:14" ht="20.399999999999999">
      <c r="A1795" s="663"/>
      <c r="B1795" s="3130" t="s">
        <v>772</v>
      </c>
      <c r="C1795" s="663" t="s">
        <v>320</v>
      </c>
      <c r="D1795" s="678" t="s">
        <v>1980</v>
      </c>
      <c r="E1795" s="700" t="s">
        <v>1925</v>
      </c>
      <c r="F1795" s="679">
        <v>2314</v>
      </c>
      <c r="G1795" s="665" t="s">
        <v>3959</v>
      </c>
      <c r="H1795" s="741"/>
      <c r="I1795" s="741">
        <v>-81</v>
      </c>
      <c r="J1795" s="1494" t="s">
        <v>1134</v>
      </c>
      <c r="K1795" s="732"/>
      <c r="L1795" s="741"/>
      <c r="M1795" s="741"/>
      <c r="N1795" s="305"/>
    </row>
    <row r="1796" spans="1:14">
      <c r="A1796" s="683"/>
      <c r="B1796" s="3129" t="s">
        <v>772</v>
      </c>
      <c r="C1796" s="683" t="s">
        <v>320</v>
      </c>
      <c r="D1796" s="719" t="s">
        <v>1980</v>
      </c>
      <c r="E1796" s="720" t="s">
        <v>1925</v>
      </c>
      <c r="F1796" s="824">
        <v>2322</v>
      </c>
      <c r="G1796" s="800" t="s">
        <v>229</v>
      </c>
      <c r="H1796" s="893">
        <v>299.59999999999997</v>
      </c>
      <c r="I1796" s="893"/>
      <c r="J1796" s="1654">
        <v>0</v>
      </c>
      <c r="K1796" s="1251"/>
      <c r="L1796" s="893">
        <v>268.8</v>
      </c>
      <c r="M1796" s="893"/>
      <c r="N1796" s="305"/>
    </row>
    <row r="1797" spans="1:14">
      <c r="A1797" s="663"/>
      <c r="B1797" s="3130" t="s">
        <v>772</v>
      </c>
      <c r="C1797" s="663" t="s">
        <v>320</v>
      </c>
      <c r="D1797" s="678" t="s">
        <v>1980</v>
      </c>
      <c r="E1797" s="700" t="s">
        <v>1925</v>
      </c>
      <c r="F1797" s="795">
        <v>2322</v>
      </c>
      <c r="G1797" s="750" t="s">
        <v>4812</v>
      </c>
      <c r="H1797" s="748"/>
      <c r="I1797" s="748">
        <v>299.59999999999997</v>
      </c>
      <c r="J1797" s="1654" t="s">
        <v>1134</v>
      </c>
      <c r="K1797" s="1314"/>
      <c r="L1797" s="748"/>
      <c r="M1797" s="748">
        <v>268.8</v>
      </c>
      <c r="N1797" s="57"/>
    </row>
    <row r="1798" spans="1:14">
      <c r="A1798" s="683"/>
      <c r="B1798" s="3129" t="s">
        <v>772</v>
      </c>
      <c r="C1798" s="683" t="s">
        <v>322</v>
      </c>
      <c r="D1798" s="719" t="s">
        <v>1980</v>
      </c>
      <c r="E1798" s="720" t="s">
        <v>1925</v>
      </c>
      <c r="F1798" s="824">
        <v>2341</v>
      </c>
      <c r="G1798" s="800" t="s">
        <v>208</v>
      </c>
      <c r="H1798" s="893">
        <v>1200</v>
      </c>
      <c r="I1798" s="893"/>
      <c r="J1798" s="1654">
        <v>0</v>
      </c>
      <c r="K1798" s="1251"/>
      <c r="L1798" s="893">
        <v>660</v>
      </c>
      <c r="M1798" s="893"/>
      <c r="N1798" s="57"/>
    </row>
    <row r="1799" spans="1:14" ht="20.399999999999999">
      <c r="A1799" s="663"/>
      <c r="B1799" s="3130" t="s">
        <v>772</v>
      </c>
      <c r="C1799" s="663" t="s">
        <v>322</v>
      </c>
      <c r="D1799" s="678" t="s">
        <v>1980</v>
      </c>
      <c r="E1799" s="700" t="s">
        <v>1925</v>
      </c>
      <c r="F1799" s="795">
        <v>2341</v>
      </c>
      <c r="G1799" s="1703" t="s">
        <v>3984</v>
      </c>
      <c r="H1799" s="748"/>
      <c r="I1799" s="748">
        <v>300</v>
      </c>
      <c r="J1799" s="1654" t="s">
        <v>1134</v>
      </c>
      <c r="K1799" s="1314"/>
      <c r="L1799" s="748"/>
      <c r="M1799" s="748">
        <v>660</v>
      </c>
      <c r="N1799" s="57"/>
    </row>
    <row r="1800" spans="1:14" ht="20.399999999999999">
      <c r="A1800" s="663"/>
      <c r="B1800" s="3130" t="s">
        <v>772</v>
      </c>
      <c r="C1800" s="663" t="s">
        <v>322</v>
      </c>
      <c r="D1800" s="678" t="s">
        <v>1980</v>
      </c>
      <c r="E1800" s="700" t="s">
        <v>1925</v>
      </c>
      <c r="F1800" s="795">
        <v>2341</v>
      </c>
      <c r="G1800" s="750" t="s">
        <v>3411</v>
      </c>
      <c r="H1800" s="748"/>
      <c r="I1800" s="748">
        <v>900</v>
      </c>
      <c r="J1800" s="1654" t="s">
        <v>1134</v>
      </c>
      <c r="K1800" s="1314"/>
      <c r="L1800" s="748"/>
      <c r="M1800" s="748"/>
      <c r="N1800" s="57"/>
    </row>
    <row r="1801" spans="1:14">
      <c r="A1801" s="683"/>
      <c r="B1801" s="3129" t="s">
        <v>772</v>
      </c>
      <c r="C1801" s="683" t="s">
        <v>320</v>
      </c>
      <c r="D1801" s="719" t="s">
        <v>1980</v>
      </c>
      <c r="E1801" s="720" t="s">
        <v>1925</v>
      </c>
      <c r="F1801" s="824">
        <v>2350</v>
      </c>
      <c r="G1801" s="800" t="s">
        <v>170</v>
      </c>
      <c r="H1801" s="893">
        <v>7622</v>
      </c>
      <c r="I1801" s="893"/>
      <c r="J1801" s="1654">
        <v>4855</v>
      </c>
      <c r="K1801" s="1251"/>
      <c r="L1801" s="893">
        <v>8560</v>
      </c>
      <c r="M1801" s="893"/>
      <c r="N1801" s="57"/>
    </row>
    <row r="1802" spans="1:14" ht="20.399999999999999">
      <c r="A1802" s="663"/>
      <c r="B1802" s="3130" t="s">
        <v>772</v>
      </c>
      <c r="C1802" s="663" t="s">
        <v>320</v>
      </c>
      <c r="D1802" s="678" t="s">
        <v>1980</v>
      </c>
      <c r="E1802" s="700" t="s">
        <v>1925</v>
      </c>
      <c r="F1802" s="795">
        <v>2350</v>
      </c>
      <c r="G1802" s="1703" t="s">
        <v>3988</v>
      </c>
      <c r="H1802" s="748"/>
      <c r="I1802" s="748">
        <v>2000</v>
      </c>
      <c r="J1802" s="1654" t="s">
        <v>1134</v>
      </c>
      <c r="K1802" s="1314"/>
      <c r="L1802" s="748"/>
      <c r="M1802" s="748">
        <v>2000</v>
      </c>
      <c r="N1802" s="57"/>
    </row>
    <row r="1803" spans="1:14">
      <c r="A1803" s="663"/>
      <c r="B1803" s="3130" t="s">
        <v>772</v>
      </c>
      <c r="C1803" s="663" t="s">
        <v>320</v>
      </c>
      <c r="D1803" s="678" t="s">
        <v>1980</v>
      </c>
      <c r="E1803" s="700" t="s">
        <v>1925</v>
      </c>
      <c r="F1803" s="795">
        <v>2350</v>
      </c>
      <c r="G1803" s="1703" t="s">
        <v>3985</v>
      </c>
      <c r="H1803" s="748"/>
      <c r="I1803" s="748">
        <v>600</v>
      </c>
      <c r="J1803" s="1654" t="s">
        <v>1134</v>
      </c>
      <c r="K1803" s="1314"/>
      <c r="L1803" s="748"/>
      <c r="M1803" s="748">
        <v>3000</v>
      </c>
      <c r="N1803" s="57"/>
    </row>
    <row r="1804" spans="1:14" ht="30.6">
      <c r="A1804" s="663"/>
      <c r="B1804" s="3130" t="s">
        <v>772</v>
      </c>
      <c r="C1804" s="663" t="s">
        <v>320</v>
      </c>
      <c r="D1804" s="678" t="s">
        <v>1980</v>
      </c>
      <c r="E1804" s="700" t="s">
        <v>1925</v>
      </c>
      <c r="F1804" s="795">
        <v>2350</v>
      </c>
      <c r="G1804" s="1703" t="s">
        <v>3986</v>
      </c>
      <c r="H1804" s="748"/>
      <c r="I1804" s="748">
        <v>752</v>
      </c>
      <c r="J1804" s="1654" t="s">
        <v>1134</v>
      </c>
      <c r="K1804" s="1314"/>
      <c r="L1804" s="748"/>
      <c r="M1804" s="748">
        <v>160</v>
      </c>
      <c r="N1804" s="57"/>
    </row>
    <row r="1805" spans="1:14" ht="30.6">
      <c r="A1805" s="663"/>
      <c r="B1805" s="3130" t="s">
        <v>772</v>
      </c>
      <c r="C1805" s="663" t="s">
        <v>320</v>
      </c>
      <c r="D1805" s="678" t="s">
        <v>1980</v>
      </c>
      <c r="E1805" s="700" t="s">
        <v>1925</v>
      </c>
      <c r="F1805" s="795">
        <v>2350</v>
      </c>
      <c r="G1805" s="1703" t="s">
        <v>3987</v>
      </c>
      <c r="H1805" s="748"/>
      <c r="I1805" s="748">
        <v>3400</v>
      </c>
      <c r="J1805" s="1654" t="s">
        <v>1134</v>
      </c>
      <c r="K1805" s="1314"/>
      <c r="L1805" s="748"/>
      <c r="M1805" s="748">
        <v>3400</v>
      </c>
      <c r="N1805" s="57"/>
    </row>
    <row r="1806" spans="1:14" ht="20.399999999999999">
      <c r="A1806" s="663"/>
      <c r="B1806" s="3130" t="s">
        <v>772</v>
      </c>
      <c r="C1806" s="663" t="s">
        <v>320</v>
      </c>
      <c r="D1806" s="678" t="s">
        <v>1980</v>
      </c>
      <c r="E1806" s="700" t="s">
        <v>1925</v>
      </c>
      <c r="F1806" s="795">
        <v>2350</v>
      </c>
      <c r="G1806" s="750" t="s">
        <v>3060</v>
      </c>
      <c r="H1806" s="748"/>
      <c r="I1806" s="748">
        <v>-630</v>
      </c>
      <c r="J1806" s="1654" t="s">
        <v>1134</v>
      </c>
      <c r="K1806" s="1314"/>
      <c r="L1806" s="748"/>
      <c r="M1806" s="748"/>
      <c r="N1806" s="57"/>
    </row>
    <row r="1807" spans="1:14" ht="20.399999999999999">
      <c r="A1807" s="2168"/>
      <c r="B1807" s="3130" t="s">
        <v>772</v>
      </c>
      <c r="C1807" s="663" t="s">
        <v>320</v>
      </c>
      <c r="D1807" s="678" t="s">
        <v>1980</v>
      </c>
      <c r="E1807" s="700" t="s">
        <v>1925</v>
      </c>
      <c r="F1807" s="795">
        <v>2350</v>
      </c>
      <c r="G1807" s="2195" t="s">
        <v>3457</v>
      </c>
      <c r="H1807" s="2200"/>
      <c r="I1807" s="2200">
        <v>1500</v>
      </c>
      <c r="J1807" s="2191"/>
      <c r="K1807" s="2354"/>
      <c r="L1807" s="2200"/>
      <c r="M1807" s="2200"/>
      <c r="N1807" s="57"/>
    </row>
    <row r="1808" spans="1:14">
      <c r="A1808" s="683"/>
      <c r="B1808" s="3129" t="s">
        <v>772</v>
      </c>
      <c r="C1808" s="683" t="s">
        <v>320</v>
      </c>
      <c r="D1808" s="719" t="s">
        <v>1980</v>
      </c>
      <c r="E1808" s="720" t="s">
        <v>1925</v>
      </c>
      <c r="F1808" s="824">
        <v>2361</v>
      </c>
      <c r="G1808" s="800" t="s">
        <v>1434</v>
      </c>
      <c r="H1808" s="893">
        <v>630</v>
      </c>
      <c r="I1808" s="893"/>
      <c r="J1808" s="1654">
        <v>624.94000000000005</v>
      </c>
      <c r="K1808" s="1251"/>
      <c r="L1808" s="893">
        <v>3565</v>
      </c>
      <c r="M1808" s="893"/>
      <c r="N1808" s="1686"/>
    </row>
    <row r="1809" spans="1:14" ht="20.399999999999999">
      <c r="A1809" s="663"/>
      <c r="B1809" s="3130" t="s">
        <v>772</v>
      </c>
      <c r="C1809" s="663" t="s">
        <v>320</v>
      </c>
      <c r="D1809" s="678" t="s">
        <v>1980</v>
      </c>
      <c r="E1809" s="700" t="s">
        <v>1925</v>
      </c>
      <c r="F1809" s="795">
        <v>2361</v>
      </c>
      <c r="G1809" s="750" t="s">
        <v>3994</v>
      </c>
      <c r="H1809" s="748"/>
      <c r="I1809" s="748">
        <v>630</v>
      </c>
      <c r="J1809" s="1654" t="s">
        <v>1134</v>
      </c>
      <c r="K1809" s="1314"/>
      <c r="L1809" s="748"/>
      <c r="M1809" s="748">
        <v>630</v>
      </c>
      <c r="N1809" s="1686"/>
    </row>
    <row r="1810" spans="1:14" ht="22.5" customHeight="1">
      <c r="A1810" s="1669"/>
      <c r="B1810" s="3130" t="s">
        <v>772</v>
      </c>
      <c r="C1810" s="663" t="s">
        <v>320</v>
      </c>
      <c r="D1810" s="678" t="s">
        <v>1980</v>
      </c>
      <c r="E1810" s="700" t="s">
        <v>1925</v>
      </c>
      <c r="F1810" s="795">
        <v>2361</v>
      </c>
      <c r="G1810" s="1703" t="s">
        <v>3989</v>
      </c>
      <c r="H1810" s="1964"/>
      <c r="I1810" s="1964"/>
      <c r="J1810" s="1739"/>
      <c r="K1810" s="1995"/>
      <c r="L1810" s="1964"/>
      <c r="M1810" s="1964">
        <v>1000</v>
      </c>
      <c r="N1810" s="51"/>
    </row>
    <row r="1811" spans="1:14">
      <c r="A1811" s="1669"/>
      <c r="B1811" s="3130" t="s">
        <v>772</v>
      </c>
      <c r="C1811" s="663" t="s">
        <v>320</v>
      </c>
      <c r="D1811" s="678" t="s">
        <v>1980</v>
      </c>
      <c r="E1811" s="700" t="s">
        <v>1925</v>
      </c>
      <c r="F1811" s="795">
        <v>2361</v>
      </c>
      <c r="G1811" s="1703" t="s">
        <v>3990</v>
      </c>
      <c r="H1811" s="1964"/>
      <c r="I1811" s="1964"/>
      <c r="J1811" s="1739"/>
      <c r="K1811" s="1995"/>
      <c r="L1811" s="1964"/>
      <c r="M1811" s="1964">
        <v>500</v>
      </c>
      <c r="N1811" s="176"/>
    </row>
    <row r="1812" spans="1:14" ht="30.6">
      <c r="A1812" s="1669"/>
      <c r="B1812" s="3130" t="s">
        <v>772</v>
      </c>
      <c r="C1812" s="663" t="s">
        <v>320</v>
      </c>
      <c r="D1812" s="678" t="s">
        <v>1980</v>
      </c>
      <c r="E1812" s="700" t="s">
        <v>1925</v>
      </c>
      <c r="F1812" s="795">
        <v>2361</v>
      </c>
      <c r="G1812" s="1703" t="s">
        <v>3991</v>
      </c>
      <c r="H1812" s="1964"/>
      <c r="I1812" s="1964"/>
      <c r="J1812" s="1739"/>
      <c r="K1812" s="1995"/>
      <c r="L1812" s="1964"/>
      <c r="M1812" s="1964">
        <v>360</v>
      </c>
      <c r="N1812" s="1224" t="s">
        <v>4499</v>
      </c>
    </row>
    <row r="1813" spans="1:14">
      <c r="A1813" s="1669"/>
      <c r="B1813" s="3130" t="s">
        <v>772</v>
      </c>
      <c r="C1813" s="663" t="s">
        <v>320</v>
      </c>
      <c r="D1813" s="678" t="s">
        <v>1980</v>
      </c>
      <c r="E1813" s="700" t="s">
        <v>1925</v>
      </c>
      <c r="F1813" s="795">
        <v>2361</v>
      </c>
      <c r="G1813" s="1703" t="s">
        <v>3992</v>
      </c>
      <c r="H1813" s="1964"/>
      <c r="I1813" s="1964"/>
      <c r="J1813" s="1739"/>
      <c r="K1813" s="1995"/>
      <c r="L1813" s="1964"/>
      <c r="M1813" s="1964">
        <v>375</v>
      </c>
      <c r="N1813" s="1224"/>
    </row>
    <row r="1814" spans="1:14">
      <c r="A1814" s="1669"/>
      <c r="B1814" s="3130" t="s">
        <v>772</v>
      </c>
      <c r="C1814" s="663" t="s">
        <v>320</v>
      </c>
      <c r="D1814" s="678" t="s">
        <v>1980</v>
      </c>
      <c r="E1814" s="700" t="s">
        <v>1925</v>
      </c>
      <c r="F1814" s="795">
        <v>2361</v>
      </c>
      <c r="G1814" s="1703" t="s">
        <v>3993</v>
      </c>
      <c r="H1814" s="1964"/>
      <c r="I1814" s="1964"/>
      <c r="J1814" s="1739"/>
      <c r="K1814" s="1995"/>
      <c r="L1814" s="1964"/>
      <c r="M1814" s="1964">
        <v>700</v>
      </c>
      <c r="N1814" s="17"/>
    </row>
    <row r="1815" spans="1:14">
      <c r="A1815" s="720"/>
      <c r="B1815" s="3129" t="s">
        <v>772</v>
      </c>
      <c r="C1815" s="720" t="s">
        <v>322</v>
      </c>
      <c r="D1815" s="823" t="s">
        <v>1980</v>
      </c>
      <c r="E1815" s="720" t="s">
        <v>1925</v>
      </c>
      <c r="F1815" s="824">
        <v>2370</v>
      </c>
      <c r="G1815" s="800" t="s">
        <v>209</v>
      </c>
      <c r="H1815" s="893">
        <v>13456.400000000001</v>
      </c>
      <c r="I1815" s="893"/>
      <c r="J1815" s="1654">
        <v>11148</v>
      </c>
      <c r="K1815" s="1251"/>
      <c r="L1815" s="893">
        <v>15356.400000000001</v>
      </c>
      <c r="M1815" s="893"/>
      <c r="N1815" s="177"/>
    </row>
    <row r="1816" spans="1:14" ht="183.6">
      <c r="A1816" s="700"/>
      <c r="B1816" s="3130" t="s">
        <v>772</v>
      </c>
      <c r="C1816" s="700" t="s">
        <v>322</v>
      </c>
      <c r="D1816" s="794" t="s">
        <v>1980</v>
      </c>
      <c r="E1816" s="700" t="s">
        <v>1925</v>
      </c>
      <c r="F1816" s="795">
        <v>2370</v>
      </c>
      <c r="G1816" s="1703" t="s">
        <v>3995</v>
      </c>
      <c r="H1816" s="1964"/>
      <c r="I1816" s="1964">
        <v>9926.4000000000015</v>
      </c>
      <c r="J1816" s="1739" t="s">
        <v>1134</v>
      </c>
      <c r="K1816" s="1995"/>
      <c r="L1816" s="1964"/>
      <c r="M1816" s="1964">
        <v>9926.4000000000015</v>
      </c>
      <c r="N1816" s="177"/>
    </row>
    <row r="1817" spans="1:14" ht="132.6">
      <c r="A1817" s="700"/>
      <c r="B1817" s="3130" t="s">
        <v>772</v>
      </c>
      <c r="C1817" s="700" t="s">
        <v>322</v>
      </c>
      <c r="D1817" s="794" t="s">
        <v>1980</v>
      </c>
      <c r="E1817" s="700" t="s">
        <v>1925</v>
      </c>
      <c r="F1817" s="795">
        <v>2370</v>
      </c>
      <c r="G1817" s="1883" t="s">
        <v>2367</v>
      </c>
      <c r="H1817" s="1964"/>
      <c r="I1817" s="1964">
        <v>3400</v>
      </c>
      <c r="J1817" s="1739" t="s">
        <v>1134</v>
      </c>
      <c r="K1817" s="1995"/>
      <c r="L1817" s="1964"/>
      <c r="M1817" s="1964">
        <v>3400</v>
      </c>
      <c r="N1817" s="177"/>
    </row>
    <row r="1818" spans="1:14" ht="40.799999999999997">
      <c r="A1818" s="700"/>
      <c r="B1818" s="3130" t="s">
        <v>772</v>
      </c>
      <c r="C1818" s="700" t="s">
        <v>322</v>
      </c>
      <c r="D1818" s="794" t="s">
        <v>1980</v>
      </c>
      <c r="E1818" s="700" t="s">
        <v>1925</v>
      </c>
      <c r="F1818" s="795">
        <v>2370</v>
      </c>
      <c r="G1818" s="1883" t="s">
        <v>2368</v>
      </c>
      <c r="H1818" s="1964"/>
      <c r="I1818" s="1964">
        <v>630</v>
      </c>
      <c r="J1818" s="1739" t="s">
        <v>1134</v>
      </c>
      <c r="K1818" s="1995"/>
      <c r="L1818" s="1964"/>
      <c r="M1818" s="1964">
        <v>630</v>
      </c>
      <c r="N1818" s="177"/>
    </row>
    <row r="1819" spans="1:14" ht="122.4">
      <c r="A1819" s="700"/>
      <c r="B1819" s="3130" t="s">
        <v>772</v>
      </c>
      <c r="C1819" s="700" t="s">
        <v>322</v>
      </c>
      <c r="D1819" s="794" t="s">
        <v>1980</v>
      </c>
      <c r="E1819" s="700" t="s">
        <v>1925</v>
      </c>
      <c r="F1819" s="795">
        <v>2370</v>
      </c>
      <c r="G1819" s="1883" t="s">
        <v>2369</v>
      </c>
      <c r="H1819" s="1964"/>
      <c r="I1819" s="1964">
        <v>1400</v>
      </c>
      <c r="J1819" s="1739" t="s">
        <v>1134</v>
      </c>
      <c r="K1819" s="1995"/>
      <c r="L1819" s="1964"/>
      <c r="M1819" s="1964">
        <v>1400</v>
      </c>
      <c r="N1819" s="177"/>
    </row>
    <row r="1820" spans="1:14" ht="20.399999999999999">
      <c r="A1820" s="700"/>
      <c r="B1820" s="3130" t="s">
        <v>772</v>
      </c>
      <c r="C1820" s="700" t="s">
        <v>322</v>
      </c>
      <c r="D1820" s="794" t="s">
        <v>1980</v>
      </c>
      <c r="E1820" s="700" t="s">
        <v>1925</v>
      </c>
      <c r="F1820" s="795">
        <v>2370</v>
      </c>
      <c r="G1820" s="830" t="s">
        <v>3410</v>
      </c>
      <c r="H1820" s="748"/>
      <c r="I1820" s="748">
        <v>-1000</v>
      </c>
      <c r="J1820" s="1654" t="s">
        <v>1134</v>
      </c>
      <c r="K1820" s="1314"/>
      <c r="L1820" s="748"/>
      <c r="M1820" s="748"/>
      <c r="N1820" s="177"/>
    </row>
    <row r="1821" spans="1:14" ht="20.399999999999999">
      <c r="A1821" s="700"/>
      <c r="B1821" s="3130" t="s">
        <v>772</v>
      </c>
      <c r="C1821" s="700" t="s">
        <v>322</v>
      </c>
      <c r="D1821" s="794" t="s">
        <v>1980</v>
      </c>
      <c r="E1821" s="700" t="s">
        <v>1925</v>
      </c>
      <c r="F1821" s="795">
        <v>2370</v>
      </c>
      <c r="G1821" s="830" t="s">
        <v>3411</v>
      </c>
      <c r="H1821" s="748"/>
      <c r="I1821" s="748">
        <v>-900</v>
      </c>
      <c r="J1821" s="1654" t="s">
        <v>1134</v>
      </c>
      <c r="K1821" s="1314"/>
      <c r="L1821" s="748"/>
      <c r="M1821" s="748"/>
      <c r="N1821" s="177"/>
    </row>
    <row r="1822" spans="1:14">
      <c r="A1822" s="683"/>
      <c r="B1822" s="3129" t="s">
        <v>326</v>
      </c>
      <c r="C1822" s="683" t="s">
        <v>321</v>
      </c>
      <c r="D1822" s="719" t="s">
        <v>1980</v>
      </c>
      <c r="E1822" s="720" t="s">
        <v>1926</v>
      </c>
      <c r="F1822" s="685">
        <v>2370</v>
      </c>
      <c r="G1822" s="686" t="s">
        <v>209</v>
      </c>
      <c r="H1822" s="747">
        <v>6809</v>
      </c>
      <c r="I1822" s="731"/>
      <c r="J1822" s="1494">
        <v>0</v>
      </c>
      <c r="K1822" s="729"/>
      <c r="L1822" s="747">
        <v>1871</v>
      </c>
      <c r="M1822" s="731"/>
      <c r="N1822" s="177"/>
    </row>
    <row r="1823" spans="1:14">
      <c r="A1823" s="663"/>
      <c r="B1823" s="3130" t="s">
        <v>326</v>
      </c>
      <c r="C1823" s="663" t="s">
        <v>321</v>
      </c>
      <c r="D1823" s="678" t="s">
        <v>1980</v>
      </c>
      <c r="E1823" s="700" t="s">
        <v>1926</v>
      </c>
      <c r="F1823" s="679">
        <v>2370</v>
      </c>
      <c r="G1823" s="665" t="s">
        <v>988</v>
      </c>
      <c r="H1823" s="741"/>
      <c r="I1823" s="741"/>
      <c r="J1823" s="1494" t="s">
        <v>1134</v>
      </c>
      <c r="K1823" s="729"/>
      <c r="L1823" s="741"/>
      <c r="M1823" s="741">
        <v>1871</v>
      </c>
      <c r="N1823" s="177"/>
    </row>
    <row r="1824" spans="1:14">
      <c r="A1824" s="663"/>
      <c r="B1824" s="3130" t="s">
        <v>326</v>
      </c>
      <c r="C1824" s="663" t="s">
        <v>321</v>
      </c>
      <c r="D1824" s="678" t="s">
        <v>1980</v>
      </c>
      <c r="E1824" s="700" t="s">
        <v>1926</v>
      </c>
      <c r="F1824" s="679">
        <v>2370</v>
      </c>
      <c r="G1824" s="665" t="s">
        <v>3053</v>
      </c>
      <c r="H1824" s="741"/>
      <c r="I1824" s="741">
        <v>6809</v>
      </c>
      <c r="J1824" s="1494" t="s">
        <v>1134</v>
      </c>
      <c r="K1824" s="729"/>
      <c r="L1824" s="741"/>
      <c r="M1824" s="741"/>
      <c r="N1824" s="177"/>
    </row>
    <row r="1825" spans="1:32" ht="20.399999999999999">
      <c r="A1825" s="663"/>
      <c r="B1825" s="3130" t="s">
        <v>326</v>
      </c>
      <c r="C1825" s="663" t="s">
        <v>321</v>
      </c>
      <c r="D1825" s="678" t="s">
        <v>1980</v>
      </c>
      <c r="E1825" s="700" t="s">
        <v>1926</v>
      </c>
      <c r="F1825" s="679">
        <v>2370</v>
      </c>
      <c r="G1825" s="665" t="s">
        <v>1864</v>
      </c>
      <c r="H1825" s="741"/>
      <c r="I1825" s="741"/>
      <c r="J1825" s="1494" t="s">
        <v>1134</v>
      </c>
      <c r="K1825" s="729"/>
      <c r="L1825" s="741"/>
      <c r="M1825" s="741"/>
      <c r="N1825" s="177"/>
    </row>
    <row r="1826" spans="1:32">
      <c r="A1826" s="683"/>
      <c r="B1826" s="3129" t="s">
        <v>772</v>
      </c>
      <c r="C1826" s="683" t="s">
        <v>320</v>
      </c>
      <c r="D1826" s="719" t="s">
        <v>1980</v>
      </c>
      <c r="E1826" s="720" t="s">
        <v>1925</v>
      </c>
      <c r="F1826" s="824">
        <v>2390</v>
      </c>
      <c r="G1826" s="800" t="s">
        <v>135</v>
      </c>
      <c r="H1826" s="893">
        <v>81</v>
      </c>
      <c r="I1826" s="893"/>
      <c r="J1826" s="1654">
        <v>81</v>
      </c>
      <c r="K1826" s="1251"/>
      <c r="L1826" s="893">
        <v>0</v>
      </c>
      <c r="M1826" s="893"/>
      <c r="N1826" s="177"/>
    </row>
    <row r="1827" spans="1:32" ht="20.399999999999999">
      <c r="A1827" s="663"/>
      <c r="B1827" s="3130" t="s">
        <v>772</v>
      </c>
      <c r="C1827" s="663" t="s">
        <v>320</v>
      </c>
      <c r="D1827" s="678" t="s">
        <v>1980</v>
      </c>
      <c r="E1827" s="700" t="s">
        <v>1925</v>
      </c>
      <c r="F1827" s="795">
        <v>2390</v>
      </c>
      <c r="G1827" s="750" t="s">
        <v>3959</v>
      </c>
      <c r="H1827" s="748"/>
      <c r="I1827" s="748">
        <v>81</v>
      </c>
      <c r="J1827" s="1654" t="s">
        <v>1134</v>
      </c>
      <c r="K1827" s="1314"/>
      <c r="L1827" s="748"/>
      <c r="M1827" s="748"/>
      <c r="N1827" s="177"/>
    </row>
    <row r="1828" spans="1:32" ht="20.399999999999999">
      <c r="A1828" s="683"/>
      <c r="B1828" s="3129" t="s">
        <v>772</v>
      </c>
      <c r="C1828" s="683" t="s">
        <v>320</v>
      </c>
      <c r="D1828" s="719" t="s">
        <v>1980</v>
      </c>
      <c r="E1828" s="720" t="s">
        <v>1925</v>
      </c>
      <c r="F1828" s="824">
        <v>2512</v>
      </c>
      <c r="G1828" s="800" t="s">
        <v>779</v>
      </c>
      <c r="H1828" s="893">
        <v>2000</v>
      </c>
      <c r="I1828" s="893"/>
      <c r="J1828" s="1654">
        <v>989</v>
      </c>
      <c r="K1828" s="1251"/>
      <c r="L1828" s="893">
        <v>1500</v>
      </c>
      <c r="M1828" s="893"/>
      <c r="N1828" s="177"/>
    </row>
    <row r="1829" spans="1:32" ht="12" customHeight="1">
      <c r="A1829" s="603"/>
      <c r="B1829" s="3130" t="s">
        <v>772</v>
      </c>
      <c r="C1829" s="663" t="s">
        <v>320</v>
      </c>
      <c r="D1829" s="678" t="s">
        <v>1980</v>
      </c>
      <c r="E1829" s="700" t="s">
        <v>1925</v>
      </c>
      <c r="F1829" s="795">
        <v>2512</v>
      </c>
      <c r="G1829" s="1153" t="s">
        <v>3094</v>
      </c>
      <c r="H1829" s="2002"/>
      <c r="I1829" s="2002">
        <v>2000</v>
      </c>
      <c r="J1829" s="1654" t="s">
        <v>1134</v>
      </c>
      <c r="K1829" s="2003"/>
      <c r="L1829" s="2002"/>
      <c r="M1829" s="2002">
        <v>1500</v>
      </c>
      <c r="N1829" s="7"/>
    </row>
    <row r="1830" spans="1:32" ht="20.399999999999999">
      <c r="A1830" s="683"/>
      <c r="B1830" s="3129" t="s">
        <v>774</v>
      </c>
      <c r="C1830" s="683" t="s">
        <v>340</v>
      </c>
      <c r="D1830" s="719" t="s">
        <v>1980</v>
      </c>
      <c r="E1830" s="720" t="s">
        <v>1925</v>
      </c>
      <c r="F1830" s="824">
        <v>5120</v>
      </c>
      <c r="G1830" s="800" t="s">
        <v>588</v>
      </c>
      <c r="H1830" s="893">
        <v>825</v>
      </c>
      <c r="I1830" s="893"/>
      <c r="J1830" s="1654">
        <v>0</v>
      </c>
      <c r="K1830" s="1251"/>
      <c r="L1830" s="893">
        <v>500</v>
      </c>
      <c r="M1830" s="893"/>
      <c r="N1830" s="7"/>
    </row>
    <row r="1831" spans="1:32">
      <c r="A1831" s="872"/>
      <c r="B1831" s="3137" t="s">
        <v>774</v>
      </c>
      <c r="C1831" s="774" t="s">
        <v>340</v>
      </c>
      <c r="D1831" s="873" t="s">
        <v>1980</v>
      </c>
      <c r="E1831" s="700" t="s">
        <v>1925</v>
      </c>
      <c r="F1831" s="795">
        <v>5120</v>
      </c>
      <c r="G1831" s="1703" t="s">
        <v>3996</v>
      </c>
      <c r="H1831" s="748"/>
      <c r="I1831" s="748">
        <v>225</v>
      </c>
      <c r="J1831" s="1654" t="s">
        <v>1134</v>
      </c>
      <c r="K1831" s="1314"/>
      <c r="L1831" s="748"/>
      <c r="M1831" s="748">
        <v>500</v>
      </c>
      <c r="N1831" s="7"/>
    </row>
    <row r="1832" spans="1:32" ht="20.399999999999999">
      <c r="A1832" s="1135"/>
      <c r="B1832" s="3137" t="s">
        <v>774</v>
      </c>
      <c r="C1832" s="774" t="s">
        <v>340</v>
      </c>
      <c r="D1832" s="873" t="s">
        <v>1980</v>
      </c>
      <c r="E1832" s="700" t="s">
        <v>1925</v>
      </c>
      <c r="F1832" s="795">
        <v>5120</v>
      </c>
      <c r="G1832" s="1153" t="s">
        <v>3450</v>
      </c>
      <c r="H1832" s="2002"/>
      <c r="I1832" s="2002">
        <v>600</v>
      </c>
      <c r="J1832" s="1654"/>
      <c r="K1832" s="2003"/>
      <c r="L1832" s="2002"/>
      <c r="M1832" s="2002"/>
      <c r="N1832" s="7"/>
    </row>
    <row r="1833" spans="1:32">
      <c r="A1833" s="683"/>
      <c r="B1833" s="3129" t="s">
        <v>773</v>
      </c>
      <c r="C1833" s="683" t="s">
        <v>340</v>
      </c>
      <c r="D1833" s="719" t="s">
        <v>1980</v>
      </c>
      <c r="E1833" s="720" t="s">
        <v>1925</v>
      </c>
      <c r="F1833" s="824">
        <v>5218</v>
      </c>
      <c r="G1833" s="800" t="s">
        <v>1062</v>
      </c>
      <c r="H1833" s="893">
        <v>40063</v>
      </c>
      <c r="I1833" s="893"/>
      <c r="J1833" s="1654">
        <v>36596</v>
      </c>
      <c r="K1833" s="1251"/>
      <c r="L1833" s="893">
        <v>0</v>
      </c>
      <c r="M1833" s="893"/>
      <c r="N1833" s="7"/>
    </row>
    <row r="1834" spans="1:32" ht="20.399999999999999">
      <c r="A1834" s="663"/>
      <c r="B1834" s="3130" t="s">
        <v>773</v>
      </c>
      <c r="C1834" s="663" t="s">
        <v>340</v>
      </c>
      <c r="D1834" s="678" t="s">
        <v>1980</v>
      </c>
      <c r="E1834" s="700" t="s">
        <v>1925</v>
      </c>
      <c r="F1834" s="795">
        <v>5218</v>
      </c>
      <c r="G1834" s="750" t="s">
        <v>2850</v>
      </c>
      <c r="H1834" s="748"/>
      <c r="I1834" s="748">
        <v>57106</v>
      </c>
      <c r="J1834" s="1654" t="s">
        <v>1134</v>
      </c>
      <c r="K1834" s="1314"/>
      <c r="L1834" s="748"/>
      <c r="M1834" s="748"/>
      <c r="N1834" s="7"/>
    </row>
    <row r="1835" spans="1:32">
      <c r="A1835" s="1263"/>
      <c r="B1835" s="3130" t="s">
        <v>773</v>
      </c>
      <c r="C1835" s="663" t="s">
        <v>340</v>
      </c>
      <c r="D1835" s="678" t="s">
        <v>1980</v>
      </c>
      <c r="E1835" s="700" t="s">
        <v>1925</v>
      </c>
      <c r="F1835" s="795">
        <v>5218</v>
      </c>
      <c r="G1835" s="1330" t="s">
        <v>2969</v>
      </c>
      <c r="H1835" s="2025"/>
      <c r="I1835" s="2025">
        <v>-13288</v>
      </c>
      <c r="J1835" s="1654" t="s">
        <v>1134</v>
      </c>
      <c r="K1835" s="2026"/>
      <c r="L1835" s="2025"/>
      <c r="M1835" s="2025"/>
      <c r="N1835" s="7"/>
    </row>
    <row r="1836" spans="1:32">
      <c r="A1836" s="1263"/>
      <c r="B1836" s="3130" t="s">
        <v>773</v>
      </c>
      <c r="C1836" s="663" t="s">
        <v>340</v>
      </c>
      <c r="D1836" s="678" t="s">
        <v>1980</v>
      </c>
      <c r="E1836" s="700" t="s">
        <v>1925</v>
      </c>
      <c r="F1836" s="795">
        <v>5218</v>
      </c>
      <c r="G1836" s="1330" t="s">
        <v>2970</v>
      </c>
      <c r="H1836" s="2025"/>
      <c r="I1836" s="2025">
        <v>-3755</v>
      </c>
      <c r="J1836" s="1654" t="s">
        <v>1134</v>
      </c>
      <c r="K1836" s="2026"/>
      <c r="L1836" s="2025"/>
      <c r="M1836" s="2025"/>
      <c r="N1836" s="177"/>
    </row>
    <row r="1837" spans="1:32" ht="12" customHeight="1">
      <c r="A1837" s="683"/>
      <c r="B1837" s="3129" t="s">
        <v>774</v>
      </c>
      <c r="C1837" s="683" t="s">
        <v>340</v>
      </c>
      <c r="D1837" s="719" t="s">
        <v>1980</v>
      </c>
      <c r="E1837" s="720" t="s">
        <v>1925</v>
      </c>
      <c r="F1837" s="824">
        <v>5238</v>
      </c>
      <c r="G1837" s="800" t="s">
        <v>139</v>
      </c>
      <c r="H1837" s="893">
        <v>0</v>
      </c>
      <c r="I1837" s="893"/>
      <c r="J1837" s="1654" t="s">
        <v>1134</v>
      </c>
      <c r="K1837" s="1251"/>
      <c r="L1837" s="893">
        <v>9000</v>
      </c>
      <c r="M1837" s="893"/>
      <c r="N1837" s="177"/>
      <c r="O1837" s="7"/>
      <c r="P1837" s="7"/>
      <c r="Q1837" s="7"/>
      <c r="R1837" s="7"/>
      <c r="S1837" s="7"/>
      <c r="T1837" s="7"/>
      <c r="U1837" s="7"/>
      <c r="V1837" s="7"/>
      <c r="W1837" s="7"/>
      <c r="X1837" s="7"/>
      <c r="Y1837" s="7"/>
      <c r="Z1837" s="7"/>
      <c r="AA1837" s="7"/>
      <c r="AB1837" s="7"/>
      <c r="AC1837" s="7"/>
      <c r="AD1837" s="7"/>
      <c r="AE1837" s="7"/>
      <c r="AF1837" s="7"/>
    </row>
    <row r="1838" spans="1:32" ht="12" customHeight="1">
      <c r="A1838" s="663"/>
      <c r="B1838" s="3130" t="s">
        <v>774</v>
      </c>
      <c r="C1838" s="663" t="s">
        <v>340</v>
      </c>
      <c r="D1838" s="678" t="s">
        <v>1980</v>
      </c>
      <c r="E1838" s="700" t="s">
        <v>1925</v>
      </c>
      <c r="F1838" s="795">
        <v>5238</v>
      </c>
      <c r="G1838" s="750" t="s">
        <v>3997</v>
      </c>
      <c r="H1838" s="748"/>
      <c r="I1838" s="748">
        <v>0</v>
      </c>
      <c r="J1838" s="1654" t="s">
        <v>1134</v>
      </c>
      <c r="K1838" s="1314"/>
      <c r="L1838" s="748"/>
      <c r="M1838" s="1988">
        <v>9000</v>
      </c>
      <c r="N1838" s="177"/>
      <c r="O1838" s="7"/>
      <c r="P1838" s="7"/>
      <c r="Q1838" s="7"/>
      <c r="R1838" s="7"/>
      <c r="S1838" s="7"/>
      <c r="T1838" s="7"/>
      <c r="U1838" s="7"/>
      <c r="V1838" s="7"/>
      <c r="W1838" s="7"/>
      <c r="X1838" s="7"/>
      <c r="Y1838" s="7"/>
      <c r="Z1838" s="7"/>
      <c r="AA1838" s="7"/>
      <c r="AB1838" s="7"/>
      <c r="AC1838" s="7"/>
      <c r="AD1838" s="7"/>
      <c r="AE1838" s="7"/>
      <c r="AF1838" s="7"/>
    </row>
    <row r="1839" spans="1:32">
      <c r="A1839" s="683"/>
      <c r="B1839" s="3129" t="s">
        <v>773</v>
      </c>
      <c r="C1839" s="683" t="s">
        <v>340</v>
      </c>
      <c r="D1839" s="719" t="s">
        <v>1980</v>
      </c>
      <c r="E1839" s="720" t="s">
        <v>1925</v>
      </c>
      <c r="F1839" s="824">
        <v>5238</v>
      </c>
      <c r="G1839" s="800" t="s">
        <v>139</v>
      </c>
      <c r="H1839" s="893">
        <v>13288</v>
      </c>
      <c r="I1839" s="893"/>
      <c r="J1839" s="1654">
        <v>13287.98</v>
      </c>
      <c r="K1839" s="1251"/>
      <c r="L1839" s="893">
        <v>0</v>
      </c>
      <c r="M1839" s="893"/>
      <c r="N1839" s="177"/>
    </row>
    <row r="1840" spans="1:32">
      <c r="A1840" s="1669"/>
      <c r="B1840" s="3130" t="s">
        <v>773</v>
      </c>
      <c r="C1840" s="663" t="s">
        <v>340</v>
      </c>
      <c r="D1840" s="678" t="s">
        <v>1980</v>
      </c>
      <c r="E1840" s="700" t="s">
        <v>1925</v>
      </c>
      <c r="F1840" s="795">
        <v>5238</v>
      </c>
      <c r="G1840" s="1330" t="s">
        <v>2969</v>
      </c>
      <c r="H1840" s="2025"/>
      <c r="I1840" s="2025">
        <v>13288</v>
      </c>
      <c r="J1840" s="1739"/>
      <c r="K1840" s="1995"/>
      <c r="L1840" s="1964"/>
      <c r="M1840" s="1964"/>
      <c r="N1840" s="177"/>
    </row>
    <row r="1841" spans="1:32">
      <c r="A1841" s="683"/>
      <c r="B1841" s="3129" t="s">
        <v>774</v>
      </c>
      <c r="C1841" s="683" t="s">
        <v>324</v>
      </c>
      <c r="D1841" s="719" t="s">
        <v>1980</v>
      </c>
      <c r="E1841" s="720" t="s">
        <v>1925</v>
      </c>
      <c r="F1841" s="824">
        <v>5239</v>
      </c>
      <c r="G1841" s="800" t="s">
        <v>138</v>
      </c>
      <c r="H1841" s="893">
        <v>944</v>
      </c>
      <c r="I1841" s="893"/>
      <c r="J1841" s="1654">
        <v>943.02999999999975</v>
      </c>
      <c r="K1841" s="1251"/>
      <c r="L1841" s="893">
        <v>2155</v>
      </c>
      <c r="M1841" s="893"/>
      <c r="N1841" s="177"/>
    </row>
    <row r="1842" spans="1:32" ht="20.399999999999999">
      <c r="A1842" s="663"/>
      <c r="B1842" s="3130" t="s">
        <v>774</v>
      </c>
      <c r="C1842" s="663" t="s">
        <v>324</v>
      </c>
      <c r="D1842" s="678" t="s">
        <v>1980</v>
      </c>
      <c r="E1842" s="700" t="s">
        <v>1925</v>
      </c>
      <c r="F1842" s="795">
        <v>5239</v>
      </c>
      <c r="G1842" s="750" t="s">
        <v>3998</v>
      </c>
      <c r="H1842" s="748"/>
      <c r="I1842" s="748">
        <v>800</v>
      </c>
      <c r="J1842" s="1654" t="s">
        <v>1134</v>
      </c>
      <c r="K1842" s="1314"/>
      <c r="L1842" s="748"/>
      <c r="M1842" s="748">
        <v>1600</v>
      </c>
      <c r="N1842" s="177"/>
    </row>
    <row r="1843" spans="1:32">
      <c r="A1843" s="663"/>
      <c r="B1843" s="3130" t="s">
        <v>774</v>
      </c>
      <c r="C1843" s="663" t="s">
        <v>324</v>
      </c>
      <c r="D1843" s="678" t="s">
        <v>1980</v>
      </c>
      <c r="E1843" s="700" t="s">
        <v>1925</v>
      </c>
      <c r="F1843" s="795">
        <v>5239</v>
      </c>
      <c r="G1843" s="1703" t="s">
        <v>5216</v>
      </c>
      <c r="H1843" s="748"/>
      <c r="I1843" s="748">
        <v>600</v>
      </c>
      <c r="J1843" s="1654" t="s">
        <v>1134</v>
      </c>
      <c r="K1843" s="1314"/>
      <c r="L1843" s="748"/>
      <c r="M1843" s="1964">
        <v>555</v>
      </c>
      <c r="N1843" s="93"/>
    </row>
    <row r="1844" spans="1:32" ht="20.399999999999999">
      <c r="A1844" s="663"/>
      <c r="B1844" s="3130" t="s">
        <v>774</v>
      </c>
      <c r="C1844" s="663" t="s">
        <v>324</v>
      </c>
      <c r="D1844" s="678" t="s">
        <v>1980</v>
      </c>
      <c r="E1844" s="700" t="s">
        <v>1925</v>
      </c>
      <c r="F1844" s="795">
        <v>5239</v>
      </c>
      <c r="G1844" s="750" t="s">
        <v>3216</v>
      </c>
      <c r="H1844" s="748"/>
      <c r="I1844" s="748">
        <v>144</v>
      </c>
      <c r="J1844" s="1654" t="s">
        <v>1134</v>
      </c>
      <c r="K1844" s="1314"/>
      <c r="L1844" s="748"/>
      <c r="M1844" s="748"/>
      <c r="N1844" s="1959"/>
    </row>
    <row r="1845" spans="1:32">
      <c r="A1845" s="683" t="s">
        <v>709</v>
      </c>
      <c r="B1845" s="3129" t="s">
        <v>773</v>
      </c>
      <c r="C1845" s="683" t="s">
        <v>324</v>
      </c>
      <c r="D1845" s="719" t="s">
        <v>1980</v>
      </c>
      <c r="E1845" s="1406" t="s">
        <v>1925</v>
      </c>
      <c r="F1845" s="1698">
        <v>5239</v>
      </c>
      <c r="G1845" s="1691" t="s">
        <v>138</v>
      </c>
      <c r="H1845" s="1966">
        <v>3755</v>
      </c>
      <c r="I1845" s="1966"/>
      <c r="J1845" s="1684">
        <v>3755</v>
      </c>
      <c r="K1845" s="2122"/>
      <c r="L1845" s="1966">
        <v>0</v>
      </c>
      <c r="M1845" s="1966"/>
      <c r="N1845" s="51"/>
    </row>
    <row r="1846" spans="1:32">
      <c r="A1846" s="663" t="s">
        <v>709</v>
      </c>
      <c r="B1846" s="3130" t="s">
        <v>773</v>
      </c>
      <c r="C1846" s="663" t="s">
        <v>324</v>
      </c>
      <c r="D1846" s="678" t="s">
        <v>1980</v>
      </c>
      <c r="E1846" s="1407" t="s">
        <v>1925</v>
      </c>
      <c r="F1846" s="1413">
        <v>5239</v>
      </c>
      <c r="G1846" s="1695" t="s">
        <v>2970</v>
      </c>
      <c r="H1846" s="1975"/>
      <c r="I1846" s="1975">
        <v>3755</v>
      </c>
      <c r="J1846" s="1684" t="s">
        <v>1134</v>
      </c>
      <c r="K1846" s="2123"/>
      <c r="L1846" s="1975"/>
      <c r="M1846" s="1975"/>
      <c r="N1846" s="655"/>
    </row>
    <row r="1847" spans="1:32">
      <c r="A1847" s="683"/>
      <c r="B1847" s="3136" t="s">
        <v>1211</v>
      </c>
      <c r="C1847" s="683" t="s">
        <v>340</v>
      </c>
      <c r="D1847" s="719" t="s">
        <v>1980</v>
      </c>
      <c r="E1847" s="1406" t="s">
        <v>1925</v>
      </c>
      <c r="F1847" s="1698">
        <v>7230</v>
      </c>
      <c r="G1847" s="1691" t="s">
        <v>1053</v>
      </c>
      <c r="H1847" s="1966">
        <v>340779</v>
      </c>
      <c r="I1847" s="1966"/>
      <c r="J1847" s="1684">
        <v>123534</v>
      </c>
      <c r="K1847" s="2122"/>
      <c r="L1847" s="1966">
        <v>337000</v>
      </c>
      <c r="M1847" s="1966"/>
      <c r="N1847" s="51"/>
    </row>
    <row r="1848" spans="1:32">
      <c r="A1848" s="663"/>
      <c r="B1848" s="3130" t="s">
        <v>2534</v>
      </c>
      <c r="C1848" s="663" t="s">
        <v>340</v>
      </c>
      <c r="D1848" s="678" t="s">
        <v>1980</v>
      </c>
      <c r="E1848" s="1407" t="s">
        <v>1925</v>
      </c>
      <c r="F1848" s="679">
        <v>7230</v>
      </c>
      <c r="G1848" s="675" t="s">
        <v>436</v>
      </c>
      <c r="H1848" s="660"/>
      <c r="I1848" s="660">
        <v>128735</v>
      </c>
      <c r="J1848" s="1494" t="s">
        <v>1134</v>
      </c>
      <c r="K1848" s="667"/>
      <c r="L1848" s="659"/>
      <c r="M1848" s="1958">
        <v>131479</v>
      </c>
      <c r="N1848" s="51"/>
      <c r="O1848" s="7"/>
      <c r="P1848" s="7"/>
      <c r="Q1848" s="7"/>
      <c r="R1848" s="7"/>
      <c r="S1848" s="7"/>
      <c r="T1848" s="7"/>
      <c r="U1848" s="7"/>
      <c r="V1848" s="7"/>
      <c r="W1848" s="7"/>
      <c r="X1848" s="7"/>
      <c r="Y1848" s="7"/>
      <c r="Z1848" s="7"/>
      <c r="AA1848" s="7"/>
      <c r="AB1848" s="7"/>
      <c r="AC1848" s="7"/>
    </row>
    <row r="1849" spans="1:32">
      <c r="A1849" s="663"/>
      <c r="B1849" s="3130" t="s">
        <v>1211</v>
      </c>
      <c r="C1849" s="663" t="s">
        <v>340</v>
      </c>
      <c r="D1849" s="678" t="s">
        <v>1980</v>
      </c>
      <c r="E1849" s="1407" t="s">
        <v>1925</v>
      </c>
      <c r="F1849" s="1413">
        <v>7230</v>
      </c>
      <c r="G1849" s="1803" t="s">
        <v>772</v>
      </c>
      <c r="H1849" s="1683"/>
      <c r="I1849" s="1683">
        <v>178789</v>
      </c>
      <c r="J1849" s="1684" t="s">
        <v>1134</v>
      </c>
      <c r="K1849" s="1685"/>
      <c r="L1849" s="1683"/>
      <c r="M1849" s="1975">
        <v>190921</v>
      </c>
      <c r="N1849" s="655"/>
      <c r="O1849" s="3"/>
      <c r="P1849" s="3"/>
      <c r="Q1849" s="3"/>
      <c r="R1849" s="3"/>
      <c r="S1849" s="3"/>
      <c r="T1849" s="3"/>
      <c r="U1849" s="3"/>
      <c r="V1849" s="3"/>
      <c r="W1849" s="3"/>
      <c r="X1849" s="3"/>
      <c r="Y1849" s="3"/>
      <c r="Z1849" s="3"/>
      <c r="AA1849" s="3"/>
      <c r="AB1849" s="3"/>
      <c r="AC1849" s="3"/>
    </row>
    <row r="1850" spans="1:32">
      <c r="A1850" s="663"/>
      <c r="B1850" s="3130" t="s">
        <v>1211</v>
      </c>
      <c r="C1850" s="663" t="s">
        <v>340</v>
      </c>
      <c r="D1850" s="678" t="s">
        <v>1980</v>
      </c>
      <c r="E1850" s="1407" t="s">
        <v>1925</v>
      </c>
      <c r="F1850" s="1413">
        <v>7230</v>
      </c>
      <c r="G1850" s="1803" t="s">
        <v>774</v>
      </c>
      <c r="H1850" s="1683"/>
      <c r="I1850" s="1683">
        <v>33255</v>
      </c>
      <c r="J1850" s="1684" t="s">
        <v>1134</v>
      </c>
      <c r="K1850" s="1685"/>
      <c r="L1850" s="1683"/>
      <c r="M1850" s="1975">
        <v>14600</v>
      </c>
      <c r="N1850" s="655"/>
      <c r="O1850" s="3"/>
      <c r="P1850" s="3"/>
      <c r="Q1850" s="3"/>
      <c r="R1850" s="3"/>
      <c r="S1850" s="3"/>
      <c r="T1850" s="3"/>
      <c r="U1850" s="3"/>
      <c r="V1850" s="3"/>
      <c r="W1850" s="3"/>
      <c r="X1850" s="3"/>
      <c r="Y1850" s="3"/>
      <c r="Z1850" s="3"/>
      <c r="AA1850" s="3"/>
      <c r="AB1850" s="3"/>
      <c r="AC1850" s="3"/>
    </row>
    <row r="1851" spans="1:32">
      <c r="A1851" s="683"/>
      <c r="B1851" s="3136" t="s">
        <v>1849</v>
      </c>
      <c r="C1851" s="683" t="s">
        <v>340</v>
      </c>
      <c r="D1851" s="719" t="s">
        <v>1980</v>
      </c>
      <c r="E1851" s="840" t="s">
        <v>1925</v>
      </c>
      <c r="F1851" s="685">
        <v>7230</v>
      </c>
      <c r="G1851" s="686" t="s">
        <v>1053</v>
      </c>
      <c r="H1851" s="731">
        <v>173288</v>
      </c>
      <c r="I1851" s="731"/>
      <c r="J1851" s="1494"/>
      <c r="K1851" s="747"/>
      <c r="L1851" s="860">
        <v>250000</v>
      </c>
      <c r="M1851" s="860"/>
      <c r="N1851" s="1961"/>
      <c r="O1851" s="7"/>
      <c r="P1851" s="7"/>
      <c r="Q1851" s="7"/>
      <c r="R1851" s="7"/>
      <c r="S1851" s="7"/>
      <c r="T1851" s="7"/>
      <c r="U1851" s="7"/>
      <c r="V1851" s="7"/>
      <c r="W1851" s="7"/>
      <c r="X1851" s="7"/>
      <c r="Y1851" s="7"/>
      <c r="Z1851" s="7"/>
      <c r="AA1851" s="7"/>
      <c r="AB1851" s="7"/>
      <c r="AC1851" s="7"/>
    </row>
    <row r="1852" spans="1:32">
      <c r="A1852" s="668"/>
      <c r="B1852" s="3144" t="s">
        <v>1849</v>
      </c>
      <c r="C1852" s="668" t="s">
        <v>340</v>
      </c>
      <c r="D1852" s="669" t="s">
        <v>1980</v>
      </c>
      <c r="E1852" s="936" t="s">
        <v>1925</v>
      </c>
      <c r="F1852" s="671">
        <v>7230</v>
      </c>
      <c r="G1852" s="717" t="s">
        <v>4539</v>
      </c>
      <c r="H1852" s="733"/>
      <c r="I1852" s="733"/>
      <c r="J1852" s="2474"/>
      <c r="K1852" s="733"/>
      <c r="L1852" s="2353"/>
      <c r="M1852" s="2353">
        <v>40000</v>
      </c>
      <c r="N1852" s="655"/>
      <c r="O1852" s="3"/>
      <c r="P1852" s="3"/>
      <c r="Q1852" s="3"/>
      <c r="R1852" s="3"/>
      <c r="S1852" s="3"/>
      <c r="T1852" s="3"/>
      <c r="U1852" s="3"/>
      <c r="V1852" s="3"/>
      <c r="W1852" s="3"/>
      <c r="X1852" s="3"/>
      <c r="Y1852" s="3"/>
      <c r="Z1852" s="3"/>
      <c r="AA1852" s="3"/>
      <c r="AB1852" s="3"/>
      <c r="AC1852" s="3"/>
    </row>
    <row r="1853" spans="1:32" ht="20.399999999999999">
      <c r="A1853" s="668"/>
      <c r="B1853" s="3144" t="s">
        <v>1849</v>
      </c>
      <c r="C1853" s="668" t="s">
        <v>340</v>
      </c>
      <c r="D1853" s="669" t="s">
        <v>1980</v>
      </c>
      <c r="E1853" s="936" t="s">
        <v>1925</v>
      </c>
      <c r="F1853" s="671">
        <v>7230</v>
      </c>
      <c r="G1853" s="717" t="s">
        <v>4540</v>
      </c>
      <c r="H1853" s="733"/>
      <c r="I1853" s="733"/>
      <c r="J1853" s="2474"/>
      <c r="K1853" s="733"/>
      <c r="L1853" s="2353"/>
      <c r="M1853" s="2353">
        <v>210000</v>
      </c>
      <c r="N1853" s="655"/>
      <c r="O1853" s="7"/>
      <c r="P1853" s="7"/>
      <c r="Q1853" s="7"/>
      <c r="R1853" s="7"/>
      <c r="S1853" s="7"/>
      <c r="T1853" s="7"/>
      <c r="U1853" s="7"/>
      <c r="V1853" s="7"/>
      <c r="W1853" s="7"/>
      <c r="X1853" s="7"/>
      <c r="Y1853" s="7"/>
      <c r="Z1853" s="7"/>
      <c r="AA1853" s="7"/>
      <c r="AB1853" s="7"/>
      <c r="AC1853" s="7"/>
      <c r="AD1853" s="7"/>
      <c r="AE1853" s="7"/>
      <c r="AF1853" s="7"/>
    </row>
    <row r="1854" spans="1:32">
      <c r="A1854" s="668"/>
      <c r="B1854" s="3144" t="s">
        <v>1849</v>
      </c>
      <c r="C1854" s="668" t="s">
        <v>340</v>
      </c>
      <c r="D1854" s="669" t="s">
        <v>1980</v>
      </c>
      <c r="E1854" s="936" t="s">
        <v>1925</v>
      </c>
      <c r="F1854" s="671">
        <v>7230</v>
      </c>
      <c r="G1854" s="717" t="s">
        <v>2538</v>
      </c>
      <c r="H1854" s="733"/>
      <c r="I1854" s="733">
        <v>45000</v>
      </c>
      <c r="J1854" s="3525">
        <v>105965</v>
      </c>
      <c r="K1854" s="733"/>
      <c r="L1854" s="2353"/>
      <c r="M1854" s="2353"/>
      <c r="N1854" s="1961"/>
      <c r="O1854" s="7"/>
      <c r="P1854" s="7"/>
      <c r="Q1854" s="7"/>
      <c r="R1854" s="7"/>
      <c r="S1854" s="7"/>
      <c r="T1854" s="7"/>
      <c r="U1854" s="7"/>
      <c r="V1854" s="7"/>
      <c r="W1854" s="7"/>
      <c r="X1854" s="7"/>
      <c r="Y1854" s="7"/>
      <c r="Z1854" s="7"/>
      <c r="AA1854" s="7"/>
      <c r="AB1854" s="7"/>
      <c r="AC1854" s="7"/>
      <c r="AD1854" s="7"/>
      <c r="AE1854" s="7"/>
      <c r="AF1854" s="7"/>
    </row>
    <row r="1855" spans="1:32">
      <c r="A1855" s="668"/>
      <c r="B1855" s="3144" t="s">
        <v>1849</v>
      </c>
      <c r="C1855" s="668" t="s">
        <v>340</v>
      </c>
      <c r="D1855" s="669" t="s">
        <v>1980</v>
      </c>
      <c r="E1855" s="936" t="s">
        <v>1925</v>
      </c>
      <c r="F1855" s="671">
        <v>7230</v>
      </c>
      <c r="G1855" s="717" t="s">
        <v>2539</v>
      </c>
      <c r="H1855" s="733"/>
      <c r="I1855" s="733">
        <v>26000</v>
      </c>
      <c r="J1855" s="3526"/>
      <c r="K1855" s="733"/>
      <c r="L1855" s="2353"/>
      <c r="M1855" s="2353"/>
      <c r="N1855" s="57"/>
      <c r="O1855" s="3"/>
      <c r="P1855" s="3"/>
      <c r="Q1855" s="3"/>
      <c r="R1855" s="3"/>
      <c r="S1855" s="3"/>
      <c r="T1855" s="3"/>
      <c r="U1855" s="3"/>
      <c r="V1855" s="3"/>
      <c r="W1855" s="3"/>
      <c r="X1855" s="3"/>
      <c r="Y1855" s="3"/>
      <c r="Z1855" s="3"/>
      <c r="AA1855" s="3"/>
      <c r="AB1855" s="3"/>
      <c r="AC1855" s="3"/>
      <c r="AD1855" s="3"/>
      <c r="AE1855" s="3"/>
      <c r="AF1855" s="3"/>
    </row>
    <row r="1856" spans="1:32">
      <c r="A1856" s="668"/>
      <c r="B1856" s="3144" t="s">
        <v>1849</v>
      </c>
      <c r="C1856" s="668" t="s">
        <v>340</v>
      </c>
      <c r="D1856" s="669" t="s">
        <v>1980</v>
      </c>
      <c r="E1856" s="936" t="s">
        <v>1925</v>
      </c>
      <c r="F1856" s="671">
        <v>7230</v>
      </c>
      <c r="G1856" s="717" t="s">
        <v>2540</v>
      </c>
      <c r="H1856" s="733"/>
      <c r="I1856" s="733">
        <v>18000</v>
      </c>
      <c r="J1856" s="3526"/>
      <c r="K1856" s="733"/>
      <c r="L1856" s="2353"/>
      <c r="M1856" s="2353"/>
      <c r="N1856" s="57"/>
      <c r="O1856" s="3"/>
      <c r="P1856" s="3"/>
      <c r="Q1856" s="3"/>
      <c r="R1856" s="3"/>
      <c r="S1856" s="3"/>
      <c r="T1856" s="3"/>
      <c r="U1856" s="3"/>
      <c r="V1856" s="3"/>
      <c r="W1856" s="3"/>
      <c r="X1856" s="3"/>
      <c r="Y1856" s="3"/>
      <c r="Z1856" s="3"/>
      <c r="AA1856" s="3"/>
      <c r="AB1856" s="3"/>
      <c r="AC1856" s="3"/>
      <c r="AD1856" s="3"/>
      <c r="AE1856" s="3"/>
      <c r="AF1856" s="3"/>
    </row>
    <row r="1857" spans="1:32" ht="20.399999999999999">
      <c r="A1857" s="668"/>
      <c r="B1857" s="3144" t="s">
        <v>1849</v>
      </c>
      <c r="C1857" s="668" t="s">
        <v>340</v>
      </c>
      <c r="D1857" s="669" t="s">
        <v>1980</v>
      </c>
      <c r="E1857" s="936" t="s">
        <v>1925</v>
      </c>
      <c r="F1857" s="671">
        <v>7230</v>
      </c>
      <c r="G1857" s="717" t="s">
        <v>2541</v>
      </c>
      <c r="H1857" s="733"/>
      <c r="I1857" s="733">
        <v>30000</v>
      </c>
      <c r="J1857" s="3527"/>
      <c r="K1857" s="733"/>
      <c r="L1857" s="2353"/>
      <c r="M1857" s="2353"/>
      <c r="N1857" s="381"/>
      <c r="O1857" s="3"/>
      <c r="P1857" s="3"/>
      <c r="Q1857" s="3"/>
      <c r="R1857" s="3"/>
      <c r="S1857" s="3"/>
      <c r="T1857" s="3"/>
      <c r="U1857" s="3"/>
      <c r="V1857" s="3"/>
      <c r="W1857" s="3"/>
      <c r="X1857" s="3"/>
      <c r="Y1857" s="3"/>
      <c r="Z1857" s="3"/>
      <c r="AA1857" s="3"/>
      <c r="AB1857" s="3"/>
      <c r="AC1857" s="3"/>
      <c r="AD1857" s="3"/>
      <c r="AE1857" s="3"/>
      <c r="AF1857" s="3"/>
    </row>
    <row r="1858" spans="1:32">
      <c r="A1858" s="668"/>
      <c r="B1858" s="3144" t="s">
        <v>1849</v>
      </c>
      <c r="C1858" s="668" t="s">
        <v>340</v>
      </c>
      <c r="D1858" s="669" t="s">
        <v>1980</v>
      </c>
      <c r="E1858" s="936" t="s">
        <v>1925</v>
      </c>
      <c r="F1858" s="671">
        <v>7230</v>
      </c>
      <c r="G1858" s="717" t="s">
        <v>2536</v>
      </c>
      <c r="H1858" s="733"/>
      <c r="I1858" s="733">
        <v>989.5</v>
      </c>
      <c r="J1858" s="2422">
        <v>0</v>
      </c>
      <c r="K1858" s="733"/>
      <c r="L1858" s="2353"/>
      <c r="M1858" s="2353"/>
      <c r="N1858" s="2489"/>
      <c r="O1858" s="3"/>
      <c r="P1858" s="3"/>
      <c r="Q1858" s="3"/>
      <c r="R1858" s="3"/>
      <c r="S1858" s="3"/>
      <c r="T1858" s="3"/>
      <c r="U1858" s="3"/>
      <c r="V1858" s="3"/>
      <c r="W1858" s="3"/>
      <c r="X1858" s="3"/>
      <c r="Y1858" s="3"/>
      <c r="Z1858" s="3"/>
      <c r="AA1858" s="3"/>
      <c r="AB1858" s="3"/>
      <c r="AC1858" s="3"/>
      <c r="AD1858" s="3"/>
      <c r="AE1858" s="3"/>
      <c r="AF1858" s="3"/>
    </row>
    <row r="1859" spans="1:32" ht="20.399999999999999">
      <c r="A1859" s="668"/>
      <c r="B1859" s="3144" t="s">
        <v>1849</v>
      </c>
      <c r="C1859" s="668" t="s">
        <v>340</v>
      </c>
      <c r="D1859" s="669" t="s">
        <v>1980</v>
      </c>
      <c r="E1859" s="936" t="s">
        <v>1925</v>
      </c>
      <c r="F1859" s="671">
        <v>7230</v>
      </c>
      <c r="G1859" s="717" t="s">
        <v>2537</v>
      </c>
      <c r="H1859" s="733"/>
      <c r="I1859" s="733">
        <v>15000</v>
      </c>
      <c r="J1859" s="2422">
        <v>0</v>
      </c>
      <c r="K1859" s="733"/>
      <c r="L1859" s="2353"/>
      <c r="M1859" s="2353"/>
      <c r="N1859" s="305"/>
      <c r="O1859" s="7"/>
      <c r="P1859" s="7"/>
      <c r="Q1859" s="7"/>
      <c r="R1859" s="3"/>
      <c r="S1859" s="3"/>
      <c r="T1859" s="3"/>
      <c r="U1859" s="3"/>
      <c r="V1859" s="3"/>
      <c r="W1859" s="3"/>
      <c r="X1859" s="3"/>
      <c r="Y1859" s="3"/>
      <c r="Z1859" s="3"/>
      <c r="AA1859" s="3"/>
      <c r="AB1859" s="3"/>
      <c r="AC1859" s="3"/>
      <c r="AD1859" s="3"/>
      <c r="AE1859" s="3"/>
      <c r="AF1859" s="3"/>
    </row>
    <row r="1860" spans="1:32" ht="20.399999999999999">
      <c r="A1860" s="668"/>
      <c r="B1860" s="3144" t="s">
        <v>1849</v>
      </c>
      <c r="C1860" s="668" t="s">
        <v>340</v>
      </c>
      <c r="D1860" s="669" t="s">
        <v>1980</v>
      </c>
      <c r="E1860" s="936" t="s">
        <v>1925</v>
      </c>
      <c r="F1860" s="671">
        <v>7230</v>
      </c>
      <c r="G1860" s="717" t="s">
        <v>4527</v>
      </c>
      <c r="H1860" s="733"/>
      <c r="I1860" s="733">
        <v>2374</v>
      </c>
      <c r="J1860" s="2422">
        <v>1025</v>
      </c>
      <c r="K1860" s="733"/>
      <c r="L1860" s="2353"/>
      <c r="M1860" s="2353"/>
      <c r="N1860" s="2489"/>
      <c r="O1860" s="7"/>
      <c r="P1860" s="7"/>
      <c r="Q1860" s="7"/>
      <c r="R1860" s="7"/>
      <c r="S1860" s="7"/>
      <c r="T1860" s="7"/>
      <c r="U1860" s="7"/>
      <c r="V1860" s="7"/>
      <c r="W1860" s="7"/>
      <c r="X1860" s="7"/>
      <c r="Y1860" s="7"/>
      <c r="Z1860" s="7"/>
      <c r="AA1860" s="7"/>
      <c r="AB1860" s="7"/>
      <c r="AC1860" s="7"/>
      <c r="AD1860" s="7"/>
      <c r="AE1860" s="7"/>
      <c r="AF1860" s="7"/>
    </row>
    <row r="1861" spans="1:32">
      <c r="A1861" s="668"/>
      <c r="B1861" s="3144" t="s">
        <v>1849</v>
      </c>
      <c r="C1861" s="668" t="s">
        <v>340</v>
      </c>
      <c r="D1861" s="669" t="s">
        <v>1980</v>
      </c>
      <c r="E1861" s="936" t="s">
        <v>1925</v>
      </c>
      <c r="F1861" s="671">
        <v>7230</v>
      </c>
      <c r="G1861" s="717" t="s">
        <v>2542</v>
      </c>
      <c r="H1861" s="733"/>
      <c r="I1861" s="733">
        <v>12000</v>
      </c>
      <c r="J1861" s="2422">
        <v>12000</v>
      </c>
      <c r="K1861" s="733"/>
      <c r="L1861" s="2353"/>
      <c r="M1861" s="2353"/>
      <c r="N1861" s="2489"/>
      <c r="O1861" s="7"/>
      <c r="P1861" s="7"/>
      <c r="Q1861" s="7"/>
      <c r="R1861" s="7"/>
      <c r="S1861" s="7"/>
      <c r="T1861" s="7"/>
      <c r="U1861" s="7"/>
      <c r="V1861" s="7"/>
      <c r="W1861" s="7"/>
      <c r="X1861" s="7"/>
      <c r="Y1861" s="7"/>
      <c r="Z1861" s="7"/>
      <c r="AA1861" s="7"/>
      <c r="AB1861" s="7"/>
      <c r="AC1861" s="7"/>
      <c r="AD1861" s="7"/>
      <c r="AE1861" s="7"/>
      <c r="AF1861" s="7"/>
    </row>
    <row r="1862" spans="1:32" ht="11.4" customHeight="1">
      <c r="A1862" s="668"/>
      <c r="B1862" s="3144" t="s">
        <v>1849</v>
      </c>
      <c r="C1862" s="668" t="s">
        <v>340</v>
      </c>
      <c r="D1862" s="669" t="s">
        <v>1980</v>
      </c>
      <c r="E1862" s="936" t="s">
        <v>1925</v>
      </c>
      <c r="F1862" s="671">
        <v>7230</v>
      </c>
      <c r="G1862" s="717" t="s">
        <v>2543</v>
      </c>
      <c r="H1862" s="733"/>
      <c r="I1862" s="733">
        <v>4000</v>
      </c>
      <c r="J1862" s="2422">
        <v>3954</v>
      </c>
      <c r="K1862" s="733"/>
      <c r="L1862" s="2353"/>
      <c r="M1862" s="2353"/>
      <c r="N1862" s="2489"/>
      <c r="O1862" s="7"/>
      <c r="P1862" s="7"/>
      <c r="Q1862" s="7"/>
      <c r="R1862" s="7"/>
      <c r="S1862" s="7"/>
      <c r="T1862" s="7"/>
      <c r="U1862" s="7"/>
      <c r="V1862" s="7"/>
      <c r="W1862" s="7"/>
      <c r="X1862" s="7"/>
      <c r="Y1862" s="7"/>
      <c r="Z1862" s="7"/>
      <c r="AA1862" s="7"/>
      <c r="AB1862" s="7"/>
      <c r="AC1862" s="7"/>
      <c r="AD1862" s="7"/>
      <c r="AE1862" s="7"/>
      <c r="AF1862" s="7"/>
    </row>
    <row r="1863" spans="1:32" ht="11.4" customHeight="1">
      <c r="A1863" s="668"/>
      <c r="B1863" s="3144" t="s">
        <v>1849</v>
      </c>
      <c r="C1863" s="668" t="s">
        <v>340</v>
      </c>
      <c r="D1863" s="669" t="s">
        <v>1980</v>
      </c>
      <c r="E1863" s="936" t="s">
        <v>1925</v>
      </c>
      <c r="F1863" s="671">
        <v>7230</v>
      </c>
      <c r="G1863" s="717" t="s">
        <v>2544</v>
      </c>
      <c r="H1863" s="733"/>
      <c r="I1863" s="733">
        <v>2600</v>
      </c>
      <c r="J1863" s="2422">
        <v>2530</v>
      </c>
      <c r="K1863" s="733"/>
      <c r="L1863" s="2353"/>
      <c r="M1863" s="2353"/>
      <c r="N1863" s="2489"/>
      <c r="O1863" s="7"/>
      <c r="P1863" s="7"/>
      <c r="Q1863" s="7"/>
      <c r="R1863" s="7"/>
      <c r="S1863" s="7"/>
      <c r="T1863" s="7"/>
      <c r="U1863" s="7"/>
      <c r="V1863" s="7"/>
      <c r="W1863" s="7"/>
      <c r="X1863" s="7"/>
      <c r="Y1863" s="7"/>
      <c r="Z1863" s="7"/>
      <c r="AA1863" s="7"/>
      <c r="AB1863" s="7"/>
      <c r="AC1863" s="7"/>
      <c r="AD1863" s="7"/>
      <c r="AE1863" s="7"/>
      <c r="AF1863" s="7"/>
    </row>
    <row r="1864" spans="1:32" ht="11.4" customHeight="1">
      <c r="A1864" s="668"/>
      <c r="B1864" s="3144" t="s">
        <v>1849</v>
      </c>
      <c r="C1864" s="668" t="s">
        <v>340</v>
      </c>
      <c r="D1864" s="669" t="s">
        <v>1980</v>
      </c>
      <c r="E1864" s="936" t="s">
        <v>1925</v>
      </c>
      <c r="F1864" s="671">
        <v>7230</v>
      </c>
      <c r="G1864" s="717" t="s">
        <v>3999</v>
      </c>
      <c r="H1864" s="733"/>
      <c r="I1864" s="733">
        <v>17324</v>
      </c>
      <c r="J1864" s="3525" t="s">
        <v>1134</v>
      </c>
      <c r="K1864" s="733"/>
      <c r="L1864" s="2353"/>
      <c r="M1864" s="2353"/>
      <c r="N1864" s="305"/>
      <c r="O1864" s="7"/>
      <c r="P1864" s="7"/>
      <c r="Q1864" s="7"/>
      <c r="R1864" s="7"/>
      <c r="S1864" s="7"/>
      <c r="T1864" s="7"/>
      <c r="U1864" s="7"/>
      <c r="V1864" s="7"/>
      <c r="W1864" s="7"/>
      <c r="X1864" s="7"/>
      <c r="Y1864" s="7"/>
      <c r="Z1864" s="7"/>
      <c r="AA1864" s="7"/>
      <c r="AB1864" s="7"/>
      <c r="AC1864" s="7"/>
      <c r="AD1864" s="7"/>
      <c r="AE1864" s="7"/>
      <c r="AF1864" s="7"/>
    </row>
    <row r="1865" spans="1:32">
      <c r="A1865" s="1575"/>
      <c r="B1865" s="3147" t="s">
        <v>365</v>
      </c>
      <c r="C1865" s="1575"/>
      <c r="D1865" s="1585" t="s">
        <v>1980</v>
      </c>
      <c r="E1865" s="1586" t="s">
        <v>3379</v>
      </c>
      <c r="F1865" s="1577">
        <v>1119</v>
      </c>
      <c r="G1865" s="1578" t="s">
        <v>142</v>
      </c>
      <c r="H1865" s="1587">
        <v>346</v>
      </c>
      <c r="I1865" s="1587"/>
      <c r="J1865" s="3528"/>
      <c r="K1865" s="1567"/>
      <c r="L1865" s="3085">
        <v>344.99720851201556</v>
      </c>
      <c r="M1865" s="3086"/>
      <c r="N1865" s="305"/>
      <c r="O1865" s="7"/>
      <c r="P1865" s="7"/>
      <c r="Q1865" s="7"/>
      <c r="R1865" s="7"/>
      <c r="S1865" s="7"/>
      <c r="T1865" s="7"/>
      <c r="U1865" s="7"/>
      <c r="V1865" s="7"/>
      <c r="W1865" s="7"/>
      <c r="X1865" s="7"/>
      <c r="Y1865" s="7"/>
      <c r="Z1865" s="7"/>
      <c r="AA1865" s="7"/>
      <c r="AB1865" s="7"/>
      <c r="AC1865" s="7"/>
      <c r="AD1865" s="7"/>
      <c r="AE1865" s="7"/>
      <c r="AF1865" s="7"/>
    </row>
    <row r="1866" spans="1:32" ht="11.4" customHeight="1">
      <c r="A1866" s="1495"/>
      <c r="B1866" s="3138" t="s">
        <v>365</v>
      </c>
      <c r="C1866" s="1495"/>
      <c r="D1866" s="1561" t="s">
        <v>1980</v>
      </c>
      <c r="E1866" s="1590" t="s">
        <v>3379</v>
      </c>
      <c r="F1866" s="1574">
        <v>1119</v>
      </c>
      <c r="G1866" s="1548" t="s">
        <v>436</v>
      </c>
      <c r="H1866" s="1549"/>
      <c r="I1866" s="1549">
        <v>346</v>
      </c>
      <c r="J1866" s="3528"/>
      <c r="K1866" s="1551"/>
      <c r="L1866" s="3087"/>
      <c r="M1866" s="3088">
        <v>344.99720851201556</v>
      </c>
      <c r="N1866" s="2489"/>
      <c r="O1866" s="7"/>
      <c r="P1866" s="7"/>
      <c r="Q1866" s="7"/>
      <c r="R1866" s="7"/>
      <c r="S1866" s="7"/>
      <c r="T1866" s="7"/>
      <c r="U1866" s="7"/>
      <c r="V1866" s="7"/>
      <c r="W1866" s="7"/>
      <c r="X1866" s="7"/>
      <c r="Y1866" s="7"/>
      <c r="Z1866" s="7"/>
      <c r="AA1866" s="7"/>
      <c r="AB1866" s="7"/>
      <c r="AC1866" s="7"/>
      <c r="AD1866" s="7"/>
      <c r="AE1866" s="7"/>
      <c r="AF1866" s="7"/>
    </row>
    <row r="1867" spans="1:32" ht="11.4" customHeight="1">
      <c r="A1867" s="1575"/>
      <c r="B1867" s="3147" t="s">
        <v>365</v>
      </c>
      <c r="C1867" s="1575"/>
      <c r="D1867" s="1585" t="s">
        <v>1980</v>
      </c>
      <c r="E1867" s="1586" t="s">
        <v>3379</v>
      </c>
      <c r="F1867" s="1577">
        <v>1210</v>
      </c>
      <c r="G1867" s="1578" t="s">
        <v>402</v>
      </c>
      <c r="H1867" s="1587">
        <v>81</v>
      </c>
      <c r="I1867" s="1587"/>
      <c r="J1867" s="3529"/>
      <c r="K1867" s="1567"/>
      <c r="L1867" s="3085">
        <v>82.002791487984439</v>
      </c>
      <c r="M1867" s="3089"/>
      <c r="N1867" s="3"/>
      <c r="O1867" s="7"/>
      <c r="P1867" s="7"/>
      <c r="Q1867" s="7"/>
      <c r="R1867" s="7"/>
      <c r="S1867" s="7"/>
      <c r="T1867" s="7"/>
      <c r="U1867" s="7"/>
      <c r="V1867" s="7"/>
      <c r="W1867" s="7"/>
      <c r="X1867" s="7"/>
      <c r="Y1867" s="7"/>
      <c r="Z1867" s="7"/>
      <c r="AA1867" s="7"/>
      <c r="AB1867" s="7"/>
      <c r="AC1867" s="7"/>
      <c r="AD1867" s="7"/>
      <c r="AE1867" s="7"/>
      <c r="AF1867" s="7"/>
    </row>
    <row r="1868" spans="1:32" ht="30.6">
      <c r="A1868" s="1495"/>
      <c r="B1868" s="3138" t="s">
        <v>365</v>
      </c>
      <c r="C1868" s="1495"/>
      <c r="D1868" s="1561" t="s">
        <v>1980</v>
      </c>
      <c r="E1868" s="1590" t="s">
        <v>3379</v>
      </c>
      <c r="F1868" s="1574">
        <v>1210</v>
      </c>
      <c r="G1868" s="1548"/>
      <c r="H1868" s="1549"/>
      <c r="I1868" s="1549">
        <v>81</v>
      </c>
      <c r="J1868" s="2421"/>
      <c r="K1868" s="1551"/>
      <c r="L1868" s="3087"/>
      <c r="M1868" s="3084">
        <v>82.002791487984439</v>
      </c>
      <c r="N1868" s="1508" t="s">
        <v>4721</v>
      </c>
      <c r="O1868" s="7"/>
      <c r="P1868" s="7"/>
      <c r="Q1868" s="7"/>
      <c r="R1868" s="7"/>
      <c r="S1868" s="7"/>
      <c r="T1868" s="7"/>
      <c r="U1868" s="7"/>
      <c r="V1868" s="7"/>
      <c r="W1868" s="7"/>
      <c r="X1868" s="7"/>
      <c r="Y1868" s="7"/>
      <c r="Z1868" s="7"/>
      <c r="AA1868" s="7"/>
      <c r="AB1868" s="7"/>
      <c r="AC1868" s="7"/>
      <c r="AD1868" s="7"/>
      <c r="AE1868" s="7"/>
      <c r="AF1868" s="7"/>
    </row>
    <row r="1869" spans="1:32" ht="20.399999999999999">
      <c r="A1869" s="1575"/>
      <c r="B1869" s="3147" t="s">
        <v>365</v>
      </c>
      <c r="C1869" s="1575"/>
      <c r="D1869" s="1585" t="s">
        <v>1980</v>
      </c>
      <c r="E1869" s="1586" t="s">
        <v>3379</v>
      </c>
      <c r="F1869" s="1577">
        <v>2239</v>
      </c>
      <c r="G1869" s="1578" t="s">
        <v>1017</v>
      </c>
      <c r="H1869" s="1587">
        <v>3880</v>
      </c>
      <c r="I1869" s="1587"/>
      <c r="J1869" s="2421"/>
      <c r="K1869" s="1567"/>
      <c r="L1869" s="1588">
        <v>2430</v>
      </c>
      <c r="M1869" s="1592"/>
      <c r="N1869" s="1508" t="s">
        <v>4865</v>
      </c>
      <c r="O1869" s="7"/>
      <c r="P1869" s="7"/>
      <c r="Q1869" s="7"/>
      <c r="R1869" s="7"/>
      <c r="S1869" s="7"/>
      <c r="T1869" s="7"/>
      <c r="U1869" s="7"/>
      <c r="V1869" s="7"/>
      <c r="W1869" s="7"/>
      <c r="X1869" s="7"/>
      <c r="Y1869" s="7"/>
      <c r="Z1869" s="7"/>
      <c r="AA1869" s="7"/>
      <c r="AB1869" s="7"/>
      <c r="AC1869" s="7"/>
      <c r="AD1869" s="7"/>
      <c r="AE1869" s="7"/>
      <c r="AF1869" s="7"/>
    </row>
    <row r="1870" spans="1:32">
      <c r="A1870" s="1495"/>
      <c r="B1870" s="3138" t="s">
        <v>365</v>
      </c>
      <c r="C1870" s="1495"/>
      <c r="D1870" s="1561" t="s">
        <v>1980</v>
      </c>
      <c r="E1870" s="1590" t="s">
        <v>3379</v>
      </c>
      <c r="F1870" s="1574">
        <v>2239</v>
      </c>
      <c r="G1870" s="1583" t="s">
        <v>1295</v>
      </c>
      <c r="H1870" s="1549"/>
      <c r="I1870" s="1549">
        <v>3880</v>
      </c>
      <c r="J1870" s="2421"/>
      <c r="K1870" s="1551"/>
      <c r="L1870" s="1568"/>
      <c r="M1870" s="1591">
        <v>2430</v>
      </c>
      <c r="N1870" s="3"/>
      <c r="O1870" s="7"/>
      <c r="P1870" s="7"/>
      <c r="Q1870" s="7"/>
      <c r="R1870" s="3"/>
      <c r="S1870" s="3"/>
      <c r="T1870" s="3"/>
      <c r="U1870" s="3"/>
      <c r="V1870" s="3"/>
      <c r="W1870" s="3"/>
      <c r="X1870" s="3"/>
      <c r="Y1870" s="3"/>
      <c r="Z1870" s="3"/>
      <c r="AA1870" s="3"/>
      <c r="AB1870" s="3"/>
      <c r="AC1870" s="3"/>
      <c r="AD1870" s="3"/>
      <c r="AE1870" s="3"/>
      <c r="AF1870" s="3"/>
    </row>
    <row r="1871" spans="1:32">
      <c r="A1871" s="1495"/>
      <c r="B1871" s="3138" t="s">
        <v>365</v>
      </c>
      <c r="C1871" s="1495"/>
      <c r="D1871" s="1561" t="s">
        <v>1980</v>
      </c>
      <c r="E1871" s="1590" t="s">
        <v>3379</v>
      </c>
      <c r="F1871" s="1574">
        <v>2239</v>
      </c>
      <c r="G1871" s="1583" t="s">
        <v>319</v>
      </c>
      <c r="H1871" s="1549"/>
      <c r="I1871" s="1549"/>
      <c r="J1871" s="2421"/>
      <c r="K1871" s="1551"/>
      <c r="L1871" s="1568"/>
      <c r="M1871" s="3084">
        <v>427</v>
      </c>
      <c r="N1871" s="1508"/>
      <c r="O1871" s="7"/>
      <c r="P1871" s="7"/>
      <c r="Q1871" s="7"/>
      <c r="R1871" s="7"/>
      <c r="S1871" s="7"/>
      <c r="T1871" s="7"/>
      <c r="U1871" s="7"/>
      <c r="V1871" s="7"/>
      <c r="W1871" s="7"/>
      <c r="X1871" s="7"/>
      <c r="Y1871" s="7"/>
      <c r="Z1871" s="7"/>
      <c r="AA1871" s="7"/>
      <c r="AB1871" s="7"/>
      <c r="AC1871" s="7"/>
      <c r="AD1871" s="7"/>
      <c r="AE1871" s="7"/>
      <c r="AF1871" s="7"/>
    </row>
    <row r="1872" spans="1:32">
      <c r="A1872" s="1495"/>
      <c r="B1872" s="3138" t="s">
        <v>365</v>
      </c>
      <c r="C1872" s="1495"/>
      <c r="D1872" s="1561" t="s">
        <v>1980</v>
      </c>
      <c r="E1872" s="1590" t="s">
        <v>3379</v>
      </c>
      <c r="F1872" s="1574">
        <v>2239</v>
      </c>
      <c r="G1872" s="1583" t="s">
        <v>5219</v>
      </c>
      <c r="H1872" s="1549"/>
      <c r="I1872" s="1549"/>
      <c r="J1872" s="2421"/>
      <c r="K1872" s="1551"/>
      <c r="L1872" s="1568"/>
      <c r="M1872" s="3084">
        <v>-427</v>
      </c>
      <c r="N1872" s="305"/>
      <c r="O1872" s="7"/>
      <c r="P1872" s="7"/>
      <c r="Q1872" s="7"/>
      <c r="R1872" s="3"/>
      <c r="S1872" s="3"/>
      <c r="T1872" s="3"/>
      <c r="U1872" s="3"/>
      <c r="V1872" s="3"/>
      <c r="W1872" s="3"/>
      <c r="X1872" s="3"/>
      <c r="Y1872" s="3"/>
      <c r="Z1872" s="3"/>
      <c r="AA1872" s="3"/>
      <c r="AB1872" s="3"/>
      <c r="AC1872" s="3"/>
      <c r="AD1872" s="3"/>
      <c r="AE1872" s="3"/>
      <c r="AF1872" s="3"/>
    </row>
    <row r="1873" spans="1:32">
      <c r="A1873" s="683"/>
      <c r="B1873" s="3129" t="s">
        <v>772</v>
      </c>
      <c r="C1873" s="683" t="s">
        <v>320</v>
      </c>
      <c r="D1873" s="719" t="s">
        <v>1978</v>
      </c>
      <c r="E1873" s="1415" t="s">
        <v>1919</v>
      </c>
      <c r="F1873" s="685">
        <v>2222</v>
      </c>
      <c r="G1873" s="686" t="s">
        <v>153</v>
      </c>
      <c r="H1873" s="731">
        <v>2000</v>
      </c>
      <c r="I1873" s="731"/>
      <c r="J1873" s="2421">
        <v>0</v>
      </c>
      <c r="K1873" s="1137"/>
      <c r="L1873" s="1957">
        <v>2000</v>
      </c>
      <c r="M1873" s="1957"/>
      <c r="N1873" s="305" t="s">
        <v>4849</v>
      </c>
      <c r="O1873" s="7"/>
      <c r="P1873" s="7"/>
      <c r="Q1873" s="7"/>
      <c r="R1873" s="3"/>
      <c r="S1873" s="3"/>
      <c r="T1873" s="3"/>
      <c r="U1873" s="3"/>
      <c r="V1873" s="3"/>
      <c r="W1873" s="3"/>
      <c r="X1873" s="3"/>
      <c r="Y1873" s="3"/>
      <c r="Z1873" s="3"/>
      <c r="AA1873" s="3"/>
      <c r="AB1873" s="3"/>
      <c r="AC1873" s="3"/>
      <c r="AD1873" s="3"/>
      <c r="AE1873" s="3"/>
      <c r="AF1873" s="3"/>
    </row>
    <row r="1874" spans="1:32">
      <c r="A1874" s="663"/>
      <c r="B1874" s="3130" t="s">
        <v>772</v>
      </c>
      <c r="C1874" s="663" t="s">
        <v>320</v>
      </c>
      <c r="D1874" s="678" t="s">
        <v>1978</v>
      </c>
      <c r="E1874" s="1407" t="s">
        <v>1919</v>
      </c>
      <c r="F1874" s="679">
        <v>2222</v>
      </c>
      <c r="G1874" s="665" t="s">
        <v>411</v>
      </c>
      <c r="H1874" s="741"/>
      <c r="I1874" s="741">
        <v>2000</v>
      </c>
      <c r="J1874" s="2421" t="s">
        <v>1134</v>
      </c>
      <c r="K1874" s="899"/>
      <c r="L1874" s="1958"/>
      <c r="M1874" s="1958">
        <v>2000</v>
      </c>
      <c r="N1874" s="305"/>
      <c r="O1874" s="7"/>
      <c r="P1874" s="7"/>
      <c r="Q1874" s="7"/>
      <c r="R1874" s="7"/>
      <c r="S1874" s="7"/>
      <c r="T1874" s="7"/>
      <c r="U1874" s="7"/>
      <c r="V1874" s="7"/>
      <c r="W1874" s="7"/>
      <c r="X1874" s="7"/>
      <c r="Y1874" s="7"/>
      <c r="Z1874" s="7"/>
      <c r="AA1874" s="7"/>
      <c r="AB1874" s="7"/>
      <c r="AC1874" s="7"/>
      <c r="AD1874" s="7"/>
      <c r="AE1874" s="7"/>
      <c r="AF1874" s="7"/>
    </row>
    <row r="1875" spans="1:32">
      <c r="A1875" s="683"/>
      <c r="B1875" s="3129" t="s">
        <v>772</v>
      </c>
      <c r="C1875" s="683" t="s">
        <v>320</v>
      </c>
      <c r="D1875" s="719" t="s">
        <v>1978</v>
      </c>
      <c r="E1875" s="1406" t="s">
        <v>1919</v>
      </c>
      <c r="F1875" s="685">
        <v>2223</v>
      </c>
      <c r="G1875" s="686" t="s">
        <v>154</v>
      </c>
      <c r="H1875" s="731">
        <v>5900</v>
      </c>
      <c r="I1875" s="731"/>
      <c r="J1875" s="1494">
        <v>0</v>
      </c>
      <c r="K1875" s="1137"/>
      <c r="L1875" s="1957">
        <v>5900</v>
      </c>
      <c r="M1875" s="1957"/>
      <c r="N1875" s="305"/>
      <c r="O1875" s="7"/>
      <c r="P1875" s="7"/>
      <c r="Q1875" s="7"/>
      <c r="R1875" s="3"/>
      <c r="S1875" s="3"/>
      <c r="T1875" s="3"/>
      <c r="U1875" s="3"/>
      <c r="V1875" s="3"/>
      <c r="W1875" s="3"/>
      <c r="X1875" s="3"/>
      <c r="Y1875" s="3"/>
      <c r="Z1875" s="3"/>
      <c r="AA1875" s="3"/>
      <c r="AB1875" s="3"/>
      <c r="AC1875" s="3"/>
      <c r="AD1875" s="3"/>
      <c r="AE1875" s="3"/>
      <c r="AF1875" s="3"/>
    </row>
    <row r="1876" spans="1:32">
      <c r="A1876" s="663"/>
      <c r="B1876" s="3130" t="s">
        <v>772</v>
      </c>
      <c r="C1876" s="663" t="s">
        <v>320</v>
      </c>
      <c r="D1876" s="678" t="s">
        <v>1978</v>
      </c>
      <c r="E1876" s="1407" t="s">
        <v>1919</v>
      </c>
      <c r="F1876" s="679">
        <v>2223</v>
      </c>
      <c r="G1876" s="665" t="s">
        <v>537</v>
      </c>
      <c r="H1876" s="741"/>
      <c r="I1876" s="741">
        <v>5900</v>
      </c>
      <c r="J1876" s="1494" t="s">
        <v>1134</v>
      </c>
      <c r="K1876" s="899"/>
      <c r="L1876" s="1958"/>
      <c r="M1876" s="1958">
        <v>5900</v>
      </c>
      <c r="N1876" s="305"/>
      <c r="O1876" s="7"/>
      <c r="P1876" s="7"/>
      <c r="Q1876" s="7"/>
      <c r="R1876" s="7"/>
      <c r="S1876" s="7"/>
      <c r="T1876" s="7"/>
      <c r="U1876" s="7"/>
      <c r="V1876" s="7"/>
      <c r="W1876" s="7"/>
      <c r="X1876" s="7"/>
      <c r="Y1876" s="7"/>
      <c r="Z1876" s="7"/>
      <c r="AA1876" s="7"/>
      <c r="AB1876" s="7"/>
      <c r="AC1876" s="7"/>
      <c r="AD1876" s="7"/>
      <c r="AE1876" s="7"/>
      <c r="AF1876" s="7"/>
    </row>
    <row r="1877" spans="1:32">
      <c r="A1877" s="683"/>
      <c r="B1877" s="3129" t="s">
        <v>772</v>
      </c>
      <c r="C1877" s="683" t="s">
        <v>322</v>
      </c>
      <c r="D1877" s="719" t="s">
        <v>1978</v>
      </c>
      <c r="E1877" s="1406" t="s">
        <v>1919</v>
      </c>
      <c r="F1877" s="685">
        <v>2239</v>
      </c>
      <c r="G1877" s="686" t="s">
        <v>177</v>
      </c>
      <c r="H1877" s="731">
        <v>274.1739</v>
      </c>
      <c r="I1877" s="731"/>
      <c r="J1877" s="1494">
        <v>0</v>
      </c>
      <c r="K1877" s="1137"/>
      <c r="L1877" s="1957">
        <v>274.1739</v>
      </c>
      <c r="M1877" s="1957"/>
      <c r="N1877" s="305"/>
      <c r="O1877" s="7"/>
      <c r="P1877" s="7"/>
      <c r="Q1877" s="7"/>
      <c r="R1877" s="3"/>
      <c r="S1877" s="3"/>
      <c r="T1877" s="3"/>
      <c r="U1877" s="3"/>
      <c r="V1877" s="3"/>
      <c r="W1877" s="3"/>
      <c r="X1877" s="3"/>
      <c r="Y1877" s="3"/>
      <c r="Z1877" s="3"/>
      <c r="AA1877" s="3"/>
      <c r="AB1877" s="3"/>
      <c r="AC1877" s="3"/>
      <c r="AD1877" s="3"/>
      <c r="AE1877" s="3"/>
      <c r="AF1877" s="3"/>
    </row>
    <row r="1878" spans="1:32">
      <c r="A1878" s="872"/>
      <c r="B1878" s="3137" t="s">
        <v>772</v>
      </c>
      <c r="C1878" s="774" t="s">
        <v>322</v>
      </c>
      <c r="D1878" s="873" t="s">
        <v>1978</v>
      </c>
      <c r="E1878" s="1407" t="s">
        <v>1919</v>
      </c>
      <c r="F1878" s="679">
        <v>2239</v>
      </c>
      <c r="G1878" s="665" t="s">
        <v>641</v>
      </c>
      <c r="H1878" s="741"/>
      <c r="I1878" s="741">
        <v>274.1739</v>
      </c>
      <c r="J1878" s="1494" t="s">
        <v>1134</v>
      </c>
      <c r="K1878" s="899"/>
      <c r="L1878" s="1958"/>
      <c r="M1878" s="1958">
        <v>274.1739</v>
      </c>
      <c r="N1878" s="305"/>
      <c r="O1878" s="7"/>
      <c r="P1878" s="7"/>
      <c r="Q1878" s="7"/>
      <c r="R1878" s="7"/>
      <c r="S1878" s="7"/>
      <c r="T1878" s="7"/>
      <c r="U1878" s="7"/>
      <c r="V1878" s="7"/>
      <c r="W1878" s="7"/>
      <c r="X1878" s="7"/>
      <c r="Y1878" s="7"/>
      <c r="Z1878" s="7"/>
      <c r="AA1878" s="7"/>
      <c r="AB1878" s="7"/>
      <c r="AC1878" s="7"/>
      <c r="AD1878" s="7"/>
      <c r="AE1878" s="7"/>
      <c r="AF1878" s="7"/>
    </row>
    <row r="1879" spans="1:32" ht="11.4" customHeight="1">
      <c r="A1879" s="683"/>
      <c r="B1879" s="3129" t="s">
        <v>772</v>
      </c>
      <c r="C1879" s="683" t="s">
        <v>322</v>
      </c>
      <c r="D1879" s="719" t="s">
        <v>1978</v>
      </c>
      <c r="E1879" s="1406" t="s">
        <v>1919</v>
      </c>
      <c r="F1879" s="685">
        <v>2247</v>
      </c>
      <c r="G1879" s="686" t="s">
        <v>454</v>
      </c>
      <c r="H1879" s="731">
        <v>38</v>
      </c>
      <c r="I1879" s="731"/>
      <c r="J1879" s="1494">
        <v>0</v>
      </c>
      <c r="K1879" s="899"/>
      <c r="L1879" s="1957">
        <v>38</v>
      </c>
      <c r="M1879" s="1957"/>
      <c r="N1879" s="57"/>
      <c r="O1879" s="7"/>
      <c r="P1879" s="7"/>
      <c r="Q1879" s="7"/>
      <c r="R1879" s="3"/>
      <c r="S1879" s="3"/>
      <c r="T1879" s="3"/>
      <c r="U1879" s="3"/>
      <c r="V1879" s="3"/>
      <c r="W1879" s="3"/>
      <c r="X1879" s="3"/>
      <c r="Y1879" s="3"/>
      <c r="Z1879" s="3"/>
      <c r="AA1879" s="3"/>
      <c r="AB1879" s="3"/>
      <c r="AC1879" s="3"/>
      <c r="AD1879" s="3"/>
      <c r="AE1879" s="3"/>
      <c r="AF1879" s="3"/>
    </row>
    <row r="1880" spans="1:32" ht="11.4" customHeight="1">
      <c r="A1880" s="872"/>
      <c r="B1880" s="3137" t="s">
        <v>772</v>
      </c>
      <c r="C1880" s="774" t="s">
        <v>322</v>
      </c>
      <c r="D1880" s="873" t="s">
        <v>1978</v>
      </c>
      <c r="E1880" s="1407" t="s">
        <v>1919</v>
      </c>
      <c r="F1880" s="679">
        <v>2247</v>
      </c>
      <c r="G1880" s="665" t="s">
        <v>454</v>
      </c>
      <c r="H1880" s="741"/>
      <c r="I1880" s="741">
        <v>38</v>
      </c>
      <c r="J1880" s="1494" t="s">
        <v>1134</v>
      </c>
      <c r="K1880" s="899"/>
      <c r="L1880" s="1958"/>
      <c r="M1880" s="1958">
        <v>38</v>
      </c>
      <c r="N1880" s="2489"/>
      <c r="O1880" s="7"/>
      <c r="P1880" s="7"/>
      <c r="Q1880" s="7"/>
      <c r="R1880" s="7"/>
      <c r="S1880" s="7"/>
      <c r="T1880" s="7"/>
      <c r="U1880" s="7"/>
      <c r="V1880" s="7"/>
      <c r="W1880" s="7"/>
      <c r="X1880" s="7"/>
      <c r="Y1880" s="7"/>
      <c r="Z1880" s="7"/>
      <c r="AA1880" s="7"/>
      <c r="AB1880" s="7"/>
      <c r="AC1880" s="7"/>
      <c r="AD1880" s="7"/>
      <c r="AE1880" s="7"/>
      <c r="AF1880" s="7"/>
    </row>
    <row r="1881" spans="1:32">
      <c r="A1881" s="683"/>
      <c r="B1881" s="3129" t="s">
        <v>772</v>
      </c>
      <c r="C1881" s="683" t="s">
        <v>324</v>
      </c>
      <c r="D1881" s="719" t="s">
        <v>1978</v>
      </c>
      <c r="E1881" s="1406" t="s">
        <v>1919</v>
      </c>
      <c r="F1881" s="685">
        <v>2312</v>
      </c>
      <c r="G1881" s="686" t="s">
        <v>131</v>
      </c>
      <c r="H1881" s="731">
        <v>480</v>
      </c>
      <c r="I1881" s="731"/>
      <c r="J1881" s="1494">
        <v>0</v>
      </c>
      <c r="K1881" s="1137"/>
      <c r="L1881" s="1957">
        <v>480</v>
      </c>
      <c r="M1881" s="1957"/>
      <c r="N1881" s="305"/>
      <c r="O1881" s="7"/>
      <c r="P1881" s="7"/>
      <c r="Q1881" s="7"/>
      <c r="R1881" s="3"/>
      <c r="S1881" s="3"/>
      <c r="T1881" s="3"/>
      <c r="U1881" s="3"/>
      <c r="V1881" s="3"/>
      <c r="W1881" s="3"/>
      <c r="X1881" s="3"/>
      <c r="Y1881" s="3"/>
      <c r="Z1881" s="3"/>
      <c r="AA1881" s="3"/>
      <c r="AB1881" s="3"/>
      <c r="AC1881" s="3"/>
      <c r="AD1881" s="3"/>
      <c r="AE1881" s="3"/>
      <c r="AF1881" s="3"/>
    </row>
    <row r="1882" spans="1:32">
      <c r="A1882" s="663"/>
      <c r="B1882" s="3130" t="s">
        <v>772</v>
      </c>
      <c r="C1882" s="663" t="s">
        <v>324</v>
      </c>
      <c r="D1882" s="678" t="s">
        <v>1978</v>
      </c>
      <c r="E1882" s="1407" t="s">
        <v>1919</v>
      </c>
      <c r="F1882" s="679">
        <v>2312</v>
      </c>
      <c r="G1882" s="903" t="s">
        <v>536</v>
      </c>
      <c r="H1882" s="741"/>
      <c r="I1882" s="741">
        <v>480</v>
      </c>
      <c r="J1882" s="1494" t="s">
        <v>1134</v>
      </c>
      <c r="K1882" s="899"/>
      <c r="L1882" s="1958"/>
      <c r="M1882" s="1958">
        <v>480</v>
      </c>
      <c r="N1882" s="1508"/>
      <c r="O1882" s="7"/>
      <c r="P1882" s="7"/>
      <c r="Q1882" s="7"/>
      <c r="R1882" s="7"/>
      <c r="S1882" s="7"/>
      <c r="T1882" s="7"/>
      <c r="U1882" s="7"/>
      <c r="V1882" s="7"/>
      <c r="W1882" s="7"/>
      <c r="X1882" s="7"/>
      <c r="Y1882" s="7"/>
      <c r="Z1882" s="7"/>
      <c r="AA1882" s="7"/>
      <c r="AB1882" s="7"/>
      <c r="AC1882" s="7"/>
      <c r="AD1882" s="7"/>
      <c r="AE1882" s="7"/>
      <c r="AF1882" s="7"/>
    </row>
    <row r="1883" spans="1:32">
      <c r="A1883" s="683"/>
      <c r="B1883" s="3129" t="s">
        <v>772</v>
      </c>
      <c r="C1883" s="683" t="s">
        <v>320</v>
      </c>
      <c r="D1883" s="719" t="s">
        <v>1978</v>
      </c>
      <c r="E1883" s="1406" t="s">
        <v>1919</v>
      </c>
      <c r="F1883" s="685">
        <v>2321</v>
      </c>
      <c r="G1883" s="686" t="s">
        <v>190</v>
      </c>
      <c r="H1883" s="731">
        <v>8500</v>
      </c>
      <c r="I1883" s="731"/>
      <c r="J1883" s="1494">
        <v>0</v>
      </c>
      <c r="K1883" s="1137"/>
      <c r="L1883" s="1957">
        <v>8500</v>
      </c>
      <c r="M1883" s="1957"/>
      <c r="N1883" s="1508"/>
      <c r="O1883" s="7"/>
      <c r="P1883" s="7"/>
      <c r="Q1883" s="7"/>
      <c r="R1883" s="7"/>
      <c r="S1883" s="7"/>
      <c r="T1883" s="7"/>
      <c r="U1883" s="7"/>
      <c r="V1883" s="7"/>
      <c r="W1883" s="7"/>
      <c r="X1883" s="7"/>
      <c r="Y1883" s="7"/>
      <c r="Z1883" s="7"/>
      <c r="AA1883" s="7"/>
      <c r="AB1883" s="7"/>
      <c r="AC1883" s="7"/>
      <c r="AD1883" s="7"/>
      <c r="AE1883" s="7"/>
      <c r="AF1883" s="7"/>
    </row>
    <row r="1884" spans="1:32">
      <c r="A1884" s="663"/>
      <c r="B1884" s="3130" t="s">
        <v>772</v>
      </c>
      <c r="C1884" s="663" t="s">
        <v>320</v>
      </c>
      <c r="D1884" s="678" t="s">
        <v>1978</v>
      </c>
      <c r="E1884" s="1407" t="s">
        <v>1919</v>
      </c>
      <c r="F1884" s="679">
        <v>2321</v>
      </c>
      <c r="G1884" s="665" t="s">
        <v>220</v>
      </c>
      <c r="H1884" s="741"/>
      <c r="I1884" s="741">
        <v>10000</v>
      </c>
      <c r="J1884" s="1494" t="s">
        <v>1134</v>
      </c>
      <c r="K1884" s="899"/>
      <c r="L1884" s="1958"/>
      <c r="M1884" s="1958">
        <v>10000</v>
      </c>
      <c r="N1884" s="1508"/>
      <c r="O1884" s="7"/>
      <c r="P1884" s="7"/>
      <c r="Q1884" s="7"/>
      <c r="R1884" s="7"/>
      <c r="S1884" s="7"/>
      <c r="T1884" s="7"/>
      <c r="U1884" s="7"/>
      <c r="V1884" s="7"/>
      <c r="W1884" s="7"/>
      <c r="X1884" s="7"/>
      <c r="Y1884" s="7"/>
      <c r="Z1884" s="7"/>
      <c r="AA1884" s="7"/>
      <c r="AB1884" s="7"/>
      <c r="AC1884" s="7"/>
      <c r="AD1884" s="7"/>
      <c r="AE1884" s="7"/>
      <c r="AF1884" s="7"/>
    </row>
    <row r="1885" spans="1:32" ht="20.399999999999999">
      <c r="A1885" s="603"/>
      <c r="B1885" s="3130" t="s">
        <v>772</v>
      </c>
      <c r="C1885" s="663" t="s">
        <v>320</v>
      </c>
      <c r="D1885" s="678" t="s">
        <v>1978</v>
      </c>
      <c r="E1885" s="1407" t="s">
        <v>1919</v>
      </c>
      <c r="F1885" s="679">
        <v>2321</v>
      </c>
      <c r="G1885" s="1129" t="s">
        <v>3104</v>
      </c>
      <c r="H1885" s="1136"/>
      <c r="I1885" s="1136">
        <v>-1500</v>
      </c>
      <c r="J1885" s="1494" t="s">
        <v>1134</v>
      </c>
      <c r="K1885" s="1138"/>
      <c r="L1885" s="1960"/>
      <c r="M1885" s="1960">
        <v>-1500</v>
      </c>
      <c r="N1885" s="1508"/>
    </row>
    <row r="1886" spans="1:32" ht="14.4">
      <c r="A1886" s="683"/>
      <c r="B1886" s="3129" t="s">
        <v>772</v>
      </c>
      <c r="C1886" s="683" t="s">
        <v>320</v>
      </c>
      <c r="D1886" s="719" t="s">
        <v>1978</v>
      </c>
      <c r="E1886" s="1406" t="s">
        <v>1919</v>
      </c>
      <c r="F1886" s="685">
        <v>2350</v>
      </c>
      <c r="G1886" s="686" t="s">
        <v>170</v>
      </c>
      <c r="H1886" s="731">
        <v>536</v>
      </c>
      <c r="I1886" s="731"/>
      <c r="J1886" s="1494">
        <v>0</v>
      </c>
      <c r="K1886" s="1137"/>
      <c r="L1886" s="1957">
        <v>536</v>
      </c>
      <c r="M1886" s="1957"/>
      <c r="N1886" s="2525"/>
    </row>
    <row r="1887" spans="1:32">
      <c r="A1887" s="663"/>
      <c r="B1887" s="3130" t="s">
        <v>772</v>
      </c>
      <c r="C1887" s="663" t="s">
        <v>320</v>
      </c>
      <c r="D1887" s="678" t="s">
        <v>1978</v>
      </c>
      <c r="E1887" s="1407" t="s">
        <v>1919</v>
      </c>
      <c r="F1887" s="679">
        <v>2350</v>
      </c>
      <c r="G1887" s="665" t="s">
        <v>413</v>
      </c>
      <c r="H1887" s="741"/>
      <c r="I1887" s="741">
        <v>300</v>
      </c>
      <c r="J1887" s="1494" t="s">
        <v>1134</v>
      </c>
      <c r="K1887" s="899"/>
      <c r="L1887" s="1958"/>
      <c r="M1887" s="1958">
        <v>300</v>
      </c>
      <c r="N1887" s="3"/>
      <c r="O1887" s="7"/>
      <c r="P1887" s="7"/>
      <c r="Q1887" s="7"/>
      <c r="R1887" s="7"/>
      <c r="S1887" s="7"/>
      <c r="T1887" s="7"/>
      <c r="U1887" s="7"/>
      <c r="V1887" s="7"/>
      <c r="W1887" s="7"/>
      <c r="X1887" s="7"/>
      <c r="Y1887" s="7"/>
      <c r="Z1887" s="7"/>
      <c r="AA1887" s="7"/>
      <c r="AB1887" s="7"/>
      <c r="AC1887" s="7"/>
      <c r="AD1887" s="7"/>
      <c r="AE1887" s="7"/>
      <c r="AF1887" s="7"/>
    </row>
    <row r="1888" spans="1:32" ht="20.399999999999999" customHeight="1">
      <c r="A1888" s="663"/>
      <c r="B1888" s="3130" t="s">
        <v>772</v>
      </c>
      <c r="C1888" s="663" t="s">
        <v>320</v>
      </c>
      <c r="D1888" s="678" t="s">
        <v>1978</v>
      </c>
      <c r="E1888" s="1407" t="s">
        <v>1919</v>
      </c>
      <c r="F1888" s="679">
        <v>2350</v>
      </c>
      <c r="G1888" s="903" t="s">
        <v>152</v>
      </c>
      <c r="H1888" s="741"/>
      <c r="I1888" s="741">
        <v>236</v>
      </c>
      <c r="J1888" s="1494" t="s">
        <v>1134</v>
      </c>
      <c r="K1888" s="899"/>
      <c r="L1888" s="1958"/>
      <c r="M1888" s="1958">
        <v>236</v>
      </c>
      <c r="N1888" s="439" t="s">
        <v>4724</v>
      </c>
      <c r="O1888" s="7"/>
      <c r="P1888" s="7"/>
      <c r="Q1888" s="7"/>
      <c r="R1888" s="7"/>
      <c r="S1888" s="7"/>
      <c r="T1888" s="7"/>
      <c r="U1888" s="7"/>
      <c r="V1888" s="7"/>
      <c r="W1888" s="7"/>
      <c r="X1888" s="7"/>
      <c r="Y1888" s="7"/>
      <c r="Z1888" s="7"/>
      <c r="AA1888" s="7"/>
      <c r="AB1888" s="7"/>
      <c r="AC1888" s="7"/>
      <c r="AD1888" s="7"/>
      <c r="AE1888" s="7"/>
      <c r="AF1888" s="7"/>
    </row>
    <row r="1889" spans="1:32" ht="20.399999999999999">
      <c r="A1889" s="683"/>
      <c r="B1889" s="3129" t="s">
        <v>772</v>
      </c>
      <c r="C1889" s="683" t="s">
        <v>320</v>
      </c>
      <c r="D1889" s="719" t="s">
        <v>1978</v>
      </c>
      <c r="E1889" s="1406" t="s">
        <v>1919</v>
      </c>
      <c r="F1889" s="685">
        <v>2512</v>
      </c>
      <c r="G1889" s="686" t="s">
        <v>779</v>
      </c>
      <c r="H1889" s="731">
        <v>1500</v>
      </c>
      <c r="I1889" s="731"/>
      <c r="J1889" s="1494">
        <v>637.54999999999995</v>
      </c>
      <c r="K1889" s="1137"/>
      <c r="L1889" s="1957">
        <v>1500</v>
      </c>
      <c r="M1889" s="1957"/>
      <c r="N1889" s="305"/>
      <c r="O1889" s="7"/>
      <c r="P1889" s="7"/>
      <c r="Q1889" s="7"/>
      <c r="R1889" s="7"/>
      <c r="S1889" s="7"/>
      <c r="T1889" s="7"/>
      <c r="U1889" s="7"/>
      <c r="V1889" s="7"/>
      <c r="W1889" s="7"/>
      <c r="X1889" s="7"/>
      <c r="Y1889" s="7"/>
      <c r="Z1889" s="7"/>
      <c r="AA1889" s="7"/>
      <c r="AB1889" s="7"/>
      <c r="AC1889" s="7"/>
      <c r="AD1889" s="7"/>
      <c r="AE1889" s="7"/>
      <c r="AF1889" s="7"/>
    </row>
    <row r="1890" spans="1:32" ht="20.399999999999999">
      <c r="A1890" s="663"/>
      <c r="B1890" s="3130" t="s">
        <v>772</v>
      </c>
      <c r="C1890" s="663" t="s">
        <v>320</v>
      </c>
      <c r="D1890" s="678" t="s">
        <v>1978</v>
      </c>
      <c r="E1890" s="1407" t="s">
        <v>1919</v>
      </c>
      <c r="F1890" s="679">
        <v>2512</v>
      </c>
      <c r="G1890" s="665" t="s">
        <v>3104</v>
      </c>
      <c r="H1890" s="741"/>
      <c r="I1890" s="741">
        <v>1500</v>
      </c>
      <c r="J1890" s="1494" t="s">
        <v>1134</v>
      </c>
      <c r="K1890" s="899"/>
      <c r="L1890" s="1958"/>
      <c r="M1890" s="1958">
        <v>1500</v>
      </c>
      <c r="N1890" s="305"/>
      <c r="O1890" s="3"/>
      <c r="P1890" s="3"/>
      <c r="Q1890" s="3"/>
      <c r="R1890" s="3"/>
      <c r="S1890" s="3"/>
      <c r="T1890" s="3"/>
      <c r="U1890" s="3"/>
      <c r="V1890" s="3"/>
      <c r="W1890" s="3"/>
      <c r="X1890" s="3"/>
      <c r="Y1890" s="3"/>
      <c r="Z1890" s="3"/>
      <c r="AA1890" s="3"/>
      <c r="AB1890" s="3"/>
      <c r="AC1890" s="3"/>
      <c r="AD1890" s="3"/>
      <c r="AE1890" s="3"/>
      <c r="AF1890" s="3"/>
    </row>
    <row r="1891" spans="1:32">
      <c r="A1891" s="663"/>
      <c r="B1891" s="3130" t="s">
        <v>772</v>
      </c>
      <c r="C1891" s="663" t="s">
        <v>320</v>
      </c>
      <c r="D1891" s="678" t="s">
        <v>1978</v>
      </c>
      <c r="E1891" s="1407" t="s">
        <v>1919</v>
      </c>
      <c r="F1891" s="679">
        <v>2512</v>
      </c>
      <c r="G1891" s="903" t="s">
        <v>152</v>
      </c>
      <c r="H1891" s="741"/>
      <c r="I1891" s="741"/>
      <c r="J1891" s="1494" t="s">
        <v>1134</v>
      </c>
      <c r="K1891" s="899"/>
      <c r="L1891" s="1958"/>
      <c r="M1891" s="1958"/>
      <c r="N1891" s="305"/>
      <c r="O1891" s="3"/>
      <c r="P1891" s="3"/>
      <c r="Q1891" s="3"/>
      <c r="R1891" s="3"/>
      <c r="S1891" s="3"/>
      <c r="T1891" s="3"/>
      <c r="U1891" s="3"/>
      <c r="V1891" s="3"/>
      <c r="W1891" s="3"/>
      <c r="X1891" s="3"/>
      <c r="Y1891" s="3"/>
      <c r="Z1891" s="3"/>
      <c r="AA1891" s="3"/>
      <c r="AB1891" s="3"/>
      <c r="AC1891" s="3"/>
      <c r="AD1891" s="3"/>
      <c r="AE1891" s="3"/>
      <c r="AF1891" s="3"/>
    </row>
    <row r="1892" spans="1:32">
      <c r="A1892" s="683"/>
      <c r="B1892" s="3129" t="s">
        <v>436</v>
      </c>
      <c r="C1892" s="683" t="s">
        <v>427</v>
      </c>
      <c r="D1892" s="719" t="s">
        <v>1980</v>
      </c>
      <c r="E1892" s="742" t="s">
        <v>1929</v>
      </c>
      <c r="F1892" s="824">
        <v>1119</v>
      </c>
      <c r="G1892" s="1434" t="s">
        <v>109</v>
      </c>
      <c r="H1892" s="893">
        <v>203550.21000000002</v>
      </c>
      <c r="I1892" s="893"/>
      <c r="J1892" s="1654">
        <v>146490</v>
      </c>
      <c r="K1892" s="1251"/>
      <c r="L1892" s="893">
        <v>215301.16</v>
      </c>
      <c r="M1892" s="893"/>
      <c r="N1892" s="305"/>
      <c r="O1892" s="3"/>
      <c r="P1892" s="3"/>
      <c r="Q1892" s="3"/>
      <c r="R1892" s="3"/>
      <c r="S1892" s="3"/>
      <c r="T1892" s="3"/>
      <c r="U1892" s="3"/>
      <c r="V1892" s="3"/>
      <c r="W1892" s="3"/>
      <c r="X1892" s="3"/>
      <c r="Y1892" s="3"/>
      <c r="Z1892" s="3"/>
      <c r="AA1892" s="3"/>
      <c r="AB1892" s="3"/>
      <c r="AC1892" s="3"/>
      <c r="AD1892" s="3"/>
      <c r="AE1892" s="3"/>
      <c r="AF1892" s="3"/>
    </row>
    <row r="1893" spans="1:32">
      <c r="A1893" s="663"/>
      <c r="B1893" s="3130" t="s">
        <v>436</v>
      </c>
      <c r="C1893" s="663" t="s">
        <v>427</v>
      </c>
      <c r="D1893" s="678" t="s">
        <v>1980</v>
      </c>
      <c r="E1893" s="700" t="s">
        <v>1929</v>
      </c>
      <c r="F1893" s="795">
        <v>1119</v>
      </c>
      <c r="G1893" s="745" t="s">
        <v>436</v>
      </c>
      <c r="H1893" s="748"/>
      <c r="I1893" s="748">
        <v>189045.36000000002</v>
      </c>
      <c r="J1893" s="1654" t="s">
        <v>1134</v>
      </c>
      <c r="K1893" s="1314"/>
      <c r="L1893" s="748"/>
      <c r="M1893" s="748">
        <v>200978.16</v>
      </c>
      <c r="N1893" s="2526"/>
      <c r="O1893" s="3"/>
      <c r="P1893" s="3"/>
      <c r="Q1893" s="3"/>
      <c r="R1893" s="3"/>
      <c r="S1893" s="3"/>
      <c r="T1893" s="3"/>
      <c r="U1893" s="3"/>
      <c r="V1893" s="3"/>
      <c r="W1893" s="3"/>
      <c r="X1893" s="3"/>
      <c r="Y1893" s="3"/>
      <c r="Z1893" s="3"/>
      <c r="AA1893" s="3"/>
      <c r="AB1893" s="3"/>
      <c r="AC1893" s="3"/>
      <c r="AD1893" s="3"/>
      <c r="AE1893" s="3"/>
      <c r="AF1893" s="3"/>
    </row>
    <row r="1894" spans="1:32" ht="20.399999999999999">
      <c r="A1894" s="663"/>
      <c r="B1894" s="3130" t="s">
        <v>436</v>
      </c>
      <c r="C1894" s="663" t="s">
        <v>427</v>
      </c>
      <c r="D1894" s="678" t="s">
        <v>1980</v>
      </c>
      <c r="E1894" s="700" t="s">
        <v>1929</v>
      </c>
      <c r="F1894" s="795">
        <v>1119</v>
      </c>
      <c r="G1894" s="745" t="s">
        <v>4854</v>
      </c>
      <c r="H1894" s="748"/>
      <c r="I1894" s="748">
        <v>1853.85</v>
      </c>
      <c r="J1894" s="1654" t="s">
        <v>1134</v>
      </c>
      <c r="K1894" s="1314"/>
      <c r="L1894" s="748"/>
      <c r="M1894" s="748"/>
      <c r="N1894" s="381"/>
      <c r="O1894" s="7"/>
      <c r="P1894" s="7"/>
      <c r="Q1894" s="7"/>
      <c r="R1894" s="7"/>
      <c r="S1894" s="7"/>
      <c r="T1894" s="7"/>
      <c r="U1894" s="7"/>
      <c r="V1894" s="7"/>
      <c r="W1894" s="7"/>
      <c r="X1894" s="7"/>
      <c r="Y1894" s="7"/>
      <c r="Z1894" s="7"/>
      <c r="AA1894" s="7"/>
      <c r="AB1894" s="7"/>
      <c r="AC1894" s="7"/>
      <c r="AD1894" s="7"/>
      <c r="AE1894" s="7"/>
      <c r="AF1894" s="7"/>
    </row>
    <row r="1895" spans="1:32" ht="30.6">
      <c r="A1895" s="663"/>
      <c r="B1895" s="3130" t="s">
        <v>436</v>
      </c>
      <c r="C1895" s="663" t="s">
        <v>427</v>
      </c>
      <c r="D1895" s="678" t="s">
        <v>1980</v>
      </c>
      <c r="E1895" s="700" t="s">
        <v>1929</v>
      </c>
      <c r="F1895" s="795">
        <v>1119</v>
      </c>
      <c r="G1895" s="797" t="s">
        <v>2290</v>
      </c>
      <c r="H1895" s="748"/>
      <c r="I1895" s="748">
        <v>14323</v>
      </c>
      <c r="J1895" s="1654" t="s">
        <v>1134</v>
      </c>
      <c r="K1895" s="1314"/>
      <c r="L1895" s="748"/>
      <c r="M1895" s="748">
        <v>14323</v>
      </c>
      <c r="N1895" s="1506" t="s">
        <v>4734</v>
      </c>
      <c r="O1895" s="7"/>
      <c r="P1895" s="7"/>
      <c r="Q1895" s="7"/>
      <c r="R1895" s="7"/>
      <c r="S1895" s="7"/>
      <c r="T1895" s="7"/>
      <c r="U1895" s="7"/>
      <c r="V1895" s="7"/>
      <c r="W1895" s="7"/>
      <c r="X1895" s="7"/>
      <c r="Y1895" s="7"/>
      <c r="Z1895" s="7"/>
      <c r="AA1895" s="7"/>
      <c r="AB1895" s="7"/>
      <c r="AC1895" s="7"/>
      <c r="AD1895" s="7"/>
      <c r="AE1895" s="7"/>
      <c r="AF1895" s="7"/>
    </row>
    <row r="1896" spans="1:32" ht="40.799999999999997">
      <c r="A1896" s="603"/>
      <c r="B1896" s="3130" t="s">
        <v>436</v>
      </c>
      <c r="C1896" s="663" t="s">
        <v>427</v>
      </c>
      <c r="D1896" s="678" t="s">
        <v>1980</v>
      </c>
      <c r="E1896" s="700" t="s">
        <v>1929</v>
      </c>
      <c r="F1896" s="795">
        <v>1119</v>
      </c>
      <c r="G1896" s="2523" t="s">
        <v>3220</v>
      </c>
      <c r="H1896" s="1165"/>
      <c r="I1896" s="2524">
        <v>-1672</v>
      </c>
      <c r="J1896" s="1654" t="s">
        <v>1134</v>
      </c>
      <c r="K1896" s="1439"/>
      <c r="L1896" s="1165"/>
      <c r="M1896" s="2524"/>
      <c r="N1896" s="305"/>
    </row>
    <row r="1897" spans="1:32">
      <c r="A1897" s="683"/>
      <c r="B1897" s="3129" t="s">
        <v>436</v>
      </c>
      <c r="C1897" s="683" t="s">
        <v>427</v>
      </c>
      <c r="D1897" s="719" t="s">
        <v>1980</v>
      </c>
      <c r="E1897" s="720" t="s">
        <v>1929</v>
      </c>
      <c r="F1897" s="824">
        <v>1147</v>
      </c>
      <c r="G1897" s="1434" t="s">
        <v>428</v>
      </c>
      <c r="H1897" s="893">
        <v>9178.402</v>
      </c>
      <c r="I1897" s="893"/>
      <c r="J1897" s="1654">
        <v>6835</v>
      </c>
      <c r="K1897" s="1314"/>
      <c r="L1897" s="893">
        <v>14235.953000000001</v>
      </c>
      <c r="M1897" s="893"/>
      <c r="N1897" s="381"/>
    </row>
    <row r="1898" spans="1:32">
      <c r="A1898" s="663"/>
      <c r="B1898" s="3130" t="s">
        <v>436</v>
      </c>
      <c r="C1898" s="663" t="s">
        <v>427</v>
      </c>
      <c r="D1898" s="678" t="s">
        <v>1980</v>
      </c>
      <c r="E1898" s="700" t="s">
        <v>1929</v>
      </c>
      <c r="F1898" s="795">
        <v>1147</v>
      </c>
      <c r="G1898" s="745" t="s">
        <v>436</v>
      </c>
      <c r="H1898" s="748"/>
      <c r="I1898" s="748">
        <v>14178.402000000002</v>
      </c>
      <c r="J1898" s="1654" t="s">
        <v>1134</v>
      </c>
      <c r="K1898" s="1314"/>
      <c r="L1898" s="748"/>
      <c r="M1898" s="748">
        <v>14235.953000000001</v>
      </c>
      <c r="N1898" s="305"/>
    </row>
    <row r="1899" spans="1:32" ht="20.399999999999999">
      <c r="A1899" s="663"/>
      <c r="B1899" s="3130" t="s">
        <v>436</v>
      </c>
      <c r="C1899" s="663" t="s">
        <v>427</v>
      </c>
      <c r="D1899" s="678" t="s">
        <v>1980</v>
      </c>
      <c r="E1899" s="700" t="s">
        <v>1929</v>
      </c>
      <c r="F1899" s="795">
        <v>1147</v>
      </c>
      <c r="G1899" s="797" t="s">
        <v>1019</v>
      </c>
      <c r="H1899" s="748"/>
      <c r="I1899" s="748">
        <v>-2000</v>
      </c>
      <c r="J1899" s="1654" t="s">
        <v>1134</v>
      </c>
      <c r="K1899" s="1314"/>
      <c r="L1899" s="748"/>
      <c r="M1899" s="748"/>
      <c r="N1899" s="305"/>
    </row>
    <row r="1900" spans="1:32" ht="20.399999999999999">
      <c r="A1900" s="663"/>
      <c r="B1900" s="3130" t="s">
        <v>436</v>
      </c>
      <c r="C1900" s="663" t="s">
        <v>427</v>
      </c>
      <c r="D1900" s="678" t="s">
        <v>1980</v>
      </c>
      <c r="E1900" s="700" t="s">
        <v>1929</v>
      </c>
      <c r="F1900" s="795">
        <v>1147</v>
      </c>
      <c r="G1900" s="745" t="s">
        <v>3270</v>
      </c>
      <c r="H1900" s="748"/>
      <c r="I1900" s="748">
        <v>-3000</v>
      </c>
      <c r="J1900" s="1654" t="s">
        <v>1134</v>
      </c>
      <c r="K1900" s="1314"/>
      <c r="L1900" s="748"/>
      <c r="M1900" s="748"/>
      <c r="N1900" s="376"/>
    </row>
    <row r="1901" spans="1:32" ht="22.5" customHeight="1">
      <c r="A1901" s="683"/>
      <c r="B1901" s="3129" t="s">
        <v>436</v>
      </c>
      <c r="C1901" s="683" t="s">
        <v>427</v>
      </c>
      <c r="D1901" s="719" t="s">
        <v>1980</v>
      </c>
      <c r="E1901" s="720" t="s">
        <v>1929</v>
      </c>
      <c r="F1901" s="824">
        <v>1148</v>
      </c>
      <c r="G1901" s="1434" t="s">
        <v>594</v>
      </c>
      <c r="H1901" s="893">
        <v>2000</v>
      </c>
      <c r="I1901" s="893"/>
      <c r="J1901" s="1654">
        <v>5846</v>
      </c>
      <c r="K1901" s="1314"/>
      <c r="L1901" s="893">
        <v>0</v>
      </c>
      <c r="M1901" s="893"/>
      <c r="N1901" s="376" t="s">
        <v>4836</v>
      </c>
      <c r="O1901" s="7"/>
      <c r="P1901" s="7"/>
      <c r="Q1901" s="7"/>
      <c r="R1901" s="7"/>
      <c r="S1901" s="7"/>
      <c r="T1901" s="7"/>
      <c r="U1901" s="7"/>
      <c r="V1901" s="7"/>
      <c r="W1901" s="7"/>
      <c r="X1901" s="7"/>
      <c r="Y1901" s="7"/>
      <c r="Z1901" s="7"/>
      <c r="AA1901" s="7"/>
      <c r="AB1901" s="7"/>
      <c r="AC1901" s="7"/>
      <c r="AD1901" s="7"/>
      <c r="AE1901" s="7"/>
      <c r="AF1901" s="7"/>
    </row>
    <row r="1902" spans="1:32">
      <c r="A1902" s="663"/>
      <c r="B1902" s="3130" t="s">
        <v>436</v>
      </c>
      <c r="C1902" s="663" t="s">
        <v>427</v>
      </c>
      <c r="D1902" s="678" t="s">
        <v>1980</v>
      </c>
      <c r="E1902" s="700" t="s">
        <v>1929</v>
      </c>
      <c r="F1902" s="795">
        <v>1148</v>
      </c>
      <c r="G1902" s="745" t="s">
        <v>2291</v>
      </c>
      <c r="H1902" s="748"/>
      <c r="I1902" s="748">
        <v>0</v>
      </c>
      <c r="J1902" s="1654" t="s">
        <v>1134</v>
      </c>
      <c r="K1902" s="1314"/>
      <c r="L1902" s="748"/>
      <c r="M1902" s="748"/>
      <c r="N1902" s="376"/>
      <c r="O1902" s="7"/>
      <c r="P1902" s="7"/>
      <c r="Q1902" s="7"/>
      <c r="R1902" s="7"/>
      <c r="S1902" s="7"/>
      <c r="T1902" s="7"/>
      <c r="U1902" s="7"/>
      <c r="V1902" s="7"/>
      <c r="W1902" s="7"/>
      <c r="X1902" s="7"/>
      <c r="Y1902" s="7"/>
      <c r="Z1902" s="7"/>
      <c r="AA1902" s="7"/>
      <c r="AB1902" s="7"/>
      <c r="AC1902" s="7"/>
      <c r="AD1902" s="7"/>
      <c r="AE1902" s="7"/>
      <c r="AF1902" s="7"/>
    </row>
    <row r="1903" spans="1:32" ht="20.399999999999999">
      <c r="A1903" s="663"/>
      <c r="B1903" s="3130" t="s">
        <v>436</v>
      </c>
      <c r="C1903" s="663" t="s">
        <v>427</v>
      </c>
      <c r="D1903" s="678" t="s">
        <v>1980</v>
      </c>
      <c r="E1903" s="700" t="s">
        <v>1929</v>
      </c>
      <c r="F1903" s="795">
        <v>1148</v>
      </c>
      <c r="G1903" s="797" t="s">
        <v>1019</v>
      </c>
      <c r="H1903" s="748"/>
      <c r="I1903" s="748">
        <v>2000</v>
      </c>
      <c r="J1903" s="1654" t="s">
        <v>1134</v>
      </c>
      <c r="K1903" s="1314"/>
      <c r="L1903" s="748"/>
      <c r="M1903" s="748"/>
      <c r="N1903" s="381"/>
      <c r="O1903" s="7"/>
      <c r="P1903" s="7"/>
      <c r="Q1903" s="7"/>
      <c r="R1903" s="7"/>
      <c r="S1903" s="7"/>
      <c r="T1903" s="7"/>
      <c r="U1903" s="7"/>
      <c r="V1903" s="7"/>
      <c r="W1903" s="7"/>
      <c r="X1903" s="7"/>
      <c r="Y1903" s="7"/>
      <c r="Z1903" s="7"/>
      <c r="AA1903" s="7"/>
      <c r="AB1903" s="7"/>
      <c r="AC1903" s="7"/>
      <c r="AD1903" s="7"/>
      <c r="AE1903" s="7"/>
      <c r="AF1903" s="7"/>
    </row>
    <row r="1904" spans="1:32">
      <c r="A1904" s="683"/>
      <c r="B1904" s="3136" t="s">
        <v>436</v>
      </c>
      <c r="C1904" s="683" t="s">
        <v>320</v>
      </c>
      <c r="D1904" s="719" t="s">
        <v>1980</v>
      </c>
      <c r="E1904" s="720" t="s">
        <v>1929</v>
      </c>
      <c r="F1904" s="685">
        <v>1150</v>
      </c>
      <c r="G1904" s="744" t="s">
        <v>245</v>
      </c>
      <c r="H1904" s="731">
        <v>3707.7</v>
      </c>
      <c r="I1904" s="731"/>
      <c r="J1904" s="1494">
        <v>2718</v>
      </c>
      <c r="K1904" s="729"/>
      <c r="L1904" s="731">
        <v>2600</v>
      </c>
      <c r="M1904" s="731"/>
      <c r="N1904" s="305"/>
      <c r="O1904" s="7"/>
      <c r="P1904" s="7"/>
      <c r="Q1904" s="7"/>
      <c r="R1904" s="7"/>
      <c r="S1904" s="7"/>
      <c r="T1904" s="7"/>
      <c r="U1904" s="7"/>
      <c r="V1904" s="7"/>
      <c r="W1904" s="7"/>
      <c r="X1904" s="7"/>
      <c r="Y1904" s="7"/>
      <c r="Z1904" s="7"/>
      <c r="AA1904" s="7"/>
      <c r="AB1904" s="7"/>
      <c r="AC1904" s="7"/>
      <c r="AD1904" s="7"/>
      <c r="AE1904" s="7"/>
      <c r="AF1904" s="7"/>
    </row>
    <row r="1905" spans="1:32" ht="30.6">
      <c r="A1905" s="663"/>
      <c r="B1905" s="3130" t="s">
        <v>436</v>
      </c>
      <c r="C1905" s="663" t="s">
        <v>320</v>
      </c>
      <c r="D1905" s="678" t="s">
        <v>1980</v>
      </c>
      <c r="E1905" s="700" t="s">
        <v>1929</v>
      </c>
      <c r="F1905" s="725">
        <v>1150</v>
      </c>
      <c r="G1905" s="682" t="s">
        <v>2283</v>
      </c>
      <c r="H1905" s="741"/>
      <c r="I1905" s="741">
        <v>1853.85</v>
      </c>
      <c r="J1905" s="1494" t="s">
        <v>1134</v>
      </c>
      <c r="K1905" s="729"/>
      <c r="L1905" s="741"/>
      <c r="M1905" s="741">
        <v>0</v>
      </c>
      <c r="N1905" s="381" t="s">
        <v>4728</v>
      </c>
      <c r="O1905" s="7"/>
      <c r="P1905" s="7"/>
      <c r="Q1905" s="7"/>
      <c r="R1905" s="7"/>
      <c r="S1905" s="7"/>
      <c r="T1905" s="7"/>
      <c r="U1905" s="7"/>
      <c r="V1905" s="7"/>
      <c r="W1905" s="7"/>
      <c r="X1905" s="7"/>
      <c r="Y1905" s="7"/>
      <c r="Z1905" s="7"/>
      <c r="AA1905" s="7"/>
      <c r="AB1905" s="7"/>
      <c r="AC1905" s="7"/>
      <c r="AD1905" s="7"/>
      <c r="AE1905" s="7"/>
      <c r="AF1905" s="7"/>
    </row>
    <row r="1906" spans="1:32" ht="20.399999999999999">
      <c r="A1906" s="663"/>
      <c r="B1906" s="3130" t="s">
        <v>436</v>
      </c>
      <c r="C1906" s="663" t="s">
        <v>320</v>
      </c>
      <c r="D1906" s="678" t="s">
        <v>1980</v>
      </c>
      <c r="E1906" s="700" t="s">
        <v>1929</v>
      </c>
      <c r="F1906" s="725">
        <v>1150</v>
      </c>
      <c r="G1906" s="682" t="s">
        <v>2721</v>
      </c>
      <c r="H1906" s="741"/>
      <c r="I1906" s="741">
        <v>1853.85</v>
      </c>
      <c r="J1906" s="1494" t="s">
        <v>1134</v>
      </c>
      <c r="K1906" s="729"/>
      <c r="L1906" s="741"/>
      <c r="M1906" s="741">
        <v>2600</v>
      </c>
      <c r="N1906" s="381" t="s">
        <v>4729</v>
      </c>
      <c r="O1906" s="7"/>
      <c r="P1906" s="7"/>
      <c r="Q1906" s="7"/>
      <c r="R1906" s="7"/>
      <c r="S1906" s="7"/>
      <c r="T1906" s="7"/>
      <c r="U1906" s="7"/>
      <c r="V1906" s="7"/>
      <c r="W1906" s="7"/>
      <c r="X1906" s="7"/>
      <c r="Y1906" s="7"/>
      <c r="Z1906" s="7"/>
      <c r="AA1906" s="7"/>
      <c r="AB1906" s="7"/>
      <c r="AC1906" s="7"/>
      <c r="AD1906" s="7"/>
      <c r="AE1906" s="7"/>
      <c r="AF1906" s="7"/>
    </row>
    <row r="1907" spans="1:32" ht="20.399999999999999">
      <c r="A1907" s="683"/>
      <c r="B1907" s="3136" t="s">
        <v>365</v>
      </c>
      <c r="C1907" s="683" t="s">
        <v>320</v>
      </c>
      <c r="D1907" s="719" t="s">
        <v>1980</v>
      </c>
      <c r="E1907" s="720" t="s">
        <v>1929</v>
      </c>
      <c r="F1907" s="685">
        <v>1150</v>
      </c>
      <c r="G1907" s="744" t="s">
        <v>245</v>
      </c>
      <c r="H1907" s="731">
        <v>1500</v>
      </c>
      <c r="I1907" s="731"/>
      <c r="J1907" s="1494"/>
      <c r="K1907" s="729"/>
      <c r="L1907" s="731">
        <v>0</v>
      </c>
      <c r="M1907" s="731"/>
      <c r="N1907" s="381" t="s">
        <v>4730</v>
      </c>
      <c r="O1907" s="7"/>
      <c r="P1907" s="7"/>
      <c r="Q1907" s="7"/>
      <c r="R1907" s="7"/>
      <c r="S1907" s="7"/>
      <c r="T1907" s="7"/>
      <c r="U1907" s="7"/>
      <c r="V1907" s="7"/>
      <c r="W1907" s="7"/>
      <c r="X1907" s="7"/>
      <c r="Y1907" s="7"/>
      <c r="Z1907" s="7"/>
      <c r="AA1907" s="7"/>
      <c r="AB1907" s="7"/>
      <c r="AC1907" s="7"/>
      <c r="AD1907" s="7"/>
      <c r="AE1907" s="7"/>
      <c r="AF1907" s="7"/>
    </row>
    <row r="1908" spans="1:32" ht="30.6">
      <c r="A1908" s="663"/>
      <c r="B1908" s="3130" t="s">
        <v>365</v>
      </c>
      <c r="C1908" s="663" t="s">
        <v>320</v>
      </c>
      <c r="D1908" s="678" t="s">
        <v>1980</v>
      </c>
      <c r="E1908" s="700" t="s">
        <v>1929</v>
      </c>
      <c r="F1908" s="725">
        <v>1150</v>
      </c>
      <c r="G1908" s="682" t="s">
        <v>2975</v>
      </c>
      <c r="H1908" s="741"/>
      <c r="I1908" s="741">
        <v>1500</v>
      </c>
      <c r="J1908" s="1494" t="s">
        <v>1134</v>
      </c>
      <c r="K1908" s="729"/>
      <c r="L1908" s="741"/>
      <c r="M1908" s="741"/>
      <c r="N1908" s="466" t="s">
        <v>4860</v>
      </c>
      <c r="O1908" s="7"/>
      <c r="P1908" s="7"/>
      <c r="Q1908" s="7"/>
      <c r="R1908" s="7"/>
      <c r="S1908" s="7"/>
      <c r="T1908" s="7"/>
      <c r="U1908" s="7"/>
      <c r="V1908" s="7"/>
      <c r="W1908" s="7"/>
      <c r="X1908" s="7"/>
      <c r="Y1908" s="7"/>
      <c r="Z1908" s="7"/>
      <c r="AA1908" s="7"/>
      <c r="AB1908" s="7"/>
      <c r="AC1908" s="7"/>
      <c r="AD1908" s="7"/>
      <c r="AE1908" s="7"/>
      <c r="AF1908" s="7"/>
    </row>
    <row r="1909" spans="1:32" ht="40.799999999999997">
      <c r="A1909" s="683"/>
      <c r="B1909" s="3129" t="s">
        <v>436</v>
      </c>
      <c r="C1909" s="683" t="s">
        <v>427</v>
      </c>
      <c r="D1909" s="719" t="s">
        <v>1980</v>
      </c>
      <c r="E1909" s="720" t="s">
        <v>1929</v>
      </c>
      <c r="F1909" s="824">
        <v>1170</v>
      </c>
      <c r="G1909" s="1434" t="s">
        <v>475</v>
      </c>
      <c r="H1909" s="893">
        <v>150</v>
      </c>
      <c r="I1909" s="893"/>
      <c r="J1909" s="1654">
        <v>135</v>
      </c>
      <c r="K1909" s="1251"/>
      <c r="L1909" s="706">
        <v>150</v>
      </c>
      <c r="M1909" s="893"/>
      <c r="N1909" s="1506" t="s">
        <v>4861</v>
      </c>
      <c r="O1909" s="7"/>
      <c r="P1909" s="7"/>
      <c r="Q1909" s="7"/>
      <c r="R1909" s="7"/>
      <c r="S1909" s="7"/>
      <c r="T1909" s="7"/>
      <c r="U1909" s="7"/>
      <c r="V1909" s="7"/>
      <c r="W1909" s="7"/>
      <c r="X1909" s="7"/>
      <c r="Y1909" s="7"/>
      <c r="Z1909" s="7"/>
      <c r="AA1909" s="7"/>
      <c r="AB1909" s="7"/>
      <c r="AC1909" s="7"/>
      <c r="AD1909" s="7"/>
      <c r="AE1909" s="7"/>
      <c r="AF1909" s="7"/>
    </row>
    <row r="1910" spans="1:32" ht="20.399999999999999">
      <c r="A1910" s="663"/>
      <c r="B1910" s="3130" t="s">
        <v>436</v>
      </c>
      <c r="C1910" s="663" t="s">
        <v>427</v>
      </c>
      <c r="D1910" s="678" t="s">
        <v>1980</v>
      </c>
      <c r="E1910" s="700" t="s">
        <v>1929</v>
      </c>
      <c r="F1910" s="795">
        <v>1170</v>
      </c>
      <c r="G1910" s="745" t="s">
        <v>4855</v>
      </c>
      <c r="H1910" s="748"/>
      <c r="I1910" s="748">
        <v>150</v>
      </c>
      <c r="J1910" s="1654" t="s">
        <v>1134</v>
      </c>
      <c r="K1910" s="1251"/>
      <c r="L1910" s="748"/>
      <c r="M1910" s="748">
        <v>150</v>
      </c>
      <c r="N1910" s="2489"/>
      <c r="O1910" s="7"/>
      <c r="P1910" s="7"/>
      <c r="Q1910" s="7"/>
      <c r="R1910" s="7"/>
      <c r="S1910" s="7"/>
      <c r="T1910" s="7"/>
      <c r="U1910" s="7"/>
      <c r="V1910" s="7"/>
      <c r="W1910" s="7"/>
      <c r="X1910" s="7"/>
      <c r="Y1910" s="7"/>
      <c r="Z1910" s="7"/>
      <c r="AA1910" s="7"/>
      <c r="AB1910" s="7"/>
      <c r="AC1910" s="7"/>
      <c r="AD1910" s="7"/>
      <c r="AE1910" s="7"/>
      <c r="AF1910" s="7"/>
    </row>
    <row r="1911" spans="1:32">
      <c r="A1911" s="683"/>
      <c r="B1911" s="3129" t="s">
        <v>436</v>
      </c>
      <c r="C1911" s="683" t="s">
        <v>427</v>
      </c>
      <c r="D1911" s="719" t="s">
        <v>1980</v>
      </c>
      <c r="E1911" s="720" t="s">
        <v>1929</v>
      </c>
      <c r="F1911" s="824">
        <v>1210</v>
      </c>
      <c r="G1911" s="1434" t="s">
        <v>113</v>
      </c>
      <c r="H1911" s="893">
        <v>47308.711616459994</v>
      </c>
      <c r="I1911" s="893"/>
      <c r="J1911" s="1654">
        <v>39850</v>
      </c>
      <c r="K1911" s="1251"/>
      <c r="L1911" s="893">
        <v>50107.234233315008</v>
      </c>
      <c r="M1911" s="893"/>
      <c r="N1911" s="305"/>
      <c r="O1911" s="7"/>
      <c r="P1911" s="7"/>
      <c r="Q1911" s="7"/>
      <c r="R1911" s="7"/>
      <c r="S1911" s="7"/>
      <c r="T1911" s="7"/>
      <c r="U1911" s="7"/>
      <c r="V1911" s="7"/>
      <c r="W1911" s="7"/>
      <c r="X1911" s="7"/>
      <c r="Y1911" s="7"/>
      <c r="Z1911" s="7"/>
      <c r="AA1911" s="7"/>
      <c r="AB1911" s="7"/>
      <c r="AC1911" s="7"/>
      <c r="AD1911" s="7"/>
      <c r="AE1911" s="7"/>
      <c r="AF1911" s="7"/>
    </row>
    <row r="1912" spans="1:32">
      <c r="A1912" s="663"/>
      <c r="B1912" s="3130" t="s">
        <v>436</v>
      </c>
      <c r="C1912" s="663" t="s">
        <v>427</v>
      </c>
      <c r="D1912" s="678" t="s">
        <v>1980</v>
      </c>
      <c r="E1912" s="700" t="s">
        <v>1929</v>
      </c>
      <c r="F1912" s="795">
        <v>1210</v>
      </c>
      <c r="G1912" s="745" t="s">
        <v>436</v>
      </c>
      <c r="H1912" s="748"/>
      <c r="I1912" s="748">
        <v>47308.711616459994</v>
      </c>
      <c r="J1912" s="1654" t="s">
        <v>1134</v>
      </c>
      <c r="K1912" s="1251"/>
      <c r="L1912" s="748"/>
      <c r="M1912" s="748">
        <v>50107.234233315008</v>
      </c>
      <c r="N1912" s="305"/>
      <c r="O1912" s="7"/>
      <c r="P1912" s="7"/>
      <c r="Q1912" s="7"/>
      <c r="R1912" s="7"/>
      <c r="S1912" s="7"/>
      <c r="T1912" s="7"/>
      <c r="U1912" s="7"/>
      <c r="V1912" s="7"/>
      <c r="W1912" s="7"/>
      <c r="X1912" s="7"/>
      <c r="Y1912" s="7"/>
      <c r="Z1912" s="7"/>
      <c r="AA1912" s="7"/>
      <c r="AB1912" s="7"/>
      <c r="AC1912" s="7"/>
      <c r="AD1912" s="7"/>
      <c r="AE1912" s="7"/>
      <c r="AF1912" s="7"/>
    </row>
    <row r="1913" spans="1:32">
      <c r="A1913" s="663"/>
      <c r="B1913" s="3130" t="s">
        <v>436</v>
      </c>
      <c r="C1913" s="663" t="s">
        <v>427</v>
      </c>
      <c r="D1913" s="678" t="s">
        <v>1980</v>
      </c>
      <c r="E1913" s="700" t="s">
        <v>1929</v>
      </c>
      <c r="F1913" s="795">
        <v>1210</v>
      </c>
      <c r="G1913" s="745" t="s">
        <v>721</v>
      </c>
      <c r="H1913" s="748"/>
      <c r="I1913" s="748"/>
      <c r="J1913" s="1654" t="s">
        <v>1134</v>
      </c>
      <c r="K1913" s="1314"/>
      <c r="L1913" s="748"/>
      <c r="M1913" s="748"/>
      <c r="N1913" s="381" t="s">
        <v>4731</v>
      </c>
      <c r="O1913" s="7"/>
      <c r="P1913" s="7"/>
      <c r="Q1913" s="7"/>
      <c r="R1913" s="7"/>
      <c r="S1913" s="7"/>
      <c r="T1913" s="7"/>
      <c r="U1913" s="7"/>
      <c r="V1913" s="7"/>
      <c r="W1913" s="7"/>
      <c r="X1913" s="7"/>
      <c r="Y1913" s="7"/>
      <c r="Z1913" s="7"/>
      <c r="AA1913" s="7"/>
      <c r="AB1913" s="7"/>
      <c r="AC1913" s="7"/>
      <c r="AD1913" s="7"/>
      <c r="AE1913" s="7"/>
      <c r="AF1913" s="7"/>
    </row>
    <row r="1914" spans="1:32">
      <c r="A1914" s="683"/>
      <c r="B1914" s="3129" t="s">
        <v>436</v>
      </c>
      <c r="C1914" s="683" t="s">
        <v>427</v>
      </c>
      <c r="D1914" s="719" t="s">
        <v>1980</v>
      </c>
      <c r="E1914" s="720" t="s">
        <v>1929</v>
      </c>
      <c r="F1914" s="824">
        <v>1221</v>
      </c>
      <c r="G1914" s="1434" t="s">
        <v>246</v>
      </c>
      <c r="H1914" s="893">
        <v>13366.822190340001</v>
      </c>
      <c r="I1914" s="893"/>
      <c r="J1914" s="1654">
        <v>12855</v>
      </c>
      <c r="K1914" s="1251"/>
      <c r="L1914" s="893">
        <v>11011.312854385003</v>
      </c>
      <c r="M1914" s="893"/>
      <c r="N1914" s="125"/>
      <c r="O1914" s="7"/>
      <c r="P1914" s="7"/>
      <c r="Q1914" s="7"/>
      <c r="R1914" s="7"/>
      <c r="S1914" s="7"/>
      <c r="T1914" s="7"/>
      <c r="U1914" s="7"/>
      <c r="V1914" s="7"/>
      <c r="W1914" s="7"/>
      <c r="X1914" s="7"/>
      <c r="Y1914" s="7"/>
      <c r="Z1914" s="7"/>
      <c r="AA1914" s="7"/>
      <c r="AB1914" s="7"/>
      <c r="AC1914" s="7"/>
      <c r="AD1914" s="7"/>
      <c r="AE1914" s="7"/>
      <c r="AF1914" s="7"/>
    </row>
    <row r="1915" spans="1:32">
      <c r="A1915" s="663"/>
      <c r="B1915" s="3130" t="s">
        <v>436</v>
      </c>
      <c r="C1915" s="663" t="s">
        <v>427</v>
      </c>
      <c r="D1915" s="678" t="s">
        <v>1980</v>
      </c>
      <c r="E1915" s="700" t="s">
        <v>1929</v>
      </c>
      <c r="F1915" s="795">
        <v>1221</v>
      </c>
      <c r="G1915" s="745"/>
      <c r="H1915" s="748"/>
      <c r="I1915" s="748">
        <v>10366.822190340001</v>
      </c>
      <c r="J1915" s="1654" t="s">
        <v>1134</v>
      </c>
      <c r="K1915" s="1314"/>
      <c r="L1915" s="748"/>
      <c r="M1915" s="748">
        <v>11011.312854385003</v>
      </c>
      <c r="N1915" s="125"/>
      <c r="O1915" s="7"/>
      <c r="P1915" s="7"/>
      <c r="Q1915" s="7"/>
      <c r="R1915" s="7"/>
      <c r="S1915" s="7"/>
      <c r="T1915" s="7"/>
      <c r="U1915" s="7"/>
      <c r="V1915" s="7"/>
      <c r="W1915" s="7"/>
      <c r="X1915" s="7"/>
      <c r="Y1915" s="7"/>
      <c r="Z1915" s="7"/>
      <c r="AA1915" s="7"/>
      <c r="AB1915" s="7"/>
      <c r="AC1915" s="7"/>
      <c r="AD1915" s="7"/>
      <c r="AE1915" s="7"/>
      <c r="AF1915" s="7"/>
    </row>
    <row r="1916" spans="1:32" ht="20.399999999999999">
      <c r="A1916" s="663"/>
      <c r="B1916" s="3130" t="s">
        <v>436</v>
      </c>
      <c r="C1916" s="663" t="s">
        <v>427</v>
      </c>
      <c r="D1916" s="678" t="s">
        <v>1980</v>
      </c>
      <c r="E1916" s="700" t="s">
        <v>1929</v>
      </c>
      <c r="F1916" s="795">
        <v>1221</v>
      </c>
      <c r="G1916" s="745" t="s">
        <v>3270</v>
      </c>
      <c r="H1916" s="748"/>
      <c r="I1916" s="748">
        <v>3000</v>
      </c>
      <c r="J1916" s="1654" t="s">
        <v>1134</v>
      </c>
      <c r="K1916" s="1314"/>
      <c r="L1916" s="748"/>
      <c r="M1916" s="748"/>
      <c r="N1916" s="125"/>
      <c r="O1916" s="7"/>
      <c r="P1916" s="7"/>
      <c r="Q1916" s="7"/>
      <c r="R1916" s="7"/>
      <c r="S1916" s="7"/>
      <c r="T1916" s="7"/>
      <c r="U1916" s="7"/>
      <c r="V1916" s="7"/>
      <c r="W1916" s="7"/>
      <c r="X1916" s="7"/>
      <c r="Y1916" s="7"/>
      <c r="Z1916" s="7"/>
      <c r="AA1916" s="7"/>
      <c r="AB1916" s="7"/>
      <c r="AC1916" s="7"/>
      <c r="AD1916" s="7"/>
      <c r="AE1916" s="7"/>
      <c r="AF1916" s="7"/>
    </row>
    <row r="1917" spans="1:32" ht="20.399999999999999">
      <c r="A1917" s="683"/>
      <c r="B1917" s="3129" t="s">
        <v>436</v>
      </c>
      <c r="C1917" s="683" t="s">
        <v>427</v>
      </c>
      <c r="D1917" s="719" t="s">
        <v>1980</v>
      </c>
      <c r="E1917" s="720" t="s">
        <v>1929</v>
      </c>
      <c r="F1917" s="824">
        <v>1227</v>
      </c>
      <c r="G1917" s="1434" t="s">
        <v>1055</v>
      </c>
      <c r="H1917" s="706">
        <v>0</v>
      </c>
      <c r="I1917" s="706"/>
      <c r="J1917" s="1654" t="s">
        <v>1134</v>
      </c>
      <c r="K1917" s="802"/>
      <c r="L1917" s="706">
        <v>0</v>
      </c>
      <c r="M1917" s="706"/>
      <c r="N1917" s="125"/>
      <c r="O1917" s="7"/>
      <c r="P1917" s="7"/>
      <c r="Q1917" s="7"/>
      <c r="R1917" s="7"/>
      <c r="S1917" s="7"/>
      <c r="T1917" s="7"/>
      <c r="U1917" s="7"/>
      <c r="V1917" s="7"/>
      <c r="W1917" s="7"/>
      <c r="X1917" s="7"/>
      <c r="Y1917" s="7"/>
      <c r="Z1917" s="7"/>
      <c r="AA1917" s="7"/>
      <c r="AB1917" s="7"/>
      <c r="AC1917" s="7"/>
      <c r="AD1917" s="7"/>
      <c r="AE1917" s="7"/>
      <c r="AF1917" s="7"/>
    </row>
    <row r="1918" spans="1:32">
      <c r="A1918" s="663"/>
      <c r="B1918" s="3130" t="s">
        <v>436</v>
      </c>
      <c r="C1918" s="663" t="s">
        <v>427</v>
      </c>
      <c r="D1918" s="678" t="s">
        <v>1980</v>
      </c>
      <c r="E1918" s="700" t="s">
        <v>1929</v>
      </c>
      <c r="F1918" s="795">
        <v>1227</v>
      </c>
      <c r="G1918" s="745" t="s">
        <v>4162</v>
      </c>
      <c r="H1918" s="701"/>
      <c r="I1918" s="701"/>
      <c r="J1918" s="1654" t="s">
        <v>1134</v>
      </c>
      <c r="K1918" s="792"/>
      <c r="L1918" s="701"/>
      <c r="M1918" s="701"/>
      <c r="N1918" s="7" t="s">
        <v>4696</v>
      </c>
      <c r="O1918" s="7"/>
      <c r="P1918" s="7"/>
      <c r="Q1918" s="7"/>
      <c r="R1918" s="7"/>
      <c r="S1918" s="7"/>
      <c r="T1918" s="7"/>
      <c r="U1918" s="7"/>
      <c r="V1918" s="7"/>
      <c r="W1918" s="7"/>
      <c r="X1918" s="7"/>
      <c r="Y1918" s="7"/>
      <c r="Z1918" s="7"/>
      <c r="AA1918" s="7"/>
      <c r="AB1918" s="7"/>
      <c r="AC1918" s="7"/>
      <c r="AD1918" s="7"/>
      <c r="AE1918" s="7"/>
      <c r="AF1918" s="7"/>
    </row>
    <row r="1919" spans="1:32">
      <c r="A1919" s="683"/>
      <c r="B1919" s="3129" t="s">
        <v>772</v>
      </c>
      <c r="C1919" s="683" t="s">
        <v>427</v>
      </c>
      <c r="D1919" s="719" t="s">
        <v>1980</v>
      </c>
      <c r="E1919" s="720" t="s">
        <v>1929</v>
      </c>
      <c r="F1919" s="685">
        <v>1228</v>
      </c>
      <c r="G1919" s="744" t="s">
        <v>614</v>
      </c>
      <c r="H1919" s="689">
        <v>1200</v>
      </c>
      <c r="I1919" s="689"/>
      <c r="J1919" s="1494">
        <v>532</v>
      </c>
      <c r="K1919" s="727"/>
      <c r="L1919" s="689">
        <v>200</v>
      </c>
      <c r="M1919" s="689"/>
      <c r="N1919" s="125"/>
      <c r="O1919" s="7"/>
      <c r="P1919" s="7"/>
      <c r="Q1919" s="7"/>
      <c r="R1919" s="7"/>
      <c r="S1919" s="7"/>
      <c r="T1919" s="7"/>
      <c r="U1919" s="7"/>
      <c r="V1919" s="7"/>
      <c r="W1919" s="7"/>
      <c r="X1919" s="7"/>
      <c r="Y1919" s="7"/>
      <c r="Z1919" s="7"/>
      <c r="AA1919" s="7"/>
      <c r="AB1919" s="7"/>
      <c r="AC1919" s="7"/>
      <c r="AD1919" s="7"/>
      <c r="AE1919" s="7"/>
      <c r="AF1919" s="7"/>
    </row>
    <row r="1920" spans="1:32">
      <c r="A1920" s="663"/>
      <c r="B1920" s="3130" t="s">
        <v>772</v>
      </c>
      <c r="C1920" s="663" t="s">
        <v>427</v>
      </c>
      <c r="D1920" s="678" t="s">
        <v>1980</v>
      </c>
      <c r="E1920" s="700" t="s">
        <v>1929</v>
      </c>
      <c r="F1920" s="679">
        <v>1228</v>
      </c>
      <c r="G1920" s="682" t="s">
        <v>4163</v>
      </c>
      <c r="H1920" s="660"/>
      <c r="I1920" s="660">
        <v>1200</v>
      </c>
      <c r="J1920" s="1494" t="s">
        <v>1134</v>
      </c>
      <c r="K1920" s="667"/>
      <c r="L1920" s="660"/>
      <c r="M1920" s="660">
        <v>200</v>
      </c>
      <c r="N1920" s="125"/>
      <c r="O1920" s="7"/>
      <c r="P1920" s="7"/>
      <c r="Q1920" s="7"/>
      <c r="R1920" s="7"/>
      <c r="S1920" s="7"/>
      <c r="T1920" s="7"/>
      <c r="U1920" s="7"/>
      <c r="V1920" s="7"/>
      <c r="W1920" s="7"/>
      <c r="X1920" s="7"/>
      <c r="Y1920" s="7"/>
      <c r="Z1920" s="7"/>
      <c r="AA1920" s="7"/>
      <c r="AB1920" s="7"/>
      <c r="AC1920" s="7"/>
      <c r="AD1920" s="7"/>
      <c r="AE1920" s="7"/>
      <c r="AF1920" s="7"/>
    </row>
    <row r="1921" spans="1:32">
      <c r="A1921" s="663"/>
      <c r="B1921" s="3130" t="s">
        <v>772</v>
      </c>
      <c r="C1921" s="663" t="s">
        <v>427</v>
      </c>
      <c r="D1921" s="678" t="s">
        <v>1980</v>
      </c>
      <c r="E1921" s="700" t="s">
        <v>1929</v>
      </c>
      <c r="F1921" s="679">
        <v>1228</v>
      </c>
      <c r="G1921" s="682" t="s">
        <v>4164</v>
      </c>
      <c r="H1921" s="660"/>
      <c r="I1921" s="660"/>
      <c r="J1921" s="1494" t="s">
        <v>1134</v>
      </c>
      <c r="K1921" s="667"/>
      <c r="L1921" s="660"/>
      <c r="M1921" s="660"/>
      <c r="N1921" s="574" t="s">
        <v>4732</v>
      </c>
      <c r="O1921" s="7"/>
      <c r="P1921" s="7"/>
      <c r="Q1921" s="7"/>
      <c r="R1921" s="7"/>
      <c r="S1921" s="7"/>
      <c r="T1921" s="7"/>
      <c r="U1921" s="7"/>
      <c r="V1921" s="7"/>
      <c r="W1921" s="7"/>
      <c r="X1921" s="7"/>
      <c r="Y1921" s="7"/>
      <c r="Z1921" s="7"/>
      <c r="AA1921" s="7"/>
      <c r="AB1921" s="7"/>
      <c r="AC1921" s="7"/>
      <c r="AD1921" s="7"/>
      <c r="AE1921" s="7"/>
      <c r="AF1921" s="7"/>
    </row>
    <row r="1922" spans="1:32">
      <c r="A1922" s="2168"/>
      <c r="B1922" s="3130" t="s">
        <v>772</v>
      </c>
      <c r="C1922" s="663" t="s">
        <v>427</v>
      </c>
      <c r="D1922" s="678" t="s">
        <v>1980</v>
      </c>
      <c r="E1922" s="700" t="s">
        <v>1929</v>
      </c>
      <c r="F1922" s="679">
        <v>1228</v>
      </c>
      <c r="G1922" s="2186"/>
      <c r="H1922" s="2169"/>
      <c r="I1922" s="2169"/>
      <c r="J1922" s="2170"/>
      <c r="K1922" s="2302"/>
      <c r="L1922" s="2169"/>
      <c r="M1922" s="2169"/>
      <c r="N1922" s="574" t="s">
        <v>4847</v>
      </c>
      <c r="O1922" s="7"/>
      <c r="P1922" s="7"/>
      <c r="Q1922" s="7"/>
      <c r="R1922" s="7"/>
      <c r="S1922" s="7"/>
      <c r="T1922" s="7"/>
      <c r="U1922" s="7"/>
      <c r="V1922" s="7"/>
      <c r="W1922" s="7"/>
      <c r="X1922" s="7"/>
      <c r="Y1922" s="7"/>
      <c r="Z1922" s="7"/>
      <c r="AA1922" s="7"/>
      <c r="AB1922" s="7"/>
      <c r="AC1922" s="7"/>
      <c r="AD1922" s="7"/>
      <c r="AE1922" s="7"/>
      <c r="AF1922" s="7"/>
    </row>
    <row r="1923" spans="1:32">
      <c r="A1923" s="683"/>
      <c r="B1923" s="3129" t="s">
        <v>772</v>
      </c>
      <c r="C1923" s="683" t="s">
        <v>320</v>
      </c>
      <c r="D1923" s="719" t="s">
        <v>1980</v>
      </c>
      <c r="E1923" s="720" t="s">
        <v>1929</v>
      </c>
      <c r="F1923" s="685">
        <v>2111</v>
      </c>
      <c r="G1923" s="744" t="s">
        <v>248</v>
      </c>
      <c r="H1923" s="731">
        <v>1838</v>
      </c>
      <c r="I1923" s="731"/>
      <c r="J1923" s="1494">
        <v>64</v>
      </c>
      <c r="K1923" s="747"/>
      <c r="L1923" s="689">
        <v>882</v>
      </c>
      <c r="M1923" s="731"/>
      <c r="N1923" s="574"/>
      <c r="O1923" s="7"/>
      <c r="P1923" s="7"/>
      <c r="Q1923" s="7"/>
      <c r="R1923" s="7"/>
      <c r="S1923" s="7"/>
      <c r="T1923" s="7"/>
      <c r="U1923" s="7"/>
      <c r="V1923" s="7"/>
      <c r="W1923" s="7"/>
      <c r="X1923" s="7"/>
      <c r="Y1923" s="7"/>
      <c r="Z1923" s="7"/>
      <c r="AA1923" s="7"/>
      <c r="AB1923" s="7"/>
      <c r="AC1923" s="7"/>
      <c r="AD1923" s="7"/>
      <c r="AE1923" s="7"/>
      <c r="AF1923" s="7"/>
    </row>
    <row r="1924" spans="1:32" ht="30.6">
      <c r="A1924" s="663"/>
      <c r="B1924" s="3130" t="s">
        <v>772</v>
      </c>
      <c r="C1924" s="663" t="s">
        <v>320</v>
      </c>
      <c r="D1924" s="678" t="s">
        <v>1980</v>
      </c>
      <c r="E1924" s="700" t="s">
        <v>1929</v>
      </c>
      <c r="F1924" s="679">
        <v>2111</v>
      </c>
      <c r="G1924" s="2186" t="s">
        <v>4722</v>
      </c>
      <c r="H1924" s="741"/>
      <c r="I1924" s="741">
        <v>919</v>
      </c>
      <c r="J1924" s="1494" t="s">
        <v>1134</v>
      </c>
      <c r="K1924" s="747"/>
      <c r="L1924" s="741"/>
      <c r="M1924" s="660">
        <v>590</v>
      </c>
      <c r="N1924" s="125"/>
      <c r="O1924" s="7"/>
      <c r="P1924" s="7"/>
      <c r="Q1924" s="7"/>
      <c r="R1924" s="7"/>
      <c r="S1924" s="7"/>
      <c r="T1924" s="7"/>
      <c r="U1924" s="7"/>
      <c r="V1924" s="7"/>
      <c r="W1924" s="7"/>
      <c r="X1924" s="7"/>
      <c r="Y1924" s="7"/>
      <c r="Z1924" s="7"/>
      <c r="AA1924" s="7"/>
      <c r="AB1924" s="7"/>
      <c r="AC1924" s="7"/>
      <c r="AD1924" s="7"/>
      <c r="AE1924" s="7"/>
      <c r="AF1924" s="7"/>
    </row>
    <row r="1925" spans="1:32" ht="20.399999999999999">
      <c r="A1925" s="663"/>
      <c r="B1925" s="3130" t="s">
        <v>772</v>
      </c>
      <c r="C1925" s="663" t="s">
        <v>320</v>
      </c>
      <c r="D1925" s="678" t="s">
        <v>1980</v>
      </c>
      <c r="E1925" s="700" t="s">
        <v>1929</v>
      </c>
      <c r="F1925" s="679">
        <v>2111</v>
      </c>
      <c r="G1925" s="2186" t="s">
        <v>4723</v>
      </c>
      <c r="H1925" s="741"/>
      <c r="I1925" s="741">
        <v>919</v>
      </c>
      <c r="J1925" s="1494" t="s">
        <v>1134</v>
      </c>
      <c r="K1925" s="747"/>
      <c r="L1925" s="741"/>
      <c r="M1925" s="660">
        <v>292</v>
      </c>
      <c r="N1925" s="125"/>
      <c r="O1925" s="7"/>
      <c r="P1925" s="7"/>
      <c r="Q1925" s="7"/>
      <c r="R1925" s="7"/>
      <c r="S1925" s="7"/>
      <c r="T1925" s="7"/>
      <c r="U1925" s="7"/>
      <c r="V1925" s="7"/>
      <c r="W1925" s="7"/>
      <c r="X1925" s="7"/>
      <c r="Y1925" s="7"/>
      <c r="Z1925" s="7"/>
      <c r="AA1925" s="7"/>
      <c r="AB1925" s="7"/>
      <c r="AC1925" s="7"/>
      <c r="AD1925" s="7"/>
      <c r="AE1925" s="7"/>
      <c r="AF1925" s="7"/>
    </row>
    <row r="1926" spans="1:32">
      <c r="A1926" s="683"/>
      <c r="B1926" s="3129" t="s">
        <v>772</v>
      </c>
      <c r="C1926" s="683" t="s">
        <v>320</v>
      </c>
      <c r="D1926" s="719" t="s">
        <v>1980</v>
      </c>
      <c r="E1926" s="720" t="s">
        <v>1929</v>
      </c>
      <c r="F1926" s="824">
        <v>2121</v>
      </c>
      <c r="G1926" s="1434" t="s">
        <v>1037</v>
      </c>
      <c r="H1926" s="893">
        <v>1595</v>
      </c>
      <c r="I1926" s="893"/>
      <c r="J1926" s="1654">
        <v>300</v>
      </c>
      <c r="K1926" s="1251"/>
      <c r="L1926" s="706">
        <v>725</v>
      </c>
      <c r="M1926" s="893"/>
      <c r="N1926" s="7"/>
      <c r="O1926" s="7"/>
      <c r="P1926" s="7"/>
      <c r="Q1926" s="7"/>
      <c r="R1926" s="7"/>
      <c r="S1926" s="7"/>
      <c r="T1926" s="7"/>
      <c r="U1926" s="7"/>
      <c r="V1926" s="7"/>
      <c r="W1926" s="7"/>
      <c r="X1926" s="7"/>
      <c r="Y1926" s="7"/>
      <c r="Z1926" s="7"/>
      <c r="AA1926" s="7"/>
      <c r="AB1926" s="7"/>
      <c r="AC1926" s="7"/>
      <c r="AD1926" s="7"/>
      <c r="AE1926" s="7"/>
      <c r="AF1926" s="7"/>
    </row>
    <row r="1927" spans="1:32" ht="20.399999999999999">
      <c r="A1927" s="663"/>
      <c r="B1927" s="3130" t="s">
        <v>772</v>
      </c>
      <c r="C1927" s="663" t="s">
        <v>320</v>
      </c>
      <c r="D1927" s="678" t="s">
        <v>1980</v>
      </c>
      <c r="E1927" s="700" t="s">
        <v>1929</v>
      </c>
      <c r="F1927" s="795">
        <v>2121</v>
      </c>
      <c r="G1927" s="2326" t="s">
        <v>2292</v>
      </c>
      <c r="H1927" s="748"/>
      <c r="I1927" s="748">
        <v>1595</v>
      </c>
      <c r="J1927" s="1654" t="s">
        <v>1134</v>
      </c>
      <c r="K1927" s="1251"/>
      <c r="L1927" s="748"/>
      <c r="M1927" s="701">
        <v>725</v>
      </c>
      <c r="N1927" s="7"/>
      <c r="O1927" s="7"/>
      <c r="P1927" s="7"/>
      <c r="Q1927" s="7"/>
      <c r="R1927" s="7"/>
      <c r="S1927" s="7"/>
      <c r="T1927" s="7"/>
      <c r="U1927" s="7"/>
      <c r="V1927" s="7"/>
      <c r="W1927" s="7"/>
      <c r="X1927" s="7"/>
      <c r="Y1927" s="7"/>
      <c r="Z1927" s="7"/>
      <c r="AA1927" s="7"/>
      <c r="AB1927" s="7"/>
      <c r="AC1927" s="7"/>
      <c r="AD1927" s="7"/>
      <c r="AE1927" s="7"/>
      <c r="AF1927" s="7"/>
    </row>
    <row r="1928" spans="1:32">
      <c r="A1928" s="663"/>
      <c r="B1928" s="3130" t="s">
        <v>772</v>
      </c>
      <c r="C1928" s="663" t="s">
        <v>320</v>
      </c>
      <c r="D1928" s="678" t="s">
        <v>1980</v>
      </c>
      <c r="E1928" s="700" t="s">
        <v>1929</v>
      </c>
      <c r="F1928" s="795">
        <v>2121</v>
      </c>
      <c r="G1928" s="745"/>
      <c r="H1928" s="748"/>
      <c r="I1928" s="748"/>
      <c r="J1928" s="1654" t="s">
        <v>1134</v>
      </c>
      <c r="K1928" s="1251"/>
      <c r="L1928" s="748"/>
      <c r="M1928" s="701"/>
      <c r="N1928" s="7"/>
      <c r="O1928" s="7"/>
      <c r="P1928" s="7"/>
      <c r="Q1928" s="7"/>
      <c r="R1928" s="7"/>
      <c r="S1928" s="7"/>
      <c r="T1928" s="7"/>
      <c r="U1928" s="7"/>
      <c r="V1928" s="7"/>
      <c r="W1928" s="7"/>
      <c r="X1928" s="7"/>
      <c r="Y1928" s="7"/>
      <c r="Z1928" s="7"/>
      <c r="AA1928" s="7"/>
      <c r="AB1928" s="7"/>
      <c r="AC1928" s="7"/>
      <c r="AD1928" s="7"/>
      <c r="AE1928" s="7"/>
      <c r="AF1928" s="7"/>
    </row>
    <row r="1929" spans="1:32">
      <c r="A1929" s="683"/>
      <c r="B1929" s="3129" t="s">
        <v>772</v>
      </c>
      <c r="C1929" s="683" t="s">
        <v>322</v>
      </c>
      <c r="D1929" s="719" t="s">
        <v>1980</v>
      </c>
      <c r="E1929" s="720" t="s">
        <v>1929</v>
      </c>
      <c r="F1929" s="824">
        <v>2210</v>
      </c>
      <c r="G1929" s="1434" t="s">
        <v>572</v>
      </c>
      <c r="H1929" s="706">
        <v>1200</v>
      </c>
      <c r="I1929" s="706"/>
      <c r="J1929" s="1654">
        <v>855</v>
      </c>
      <c r="K1929" s="802"/>
      <c r="L1929" s="706">
        <v>1200</v>
      </c>
      <c r="M1929" s="706"/>
      <c r="N1929" s="574"/>
      <c r="O1929" s="7"/>
      <c r="P1929" s="7"/>
      <c r="Q1929" s="7"/>
      <c r="R1929" s="7"/>
      <c r="S1929" s="7"/>
      <c r="T1929" s="7"/>
      <c r="U1929" s="7"/>
      <c r="V1929" s="7"/>
      <c r="W1929" s="7"/>
      <c r="X1929" s="7"/>
      <c r="Y1929" s="7"/>
      <c r="Z1929" s="7"/>
      <c r="AA1929" s="7"/>
      <c r="AB1929" s="7"/>
      <c r="AC1929" s="7"/>
      <c r="AD1929" s="7"/>
      <c r="AE1929" s="7"/>
      <c r="AF1929" s="7"/>
    </row>
    <row r="1930" spans="1:32">
      <c r="A1930" s="663"/>
      <c r="B1930" s="3130" t="s">
        <v>772</v>
      </c>
      <c r="C1930" s="663" t="s">
        <v>322</v>
      </c>
      <c r="D1930" s="678" t="s">
        <v>1980</v>
      </c>
      <c r="E1930" s="700" t="s">
        <v>1929</v>
      </c>
      <c r="F1930" s="795">
        <v>2210</v>
      </c>
      <c r="G1930" s="745" t="s">
        <v>1510</v>
      </c>
      <c r="H1930" s="701"/>
      <c r="I1930" s="701">
        <v>1200</v>
      </c>
      <c r="J1930" s="1654" t="s">
        <v>1134</v>
      </c>
      <c r="K1930" s="792"/>
      <c r="L1930" s="701"/>
      <c r="M1930" s="2685">
        <v>1200</v>
      </c>
      <c r="N1930" s="305"/>
      <c r="O1930" s="7"/>
      <c r="P1930" s="7"/>
      <c r="Q1930" s="7"/>
      <c r="R1930" s="7"/>
      <c r="S1930" s="7"/>
      <c r="T1930" s="7"/>
      <c r="U1930" s="7"/>
      <c r="V1930" s="7"/>
      <c r="W1930" s="7"/>
      <c r="X1930" s="7"/>
      <c r="Y1930" s="7"/>
      <c r="Z1930" s="7"/>
      <c r="AA1930" s="7"/>
      <c r="AB1930" s="7"/>
      <c r="AC1930" s="7"/>
      <c r="AD1930" s="7"/>
      <c r="AE1930" s="7"/>
      <c r="AF1930" s="7"/>
    </row>
    <row r="1931" spans="1:32">
      <c r="A1931" s="683" t="s">
        <v>693</v>
      </c>
      <c r="B1931" s="3129" t="s">
        <v>772</v>
      </c>
      <c r="C1931" s="683" t="s">
        <v>320</v>
      </c>
      <c r="D1931" s="719" t="s">
        <v>1980</v>
      </c>
      <c r="E1931" s="720" t="s">
        <v>1929</v>
      </c>
      <c r="F1931" s="824">
        <v>2231</v>
      </c>
      <c r="G1931" s="1434" t="s">
        <v>1661</v>
      </c>
      <c r="H1931" s="706">
        <v>0</v>
      </c>
      <c r="I1931" s="706"/>
      <c r="J1931" s="1654" t="s">
        <v>1134</v>
      </c>
      <c r="K1931" s="802"/>
      <c r="L1931" s="706">
        <v>600</v>
      </c>
      <c r="M1931" s="706"/>
      <c r="N1931" s="305"/>
      <c r="O1931" s="7"/>
      <c r="P1931" s="7"/>
      <c r="Q1931" s="7"/>
      <c r="R1931" s="7"/>
      <c r="S1931" s="7"/>
      <c r="T1931" s="7"/>
      <c r="U1931" s="7"/>
      <c r="V1931" s="7"/>
      <c r="W1931" s="7"/>
      <c r="X1931" s="7"/>
      <c r="Y1931" s="7"/>
      <c r="Z1931" s="7"/>
      <c r="AA1931" s="7"/>
      <c r="AB1931" s="7"/>
      <c r="AC1931" s="7"/>
      <c r="AD1931" s="7"/>
      <c r="AE1931" s="7"/>
      <c r="AF1931" s="7"/>
    </row>
    <row r="1932" spans="1:32">
      <c r="A1932" s="663"/>
      <c r="B1932" s="3130" t="s">
        <v>772</v>
      </c>
      <c r="C1932" s="663" t="s">
        <v>320</v>
      </c>
      <c r="D1932" s="678" t="s">
        <v>1980</v>
      </c>
      <c r="E1932" s="700" t="s">
        <v>1929</v>
      </c>
      <c r="F1932" s="795">
        <v>2231</v>
      </c>
      <c r="G1932" s="2326" t="s">
        <v>2298</v>
      </c>
      <c r="H1932" s="701"/>
      <c r="I1932" s="701"/>
      <c r="J1932" s="1654" t="s">
        <v>1134</v>
      </c>
      <c r="K1932" s="792"/>
      <c r="L1932" s="701"/>
      <c r="M1932" s="701">
        <v>600</v>
      </c>
      <c r="N1932" s="305"/>
      <c r="O1932" s="7"/>
      <c r="P1932" s="7"/>
      <c r="Q1932" s="7"/>
      <c r="R1932" s="7"/>
      <c r="S1932" s="7"/>
      <c r="T1932" s="7"/>
      <c r="U1932" s="7"/>
      <c r="V1932" s="7"/>
      <c r="W1932" s="7"/>
      <c r="X1932" s="7"/>
      <c r="Y1932" s="7"/>
      <c r="Z1932" s="7"/>
      <c r="AA1932" s="7"/>
      <c r="AB1932" s="7"/>
      <c r="AC1932" s="7"/>
      <c r="AD1932" s="7"/>
      <c r="AE1932" s="7"/>
      <c r="AF1932" s="7"/>
    </row>
    <row r="1933" spans="1:32">
      <c r="A1933" s="663"/>
      <c r="B1933" s="3130" t="s">
        <v>772</v>
      </c>
      <c r="C1933" s="663" t="s">
        <v>320</v>
      </c>
      <c r="D1933" s="678" t="s">
        <v>1980</v>
      </c>
      <c r="E1933" s="700" t="s">
        <v>1929</v>
      </c>
      <c r="F1933" s="795">
        <v>2231</v>
      </c>
      <c r="G1933" s="2326"/>
      <c r="H1933" s="701"/>
      <c r="I1933" s="701"/>
      <c r="J1933" s="1654" t="s">
        <v>1134</v>
      </c>
      <c r="K1933" s="792"/>
      <c r="L1933" s="701"/>
      <c r="M1933" s="701"/>
      <c r="N1933" s="305"/>
      <c r="O1933" s="7"/>
      <c r="P1933" s="7"/>
      <c r="Q1933" s="7"/>
      <c r="R1933" s="7"/>
      <c r="S1933" s="7"/>
      <c r="T1933" s="7"/>
      <c r="U1933" s="7"/>
      <c r="V1933" s="7"/>
      <c r="W1933" s="7"/>
      <c r="X1933" s="7"/>
      <c r="Y1933" s="7"/>
      <c r="Z1933" s="7"/>
      <c r="AA1933" s="7"/>
      <c r="AB1933" s="7"/>
      <c r="AC1933" s="7"/>
      <c r="AD1933" s="7"/>
      <c r="AE1933" s="7"/>
      <c r="AF1933" s="7"/>
    </row>
    <row r="1934" spans="1:32">
      <c r="A1934" s="683" t="s">
        <v>693</v>
      </c>
      <c r="B1934" s="3129" t="s">
        <v>772</v>
      </c>
      <c r="C1934" s="683" t="s">
        <v>320</v>
      </c>
      <c r="D1934" s="719" t="s">
        <v>1980</v>
      </c>
      <c r="E1934" s="720" t="s">
        <v>1929</v>
      </c>
      <c r="F1934" s="824">
        <v>2233</v>
      </c>
      <c r="G1934" s="1434" t="s">
        <v>145</v>
      </c>
      <c r="H1934" s="706">
        <v>0</v>
      </c>
      <c r="I1934" s="706"/>
      <c r="J1934" s="1654" t="s">
        <v>1134</v>
      </c>
      <c r="K1934" s="802"/>
      <c r="L1934" s="706">
        <v>2300</v>
      </c>
      <c r="M1934" s="706"/>
      <c r="N1934" s="305"/>
      <c r="O1934" s="7"/>
      <c r="P1934" s="7"/>
      <c r="Q1934" s="7"/>
      <c r="R1934" s="7"/>
      <c r="S1934" s="7"/>
      <c r="T1934" s="7"/>
      <c r="U1934" s="7"/>
      <c r="V1934" s="7"/>
      <c r="W1934" s="7"/>
      <c r="X1934" s="7"/>
      <c r="Y1934" s="7"/>
      <c r="Z1934" s="7"/>
      <c r="AA1934" s="7"/>
      <c r="AB1934" s="7"/>
      <c r="AC1934" s="7"/>
      <c r="AD1934" s="7"/>
      <c r="AE1934" s="7"/>
      <c r="AF1934" s="7"/>
    </row>
    <row r="1935" spans="1:32" ht="20.399999999999999">
      <c r="A1935" s="663"/>
      <c r="B1935" s="3130" t="s">
        <v>772</v>
      </c>
      <c r="C1935" s="663" t="s">
        <v>320</v>
      </c>
      <c r="D1935" s="678" t="s">
        <v>1980</v>
      </c>
      <c r="E1935" s="700" t="s">
        <v>1929</v>
      </c>
      <c r="F1935" s="795">
        <v>2233</v>
      </c>
      <c r="G1935" s="2326" t="s">
        <v>4725</v>
      </c>
      <c r="H1935" s="701"/>
      <c r="I1935" s="701"/>
      <c r="J1935" s="1654" t="s">
        <v>1134</v>
      </c>
      <c r="K1935" s="792"/>
      <c r="L1935" s="701"/>
      <c r="M1935" s="701">
        <v>700</v>
      </c>
      <c r="N1935" s="305"/>
      <c r="O1935" s="7"/>
      <c r="P1935" s="7"/>
      <c r="Q1935" s="7"/>
      <c r="R1935" s="7"/>
      <c r="S1935" s="7"/>
      <c r="T1935" s="7"/>
      <c r="U1935" s="7"/>
      <c r="V1935" s="7"/>
      <c r="W1935" s="7"/>
      <c r="X1935" s="7"/>
      <c r="Y1935" s="7"/>
      <c r="Z1935" s="7"/>
      <c r="AA1935" s="7"/>
      <c r="AB1935" s="7"/>
      <c r="AC1935" s="7"/>
      <c r="AD1935" s="7"/>
      <c r="AE1935" s="7"/>
      <c r="AF1935" s="7"/>
    </row>
    <row r="1936" spans="1:32" ht="20.399999999999999">
      <c r="A1936" s="663"/>
      <c r="B1936" s="3130" t="s">
        <v>772</v>
      </c>
      <c r="C1936" s="663" t="s">
        <v>320</v>
      </c>
      <c r="D1936" s="678" t="s">
        <v>1980</v>
      </c>
      <c r="E1936" s="700" t="s">
        <v>1929</v>
      </c>
      <c r="F1936" s="795">
        <v>2233</v>
      </c>
      <c r="G1936" s="2326" t="s">
        <v>4726</v>
      </c>
      <c r="H1936" s="701"/>
      <c r="I1936" s="701"/>
      <c r="J1936" s="1654" t="s">
        <v>1134</v>
      </c>
      <c r="K1936" s="792"/>
      <c r="L1936" s="701"/>
      <c r="M1936" s="701">
        <v>1600</v>
      </c>
      <c r="N1936" s="769" t="s">
        <v>4850</v>
      </c>
      <c r="O1936" s="7"/>
      <c r="P1936" s="7"/>
      <c r="Q1936" s="7"/>
      <c r="R1936" s="7"/>
      <c r="S1936" s="7"/>
      <c r="T1936" s="7"/>
      <c r="U1936" s="7"/>
      <c r="V1936" s="7"/>
      <c r="W1936" s="7"/>
      <c r="X1936" s="7"/>
      <c r="Y1936" s="7"/>
      <c r="Z1936" s="7"/>
      <c r="AA1936" s="7"/>
      <c r="AB1936" s="7"/>
      <c r="AC1936" s="7"/>
      <c r="AD1936" s="7"/>
      <c r="AE1936" s="7"/>
      <c r="AF1936" s="7"/>
    </row>
    <row r="1937" spans="1:32">
      <c r="A1937" s="683"/>
      <c r="B1937" s="3129" t="s">
        <v>772</v>
      </c>
      <c r="C1937" s="683" t="s">
        <v>369</v>
      </c>
      <c r="D1937" s="719" t="s">
        <v>1980</v>
      </c>
      <c r="E1937" s="720" t="s">
        <v>1929</v>
      </c>
      <c r="F1937" s="685">
        <v>2233</v>
      </c>
      <c r="G1937" s="744" t="s">
        <v>145</v>
      </c>
      <c r="H1937" s="689">
        <v>20500</v>
      </c>
      <c r="I1937" s="689"/>
      <c r="J1937" s="1494">
        <v>20726</v>
      </c>
      <c r="K1937" s="690"/>
      <c r="L1937" s="689">
        <v>30699</v>
      </c>
      <c r="M1937" s="689"/>
      <c r="N1937" s="2023"/>
      <c r="O1937" s="7"/>
      <c r="P1937" s="7"/>
      <c r="Q1937" s="7"/>
      <c r="R1937" s="7"/>
      <c r="S1937" s="7"/>
      <c r="T1937" s="7"/>
      <c r="U1937" s="7"/>
      <c r="V1937" s="7"/>
      <c r="W1937" s="7"/>
      <c r="X1937" s="7"/>
      <c r="Y1937" s="7"/>
      <c r="Z1937" s="7"/>
      <c r="AA1937" s="7"/>
      <c r="AB1937" s="7"/>
      <c r="AC1937" s="7"/>
      <c r="AD1937" s="7"/>
      <c r="AE1937" s="7"/>
      <c r="AF1937" s="7"/>
    </row>
    <row r="1938" spans="1:32" ht="20.399999999999999">
      <c r="A1938" s="663"/>
      <c r="B1938" s="3130" t="s">
        <v>772</v>
      </c>
      <c r="C1938" s="663" t="s">
        <v>369</v>
      </c>
      <c r="D1938" s="678" t="s">
        <v>1980</v>
      </c>
      <c r="E1938" s="700" t="s">
        <v>1929</v>
      </c>
      <c r="F1938" s="679">
        <v>2233</v>
      </c>
      <c r="G1938" s="2186" t="s">
        <v>2293</v>
      </c>
      <c r="H1938" s="660"/>
      <c r="I1938" s="660">
        <v>20000</v>
      </c>
      <c r="J1938" s="1494" t="s">
        <v>1134</v>
      </c>
      <c r="K1938" s="661"/>
      <c r="L1938" s="660"/>
      <c r="M1938" s="2686">
        <v>30199</v>
      </c>
      <c r="N1938" s="381" t="s">
        <v>4736</v>
      </c>
      <c r="O1938" s="7"/>
      <c r="P1938" s="7"/>
      <c r="Q1938" s="7"/>
      <c r="R1938" s="7"/>
      <c r="S1938" s="7"/>
      <c r="T1938" s="7"/>
      <c r="U1938" s="7"/>
      <c r="V1938" s="7"/>
      <c r="W1938" s="7"/>
      <c r="X1938" s="7"/>
      <c r="Y1938" s="7"/>
      <c r="Z1938" s="7"/>
      <c r="AA1938" s="7"/>
      <c r="AB1938" s="7"/>
      <c r="AC1938" s="7"/>
      <c r="AD1938" s="7"/>
      <c r="AE1938" s="7"/>
      <c r="AF1938" s="7"/>
    </row>
    <row r="1939" spans="1:32" ht="30.6">
      <c r="A1939" s="663"/>
      <c r="B1939" s="3130" t="s">
        <v>772</v>
      </c>
      <c r="C1939" s="663" t="s">
        <v>369</v>
      </c>
      <c r="D1939" s="678" t="s">
        <v>1980</v>
      </c>
      <c r="E1939" s="700" t="s">
        <v>1929</v>
      </c>
      <c r="F1939" s="679">
        <v>2233</v>
      </c>
      <c r="G1939" s="2186" t="s">
        <v>2294</v>
      </c>
      <c r="H1939" s="660"/>
      <c r="I1939" s="660">
        <v>500</v>
      </c>
      <c r="J1939" s="1494" t="s">
        <v>1134</v>
      </c>
      <c r="K1939" s="661"/>
      <c r="L1939" s="660"/>
      <c r="M1939" s="660">
        <v>500</v>
      </c>
      <c r="N1939" s="7" t="s">
        <v>4862</v>
      </c>
      <c r="O1939" s="7"/>
      <c r="P1939" s="7"/>
      <c r="Q1939" s="7"/>
      <c r="R1939" s="7"/>
      <c r="S1939" s="7"/>
      <c r="T1939" s="7"/>
      <c r="U1939" s="7"/>
      <c r="V1939" s="7"/>
      <c r="W1939" s="7"/>
      <c r="X1939" s="7"/>
      <c r="Y1939" s="7"/>
      <c r="Z1939" s="7"/>
      <c r="AA1939" s="7"/>
      <c r="AB1939" s="7"/>
      <c r="AC1939" s="7"/>
      <c r="AD1939" s="7"/>
      <c r="AE1939" s="7"/>
      <c r="AF1939" s="7"/>
    </row>
    <row r="1940" spans="1:32">
      <c r="A1940" s="683"/>
      <c r="B1940" s="3129" t="s">
        <v>773</v>
      </c>
      <c r="C1940" s="683" t="s">
        <v>369</v>
      </c>
      <c r="D1940" s="719" t="s">
        <v>1980</v>
      </c>
      <c r="E1940" s="720" t="s">
        <v>1929</v>
      </c>
      <c r="F1940" s="685">
        <v>2233</v>
      </c>
      <c r="G1940" s="744" t="s">
        <v>145</v>
      </c>
      <c r="H1940" s="689"/>
      <c r="I1940" s="689"/>
      <c r="J1940" s="1494"/>
      <c r="K1940" s="690"/>
      <c r="L1940" s="689">
        <v>6000</v>
      </c>
      <c r="M1940" s="689"/>
      <c r="N1940" s="305" t="s">
        <v>4851</v>
      </c>
      <c r="O1940" s="7"/>
      <c r="P1940" s="7"/>
      <c r="Q1940" s="7"/>
      <c r="R1940" s="7"/>
      <c r="S1940" s="7"/>
      <c r="T1940" s="7"/>
      <c r="U1940" s="7"/>
      <c r="V1940" s="7"/>
      <c r="W1940" s="7"/>
      <c r="X1940" s="7"/>
      <c r="Y1940" s="7"/>
      <c r="Z1940" s="7"/>
      <c r="AA1940" s="7"/>
      <c r="AB1940" s="7"/>
      <c r="AC1940" s="7"/>
      <c r="AD1940" s="7"/>
      <c r="AE1940" s="7"/>
      <c r="AF1940" s="7"/>
    </row>
    <row r="1941" spans="1:32" ht="20.399999999999999">
      <c r="A1941" s="663"/>
      <c r="B1941" s="3130" t="s">
        <v>773</v>
      </c>
      <c r="C1941" s="663" t="s">
        <v>369</v>
      </c>
      <c r="D1941" s="678" t="s">
        <v>1980</v>
      </c>
      <c r="E1941" s="700" t="s">
        <v>1929</v>
      </c>
      <c r="F1941" s="679">
        <v>2233</v>
      </c>
      <c r="G1941" s="2186" t="s">
        <v>5240</v>
      </c>
      <c r="H1941" s="660"/>
      <c r="I1941" s="660"/>
      <c r="J1941" s="1494"/>
      <c r="K1941" s="661"/>
      <c r="L1941" s="660"/>
      <c r="M1941" s="2686">
        <v>6000</v>
      </c>
      <c r="N1941" s="125"/>
      <c r="O1941" s="7"/>
      <c r="P1941" s="7"/>
      <c r="Q1941" s="7"/>
      <c r="R1941" s="7"/>
      <c r="S1941" s="7"/>
      <c r="T1941" s="7"/>
      <c r="U1941" s="7"/>
      <c r="V1941" s="7"/>
      <c r="W1941" s="7"/>
      <c r="X1941" s="7"/>
      <c r="Y1941" s="7"/>
      <c r="Z1941" s="7"/>
      <c r="AA1941" s="7"/>
      <c r="AB1941" s="7"/>
      <c r="AC1941" s="7"/>
      <c r="AD1941" s="7"/>
      <c r="AE1941" s="7"/>
      <c r="AF1941" s="7"/>
    </row>
    <row r="1942" spans="1:32" ht="20.399999999999999">
      <c r="A1942" s="683"/>
      <c r="B1942" s="3129" t="s">
        <v>772</v>
      </c>
      <c r="C1942" s="683" t="s">
        <v>369</v>
      </c>
      <c r="D1942" s="719" t="s">
        <v>1980</v>
      </c>
      <c r="E1942" s="720" t="s">
        <v>1929</v>
      </c>
      <c r="F1942" s="824">
        <v>2234</v>
      </c>
      <c r="G1942" s="1434" t="s">
        <v>1993</v>
      </c>
      <c r="H1942" s="706">
        <v>225</v>
      </c>
      <c r="I1942" s="706"/>
      <c r="J1942" s="1654">
        <v>0</v>
      </c>
      <c r="K1942" s="802"/>
      <c r="L1942" s="706">
        <v>135</v>
      </c>
      <c r="M1942" s="706"/>
      <c r="N1942" s="655" t="s">
        <v>4852</v>
      </c>
      <c r="O1942" s="7"/>
      <c r="P1942" s="7"/>
      <c r="Q1942" s="7"/>
      <c r="R1942" s="7"/>
      <c r="S1942" s="7"/>
      <c r="T1942" s="7"/>
      <c r="U1942" s="7"/>
      <c r="V1942" s="7"/>
      <c r="W1942" s="7"/>
      <c r="X1942" s="7"/>
      <c r="Y1942" s="7"/>
      <c r="Z1942" s="7"/>
      <c r="AA1942" s="7"/>
      <c r="AB1942" s="7"/>
      <c r="AC1942" s="7"/>
      <c r="AD1942" s="7"/>
      <c r="AE1942" s="7"/>
      <c r="AF1942" s="7"/>
    </row>
    <row r="1943" spans="1:32" ht="30.6">
      <c r="A1943" s="663"/>
      <c r="B1943" s="3130" t="s">
        <v>772</v>
      </c>
      <c r="C1943" s="663" t="s">
        <v>369</v>
      </c>
      <c r="D1943" s="678" t="s">
        <v>1980</v>
      </c>
      <c r="E1943" s="700" t="s">
        <v>1929</v>
      </c>
      <c r="F1943" s="795">
        <v>2234</v>
      </c>
      <c r="G1943" s="2326" t="s">
        <v>4727</v>
      </c>
      <c r="H1943" s="701"/>
      <c r="I1943" s="701">
        <v>225</v>
      </c>
      <c r="J1943" s="1654" t="s">
        <v>1134</v>
      </c>
      <c r="K1943" s="792"/>
      <c r="L1943" s="701"/>
      <c r="M1943" s="701">
        <v>135</v>
      </c>
      <c r="N1943" s="655" t="s">
        <v>4853</v>
      </c>
      <c r="O1943" s="7"/>
      <c r="P1943" s="7"/>
      <c r="Q1943" s="7"/>
      <c r="R1943" s="7"/>
      <c r="S1943" s="7"/>
      <c r="T1943" s="7"/>
      <c r="U1943" s="7"/>
      <c r="V1943" s="7"/>
      <c r="W1943" s="7"/>
      <c r="X1943" s="7"/>
      <c r="Y1943" s="7"/>
      <c r="Z1943" s="7"/>
      <c r="AA1943" s="7"/>
      <c r="AB1943" s="7"/>
      <c r="AC1943" s="7"/>
      <c r="AD1943" s="7"/>
      <c r="AE1943" s="7"/>
      <c r="AF1943" s="7"/>
    </row>
    <row r="1944" spans="1:32">
      <c r="A1944" s="683"/>
      <c r="B1944" s="3129" t="s">
        <v>772</v>
      </c>
      <c r="C1944" s="683" t="s">
        <v>369</v>
      </c>
      <c r="D1944" s="719" t="s">
        <v>1980</v>
      </c>
      <c r="E1944" s="720" t="s">
        <v>1929</v>
      </c>
      <c r="F1944" s="824">
        <v>2235</v>
      </c>
      <c r="G1944" s="1434" t="s">
        <v>931</v>
      </c>
      <c r="H1944" s="706">
        <v>5053</v>
      </c>
      <c r="I1944" s="706"/>
      <c r="J1944" s="1654">
        <v>898</v>
      </c>
      <c r="K1944" s="802"/>
      <c r="L1944" s="706">
        <v>2860</v>
      </c>
      <c r="M1944" s="706"/>
      <c r="N1944" s="125" t="s">
        <v>4737</v>
      </c>
      <c r="O1944" s="7"/>
      <c r="P1944" s="7"/>
      <c r="Q1944" s="7"/>
      <c r="R1944" s="7"/>
      <c r="S1944" s="7"/>
      <c r="T1944" s="7"/>
      <c r="U1944" s="7"/>
      <c r="V1944" s="7"/>
      <c r="W1944" s="7"/>
      <c r="X1944" s="7"/>
      <c r="Y1944" s="7"/>
      <c r="Z1944" s="7"/>
      <c r="AA1944" s="7"/>
      <c r="AB1944" s="7"/>
      <c r="AC1944" s="7"/>
      <c r="AD1944" s="7"/>
      <c r="AE1944" s="7"/>
      <c r="AF1944" s="7"/>
    </row>
    <row r="1945" spans="1:32" ht="20.399999999999999">
      <c r="A1945" s="663"/>
      <c r="B1945" s="3130" t="s">
        <v>772</v>
      </c>
      <c r="C1945" s="663" t="s">
        <v>369</v>
      </c>
      <c r="D1945" s="678" t="s">
        <v>1980</v>
      </c>
      <c r="E1945" s="700" t="s">
        <v>1929</v>
      </c>
      <c r="F1945" s="795">
        <v>2235</v>
      </c>
      <c r="G1945" s="2326" t="s">
        <v>2295</v>
      </c>
      <c r="H1945" s="701"/>
      <c r="I1945" s="701">
        <v>660</v>
      </c>
      <c r="J1945" s="1654"/>
      <c r="K1945" s="792"/>
      <c r="L1945" s="701"/>
      <c r="M1945" s="701">
        <v>660</v>
      </c>
      <c r="N1945" s="655"/>
      <c r="O1945" s="7"/>
      <c r="P1945" s="7"/>
      <c r="Q1945" s="7"/>
      <c r="R1945" s="7"/>
      <c r="S1945" s="7"/>
      <c r="T1945" s="7"/>
      <c r="U1945" s="7"/>
      <c r="V1945" s="7"/>
      <c r="W1945" s="7"/>
      <c r="X1945" s="7"/>
      <c r="Y1945" s="7"/>
      <c r="Z1945" s="7"/>
      <c r="AA1945" s="7"/>
      <c r="AB1945" s="7"/>
      <c r="AC1945" s="7"/>
      <c r="AD1945" s="7"/>
      <c r="AE1945" s="7"/>
      <c r="AF1945" s="7"/>
    </row>
    <row r="1946" spans="1:32" ht="30.6">
      <c r="A1946" s="663" t="s">
        <v>900</v>
      </c>
      <c r="B1946" s="3130" t="s">
        <v>772</v>
      </c>
      <c r="C1946" s="663" t="s">
        <v>369</v>
      </c>
      <c r="D1946" s="678" t="s">
        <v>1980</v>
      </c>
      <c r="E1946" s="700" t="s">
        <v>1929</v>
      </c>
      <c r="F1946" s="795">
        <v>2235</v>
      </c>
      <c r="G1946" s="2326" t="s">
        <v>2296</v>
      </c>
      <c r="H1946" s="701"/>
      <c r="I1946" s="701">
        <v>1000</v>
      </c>
      <c r="J1946" s="1654" t="s">
        <v>1134</v>
      </c>
      <c r="K1946" s="792"/>
      <c r="L1946" s="701"/>
      <c r="M1946" s="701">
        <v>2200</v>
      </c>
      <c r="N1946" s="655" t="s">
        <v>4738</v>
      </c>
      <c r="O1946" s="7"/>
      <c r="P1946" s="7"/>
      <c r="Q1946" s="7"/>
      <c r="R1946" s="7"/>
      <c r="S1946" s="7"/>
      <c r="T1946" s="7"/>
      <c r="U1946" s="7"/>
      <c r="V1946" s="7"/>
      <c r="W1946" s="7"/>
      <c r="X1946" s="7"/>
      <c r="Y1946" s="7"/>
      <c r="Z1946" s="7"/>
      <c r="AA1946" s="7"/>
      <c r="AB1946" s="7"/>
      <c r="AC1946" s="7"/>
      <c r="AD1946" s="7"/>
      <c r="AE1946" s="7"/>
      <c r="AF1946" s="7"/>
    </row>
    <row r="1947" spans="1:32" ht="20.399999999999999">
      <c r="A1947" s="663" t="s">
        <v>901</v>
      </c>
      <c r="B1947" s="3130" t="s">
        <v>772</v>
      </c>
      <c r="C1947" s="663" t="s">
        <v>369</v>
      </c>
      <c r="D1947" s="678" t="s">
        <v>1980</v>
      </c>
      <c r="E1947" s="700" t="s">
        <v>1929</v>
      </c>
      <c r="F1947" s="795">
        <v>2235</v>
      </c>
      <c r="G1947" s="2326" t="s">
        <v>2297</v>
      </c>
      <c r="H1947" s="701"/>
      <c r="I1947" s="701">
        <v>800</v>
      </c>
      <c r="J1947" s="1654" t="s">
        <v>1134</v>
      </c>
      <c r="K1947" s="792"/>
      <c r="L1947" s="701"/>
      <c r="M1947" s="2685">
        <v>0</v>
      </c>
      <c r="N1947" s="381" t="s">
        <v>4740</v>
      </c>
      <c r="O1947" s="7"/>
      <c r="P1947" s="7"/>
      <c r="Q1947" s="7"/>
      <c r="R1947" s="7"/>
      <c r="S1947" s="7"/>
      <c r="T1947" s="7"/>
      <c r="U1947" s="7"/>
      <c r="V1947" s="7"/>
      <c r="W1947" s="7"/>
      <c r="X1947" s="7"/>
      <c r="Y1947" s="7"/>
      <c r="Z1947" s="7"/>
      <c r="AA1947" s="7"/>
      <c r="AB1947" s="7"/>
      <c r="AC1947" s="7"/>
      <c r="AD1947" s="7"/>
      <c r="AE1947" s="7"/>
      <c r="AF1947" s="7"/>
    </row>
    <row r="1948" spans="1:32" ht="30.6">
      <c r="A1948" s="663" t="s">
        <v>901</v>
      </c>
      <c r="B1948" s="3130" t="s">
        <v>772</v>
      </c>
      <c r="C1948" s="663" t="s">
        <v>369</v>
      </c>
      <c r="D1948" s="678" t="s">
        <v>1980</v>
      </c>
      <c r="E1948" s="700" t="s">
        <v>1929</v>
      </c>
      <c r="F1948" s="795">
        <v>2235</v>
      </c>
      <c r="G1948" s="2326" t="s">
        <v>2298</v>
      </c>
      <c r="H1948" s="701"/>
      <c r="I1948" s="701">
        <v>400</v>
      </c>
      <c r="J1948" s="1654" t="s">
        <v>1134</v>
      </c>
      <c r="K1948" s="792"/>
      <c r="L1948" s="701"/>
      <c r="M1948" s="2687">
        <v>0</v>
      </c>
      <c r="N1948" s="381" t="s">
        <v>2307</v>
      </c>
      <c r="O1948" s="7"/>
      <c r="P1948" s="7"/>
      <c r="Q1948" s="7"/>
      <c r="R1948" s="7"/>
      <c r="S1948" s="7"/>
      <c r="T1948" s="7"/>
      <c r="U1948" s="7"/>
      <c r="V1948" s="7"/>
      <c r="W1948" s="7"/>
      <c r="X1948" s="7"/>
      <c r="Y1948" s="7"/>
      <c r="Z1948" s="7"/>
      <c r="AA1948" s="7"/>
      <c r="AB1948" s="7"/>
      <c r="AC1948" s="7"/>
      <c r="AD1948" s="7"/>
      <c r="AE1948" s="7"/>
      <c r="AF1948" s="7"/>
    </row>
    <row r="1949" spans="1:32" ht="30.6">
      <c r="A1949" s="663"/>
      <c r="B1949" s="3130" t="s">
        <v>772</v>
      </c>
      <c r="C1949" s="663" t="s">
        <v>369</v>
      </c>
      <c r="D1949" s="678" t="s">
        <v>1980</v>
      </c>
      <c r="E1949" s="700" t="s">
        <v>1929</v>
      </c>
      <c r="F1949" s="795">
        <v>2235</v>
      </c>
      <c r="G1949" s="2527" t="s">
        <v>3222</v>
      </c>
      <c r="H1949" s="748"/>
      <c r="I1949" s="748">
        <v>2193</v>
      </c>
      <c r="J1949" s="1654" t="s">
        <v>1134</v>
      </c>
      <c r="K1949" s="1314"/>
      <c r="L1949" s="748"/>
      <c r="M1949" s="748"/>
      <c r="N1949" s="305"/>
      <c r="O1949" s="7"/>
      <c r="P1949" s="7"/>
      <c r="Q1949" s="7"/>
      <c r="R1949" s="7"/>
      <c r="S1949" s="7"/>
      <c r="T1949" s="7"/>
      <c r="U1949" s="7"/>
      <c r="V1949" s="7"/>
      <c r="W1949" s="7"/>
      <c r="X1949" s="7"/>
      <c r="Y1949" s="7"/>
      <c r="Z1949" s="7"/>
      <c r="AA1949" s="7"/>
      <c r="AB1949" s="7"/>
      <c r="AC1949" s="7"/>
      <c r="AD1949" s="7"/>
      <c r="AE1949" s="7"/>
      <c r="AF1949" s="7"/>
    </row>
    <row r="1950" spans="1:32" ht="22.5" customHeight="1">
      <c r="A1950" s="683"/>
      <c r="B1950" s="3129" t="s">
        <v>772</v>
      </c>
      <c r="C1950" s="683" t="s">
        <v>322</v>
      </c>
      <c r="D1950" s="719" t="s">
        <v>1980</v>
      </c>
      <c r="E1950" s="720" t="s">
        <v>1929</v>
      </c>
      <c r="F1950" s="826">
        <v>2239</v>
      </c>
      <c r="G1950" s="1434" t="s">
        <v>147</v>
      </c>
      <c r="H1950" s="706">
        <v>940</v>
      </c>
      <c r="I1950" s="706"/>
      <c r="J1950" s="1654"/>
      <c r="K1950" s="802"/>
      <c r="L1950" s="706">
        <v>440</v>
      </c>
      <c r="M1950" s="706"/>
      <c r="N1950" s="305"/>
      <c r="O1950" s="7"/>
      <c r="P1950" s="7"/>
      <c r="Q1950" s="7"/>
      <c r="R1950" s="7"/>
      <c r="S1950" s="7"/>
      <c r="T1950" s="7"/>
      <c r="U1950" s="7"/>
      <c r="V1950" s="7"/>
      <c r="W1950" s="7"/>
      <c r="X1950" s="7"/>
      <c r="Y1950" s="7"/>
      <c r="Z1950" s="7"/>
      <c r="AA1950" s="7"/>
      <c r="AB1950" s="7"/>
      <c r="AC1950" s="7"/>
      <c r="AD1950" s="7"/>
      <c r="AE1950" s="7"/>
      <c r="AF1950" s="7"/>
    </row>
    <row r="1951" spans="1:32" ht="20.399999999999999">
      <c r="A1951" s="663"/>
      <c r="B1951" s="3130" t="s">
        <v>772</v>
      </c>
      <c r="C1951" s="663" t="s">
        <v>322</v>
      </c>
      <c r="D1951" s="678" t="s">
        <v>1980</v>
      </c>
      <c r="E1951" s="700" t="s">
        <v>1929</v>
      </c>
      <c r="F1951" s="795">
        <v>2239</v>
      </c>
      <c r="G1951" s="745" t="s">
        <v>1511</v>
      </c>
      <c r="H1951" s="701"/>
      <c r="I1951" s="715">
        <v>440</v>
      </c>
      <c r="J1951" s="1654" t="s">
        <v>1134</v>
      </c>
      <c r="K1951" s="792"/>
      <c r="L1951" s="701"/>
      <c r="M1951" s="715">
        <v>440</v>
      </c>
      <c r="N1951" s="381"/>
      <c r="O1951" s="7"/>
      <c r="P1951" s="7"/>
      <c r="Q1951" s="7"/>
      <c r="R1951" s="7"/>
      <c r="S1951" s="7"/>
      <c r="T1951" s="7"/>
      <c r="U1951" s="7"/>
      <c r="V1951" s="7"/>
      <c r="W1951" s="7"/>
      <c r="X1951" s="7"/>
      <c r="Y1951" s="7"/>
      <c r="Z1951" s="7"/>
      <c r="AA1951" s="7"/>
      <c r="AB1951" s="7"/>
      <c r="AC1951" s="7"/>
      <c r="AD1951" s="7"/>
      <c r="AE1951" s="7"/>
      <c r="AF1951" s="7"/>
    </row>
    <row r="1952" spans="1:32">
      <c r="A1952" s="663"/>
      <c r="B1952" s="3130" t="s">
        <v>772</v>
      </c>
      <c r="C1952" s="663" t="s">
        <v>322</v>
      </c>
      <c r="D1952" s="678" t="s">
        <v>1980</v>
      </c>
      <c r="E1952" s="700" t="s">
        <v>1929</v>
      </c>
      <c r="F1952" s="795">
        <v>2239</v>
      </c>
      <c r="G1952" s="745" t="s">
        <v>1512</v>
      </c>
      <c r="H1952" s="701"/>
      <c r="I1952" s="701">
        <v>500</v>
      </c>
      <c r="J1952" s="1654" t="s">
        <v>1134</v>
      </c>
      <c r="K1952" s="792"/>
      <c r="L1952" s="701"/>
      <c r="M1952" s="701"/>
      <c r="N1952" s="305"/>
      <c r="O1952" s="7"/>
      <c r="P1952" s="7"/>
      <c r="Q1952" s="7"/>
      <c r="R1952" s="7"/>
      <c r="S1952" s="7"/>
      <c r="T1952" s="7"/>
      <c r="U1952" s="7"/>
      <c r="V1952" s="7"/>
      <c r="W1952" s="7"/>
      <c r="X1952" s="7"/>
      <c r="Y1952" s="7"/>
      <c r="Z1952" s="7"/>
      <c r="AA1952" s="7"/>
      <c r="AB1952" s="7"/>
      <c r="AC1952" s="7"/>
      <c r="AD1952" s="7"/>
      <c r="AE1952" s="7"/>
      <c r="AF1952" s="7"/>
    </row>
    <row r="1953" spans="1:32">
      <c r="A1953" s="683" t="s">
        <v>693</v>
      </c>
      <c r="B1953" s="3136" t="s">
        <v>773</v>
      </c>
      <c r="C1953" s="683" t="s">
        <v>369</v>
      </c>
      <c r="D1953" s="719" t="s">
        <v>1980</v>
      </c>
      <c r="E1953" s="720" t="s">
        <v>1929</v>
      </c>
      <c r="F1953" s="694">
        <v>2239</v>
      </c>
      <c r="G1953" s="744" t="s">
        <v>147</v>
      </c>
      <c r="H1953" s="689">
        <v>76890</v>
      </c>
      <c r="I1953" s="689"/>
      <c r="J1953" s="1494">
        <v>64155</v>
      </c>
      <c r="K1953" s="690"/>
      <c r="L1953" s="706">
        <v>84470</v>
      </c>
      <c r="M1953" s="706"/>
      <c r="N1953" s="381"/>
      <c r="O1953" s="7"/>
      <c r="P1953" s="7"/>
      <c r="Q1953" s="7"/>
      <c r="R1953" s="7"/>
      <c r="S1953" s="7"/>
      <c r="T1953" s="7"/>
      <c r="U1953" s="7"/>
      <c r="V1953" s="7"/>
      <c r="W1953" s="7"/>
      <c r="X1953" s="7"/>
      <c r="Y1953" s="7"/>
      <c r="Z1953" s="7"/>
      <c r="AA1953" s="7"/>
      <c r="AB1953" s="7"/>
      <c r="AC1953" s="7"/>
      <c r="AD1953" s="7"/>
      <c r="AE1953" s="7"/>
      <c r="AF1953" s="7"/>
    </row>
    <row r="1954" spans="1:32" ht="20.399999999999999">
      <c r="A1954" s="663" t="s">
        <v>464</v>
      </c>
      <c r="B1954" s="3130" t="s">
        <v>773</v>
      </c>
      <c r="C1954" s="663" t="s">
        <v>320</v>
      </c>
      <c r="D1954" s="678" t="s">
        <v>1980</v>
      </c>
      <c r="E1954" s="700" t="s">
        <v>1929</v>
      </c>
      <c r="F1954" s="679">
        <v>2239</v>
      </c>
      <c r="G1954" s="682" t="s">
        <v>4856</v>
      </c>
      <c r="H1954" s="660"/>
      <c r="I1954" s="726">
        <v>23000</v>
      </c>
      <c r="J1954" s="1494" t="s">
        <v>1134</v>
      </c>
      <c r="K1954" s="661"/>
      <c r="L1954" s="701"/>
      <c r="M1954" s="715">
        <v>23000</v>
      </c>
      <c r="N1954" s="305"/>
      <c r="O1954" s="7"/>
      <c r="P1954" s="7"/>
      <c r="Q1954" s="7"/>
      <c r="R1954" s="7"/>
      <c r="S1954" s="7"/>
      <c r="T1954" s="7"/>
      <c r="U1954" s="7"/>
      <c r="V1954" s="7"/>
      <c r="W1954" s="7"/>
      <c r="X1954" s="7"/>
      <c r="Y1954" s="7"/>
      <c r="Z1954" s="7"/>
      <c r="AA1954" s="7"/>
      <c r="AB1954" s="7"/>
      <c r="AC1954" s="7"/>
      <c r="AD1954" s="7"/>
      <c r="AE1954" s="7"/>
      <c r="AF1954" s="7"/>
    </row>
    <row r="1955" spans="1:32" ht="30.6">
      <c r="A1955" s="663" t="s">
        <v>464</v>
      </c>
      <c r="B1955" s="3130" t="s">
        <v>773</v>
      </c>
      <c r="C1955" s="663" t="s">
        <v>320</v>
      </c>
      <c r="D1955" s="678" t="s">
        <v>1980</v>
      </c>
      <c r="E1955" s="700" t="s">
        <v>1929</v>
      </c>
      <c r="F1955" s="679">
        <v>2239</v>
      </c>
      <c r="G1955" s="682" t="s">
        <v>4857</v>
      </c>
      <c r="H1955" s="660"/>
      <c r="I1955" s="726">
        <v>2720</v>
      </c>
      <c r="J1955" s="1494" t="s">
        <v>1134</v>
      </c>
      <c r="K1955" s="661"/>
      <c r="L1955" s="701"/>
      <c r="M1955" s="715">
        <v>2320</v>
      </c>
      <c r="N1955" s="2688" t="s">
        <v>2707</v>
      </c>
      <c r="O1955" s="7"/>
      <c r="P1955" s="7"/>
      <c r="Q1955" s="7"/>
      <c r="R1955" s="7"/>
      <c r="S1955" s="7"/>
      <c r="T1955" s="7"/>
      <c r="U1955" s="7"/>
      <c r="V1955" s="7"/>
      <c r="W1955" s="7"/>
      <c r="X1955" s="7"/>
      <c r="Y1955" s="7"/>
      <c r="Z1955" s="7"/>
      <c r="AA1955" s="7"/>
      <c r="AB1955" s="7"/>
      <c r="AC1955" s="7"/>
      <c r="AD1955" s="7"/>
      <c r="AE1955" s="7"/>
      <c r="AF1955" s="7"/>
    </row>
    <row r="1956" spans="1:32" ht="30.6">
      <c r="A1956" s="603"/>
      <c r="B1956" s="3130" t="s">
        <v>773</v>
      </c>
      <c r="C1956" s="663" t="s">
        <v>320</v>
      </c>
      <c r="D1956" s="678" t="s">
        <v>1980</v>
      </c>
      <c r="E1956" s="700" t="s">
        <v>1929</v>
      </c>
      <c r="F1956" s="679">
        <v>2239</v>
      </c>
      <c r="G1956" s="1154" t="s">
        <v>3219</v>
      </c>
      <c r="H1956" s="1130"/>
      <c r="I1956" s="1146">
        <v>-7962</v>
      </c>
      <c r="J1956" s="1494" t="s">
        <v>1134</v>
      </c>
      <c r="K1956" s="646"/>
      <c r="L1956" s="1165"/>
      <c r="M1956" s="2524"/>
      <c r="N1956" s="381"/>
      <c r="O1956" s="7"/>
      <c r="P1956" s="7"/>
      <c r="Q1956" s="7"/>
      <c r="R1956" s="7"/>
      <c r="S1956" s="7"/>
      <c r="T1956" s="7"/>
      <c r="U1956" s="7"/>
      <c r="V1956" s="7"/>
      <c r="W1956" s="7"/>
      <c r="X1956" s="7"/>
      <c r="Y1956" s="7"/>
      <c r="Z1956" s="7"/>
      <c r="AA1956" s="7"/>
      <c r="AB1956" s="7"/>
      <c r="AC1956" s="7"/>
      <c r="AD1956" s="7"/>
      <c r="AE1956" s="7"/>
      <c r="AF1956" s="7"/>
    </row>
    <row r="1957" spans="1:32" ht="30.6">
      <c r="A1957" s="603"/>
      <c r="B1957" s="3130" t="s">
        <v>773</v>
      </c>
      <c r="C1957" s="663" t="s">
        <v>320</v>
      </c>
      <c r="D1957" s="678" t="s">
        <v>1980</v>
      </c>
      <c r="E1957" s="700" t="s">
        <v>1929</v>
      </c>
      <c r="F1957" s="679">
        <v>2239</v>
      </c>
      <c r="G1957" s="1154" t="s">
        <v>3219</v>
      </c>
      <c r="H1957" s="1130"/>
      <c r="I1957" s="1146">
        <v>7962</v>
      </c>
      <c r="J1957" s="1494" t="s">
        <v>1134</v>
      </c>
      <c r="K1957" s="646"/>
      <c r="L1957" s="1165"/>
      <c r="M1957" s="2524"/>
      <c r="N1957" s="305"/>
      <c r="O1957" s="7"/>
      <c r="P1957" s="7"/>
      <c r="Q1957" s="7"/>
      <c r="R1957" s="7"/>
      <c r="S1957" s="7"/>
      <c r="T1957" s="7"/>
      <c r="U1957" s="7"/>
      <c r="V1957" s="7"/>
      <c r="W1957" s="7"/>
      <c r="X1957" s="7"/>
      <c r="Y1957" s="7"/>
      <c r="Z1957" s="7"/>
      <c r="AA1957" s="7"/>
      <c r="AB1957" s="7"/>
      <c r="AC1957" s="7"/>
      <c r="AD1957" s="7"/>
      <c r="AE1957" s="7"/>
      <c r="AF1957" s="7"/>
    </row>
    <row r="1958" spans="1:32" ht="40.799999999999997">
      <c r="A1958" s="603"/>
      <c r="B1958" s="3130" t="s">
        <v>773</v>
      </c>
      <c r="C1958" s="663" t="s">
        <v>320</v>
      </c>
      <c r="D1958" s="678" t="s">
        <v>1980</v>
      </c>
      <c r="E1958" s="700" t="s">
        <v>1929</v>
      </c>
      <c r="F1958" s="679">
        <v>2239</v>
      </c>
      <c r="G1958" s="1154" t="s">
        <v>3220</v>
      </c>
      <c r="H1958" s="1130"/>
      <c r="I1958" s="1146">
        <v>1672</v>
      </c>
      <c r="J1958" s="1494" t="s">
        <v>1134</v>
      </c>
      <c r="K1958" s="646"/>
      <c r="L1958" s="1165"/>
      <c r="M1958" s="2524"/>
      <c r="N1958" s="305"/>
      <c r="O1958" s="7"/>
      <c r="P1958" s="7"/>
      <c r="Q1958" s="7"/>
      <c r="R1958" s="7"/>
      <c r="S1958" s="7"/>
      <c r="T1958" s="7"/>
      <c r="U1958" s="7"/>
      <c r="V1958" s="7"/>
      <c r="W1958" s="7"/>
      <c r="X1958" s="7"/>
      <c r="Y1958" s="7"/>
      <c r="Z1958" s="7"/>
      <c r="AA1958" s="7"/>
      <c r="AB1958" s="7"/>
      <c r="AC1958" s="7"/>
      <c r="AD1958" s="7"/>
      <c r="AE1958" s="7"/>
      <c r="AF1958" s="7"/>
    </row>
    <row r="1959" spans="1:32">
      <c r="A1959" s="663" t="s">
        <v>463</v>
      </c>
      <c r="B1959" s="3130" t="s">
        <v>773</v>
      </c>
      <c r="C1959" s="663" t="s">
        <v>369</v>
      </c>
      <c r="D1959" s="678" t="s">
        <v>1980</v>
      </c>
      <c r="E1959" s="700" t="s">
        <v>1929</v>
      </c>
      <c r="F1959" s="679">
        <v>2239</v>
      </c>
      <c r="G1959" s="682" t="s">
        <v>2285</v>
      </c>
      <c r="H1959" s="660"/>
      <c r="I1959" s="726">
        <v>39400</v>
      </c>
      <c r="J1959" s="1494" t="s">
        <v>1134</v>
      </c>
      <c r="K1959" s="661"/>
      <c r="L1959" s="701"/>
      <c r="M1959" s="715">
        <v>39800</v>
      </c>
      <c r="N1959" s="305"/>
      <c r="O1959" s="7"/>
      <c r="P1959" s="7"/>
      <c r="Q1959" s="7"/>
      <c r="R1959" s="7"/>
      <c r="S1959" s="7"/>
      <c r="T1959" s="7"/>
      <c r="U1959" s="7"/>
      <c r="V1959" s="7"/>
      <c r="W1959" s="7"/>
      <c r="X1959" s="7"/>
      <c r="Y1959" s="7"/>
      <c r="Z1959" s="7"/>
      <c r="AA1959" s="7"/>
      <c r="AB1959" s="7"/>
      <c r="AC1959" s="7"/>
      <c r="AD1959" s="7"/>
      <c r="AE1959" s="7"/>
      <c r="AF1959" s="7"/>
    </row>
    <row r="1960" spans="1:32" ht="22.5" customHeight="1">
      <c r="A1960" s="2168"/>
      <c r="B1960" s="3130" t="s">
        <v>773</v>
      </c>
      <c r="C1960" s="663" t="s">
        <v>369</v>
      </c>
      <c r="D1960" s="678" t="s">
        <v>1980</v>
      </c>
      <c r="E1960" s="700" t="s">
        <v>1929</v>
      </c>
      <c r="F1960" s="679">
        <v>2239</v>
      </c>
      <c r="G1960" s="2186" t="s">
        <v>4864</v>
      </c>
      <c r="H1960" s="2169"/>
      <c r="I1960" s="2531"/>
      <c r="J1960" s="2170"/>
      <c r="K1960" s="2185"/>
      <c r="L1960" s="2188"/>
      <c r="M1960" s="2683">
        <v>11200</v>
      </c>
      <c r="N1960" s="305"/>
      <c r="O1960" s="7"/>
      <c r="P1960" s="7"/>
      <c r="Q1960" s="7"/>
      <c r="R1960" s="7"/>
      <c r="S1960" s="7"/>
      <c r="T1960" s="7"/>
      <c r="U1960" s="7"/>
      <c r="V1960" s="7"/>
      <c r="W1960" s="7"/>
      <c r="X1960" s="7"/>
      <c r="Y1960" s="7"/>
      <c r="Z1960" s="7"/>
      <c r="AA1960" s="7"/>
      <c r="AB1960" s="7"/>
      <c r="AC1960" s="7"/>
      <c r="AD1960" s="7"/>
      <c r="AE1960" s="7"/>
      <c r="AF1960" s="7"/>
    </row>
    <row r="1961" spans="1:32" ht="20.399999999999999">
      <c r="A1961" s="2168"/>
      <c r="B1961" s="3130" t="s">
        <v>773</v>
      </c>
      <c r="C1961" s="663" t="s">
        <v>369</v>
      </c>
      <c r="D1961" s="678" t="s">
        <v>1980</v>
      </c>
      <c r="E1961" s="700" t="s">
        <v>1929</v>
      </c>
      <c r="F1961" s="679">
        <v>2239</v>
      </c>
      <c r="G1961" s="2678" t="s">
        <v>4846</v>
      </c>
      <c r="H1961" s="2169"/>
      <c r="I1961" s="2531"/>
      <c r="J1961" s="2170"/>
      <c r="K1961" s="2185"/>
      <c r="L1961" s="2188"/>
      <c r="M1961" s="2683">
        <v>6150</v>
      </c>
      <c r="N1961" s="359" t="s">
        <v>4863</v>
      </c>
      <c r="O1961" s="7"/>
      <c r="P1961" s="7"/>
      <c r="Q1961" s="7"/>
      <c r="R1961" s="7"/>
      <c r="S1961" s="7"/>
      <c r="T1961" s="7"/>
      <c r="U1961" s="7"/>
      <c r="V1961" s="7"/>
      <c r="W1961" s="7"/>
      <c r="X1961" s="7"/>
      <c r="Y1961" s="7"/>
      <c r="Z1961" s="7"/>
      <c r="AA1961" s="7"/>
      <c r="AB1961" s="7"/>
      <c r="AC1961" s="7"/>
      <c r="AD1961" s="7"/>
      <c r="AE1961" s="7"/>
      <c r="AF1961" s="7"/>
    </row>
    <row r="1962" spans="1:32">
      <c r="A1962" s="2679"/>
      <c r="B1962" s="3130" t="s">
        <v>773</v>
      </c>
      <c r="C1962" s="663" t="s">
        <v>369</v>
      </c>
      <c r="D1962" s="678" t="s">
        <v>1980</v>
      </c>
      <c r="E1962" s="700" t="s">
        <v>1929</v>
      </c>
      <c r="F1962" s="679">
        <v>2239</v>
      </c>
      <c r="G1962" s="2678" t="s">
        <v>4848</v>
      </c>
      <c r="H1962" s="2606"/>
      <c r="I1962" s="2680"/>
      <c r="J1962" s="2607"/>
      <c r="K1962" s="2608"/>
      <c r="L1962" s="2615"/>
      <c r="M1962" s="2684">
        <v>2000</v>
      </c>
      <c r="N1962" s="305"/>
      <c r="O1962" s="7"/>
      <c r="P1962" s="7"/>
      <c r="Q1962" s="7"/>
      <c r="R1962" s="7"/>
      <c r="S1962" s="7"/>
      <c r="T1962" s="7"/>
      <c r="U1962" s="7"/>
      <c r="V1962" s="7"/>
      <c r="W1962" s="7"/>
      <c r="X1962" s="7"/>
      <c r="Y1962" s="7"/>
      <c r="Z1962" s="7"/>
      <c r="AA1962" s="7"/>
      <c r="AB1962" s="7"/>
      <c r="AC1962" s="7"/>
      <c r="AD1962" s="7"/>
      <c r="AE1962" s="7"/>
      <c r="AF1962" s="7"/>
    </row>
    <row r="1963" spans="1:32" ht="20.399999999999999">
      <c r="A1963" s="663" t="s">
        <v>464</v>
      </c>
      <c r="B1963" s="3130" t="s">
        <v>773</v>
      </c>
      <c r="C1963" s="663" t="s">
        <v>369</v>
      </c>
      <c r="D1963" s="678" t="s">
        <v>1980</v>
      </c>
      <c r="E1963" s="700" t="s">
        <v>1929</v>
      </c>
      <c r="F1963" s="679">
        <v>2239</v>
      </c>
      <c r="G1963" s="682" t="s">
        <v>3074</v>
      </c>
      <c r="H1963" s="660"/>
      <c r="I1963" s="726">
        <v>4455</v>
      </c>
      <c r="J1963" s="1494" t="s">
        <v>1134</v>
      </c>
      <c r="K1963" s="661"/>
      <c r="L1963" s="701"/>
      <c r="M1963" s="715"/>
      <c r="N1963" s="305"/>
      <c r="O1963" s="7"/>
      <c r="P1963" s="7"/>
      <c r="Q1963" s="7"/>
      <c r="R1963" s="7"/>
      <c r="S1963" s="7"/>
      <c r="T1963" s="7"/>
      <c r="U1963" s="7"/>
      <c r="V1963" s="7"/>
      <c r="W1963" s="7"/>
      <c r="X1963" s="7"/>
      <c r="Y1963" s="7"/>
      <c r="Z1963" s="7"/>
      <c r="AA1963" s="7"/>
      <c r="AB1963" s="7"/>
      <c r="AC1963" s="7"/>
      <c r="AD1963" s="7"/>
      <c r="AE1963" s="7"/>
      <c r="AF1963" s="7"/>
    </row>
    <row r="1964" spans="1:32" ht="40.799999999999997">
      <c r="A1964" s="663" t="s">
        <v>901</v>
      </c>
      <c r="B1964" s="3130" t="s">
        <v>773</v>
      </c>
      <c r="C1964" s="663" t="s">
        <v>369</v>
      </c>
      <c r="D1964" s="678" t="s">
        <v>1980</v>
      </c>
      <c r="E1964" s="700" t="s">
        <v>1929</v>
      </c>
      <c r="F1964" s="679">
        <v>2239</v>
      </c>
      <c r="G1964" s="682" t="s">
        <v>3156</v>
      </c>
      <c r="H1964" s="660"/>
      <c r="I1964" s="726">
        <v>5643</v>
      </c>
      <c r="J1964" s="1494" t="s">
        <v>1134</v>
      </c>
      <c r="K1964" s="661"/>
      <c r="L1964" s="701"/>
      <c r="M1964" s="715"/>
      <c r="N1964" s="305"/>
      <c r="O1964" s="7"/>
      <c r="P1964" s="7"/>
      <c r="Q1964" s="7"/>
      <c r="R1964" s="7"/>
      <c r="S1964" s="7"/>
      <c r="T1964" s="7"/>
      <c r="U1964" s="7"/>
      <c r="V1964" s="7"/>
      <c r="W1964" s="7"/>
      <c r="X1964" s="7"/>
      <c r="Y1964" s="7"/>
      <c r="Z1964" s="7"/>
      <c r="AA1964" s="7"/>
      <c r="AB1964" s="7"/>
      <c r="AC1964" s="7"/>
      <c r="AD1964" s="7"/>
      <c r="AE1964" s="7"/>
      <c r="AF1964" s="7"/>
    </row>
    <row r="1965" spans="1:32">
      <c r="A1965" s="683"/>
      <c r="B1965" s="3129" t="s">
        <v>772</v>
      </c>
      <c r="C1965" s="683" t="s">
        <v>322</v>
      </c>
      <c r="D1965" s="719" t="s">
        <v>1980</v>
      </c>
      <c r="E1965" s="720" t="s">
        <v>1929</v>
      </c>
      <c r="F1965" s="694">
        <v>2247</v>
      </c>
      <c r="G1965" s="744" t="s">
        <v>161</v>
      </c>
      <c r="H1965" s="689">
        <v>2200</v>
      </c>
      <c r="I1965" s="689"/>
      <c r="J1965" s="1494">
        <v>1350</v>
      </c>
      <c r="K1965" s="690"/>
      <c r="L1965" s="689">
        <v>2200</v>
      </c>
      <c r="M1965" s="689"/>
      <c r="N1965" s="305"/>
      <c r="O1965" s="7"/>
      <c r="P1965" s="7"/>
      <c r="Q1965" s="7"/>
      <c r="R1965" s="7"/>
      <c r="S1965" s="7"/>
      <c r="T1965" s="7"/>
      <c r="U1965" s="7"/>
      <c r="V1965" s="7"/>
      <c r="W1965" s="7"/>
      <c r="X1965" s="7"/>
      <c r="Y1965" s="7"/>
      <c r="Z1965" s="7"/>
      <c r="AA1965" s="7"/>
      <c r="AB1965" s="7"/>
      <c r="AC1965" s="7"/>
      <c r="AD1965" s="7"/>
      <c r="AE1965" s="7"/>
      <c r="AF1965" s="7"/>
    </row>
    <row r="1966" spans="1:32">
      <c r="A1966" s="663"/>
      <c r="B1966" s="3130" t="s">
        <v>772</v>
      </c>
      <c r="C1966" s="663" t="s">
        <v>322</v>
      </c>
      <c r="D1966" s="678" t="s">
        <v>1980</v>
      </c>
      <c r="E1966" s="700" t="s">
        <v>1929</v>
      </c>
      <c r="F1966" s="679">
        <v>2247</v>
      </c>
      <c r="G1966" s="682" t="s">
        <v>2758</v>
      </c>
      <c r="H1966" s="660"/>
      <c r="I1966" s="726">
        <v>2200</v>
      </c>
      <c r="J1966" s="1494" t="s">
        <v>1134</v>
      </c>
      <c r="K1966" s="661"/>
      <c r="L1966" s="660"/>
      <c r="M1966" s="726">
        <v>2200</v>
      </c>
      <c r="N1966" s="305"/>
      <c r="O1966" s="7"/>
      <c r="P1966" s="7"/>
      <c r="Q1966" s="7"/>
      <c r="R1966" s="7"/>
      <c r="S1966" s="7"/>
      <c r="T1966" s="7"/>
      <c r="U1966" s="7"/>
      <c r="V1966" s="7"/>
      <c r="W1966" s="7"/>
      <c r="X1966" s="7"/>
      <c r="Y1966" s="7"/>
      <c r="Z1966" s="7"/>
      <c r="AA1966" s="7"/>
      <c r="AB1966" s="7"/>
      <c r="AC1966" s="7"/>
      <c r="AD1966" s="7"/>
      <c r="AE1966" s="7"/>
      <c r="AF1966" s="7"/>
    </row>
    <row r="1967" spans="1:32">
      <c r="A1967" s="683"/>
      <c r="B1967" s="3129" t="s">
        <v>773</v>
      </c>
      <c r="C1967" s="683" t="s">
        <v>322</v>
      </c>
      <c r="D1967" s="719" t="s">
        <v>1980</v>
      </c>
      <c r="E1967" s="720" t="s">
        <v>1929</v>
      </c>
      <c r="F1967" s="694">
        <v>2250</v>
      </c>
      <c r="G1967" s="744" t="s">
        <v>778</v>
      </c>
      <c r="H1967" s="689"/>
      <c r="I1967" s="689"/>
      <c r="J1967" s="1494"/>
      <c r="K1967" s="690"/>
      <c r="L1967" s="706">
        <v>3921</v>
      </c>
      <c r="M1967" s="706"/>
      <c r="N1967" s="305"/>
      <c r="O1967" s="7"/>
      <c r="P1967" s="7"/>
      <c r="Q1967" s="7"/>
      <c r="R1967" s="7"/>
      <c r="S1967" s="7"/>
      <c r="T1967" s="7"/>
      <c r="U1967" s="7"/>
      <c r="V1967" s="7"/>
      <c r="W1967" s="7"/>
      <c r="X1967" s="7"/>
      <c r="Y1967" s="7"/>
      <c r="Z1967" s="7"/>
      <c r="AA1967" s="7"/>
      <c r="AB1967" s="7"/>
      <c r="AC1967" s="7"/>
      <c r="AD1967" s="7"/>
      <c r="AE1967" s="7"/>
      <c r="AF1967" s="7"/>
    </row>
    <row r="1968" spans="1:32" ht="20.399999999999999">
      <c r="A1968" s="663"/>
      <c r="B1968" s="3130" t="s">
        <v>773</v>
      </c>
      <c r="C1968" s="663" t="s">
        <v>322</v>
      </c>
      <c r="D1968" s="678" t="s">
        <v>1980</v>
      </c>
      <c r="E1968" s="700" t="s">
        <v>1929</v>
      </c>
      <c r="F1968" s="679">
        <v>2250</v>
      </c>
      <c r="G1968" s="682" t="s">
        <v>4733</v>
      </c>
      <c r="H1968" s="660"/>
      <c r="I1968" s="726"/>
      <c r="J1968" s="1494"/>
      <c r="K1968" s="661"/>
      <c r="L1968" s="701"/>
      <c r="M1968" s="715">
        <v>3921</v>
      </c>
      <c r="N1968" s="1223"/>
      <c r="O1968" s="7"/>
      <c r="P1968" s="7"/>
      <c r="Q1968" s="7"/>
      <c r="R1968" s="7"/>
      <c r="S1968" s="7"/>
      <c r="T1968" s="7"/>
      <c r="U1968" s="7"/>
      <c r="V1968" s="7"/>
      <c r="W1968" s="7"/>
      <c r="X1968" s="7"/>
      <c r="Y1968" s="7"/>
      <c r="Z1968" s="7"/>
      <c r="AA1968" s="7"/>
      <c r="AB1968" s="7"/>
      <c r="AC1968" s="7"/>
      <c r="AD1968" s="7"/>
      <c r="AE1968" s="7"/>
      <c r="AF1968" s="7"/>
    </row>
    <row r="1969" spans="1:32" ht="12">
      <c r="A1969" s="683"/>
      <c r="B1969" s="3129" t="s">
        <v>365</v>
      </c>
      <c r="C1969" s="683" t="s">
        <v>322</v>
      </c>
      <c r="D1969" s="719" t="s">
        <v>1980</v>
      </c>
      <c r="E1969" s="720" t="s">
        <v>1929</v>
      </c>
      <c r="F1969" s="826">
        <v>2261</v>
      </c>
      <c r="G1969" s="1434" t="s">
        <v>199</v>
      </c>
      <c r="H1969" s="706"/>
      <c r="I1969" s="706"/>
      <c r="J1969" s="1654" t="s">
        <v>1134</v>
      </c>
      <c r="K1969" s="802"/>
      <c r="L1969" s="706"/>
      <c r="M1969" s="706"/>
      <c r="N1969" s="2183" t="s">
        <v>4155</v>
      </c>
      <c r="O1969" s="7"/>
      <c r="P1969" s="7"/>
      <c r="Q1969" s="7"/>
      <c r="R1969" s="7"/>
      <c r="S1969" s="7"/>
      <c r="T1969" s="7"/>
      <c r="U1969" s="7"/>
      <c r="V1969" s="7"/>
      <c r="W1969" s="7"/>
      <c r="X1969" s="7"/>
      <c r="Y1969" s="7"/>
      <c r="Z1969" s="7"/>
      <c r="AA1969" s="7"/>
      <c r="AB1969" s="7"/>
      <c r="AC1969" s="7"/>
      <c r="AD1969" s="7"/>
      <c r="AE1969" s="7"/>
      <c r="AF1969" s="7"/>
    </row>
    <row r="1970" spans="1:32">
      <c r="A1970" s="663"/>
      <c r="B1970" s="3130" t="s">
        <v>365</v>
      </c>
      <c r="C1970" s="663" t="s">
        <v>322</v>
      </c>
      <c r="D1970" s="678" t="s">
        <v>1980</v>
      </c>
      <c r="E1970" s="700" t="s">
        <v>1929</v>
      </c>
      <c r="F1970" s="795">
        <v>2261</v>
      </c>
      <c r="G1970" s="745" t="s">
        <v>2706</v>
      </c>
      <c r="H1970" s="701"/>
      <c r="I1970" s="715"/>
      <c r="J1970" s="1654" t="s">
        <v>1134</v>
      </c>
      <c r="K1970" s="792"/>
      <c r="L1970" s="701"/>
      <c r="M1970" s="715"/>
      <c r="N1970" s="2184" t="s">
        <v>4156</v>
      </c>
      <c r="O1970" s="7"/>
      <c r="P1970" s="7"/>
      <c r="Q1970" s="7"/>
      <c r="R1970" s="7"/>
      <c r="S1970" s="7"/>
      <c r="T1970" s="7"/>
      <c r="U1970" s="7"/>
      <c r="V1970" s="7"/>
      <c r="W1970" s="7"/>
      <c r="X1970" s="7"/>
      <c r="Y1970" s="7"/>
      <c r="Z1970" s="7"/>
      <c r="AA1970" s="7"/>
      <c r="AB1970" s="7"/>
      <c r="AC1970" s="7"/>
      <c r="AD1970" s="7"/>
      <c r="AE1970" s="7"/>
      <c r="AF1970" s="7"/>
    </row>
    <row r="1971" spans="1:32" ht="11.4" customHeight="1">
      <c r="A1971" s="683"/>
      <c r="B1971" s="3129" t="s">
        <v>772</v>
      </c>
      <c r="C1971" s="683" t="s">
        <v>320</v>
      </c>
      <c r="D1971" s="719" t="s">
        <v>1980</v>
      </c>
      <c r="E1971" s="720" t="s">
        <v>1929</v>
      </c>
      <c r="F1971" s="824">
        <v>2311</v>
      </c>
      <c r="G1971" s="1434" t="s">
        <v>260</v>
      </c>
      <c r="H1971" s="706">
        <v>700</v>
      </c>
      <c r="I1971" s="706"/>
      <c r="J1971" s="1654">
        <v>442</v>
      </c>
      <c r="K1971" s="802"/>
      <c r="L1971" s="706">
        <v>700</v>
      </c>
      <c r="M1971" s="706"/>
      <c r="N1971" s="2184" t="s">
        <v>4157</v>
      </c>
      <c r="O1971" s="7"/>
      <c r="P1971" s="7"/>
      <c r="Q1971" s="7"/>
      <c r="R1971" s="7"/>
      <c r="S1971" s="7"/>
      <c r="T1971" s="7"/>
      <c r="U1971" s="7"/>
      <c r="V1971" s="7"/>
      <c r="W1971" s="7"/>
      <c r="X1971" s="7"/>
      <c r="Y1971" s="7"/>
      <c r="Z1971" s="7"/>
      <c r="AA1971" s="7"/>
      <c r="AB1971" s="7"/>
      <c r="AC1971" s="7"/>
      <c r="AD1971" s="7"/>
      <c r="AE1971" s="7"/>
      <c r="AF1971" s="7"/>
    </row>
    <row r="1972" spans="1:32" ht="11.4" customHeight="1">
      <c r="A1972" s="663"/>
      <c r="B1972" s="3130" t="s">
        <v>772</v>
      </c>
      <c r="C1972" s="663" t="s">
        <v>320</v>
      </c>
      <c r="D1972" s="678" t="s">
        <v>1980</v>
      </c>
      <c r="E1972" s="700" t="s">
        <v>1929</v>
      </c>
      <c r="F1972" s="795">
        <v>2311</v>
      </c>
      <c r="G1972" s="745" t="s">
        <v>260</v>
      </c>
      <c r="H1972" s="748"/>
      <c r="I1972" s="748">
        <v>300</v>
      </c>
      <c r="J1972" s="1654" t="s">
        <v>1134</v>
      </c>
      <c r="K1972" s="792"/>
      <c r="L1972" s="701"/>
      <c r="M1972" s="701">
        <v>300</v>
      </c>
      <c r="N1972" s="2184" t="s">
        <v>4158</v>
      </c>
      <c r="O1972" s="7"/>
      <c r="P1972" s="7"/>
      <c r="Q1972" s="7"/>
      <c r="R1972" s="7"/>
      <c r="S1972" s="7"/>
      <c r="T1972" s="7"/>
      <c r="U1972" s="7"/>
      <c r="V1972" s="7"/>
      <c r="W1972" s="7"/>
      <c r="X1972" s="7"/>
      <c r="Y1972" s="7"/>
      <c r="Z1972" s="7"/>
      <c r="AA1972" s="7"/>
      <c r="AB1972" s="7"/>
      <c r="AC1972" s="7"/>
      <c r="AD1972" s="7"/>
      <c r="AE1972" s="7"/>
      <c r="AF1972" s="7"/>
    </row>
    <row r="1973" spans="1:32" ht="12" customHeight="1">
      <c r="A1973" s="663"/>
      <c r="B1973" s="3130" t="s">
        <v>772</v>
      </c>
      <c r="C1973" s="663" t="s">
        <v>320</v>
      </c>
      <c r="D1973" s="678" t="s">
        <v>1980</v>
      </c>
      <c r="E1973" s="700" t="s">
        <v>1929</v>
      </c>
      <c r="F1973" s="795">
        <v>2311</v>
      </c>
      <c r="G1973" s="745" t="s">
        <v>2299</v>
      </c>
      <c r="H1973" s="748"/>
      <c r="I1973" s="748">
        <v>400</v>
      </c>
      <c r="J1973" s="1654" t="s">
        <v>1134</v>
      </c>
      <c r="K1973" s="792"/>
      <c r="L1973" s="701"/>
      <c r="M1973" s="701">
        <v>400</v>
      </c>
      <c r="N1973" s="369" t="s">
        <v>4159</v>
      </c>
      <c r="O1973" s="7"/>
      <c r="P1973" s="7"/>
      <c r="Q1973" s="7"/>
      <c r="R1973" s="7"/>
      <c r="S1973" s="7"/>
      <c r="T1973" s="7"/>
      <c r="U1973" s="7"/>
      <c r="V1973" s="7"/>
      <c r="W1973" s="7"/>
      <c r="X1973" s="7"/>
      <c r="Y1973" s="7"/>
      <c r="Z1973" s="7"/>
      <c r="AA1973" s="7"/>
      <c r="AB1973" s="7"/>
      <c r="AC1973" s="7"/>
      <c r="AD1973" s="7"/>
      <c r="AE1973" s="7"/>
      <c r="AF1973" s="7"/>
    </row>
    <row r="1974" spans="1:32" ht="11.4" customHeight="1">
      <c r="A1974" s="683"/>
      <c r="B1974" s="3129" t="s">
        <v>772</v>
      </c>
      <c r="C1974" s="683" t="s">
        <v>320</v>
      </c>
      <c r="D1974" s="719" t="s">
        <v>1980</v>
      </c>
      <c r="E1974" s="720" t="s">
        <v>1929</v>
      </c>
      <c r="F1974" s="824">
        <v>2312</v>
      </c>
      <c r="G1974" s="1434" t="s">
        <v>131</v>
      </c>
      <c r="H1974" s="706">
        <v>2498</v>
      </c>
      <c r="I1974" s="706"/>
      <c r="J1974" s="1654">
        <v>2076</v>
      </c>
      <c r="K1974" s="802"/>
      <c r="L1974" s="706">
        <v>3315</v>
      </c>
      <c r="M1974" s="706"/>
      <c r="N1974" s="370" t="s">
        <v>4160</v>
      </c>
      <c r="O1974" s="7"/>
      <c r="P1974" s="7"/>
      <c r="Q1974" s="7"/>
      <c r="R1974" s="7"/>
      <c r="S1974" s="7"/>
      <c r="T1974" s="7"/>
      <c r="U1974" s="7"/>
      <c r="V1974" s="7"/>
      <c r="W1974" s="7"/>
      <c r="X1974" s="7"/>
      <c r="Y1974" s="7"/>
      <c r="Z1974" s="7"/>
      <c r="AA1974" s="7"/>
      <c r="AB1974" s="7"/>
      <c r="AC1974" s="7"/>
      <c r="AD1974" s="7"/>
      <c r="AE1974" s="7"/>
      <c r="AF1974" s="7"/>
    </row>
    <row r="1975" spans="1:32">
      <c r="A1975" s="663"/>
      <c r="B1975" s="3130" t="s">
        <v>772</v>
      </c>
      <c r="C1975" s="663" t="s">
        <v>320</v>
      </c>
      <c r="D1975" s="678" t="s">
        <v>1980</v>
      </c>
      <c r="E1975" s="700" t="s">
        <v>1929</v>
      </c>
      <c r="F1975" s="795">
        <v>2312</v>
      </c>
      <c r="G1975" s="797" t="s">
        <v>2300</v>
      </c>
      <c r="H1975" s="701"/>
      <c r="I1975" s="701">
        <v>200</v>
      </c>
      <c r="J1975" s="1654" t="s">
        <v>1134</v>
      </c>
      <c r="K1975" s="792"/>
      <c r="L1975" s="701"/>
      <c r="M1975" s="2615">
        <v>800</v>
      </c>
      <c r="N1975" s="370" t="s">
        <v>4161</v>
      </c>
      <c r="O1975" s="7"/>
      <c r="P1975" s="7"/>
      <c r="Q1975" s="7"/>
      <c r="R1975" s="7"/>
      <c r="S1975" s="7"/>
      <c r="T1975" s="7"/>
      <c r="U1975" s="7"/>
      <c r="V1975" s="7"/>
      <c r="W1975" s="7"/>
      <c r="X1975" s="7"/>
      <c r="Y1975" s="7"/>
      <c r="Z1975" s="7"/>
      <c r="AA1975" s="7"/>
      <c r="AB1975" s="7"/>
      <c r="AC1975" s="7"/>
      <c r="AD1975" s="7"/>
      <c r="AE1975" s="7"/>
      <c r="AF1975" s="7"/>
    </row>
    <row r="1976" spans="1:32" ht="11.4" customHeight="1">
      <c r="A1976" s="603"/>
      <c r="B1976" s="3130" t="s">
        <v>772</v>
      </c>
      <c r="C1976" s="663" t="s">
        <v>320</v>
      </c>
      <c r="D1976" s="678" t="s">
        <v>1980</v>
      </c>
      <c r="E1976" s="700" t="s">
        <v>1929</v>
      </c>
      <c r="F1976" s="795">
        <v>2312</v>
      </c>
      <c r="G1976" s="2528" t="s">
        <v>3061</v>
      </c>
      <c r="H1976" s="1165"/>
      <c r="I1976" s="1165">
        <v>100</v>
      </c>
      <c r="J1976" s="1654" t="s">
        <v>1134</v>
      </c>
      <c r="K1976" s="1439"/>
      <c r="L1976" s="1165"/>
      <c r="M1976" s="1165"/>
      <c r="N1976" s="1223"/>
      <c r="O1976" s="7"/>
      <c r="P1976" s="7"/>
      <c r="Q1976" s="7"/>
      <c r="R1976" s="7"/>
      <c r="S1976" s="7"/>
      <c r="T1976" s="7"/>
      <c r="U1976" s="7"/>
      <c r="V1976" s="7"/>
      <c r="W1976" s="7"/>
      <c r="X1976" s="7"/>
      <c r="Y1976" s="7"/>
      <c r="Z1976" s="7"/>
      <c r="AA1976" s="7"/>
      <c r="AB1976" s="7"/>
      <c r="AC1976" s="7"/>
      <c r="AD1976" s="7"/>
      <c r="AE1976" s="7"/>
      <c r="AF1976" s="7"/>
    </row>
    <row r="1977" spans="1:32" ht="11.4" customHeight="1">
      <c r="A1977" s="663"/>
      <c r="B1977" s="3130" t="s">
        <v>772</v>
      </c>
      <c r="C1977" s="663" t="s">
        <v>320</v>
      </c>
      <c r="D1977" s="678" t="s">
        <v>1980</v>
      </c>
      <c r="E1977" s="700" t="s">
        <v>1929</v>
      </c>
      <c r="F1977" s="795">
        <v>2312</v>
      </c>
      <c r="G1977" s="797" t="s">
        <v>4858</v>
      </c>
      <c r="H1977" s="701"/>
      <c r="I1977" s="715">
        <v>1943</v>
      </c>
      <c r="J1977" s="1654" t="s">
        <v>1134</v>
      </c>
      <c r="K1977" s="792"/>
      <c r="L1977" s="701"/>
      <c r="M1977" s="701">
        <v>975</v>
      </c>
      <c r="N1977" s="1223"/>
      <c r="O1977" s="7"/>
      <c r="P1977" s="7"/>
      <c r="Q1977" s="7"/>
      <c r="R1977" s="7"/>
      <c r="S1977" s="7"/>
      <c r="T1977" s="7"/>
      <c r="U1977" s="7"/>
      <c r="V1977" s="7"/>
      <c r="W1977" s="7"/>
      <c r="X1977" s="7"/>
      <c r="Y1977" s="7"/>
      <c r="Z1977" s="7"/>
      <c r="AA1977" s="7"/>
      <c r="AB1977" s="7"/>
      <c r="AC1977" s="7"/>
      <c r="AD1977" s="7"/>
      <c r="AE1977" s="7"/>
      <c r="AF1977" s="7"/>
    </row>
    <row r="1978" spans="1:32" ht="11.4" customHeight="1">
      <c r="A1978" s="663"/>
      <c r="B1978" s="3130" t="s">
        <v>772</v>
      </c>
      <c r="C1978" s="663" t="s">
        <v>320</v>
      </c>
      <c r="D1978" s="678" t="s">
        <v>1980</v>
      </c>
      <c r="E1978" s="700" t="s">
        <v>1929</v>
      </c>
      <c r="F1978" s="795">
        <v>2312</v>
      </c>
      <c r="G1978" s="797" t="s">
        <v>4859</v>
      </c>
      <c r="H1978" s="701"/>
      <c r="I1978" s="715">
        <v>255</v>
      </c>
      <c r="J1978" s="1654" t="s">
        <v>1134</v>
      </c>
      <c r="K1978" s="792"/>
      <c r="L1978" s="701"/>
      <c r="M1978" s="2682">
        <v>360</v>
      </c>
      <c r="N1978" s="1223"/>
      <c r="O1978" s="7"/>
      <c r="P1978" s="7"/>
      <c r="Q1978" s="7"/>
      <c r="R1978" s="7"/>
      <c r="S1978" s="7"/>
      <c r="T1978" s="7"/>
      <c r="U1978" s="7"/>
      <c r="V1978" s="7"/>
      <c r="W1978" s="7"/>
      <c r="X1978" s="7"/>
      <c r="Y1978" s="7"/>
      <c r="Z1978" s="7"/>
      <c r="AA1978" s="7"/>
      <c r="AB1978" s="7"/>
      <c r="AC1978" s="7"/>
      <c r="AD1978" s="7"/>
      <c r="AE1978" s="7"/>
      <c r="AF1978" s="7"/>
    </row>
    <row r="1979" spans="1:32">
      <c r="A1979" s="603"/>
      <c r="B1979" s="3130" t="s">
        <v>772</v>
      </c>
      <c r="C1979" s="663" t="s">
        <v>320</v>
      </c>
      <c r="D1979" s="678" t="s">
        <v>1980</v>
      </c>
      <c r="E1979" s="700" t="s">
        <v>1929</v>
      </c>
      <c r="F1979" s="795">
        <v>2312</v>
      </c>
      <c r="G1979" s="2528" t="s">
        <v>4741</v>
      </c>
      <c r="H1979" s="1165"/>
      <c r="I1979" s="2524"/>
      <c r="J1979" s="1654" t="s">
        <v>1134</v>
      </c>
      <c r="K1979" s="1439"/>
      <c r="L1979" s="1165"/>
      <c r="M1979" s="2615">
        <v>1180</v>
      </c>
      <c r="N1979" s="1223"/>
      <c r="O1979" s="7"/>
      <c r="P1979" s="7"/>
      <c r="Q1979" s="7"/>
      <c r="R1979" s="7"/>
      <c r="S1979" s="7"/>
      <c r="T1979" s="7"/>
      <c r="U1979" s="7"/>
      <c r="V1979" s="7"/>
      <c r="W1979" s="7"/>
      <c r="X1979" s="7"/>
      <c r="Y1979" s="7"/>
      <c r="Z1979" s="7"/>
      <c r="AA1979" s="7"/>
      <c r="AB1979" s="7"/>
      <c r="AC1979" s="7"/>
      <c r="AD1979" s="7"/>
      <c r="AE1979" s="7"/>
      <c r="AF1979" s="7"/>
    </row>
    <row r="1980" spans="1:32" ht="11.4" customHeight="1">
      <c r="A1980" s="683"/>
      <c r="B1980" s="3129" t="s">
        <v>772</v>
      </c>
      <c r="C1980" s="683" t="s">
        <v>320</v>
      </c>
      <c r="D1980" s="719" t="s">
        <v>1980</v>
      </c>
      <c r="E1980" s="720" t="s">
        <v>1929</v>
      </c>
      <c r="F1980" s="824">
        <v>2314</v>
      </c>
      <c r="G1980" s="1434" t="s">
        <v>1435</v>
      </c>
      <c r="H1980" s="706">
        <v>14266</v>
      </c>
      <c r="I1980" s="706"/>
      <c r="J1980" s="1654">
        <v>7483</v>
      </c>
      <c r="K1980" s="792"/>
      <c r="L1980" s="706">
        <v>15125</v>
      </c>
      <c r="M1980" s="706"/>
      <c r="N1980" s="1223"/>
      <c r="O1980" s="7"/>
      <c r="P1980" s="7"/>
      <c r="Q1980" s="7"/>
      <c r="R1980" s="7"/>
      <c r="S1980" s="7"/>
      <c r="T1980" s="7"/>
      <c r="U1980" s="7"/>
      <c r="V1980" s="7"/>
      <c r="W1980" s="7"/>
      <c r="X1980" s="7"/>
      <c r="Y1980" s="7"/>
      <c r="Z1980" s="7"/>
      <c r="AA1980" s="7"/>
      <c r="AB1980" s="7"/>
      <c r="AC1980" s="7"/>
      <c r="AD1980" s="7"/>
      <c r="AE1980" s="7"/>
      <c r="AF1980" s="7"/>
    </row>
    <row r="1981" spans="1:32">
      <c r="A1981" s="663"/>
      <c r="B1981" s="3130" t="s">
        <v>772</v>
      </c>
      <c r="C1981" s="663" t="s">
        <v>320</v>
      </c>
      <c r="D1981" s="678" t="s">
        <v>1980</v>
      </c>
      <c r="E1981" s="700" t="s">
        <v>1929</v>
      </c>
      <c r="F1981" s="679">
        <v>2314</v>
      </c>
      <c r="G1981" s="2326" t="s">
        <v>2301</v>
      </c>
      <c r="H1981" s="660"/>
      <c r="I1981" s="660">
        <v>6250</v>
      </c>
      <c r="J1981" s="1494" t="s">
        <v>1134</v>
      </c>
      <c r="K1981" s="661"/>
      <c r="L1981" s="659"/>
      <c r="M1981" s="2606">
        <v>7575</v>
      </c>
      <c r="N1981" s="1223"/>
      <c r="O1981" s="7"/>
      <c r="P1981" s="7"/>
      <c r="Q1981" s="7"/>
      <c r="R1981" s="7"/>
      <c r="S1981" s="7"/>
      <c r="T1981" s="7"/>
      <c r="U1981" s="7"/>
      <c r="V1981" s="7"/>
      <c r="W1981" s="7"/>
      <c r="X1981" s="7"/>
      <c r="Y1981" s="7"/>
      <c r="Z1981" s="7"/>
      <c r="AA1981" s="7"/>
      <c r="AB1981" s="7"/>
      <c r="AC1981" s="7"/>
      <c r="AD1981" s="7"/>
      <c r="AE1981" s="7"/>
      <c r="AF1981" s="7"/>
    </row>
    <row r="1982" spans="1:32" ht="11.4" customHeight="1">
      <c r="A1982" s="663"/>
      <c r="B1982" s="3130" t="s">
        <v>772</v>
      </c>
      <c r="C1982" s="663" t="s">
        <v>320</v>
      </c>
      <c r="D1982" s="678" t="s">
        <v>1980</v>
      </c>
      <c r="E1982" s="700" t="s">
        <v>1929</v>
      </c>
      <c r="F1982" s="679">
        <v>2314</v>
      </c>
      <c r="G1982" s="682" t="s">
        <v>2302</v>
      </c>
      <c r="H1982" s="660"/>
      <c r="I1982" s="660">
        <v>480</v>
      </c>
      <c r="J1982" s="1494" t="s">
        <v>1134</v>
      </c>
      <c r="K1982" s="661"/>
      <c r="L1982" s="659"/>
      <c r="M1982" s="2606">
        <v>1090</v>
      </c>
      <c r="N1982" s="1223"/>
      <c r="O1982" s="7"/>
      <c r="P1982" s="7"/>
      <c r="Q1982" s="7"/>
      <c r="R1982" s="7"/>
      <c r="S1982" s="7"/>
      <c r="T1982" s="7"/>
      <c r="U1982" s="7"/>
      <c r="V1982" s="7"/>
      <c r="W1982" s="7"/>
      <c r="X1982" s="7"/>
      <c r="Y1982" s="7"/>
      <c r="Z1982" s="7"/>
      <c r="AA1982" s="7"/>
      <c r="AB1982" s="7"/>
      <c r="AC1982" s="7"/>
      <c r="AD1982" s="7"/>
      <c r="AE1982" s="7"/>
      <c r="AF1982" s="7"/>
    </row>
    <row r="1983" spans="1:32" ht="11.4" customHeight="1">
      <c r="A1983" s="663"/>
      <c r="B1983" s="3130" t="s">
        <v>772</v>
      </c>
      <c r="C1983" s="663" t="s">
        <v>320</v>
      </c>
      <c r="D1983" s="678" t="s">
        <v>1980</v>
      </c>
      <c r="E1983" s="700" t="s">
        <v>1929</v>
      </c>
      <c r="F1983" s="679">
        <v>2314</v>
      </c>
      <c r="G1983" s="2186" t="s">
        <v>2303</v>
      </c>
      <c r="H1983" s="660"/>
      <c r="I1983" s="660">
        <v>480</v>
      </c>
      <c r="J1983" s="1494" t="s">
        <v>1134</v>
      </c>
      <c r="K1983" s="661"/>
      <c r="L1983" s="659"/>
      <c r="M1983" s="660">
        <v>560</v>
      </c>
      <c r="N1983" s="1223"/>
      <c r="O1983" s="7"/>
      <c r="P1983" s="7"/>
      <c r="Q1983" s="7"/>
      <c r="R1983" s="7"/>
      <c r="S1983" s="7"/>
      <c r="T1983" s="7"/>
      <c r="U1983" s="7"/>
      <c r="V1983" s="7"/>
      <c r="W1983" s="7"/>
      <c r="X1983" s="7"/>
      <c r="Y1983" s="7"/>
      <c r="Z1983" s="7"/>
      <c r="AA1983" s="7"/>
      <c r="AB1983" s="7"/>
      <c r="AC1983" s="7"/>
      <c r="AD1983" s="7"/>
      <c r="AE1983" s="7"/>
      <c r="AF1983" s="7"/>
    </row>
    <row r="1984" spans="1:32" ht="20.399999999999999">
      <c r="A1984" s="663" t="s">
        <v>900</v>
      </c>
      <c r="B1984" s="3130" t="s">
        <v>772</v>
      </c>
      <c r="C1984" s="663" t="s">
        <v>320</v>
      </c>
      <c r="D1984" s="678" t="s">
        <v>1980</v>
      </c>
      <c r="E1984" s="700" t="s">
        <v>1929</v>
      </c>
      <c r="F1984" s="679">
        <v>2314</v>
      </c>
      <c r="G1984" s="682" t="s">
        <v>2304</v>
      </c>
      <c r="H1984" s="660"/>
      <c r="I1984" s="660">
        <v>5000</v>
      </c>
      <c r="J1984" s="1494" t="s">
        <v>1134</v>
      </c>
      <c r="K1984" s="661"/>
      <c r="L1984" s="659"/>
      <c r="M1984" s="660">
        <v>3800</v>
      </c>
      <c r="N1984" s="1223"/>
      <c r="O1984" s="7"/>
      <c r="P1984" s="7"/>
      <c r="Q1984" s="7"/>
      <c r="R1984" s="7"/>
      <c r="S1984" s="7"/>
      <c r="T1984" s="7"/>
      <c r="U1984" s="7"/>
      <c r="V1984" s="7"/>
      <c r="W1984" s="7"/>
      <c r="X1984" s="7"/>
      <c r="Y1984" s="7"/>
      <c r="Z1984" s="7"/>
      <c r="AA1984" s="7"/>
      <c r="AB1984" s="7"/>
      <c r="AC1984" s="7"/>
      <c r="AD1984" s="7"/>
      <c r="AE1984" s="7"/>
      <c r="AF1984" s="7"/>
    </row>
    <row r="1985" spans="1:32" ht="20.399999999999999">
      <c r="A1985" s="663" t="s">
        <v>901</v>
      </c>
      <c r="B1985" s="3130" t="s">
        <v>772</v>
      </c>
      <c r="C1985" s="663" t="s">
        <v>320</v>
      </c>
      <c r="D1985" s="678" t="s">
        <v>1980</v>
      </c>
      <c r="E1985" s="700" t="s">
        <v>1929</v>
      </c>
      <c r="F1985" s="795">
        <v>2314</v>
      </c>
      <c r="G1985" s="745" t="s">
        <v>4739</v>
      </c>
      <c r="H1985" s="701"/>
      <c r="I1985" s="701">
        <v>200</v>
      </c>
      <c r="J1985" s="1654" t="s">
        <v>1134</v>
      </c>
      <c r="K1985" s="792"/>
      <c r="L1985" s="701"/>
      <c r="M1985" s="701">
        <v>500</v>
      </c>
      <c r="N1985" s="1223"/>
      <c r="O1985" s="7"/>
      <c r="P1985" s="7"/>
      <c r="Q1985" s="7"/>
      <c r="R1985" s="7"/>
      <c r="S1985" s="7"/>
      <c r="T1985" s="7"/>
      <c r="U1985" s="7"/>
      <c r="V1985" s="7"/>
      <c r="W1985" s="7"/>
      <c r="X1985" s="7"/>
      <c r="Y1985" s="7"/>
      <c r="Z1985" s="7"/>
      <c r="AA1985" s="7"/>
      <c r="AB1985" s="7"/>
      <c r="AC1985" s="7"/>
      <c r="AD1985" s="7"/>
      <c r="AE1985" s="7"/>
      <c r="AF1985" s="7"/>
    </row>
    <row r="1986" spans="1:32" ht="20.399999999999999">
      <c r="A1986" s="663"/>
      <c r="B1986" s="3130" t="s">
        <v>772</v>
      </c>
      <c r="C1986" s="663" t="s">
        <v>320</v>
      </c>
      <c r="D1986" s="678" t="s">
        <v>1980</v>
      </c>
      <c r="E1986" s="700" t="s">
        <v>1929</v>
      </c>
      <c r="F1986" s="795">
        <v>2314</v>
      </c>
      <c r="G1986" s="745" t="s">
        <v>2305</v>
      </c>
      <c r="H1986" s="701"/>
      <c r="I1986" s="701">
        <v>600</v>
      </c>
      <c r="J1986" s="1654" t="s">
        <v>1134</v>
      </c>
      <c r="K1986" s="792"/>
      <c r="L1986" s="701"/>
      <c r="M1986" s="701">
        <v>700</v>
      </c>
      <c r="N1986" s="1223"/>
      <c r="O1986" s="7"/>
      <c r="P1986" s="7"/>
      <c r="Q1986" s="7"/>
      <c r="R1986" s="7"/>
      <c r="S1986" s="7"/>
      <c r="T1986" s="7"/>
      <c r="U1986" s="7"/>
      <c r="V1986" s="7"/>
      <c r="W1986" s="7"/>
      <c r="X1986" s="7"/>
      <c r="Y1986" s="7"/>
      <c r="Z1986" s="7"/>
      <c r="AA1986" s="7"/>
      <c r="AB1986" s="7"/>
      <c r="AC1986" s="7"/>
      <c r="AD1986" s="7"/>
      <c r="AE1986" s="7"/>
      <c r="AF1986" s="7"/>
    </row>
    <row r="1987" spans="1:32" ht="20.399999999999999">
      <c r="A1987" s="663" t="s">
        <v>901</v>
      </c>
      <c r="B1987" s="3130" t="s">
        <v>772</v>
      </c>
      <c r="C1987" s="663" t="s">
        <v>320</v>
      </c>
      <c r="D1987" s="678" t="s">
        <v>1980</v>
      </c>
      <c r="E1987" s="700" t="s">
        <v>1929</v>
      </c>
      <c r="F1987" s="795">
        <v>2314</v>
      </c>
      <c r="G1987" s="745" t="s">
        <v>2306</v>
      </c>
      <c r="H1987" s="701"/>
      <c r="I1987" s="701">
        <v>600</v>
      </c>
      <c r="J1987" s="1654" t="s">
        <v>1134</v>
      </c>
      <c r="K1987" s="792"/>
      <c r="L1987" s="701"/>
      <c r="M1987" s="701">
        <v>600</v>
      </c>
      <c r="N1987" s="1223"/>
      <c r="O1987" s="7"/>
      <c r="P1987" s="7"/>
      <c r="Q1987" s="7"/>
      <c r="R1987" s="7"/>
      <c r="S1987" s="7"/>
      <c r="T1987" s="7"/>
      <c r="U1987" s="7"/>
      <c r="V1987" s="7"/>
      <c r="W1987" s="7"/>
      <c r="X1987" s="7"/>
      <c r="Y1987" s="7"/>
      <c r="Z1987" s="7"/>
      <c r="AA1987" s="7"/>
      <c r="AB1987" s="7"/>
      <c r="AC1987" s="7"/>
      <c r="AD1987" s="7"/>
      <c r="AE1987" s="7"/>
      <c r="AF1987" s="7"/>
    </row>
    <row r="1988" spans="1:32" ht="20.399999999999999">
      <c r="A1988" s="663"/>
      <c r="B1988" s="3130" t="s">
        <v>772</v>
      </c>
      <c r="C1988" s="663" t="s">
        <v>320</v>
      </c>
      <c r="D1988" s="678" t="s">
        <v>1980</v>
      </c>
      <c r="E1988" s="700" t="s">
        <v>1929</v>
      </c>
      <c r="F1988" s="795">
        <v>2314</v>
      </c>
      <c r="G1988" s="745" t="s">
        <v>1157</v>
      </c>
      <c r="H1988" s="701"/>
      <c r="I1988" s="701">
        <v>300</v>
      </c>
      <c r="J1988" s="1654" t="s">
        <v>1134</v>
      </c>
      <c r="K1988" s="792"/>
      <c r="L1988" s="701"/>
      <c r="M1988" s="701">
        <v>300</v>
      </c>
      <c r="N1988" s="1223"/>
      <c r="O1988" s="7"/>
      <c r="P1988" s="7"/>
      <c r="Q1988" s="7"/>
      <c r="R1988" s="3"/>
      <c r="S1988" s="3"/>
      <c r="T1988" s="3"/>
      <c r="U1988" s="3"/>
      <c r="V1988" s="3"/>
      <c r="W1988" s="3"/>
      <c r="X1988" s="3"/>
      <c r="Y1988" s="3"/>
      <c r="Z1988" s="3"/>
      <c r="AA1988" s="3"/>
      <c r="AB1988" s="3"/>
      <c r="AC1988" s="3"/>
      <c r="AD1988" s="3"/>
      <c r="AE1988" s="3"/>
      <c r="AF1988" s="3"/>
    </row>
    <row r="1989" spans="1:32" ht="20.399999999999999">
      <c r="A1989" s="663"/>
      <c r="B1989" s="3130" t="s">
        <v>772</v>
      </c>
      <c r="C1989" s="663" t="s">
        <v>320</v>
      </c>
      <c r="D1989" s="678" t="s">
        <v>1980</v>
      </c>
      <c r="E1989" s="700" t="s">
        <v>1929</v>
      </c>
      <c r="F1989" s="795">
        <v>2314</v>
      </c>
      <c r="G1989" s="745" t="s">
        <v>2309</v>
      </c>
      <c r="H1989" s="701"/>
      <c r="I1989" s="701">
        <v>500</v>
      </c>
      <c r="J1989" s="1654" t="s">
        <v>1134</v>
      </c>
      <c r="K1989" s="792"/>
      <c r="L1989" s="701"/>
      <c r="M1989" s="701"/>
      <c r="N1989" s="1223"/>
      <c r="O1989" s="7"/>
      <c r="P1989" s="7"/>
      <c r="Q1989" s="7"/>
      <c r="R1989" s="7"/>
      <c r="S1989" s="7"/>
      <c r="T1989" s="7"/>
      <c r="U1989" s="7"/>
      <c r="V1989" s="7"/>
      <c r="W1989" s="7"/>
      <c r="X1989" s="7"/>
      <c r="Y1989" s="7"/>
      <c r="Z1989" s="7"/>
      <c r="AA1989" s="7"/>
      <c r="AB1989" s="7"/>
      <c r="AC1989" s="7"/>
      <c r="AD1989" s="7"/>
      <c r="AE1989" s="7"/>
      <c r="AF1989" s="7"/>
    </row>
    <row r="1990" spans="1:32" ht="20.399999999999999">
      <c r="A1990" s="663"/>
      <c r="B1990" s="3130" t="s">
        <v>772</v>
      </c>
      <c r="C1990" s="663" t="s">
        <v>320</v>
      </c>
      <c r="D1990" s="678" t="s">
        <v>1980</v>
      </c>
      <c r="E1990" s="700" t="s">
        <v>1929</v>
      </c>
      <c r="F1990" s="795">
        <v>2314</v>
      </c>
      <c r="G1990" s="745" t="s">
        <v>2310</v>
      </c>
      <c r="H1990" s="701"/>
      <c r="I1990" s="701">
        <v>647</v>
      </c>
      <c r="J1990" s="1654" t="s">
        <v>1134</v>
      </c>
      <c r="K1990" s="792"/>
      <c r="L1990" s="701"/>
      <c r="M1990" s="701"/>
      <c r="N1990" s="1223"/>
      <c r="O1990" s="7"/>
      <c r="P1990" s="7"/>
      <c r="Q1990" s="7"/>
      <c r="R1990" s="3"/>
      <c r="S1990" s="3"/>
      <c r="T1990" s="3"/>
      <c r="U1990" s="3"/>
      <c r="V1990" s="3"/>
      <c r="W1990" s="3"/>
      <c r="X1990" s="3"/>
      <c r="Y1990" s="3"/>
      <c r="Z1990" s="3"/>
      <c r="AA1990" s="3"/>
      <c r="AB1990" s="3"/>
      <c r="AC1990" s="3"/>
      <c r="AD1990" s="3"/>
      <c r="AE1990" s="3"/>
      <c r="AF1990" s="3"/>
    </row>
    <row r="1991" spans="1:32" ht="20.399999999999999">
      <c r="A1991" s="1263"/>
      <c r="B1991" s="3130" t="s">
        <v>772</v>
      </c>
      <c r="C1991" s="663" t="s">
        <v>320</v>
      </c>
      <c r="D1991" s="678" t="s">
        <v>1980</v>
      </c>
      <c r="E1991" s="700" t="s">
        <v>1929</v>
      </c>
      <c r="F1991" s="795">
        <v>2314</v>
      </c>
      <c r="G1991" s="2529" t="s">
        <v>2971</v>
      </c>
      <c r="H1991" s="1265"/>
      <c r="I1991" s="1265">
        <v>-161</v>
      </c>
      <c r="J1991" s="1654" t="s">
        <v>1134</v>
      </c>
      <c r="K1991" s="1329"/>
      <c r="L1991" s="1265"/>
      <c r="M1991" s="1265"/>
      <c r="N1991" s="1223"/>
      <c r="O1991" s="7"/>
      <c r="P1991" s="7"/>
      <c r="Q1991" s="7"/>
      <c r="R1991" s="3"/>
      <c r="S1991" s="3"/>
      <c r="T1991" s="3"/>
      <c r="U1991" s="3"/>
      <c r="V1991" s="3"/>
      <c r="W1991" s="3"/>
      <c r="X1991" s="3"/>
      <c r="Y1991" s="3"/>
      <c r="Z1991" s="3"/>
      <c r="AA1991" s="3"/>
      <c r="AB1991" s="3"/>
      <c r="AC1991" s="3"/>
      <c r="AD1991" s="3"/>
      <c r="AE1991" s="3"/>
      <c r="AF1991" s="3"/>
    </row>
    <row r="1992" spans="1:32" ht="20.399999999999999">
      <c r="A1992" s="663"/>
      <c r="B1992" s="3130" t="s">
        <v>772</v>
      </c>
      <c r="C1992" s="663" t="s">
        <v>320</v>
      </c>
      <c r="D1992" s="678" t="s">
        <v>1980</v>
      </c>
      <c r="E1992" s="700" t="s">
        <v>1929</v>
      </c>
      <c r="F1992" s="795">
        <v>2314</v>
      </c>
      <c r="G1992" s="2528" t="s">
        <v>3061</v>
      </c>
      <c r="H1992" s="701"/>
      <c r="I1992" s="701">
        <v>-100</v>
      </c>
      <c r="J1992" s="1654" t="s">
        <v>1134</v>
      </c>
      <c r="K1992" s="792"/>
      <c r="L1992" s="701"/>
      <c r="M1992" s="701"/>
      <c r="N1992" s="1223"/>
      <c r="O1992" s="7"/>
      <c r="P1992" s="7"/>
      <c r="Q1992" s="7"/>
      <c r="R1992" s="7"/>
      <c r="S1992" s="7"/>
      <c r="T1992" s="7"/>
      <c r="U1992" s="7"/>
      <c r="V1992" s="7"/>
      <c r="W1992" s="7"/>
      <c r="X1992" s="7"/>
      <c r="Y1992" s="7"/>
      <c r="Z1992" s="7"/>
      <c r="AA1992" s="7"/>
      <c r="AB1992" s="7"/>
      <c r="AC1992" s="7"/>
      <c r="AD1992" s="7"/>
      <c r="AE1992" s="7"/>
      <c r="AF1992" s="7"/>
    </row>
    <row r="1993" spans="1:32" ht="20.399999999999999">
      <c r="A1993" s="663"/>
      <c r="B1993" s="3130" t="s">
        <v>772</v>
      </c>
      <c r="C1993" s="663" t="s">
        <v>320</v>
      </c>
      <c r="D1993" s="678" t="s">
        <v>1980</v>
      </c>
      <c r="E1993" s="700" t="s">
        <v>1929</v>
      </c>
      <c r="F1993" s="795">
        <v>2314</v>
      </c>
      <c r="G1993" s="797" t="s">
        <v>3221</v>
      </c>
      <c r="H1993" s="701"/>
      <c r="I1993" s="715">
        <v>-530</v>
      </c>
      <c r="J1993" s="1654" t="s">
        <v>1134</v>
      </c>
      <c r="K1993" s="792"/>
      <c r="L1993" s="701"/>
      <c r="M1993" s="701"/>
      <c r="N1993" s="1223"/>
      <c r="O1993" s="7"/>
      <c r="P1993" s="7"/>
      <c r="Q1993" s="7"/>
      <c r="R1993" s="3"/>
      <c r="S1993" s="3"/>
      <c r="T1993" s="3"/>
      <c r="U1993" s="3"/>
      <c r="V1993" s="3"/>
      <c r="W1993" s="3"/>
      <c r="X1993" s="3"/>
      <c r="Y1993" s="3"/>
      <c r="Z1993" s="3"/>
      <c r="AA1993" s="3"/>
      <c r="AB1993" s="3"/>
      <c r="AC1993" s="3"/>
      <c r="AD1993" s="3"/>
      <c r="AE1993" s="3"/>
      <c r="AF1993" s="3"/>
    </row>
    <row r="1994" spans="1:32">
      <c r="A1994" s="683"/>
      <c r="B1994" s="3129" t="s">
        <v>772</v>
      </c>
      <c r="C1994" s="683" t="s">
        <v>320</v>
      </c>
      <c r="D1994" s="719" t="s">
        <v>1980</v>
      </c>
      <c r="E1994" s="720" t="s">
        <v>1929</v>
      </c>
      <c r="F1994" s="824">
        <v>2322</v>
      </c>
      <c r="G1994" s="1434" t="s">
        <v>191</v>
      </c>
      <c r="H1994" s="706">
        <v>3036.6</v>
      </c>
      <c r="I1994" s="706"/>
      <c r="J1994" s="1654">
        <v>873</v>
      </c>
      <c r="K1994" s="792"/>
      <c r="L1994" s="706">
        <v>3036.6</v>
      </c>
      <c r="M1994" s="706"/>
      <c r="N1994" s="1223"/>
      <c r="O1994" s="7"/>
      <c r="P1994" s="7"/>
      <c r="Q1994" s="7"/>
      <c r="R1994" s="7"/>
      <c r="S1994" s="7"/>
      <c r="T1994" s="7"/>
      <c r="U1994" s="7"/>
      <c r="V1994" s="7"/>
      <c r="W1994" s="7"/>
      <c r="X1994" s="7"/>
      <c r="Y1994" s="7"/>
      <c r="Z1994" s="7"/>
      <c r="AA1994" s="7"/>
      <c r="AB1994" s="7"/>
      <c r="AC1994" s="7"/>
      <c r="AD1994" s="7"/>
      <c r="AE1994" s="7"/>
      <c r="AF1994" s="7"/>
    </row>
    <row r="1995" spans="1:32">
      <c r="A1995" s="663"/>
      <c r="B1995" s="3130" t="s">
        <v>772</v>
      </c>
      <c r="C1995" s="663" t="s">
        <v>320</v>
      </c>
      <c r="D1995" s="678" t="s">
        <v>1980</v>
      </c>
      <c r="E1995" s="700" t="s">
        <v>1929</v>
      </c>
      <c r="F1995" s="795">
        <v>2322</v>
      </c>
      <c r="G1995" s="745" t="s">
        <v>2308</v>
      </c>
      <c r="H1995" s="748"/>
      <c r="I1995" s="748">
        <v>3036.6</v>
      </c>
      <c r="J1995" s="1654" t="s">
        <v>1134</v>
      </c>
      <c r="K1995" s="792"/>
      <c r="L1995" s="701"/>
      <c r="M1995" s="701">
        <v>3036.6</v>
      </c>
      <c r="N1995" s="1223"/>
      <c r="O1995" s="7"/>
      <c r="P1995" s="7"/>
      <c r="Q1995" s="7"/>
      <c r="R1995" s="3"/>
      <c r="S1995" s="3"/>
      <c r="T1995" s="3"/>
      <c r="U1995" s="3"/>
      <c r="V1995" s="3"/>
      <c r="W1995" s="3"/>
      <c r="X1995" s="3"/>
      <c r="Y1995" s="3"/>
      <c r="Z1995" s="3"/>
      <c r="AA1995" s="3"/>
      <c r="AB1995" s="3"/>
      <c r="AC1995" s="3"/>
      <c r="AD1995" s="3"/>
      <c r="AE1995" s="3"/>
      <c r="AF1995" s="3"/>
    </row>
    <row r="1996" spans="1:32">
      <c r="A1996" s="683"/>
      <c r="B1996" s="3129" t="s">
        <v>326</v>
      </c>
      <c r="C1996" s="683" t="s">
        <v>320</v>
      </c>
      <c r="D1996" s="823" t="s">
        <v>1980</v>
      </c>
      <c r="E1996" s="720" t="s">
        <v>1929</v>
      </c>
      <c r="F1996" s="824">
        <v>2370</v>
      </c>
      <c r="G1996" s="1434" t="s">
        <v>134</v>
      </c>
      <c r="H1996" s="706">
        <v>35</v>
      </c>
      <c r="I1996" s="706"/>
      <c r="J1996" s="1654" t="s">
        <v>1134</v>
      </c>
      <c r="K1996" s="792"/>
      <c r="L1996" s="706">
        <v>508.91477542591633</v>
      </c>
      <c r="M1996" s="706"/>
      <c r="N1996" s="1223"/>
      <c r="O1996" s="7"/>
      <c r="P1996" s="7"/>
      <c r="Q1996" s="7"/>
      <c r="R1996" s="7"/>
      <c r="S1996" s="7"/>
      <c r="T1996" s="7"/>
      <c r="U1996" s="7"/>
      <c r="V1996" s="7"/>
      <c r="W1996" s="7"/>
      <c r="X1996" s="7"/>
      <c r="Y1996" s="7"/>
      <c r="Z1996" s="7"/>
      <c r="AA1996" s="7"/>
      <c r="AB1996" s="7"/>
      <c r="AC1996" s="7"/>
      <c r="AD1996" s="7"/>
      <c r="AE1996" s="7"/>
      <c r="AF1996" s="7"/>
    </row>
    <row r="1997" spans="1:32" ht="20.399999999999999">
      <c r="A1997" s="663"/>
      <c r="B1997" s="3130" t="s">
        <v>326</v>
      </c>
      <c r="C1997" s="663" t="s">
        <v>320</v>
      </c>
      <c r="D1997" s="794" t="s">
        <v>1980</v>
      </c>
      <c r="E1997" s="700" t="s">
        <v>1929</v>
      </c>
      <c r="F1997" s="795">
        <v>2370</v>
      </c>
      <c r="G1997" s="745" t="s">
        <v>5311</v>
      </c>
      <c r="H1997" s="701"/>
      <c r="I1997" s="701"/>
      <c r="J1997" s="1654" t="s">
        <v>1134</v>
      </c>
      <c r="K1997" s="792"/>
      <c r="L1997" s="701"/>
      <c r="M1997" s="701">
        <v>462.90587506453278</v>
      </c>
      <c r="N1997" s="1223"/>
      <c r="O1997" s="7"/>
      <c r="P1997" s="7"/>
      <c r="Q1997" s="7"/>
      <c r="R1997" s="3"/>
      <c r="S1997" s="3"/>
      <c r="T1997" s="3"/>
      <c r="U1997" s="3"/>
      <c r="V1997" s="3"/>
      <c r="W1997" s="3"/>
      <c r="X1997" s="3"/>
      <c r="Y1997" s="3"/>
      <c r="Z1997" s="3"/>
      <c r="AA1997" s="3"/>
      <c r="AB1997" s="3"/>
      <c r="AC1997" s="3"/>
      <c r="AD1997" s="3"/>
      <c r="AE1997" s="3"/>
      <c r="AF1997" s="3"/>
    </row>
    <row r="1998" spans="1:32" ht="20.399999999999999">
      <c r="A1998" s="663"/>
      <c r="B1998" s="3130" t="s">
        <v>326</v>
      </c>
      <c r="C1998" s="663" t="s">
        <v>320</v>
      </c>
      <c r="D1998" s="794" t="s">
        <v>1980</v>
      </c>
      <c r="E1998" s="700" t="s">
        <v>1929</v>
      </c>
      <c r="F1998" s="795">
        <v>2370</v>
      </c>
      <c r="G1998" s="745" t="s">
        <v>5312</v>
      </c>
      <c r="H1998" s="701"/>
      <c r="I1998" s="701">
        <v>28</v>
      </c>
      <c r="J1998" s="1654" t="s">
        <v>1134</v>
      </c>
      <c r="K1998" s="792"/>
      <c r="L1998" s="701"/>
      <c r="M1998" s="701">
        <v>36.619328859060403</v>
      </c>
      <c r="N1998" s="1223"/>
      <c r="O1998" s="7"/>
      <c r="P1998" s="7"/>
      <c r="Q1998" s="7"/>
      <c r="R1998" s="7"/>
      <c r="S1998" s="7"/>
      <c r="T1998" s="7"/>
      <c r="U1998" s="7"/>
      <c r="V1998" s="7"/>
      <c r="W1998" s="7"/>
      <c r="X1998" s="7"/>
      <c r="Y1998" s="7"/>
      <c r="Z1998" s="7"/>
      <c r="AA1998" s="7"/>
      <c r="AB1998" s="7"/>
      <c r="AC1998" s="7"/>
      <c r="AD1998" s="7"/>
      <c r="AE1998" s="7"/>
      <c r="AF1998" s="7"/>
    </row>
    <row r="1999" spans="1:32" ht="20.399999999999999">
      <c r="A1999" s="663"/>
      <c r="B1999" s="3130" t="s">
        <v>326</v>
      </c>
      <c r="C1999" s="663" t="s">
        <v>320</v>
      </c>
      <c r="D1999" s="794" t="s">
        <v>1980</v>
      </c>
      <c r="E1999" s="700" t="s">
        <v>1929</v>
      </c>
      <c r="F1999" s="795">
        <v>2370</v>
      </c>
      <c r="G1999" s="745" t="s">
        <v>5313</v>
      </c>
      <c r="H1999" s="701"/>
      <c r="I1999" s="701">
        <v>7</v>
      </c>
      <c r="J1999" s="1654" t="s">
        <v>1134</v>
      </c>
      <c r="K1999" s="792"/>
      <c r="L1999" s="701"/>
      <c r="M1999" s="701">
        <v>9.3895715023231787</v>
      </c>
      <c r="N1999" s="1223"/>
      <c r="O1999" s="7"/>
      <c r="P1999" s="7"/>
      <c r="Q1999" s="7"/>
      <c r="R1999" s="3"/>
      <c r="S1999" s="3"/>
      <c r="T1999" s="3"/>
      <c r="U1999" s="3"/>
      <c r="V1999" s="3"/>
      <c r="W1999" s="3"/>
      <c r="X1999" s="3"/>
      <c r="Y1999" s="3"/>
      <c r="Z1999" s="3"/>
      <c r="AA1999" s="3"/>
      <c r="AB1999" s="3"/>
      <c r="AC1999" s="3"/>
      <c r="AD1999" s="3"/>
      <c r="AE1999" s="3"/>
      <c r="AF1999" s="3"/>
    </row>
    <row r="2000" spans="1:32" ht="20.399999999999999">
      <c r="A2000" s="683"/>
      <c r="B2000" s="3129" t="s">
        <v>772</v>
      </c>
      <c r="C2000" s="683" t="s">
        <v>320</v>
      </c>
      <c r="D2000" s="823" t="s">
        <v>1980</v>
      </c>
      <c r="E2000" s="720" t="s">
        <v>1929</v>
      </c>
      <c r="F2000" s="824">
        <v>2390</v>
      </c>
      <c r="G2000" s="1434" t="s">
        <v>135</v>
      </c>
      <c r="H2000" s="706">
        <v>691</v>
      </c>
      <c r="I2000" s="706"/>
      <c r="J2000" s="1654">
        <v>627.24</v>
      </c>
      <c r="K2000" s="792"/>
      <c r="L2000" s="706">
        <v>476</v>
      </c>
      <c r="M2000" s="706"/>
      <c r="N2000" s="359" t="s">
        <v>4697</v>
      </c>
      <c r="O2000" s="7"/>
      <c r="P2000" s="7"/>
      <c r="Q2000" s="7"/>
      <c r="R2000" s="7"/>
      <c r="S2000" s="7"/>
      <c r="T2000" s="7"/>
      <c r="U2000" s="7"/>
      <c r="V2000" s="7"/>
      <c r="W2000" s="7"/>
      <c r="X2000" s="7"/>
      <c r="Y2000" s="7"/>
      <c r="Z2000" s="7"/>
      <c r="AA2000" s="7"/>
      <c r="AB2000" s="7"/>
      <c r="AC2000" s="7"/>
      <c r="AD2000" s="7"/>
      <c r="AE2000" s="7"/>
      <c r="AF2000" s="7"/>
    </row>
    <row r="2001" spans="1:32" ht="20.399999999999999">
      <c r="A2001" s="663"/>
      <c r="B2001" s="3130" t="s">
        <v>772</v>
      </c>
      <c r="C2001" s="663" t="s">
        <v>320</v>
      </c>
      <c r="D2001" s="794" t="s">
        <v>1980</v>
      </c>
      <c r="E2001" s="700" t="s">
        <v>1929</v>
      </c>
      <c r="F2001" s="795">
        <v>2390</v>
      </c>
      <c r="G2001" s="2681" t="s">
        <v>4735</v>
      </c>
      <c r="H2001" s="701"/>
      <c r="I2001" s="701">
        <v>530</v>
      </c>
      <c r="J2001" s="1654" t="s">
        <v>1134</v>
      </c>
      <c r="K2001" s="792"/>
      <c r="L2001" s="701"/>
      <c r="M2001" s="2689">
        <v>476</v>
      </c>
      <c r="N2001" s="574" t="s">
        <v>4153</v>
      </c>
      <c r="O2001" s="187"/>
      <c r="P2001" s="187"/>
      <c r="Q2001" s="187"/>
      <c r="R2001" s="187"/>
      <c r="S2001" s="187"/>
      <c r="T2001" s="187"/>
      <c r="U2001" s="187"/>
      <c r="V2001" s="187"/>
      <c r="W2001" s="187"/>
      <c r="X2001" s="187"/>
      <c r="Y2001" s="187"/>
      <c r="Z2001" s="187"/>
      <c r="AA2001" s="187"/>
      <c r="AB2001" s="187"/>
      <c r="AC2001" s="187"/>
      <c r="AD2001" s="187"/>
      <c r="AE2001" s="187"/>
      <c r="AF2001" s="187"/>
    </row>
    <row r="2002" spans="1:32" ht="20.399999999999999">
      <c r="A2002" s="663"/>
      <c r="B2002" s="3130" t="s">
        <v>772</v>
      </c>
      <c r="C2002" s="663" t="s">
        <v>320</v>
      </c>
      <c r="D2002" s="794" t="s">
        <v>1980</v>
      </c>
      <c r="E2002" s="700" t="s">
        <v>1929</v>
      </c>
      <c r="F2002" s="795">
        <v>2390</v>
      </c>
      <c r="G2002" s="2529" t="s">
        <v>2971</v>
      </c>
      <c r="H2002" s="701"/>
      <c r="I2002" s="701">
        <v>161</v>
      </c>
      <c r="J2002" s="1654" t="s">
        <v>1134</v>
      </c>
      <c r="K2002" s="792"/>
      <c r="L2002" s="701"/>
      <c r="M2002" s="701"/>
      <c r="N2002" s="1223"/>
      <c r="O2002" s="187"/>
      <c r="P2002" s="187"/>
      <c r="Q2002" s="187"/>
      <c r="R2002" s="187"/>
      <c r="S2002" s="187"/>
      <c r="T2002" s="187"/>
      <c r="U2002" s="187"/>
      <c r="V2002" s="187"/>
      <c r="W2002" s="187"/>
      <c r="X2002" s="187"/>
      <c r="Y2002" s="187"/>
      <c r="Z2002" s="187"/>
      <c r="AA2002" s="187"/>
      <c r="AB2002" s="187"/>
      <c r="AC2002" s="187"/>
      <c r="AD2002" s="187"/>
      <c r="AE2002" s="187"/>
      <c r="AF2002" s="187"/>
    </row>
    <row r="2003" spans="1:32" ht="20.399999999999999">
      <c r="A2003" s="683"/>
      <c r="B2003" s="3136" t="s">
        <v>773</v>
      </c>
      <c r="C2003" s="683" t="s">
        <v>369</v>
      </c>
      <c r="D2003" s="719" t="s">
        <v>1980</v>
      </c>
      <c r="E2003" s="720" t="s">
        <v>1929</v>
      </c>
      <c r="F2003" s="824">
        <v>3263</v>
      </c>
      <c r="G2003" s="1434" t="s">
        <v>187</v>
      </c>
      <c r="H2003" s="706">
        <v>2000</v>
      </c>
      <c r="I2003" s="706"/>
      <c r="J2003" s="1654">
        <v>0</v>
      </c>
      <c r="K2003" s="792"/>
      <c r="L2003" s="706">
        <v>2000</v>
      </c>
      <c r="M2003" s="706"/>
      <c r="N2003" s="1223"/>
      <c r="O2003" s="187"/>
      <c r="P2003" s="187"/>
      <c r="Q2003" s="187"/>
      <c r="R2003" s="187"/>
      <c r="S2003" s="187"/>
      <c r="T2003" s="187"/>
      <c r="U2003" s="187"/>
      <c r="V2003" s="187"/>
      <c r="W2003" s="187"/>
      <c r="X2003" s="187"/>
      <c r="Y2003" s="187"/>
      <c r="Z2003" s="187"/>
      <c r="AA2003" s="187"/>
      <c r="AB2003" s="187"/>
      <c r="AC2003" s="187"/>
      <c r="AD2003" s="187"/>
      <c r="AE2003" s="187"/>
      <c r="AF2003" s="187"/>
    </row>
    <row r="2004" spans="1:32" ht="20.399999999999999">
      <c r="A2004" s="663" t="s">
        <v>465</v>
      </c>
      <c r="B2004" s="3130" t="s">
        <v>773</v>
      </c>
      <c r="C2004" s="663" t="s">
        <v>369</v>
      </c>
      <c r="D2004" s="678" t="s">
        <v>1980</v>
      </c>
      <c r="E2004" s="700" t="s">
        <v>1929</v>
      </c>
      <c r="F2004" s="795">
        <v>3263</v>
      </c>
      <c r="G2004" s="797" t="s">
        <v>1222</v>
      </c>
      <c r="H2004" s="701"/>
      <c r="I2004" s="715">
        <v>3000</v>
      </c>
      <c r="J2004" s="1654" t="s">
        <v>1134</v>
      </c>
      <c r="K2004" s="792"/>
      <c r="L2004" s="701"/>
      <c r="M2004" s="701">
        <v>2000</v>
      </c>
      <c r="N2004" s="1223"/>
      <c r="O2004" s="187"/>
      <c r="P2004" s="187"/>
      <c r="Q2004" s="187"/>
      <c r="R2004" s="187"/>
      <c r="S2004" s="187"/>
      <c r="T2004" s="187"/>
      <c r="U2004" s="187"/>
      <c r="V2004" s="187"/>
      <c r="W2004" s="187"/>
      <c r="X2004" s="187"/>
      <c r="Y2004" s="187"/>
      <c r="Z2004" s="187"/>
      <c r="AA2004" s="187"/>
      <c r="AB2004" s="187"/>
      <c r="AC2004" s="187"/>
      <c r="AD2004" s="187"/>
      <c r="AE2004" s="187"/>
      <c r="AF2004" s="187"/>
    </row>
    <row r="2005" spans="1:32" ht="30.6">
      <c r="A2005" s="603"/>
      <c r="B2005" s="3130" t="s">
        <v>773</v>
      </c>
      <c r="C2005" s="663" t="s">
        <v>369</v>
      </c>
      <c r="D2005" s="678" t="s">
        <v>1980</v>
      </c>
      <c r="E2005" s="700" t="s">
        <v>1929</v>
      </c>
      <c r="F2005" s="795">
        <v>3263</v>
      </c>
      <c r="G2005" s="2528" t="s">
        <v>3244</v>
      </c>
      <c r="H2005" s="1165"/>
      <c r="I2005" s="2524">
        <v>-1000</v>
      </c>
      <c r="J2005" s="1654" t="s">
        <v>1134</v>
      </c>
      <c r="K2005" s="1439"/>
      <c r="L2005" s="1165"/>
      <c r="M2005" s="1165"/>
      <c r="N2005" s="1223"/>
      <c r="O2005" s="187"/>
      <c r="P2005" s="187"/>
      <c r="Q2005" s="187"/>
      <c r="R2005" s="187"/>
      <c r="S2005" s="187"/>
      <c r="T2005" s="187"/>
      <c r="U2005" s="187"/>
      <c r="V2005" s="187"/>
      <c r="W2005" s="187"/>
      <c r="X2005" s="187"/>
      <c r="Y2005" s="187"/>
      <c r="Z2005" s="187"/>
      <c r="AA2005" s="187"/>
      <c r="AB2005" s="187"/>
      <c r="AC2005" s="187"/>
      <c r="AD2005" s="187"/>
      <c r="AE2005" s="187"/>
      <c r="AF2005" s="187"/>
    </row>
    <row r="2006" spans="1:32">
      <c r="A2006" s="683"/>
      <c r="B2006" s="3129" t="s">
        <v>774</v>
      </c>
      <c r="C2006" s="683" t="s">
        <v>324</v>
      </c>
      <c r="D2006" s="719" t="s">
        <v>1980</v>
      </c>
      <c r="E2006" s="720" t="s">
        <v>1929</v>
      </c>
      <c r="F2006" s="824">
        <v>5238</v>
      </c>
      <c r="G2006" s="1434" t="s">
        <v>139</v>
      </c>
      <c r="H2006" s="706">
        <v>0</v>
      </c>
      <c r="I2006" s="706"/>
      <c r="J2006" s="1654" t="s">
        <v>1134</v>
      </c>
      <c r="K2006" s="792"/>
      <c r="L2006" s="706">
        <v>0</v>
      </c>
      <c r="M2006" s="706"/>
      <c r="N2006" s="1223"/>
      <c r="O2006" s="187"/>
      <c r="P2006" s="187"/>
      <c r="Q2006" s="187"/>
      <c r="R2006" s="187"/>
      <c r="S2006" s="187"/>
      <c r="T2006" s="187"/>
      <c r="U2006" s="187"/>
      <c r="V2006" s="187"/>
      <c r="W2006" s="187"/>
      <c r="X2006" s="187"/>
      <c r="Y2006" s="187"/>
      <c r="Z2006" s="187"/>
      <c r="AA2006" s="187"/>
      <c r="AB2006" s="187"/>
      <c r="AC2006" s="187"/>
      <c r="AD2006" s="187"/>
      <c r="AE2006" s="187"/>
      <c r="AF2006" s="187"/>
    </row>
    <row r="2007" spans="1:32" ht="11.4" customHeight="1">
      <c r="A2007" s="663"/>
      <c r="B2007" s="3130" t="s">
        <v>774</v>
      </c>
      <c r="C2007" s="663" t="s">
        <v>324</v>
      </c>
      <c r="D2007" s="678" t="s">
        <v>1980</v>
      </c>
      <c r="E2007" s="700" t="s">
        <v>1929</v>
      </c>
      <c r="F2007" s="795">
        <v>5238</v>
      </c>
      <c r="G2007" s="797"/>
      <c r="H2007" s="701"/>
      <c r="I2007" s="715"/>
      <c r="J2007" s="1654" t="s">
        <v>1134</v>
      </c>
      <c r="K2007" s="792"/>
      <c r="L2007" s="701"/>
      <c r="M2007" s="701"/>
      <c r="N2007" s="1223"/>
      <c r="O2007" s="187"/>
      <c r="P2007" s="187"/>
      <c r="Q2007" s="187"/>
      <c r="R2007" s="187"/>
      <c r="S2007" s="187"/>
      <c r="T2007" s="187"/>
      <c r="U2007" s="187"/>
      <c r="V2007" s="187"/>
      <c r="W2007" s="187"/>
      <c r="X2007" s="187"/>
      <c r="Y2007" s="187"/>
      <c r="Z2007" s="187"/>
      <c r="AA2007" s="187"/>
      <c r="AB2007" s="187"/>
      <c r="AC2007" s="187"/>
      <c r="AD2007" s="187"/>
      <c r="AE2007" s="187"/>
      <c r="AF2007" s="187"/>
    </row>
    <row r="2008" spans="1:32" ht="20.399999999999999">
      <c r="A2008" s="683"/>
      <c r="B2008" s="3129" t="s">
        <v>365</v>
      </c>
      <c r="C2008" s="683" t="s">
        <v>324</v>
      </c>
      <c r="D2008" s="719" t="s">
        <v>1980</v>
      </c>
      <c r="E2008" s="720" t="s">
        <v>1929</v>
      </c>
      <c r="F2008" s="824">
        <v>7460</v>
      </c>
      <c r="G2008" s="1434" t="s">
        <v>1892</v>
      </c>
      <c r="H2008" s="706">
        <v>0</v>
      </c>
      <c r="I2008" s="706"/>
      <c r="J2008" s="1654" t="s">
        <v>1134</v>
      </c>
      <c r="K2008" s="792"/>
      <c r="L2008" s="706">
        <v>2193</v>
      </c>
      <c r="M2008" s="706"/>
      <c r="N2008" s="1223"/>
      <c r="O2008" s="4"/>
      <c r="P2008" s="4"/>
      <c r="Q2008" s="4"/>
      <c r="R2008" s="4"/>
      <c r="S2008" s="4"/>
      <c r="T2008" s="4"/>
      <c r="U2008" s="4"/>
      <c r="V2008" s="4"/>
      <c r="W2008" s="4"/>
      <c r="X2008" s="4"/>
      <c r="Y2008" s="4"/>
      <c r="Z2008" s="4"/>
      <c r="AA2008" s="4"/>
      <c r="AB2008" s="4"/>
      <c r="AC2008" s="4"/>
      <c r="AD2008" s="4"/>
      <c r="AE2008" s="4"/>
      <c r="AF2008" s="4"/>
    </row>
    <row r="2009" spans="1:32" ht="11.4" customHeight="1">
      <c r="A2009" s="663"/>
      <c r="B2009" s="3130" t="s">
        <v>365</v>
      </c>
      <c r="C2009" s="663" t="s">
        <v>324</v>
      </c>
      <c r="D2009" s="678" t="s">
        <v>1980</v>
      </c>
      <c r="E2009" s="700" t="s">
        <v>1929</v>
      </c>
      <c r="F2009" s="795">
        <v>7460</v>
      </c>
      <c r="G2009" s="797" t="s">
        <v>5226</v>
      </c>
      <c r="H2009" s="701"/>
      <c r="I2009" s="715"/>
      <c r="J2009" s="1654" t="s">
        <v>1134</v>
      </c>
      <c r="K2009" s="792"/>
      <c r="L2009" s="701"/>
      <c r="M2009" s="701">
        <v>2193</v>
      </c>
      <c r="N2009" s="1223"/>
      <c r="O2009" s="187"/>
      <c r="P2009" s="187"/>
      <c r="Q2009" s="187"/>
      <c r="R2009" s="187"/>
      <c r="S2009" s="187"/>
      <c r="T2009" s="187"/>
      <c r="U2009" s="187"/>
      <c r="V2009" s="187"/>
      <c r="W2009" s="187"/>
      <c r="X2009" s="187"/>
      <c r="Y2009" s="187"/>
      <c r="Z2009" s="187"/>
      <c r="AA2009" s="187"/>
      <c r="AB2009" s="187"/>
      <c r="AC2009" s="187"/>
      <c r="AD2009" s="187"/>
      <c r="AE2009" s="187"/>
      <c r="AF2009" s="187"/>
    </row>
    <row r="2010" spans="1:32">
      <c r="A2010" s="683"/>
      <c r="B2010" s="3136" t="s">
        <v>773</v>
      </c>
      <c r="C2010" s="683" t="s">
        <v>369</v>
      </c>
      <c r="D2010" s="719" t="s">
        <v>1980</v>
      </c>
      <c r="E2010" s="1406" t="s">
        <v>1930</v>
      </c>
      <c r="F2010" s="1698">
        <v>1119</v>
      </c>
      <c r="G2010" s="1691" t="s">
        <v>142</v>
      </c>
      <c r="H2010" s="1692">
        <v>56641</v>
      </c>
      <c r="I2010" s="1692"/>
      <c r="J2010" s="1684">
        <v>53170</v>
      </c>
      <c r="K2010" s="1685"/>
      <c r="L2010" s="1692">
        <v>76570.515413868416</v>
      </c>
      <c r="M2010" s="1692"/>
      <c r="N2010" s="1223"/>
      <c r="O2010" s="187"/>
      <c r="P2010" s="187"/>
      <c r="Q2010" s="187"/>
      <c r="R2010" s="187"/>
      <c r="S2010" s="187"/>
      <c r="T2010" s="187"/>
      <c r="U2010" s="187"/>
      <c r="V2010" s="187"/>
      <c r="W2010" s="187"/>
      <c r="X2010" s="187"/>
      <c r="Y2010" s="187"/>
      <c r="Z2010" s="187"/>
      <c r="AA2010" s="187"/>
      <c r="AB2010" s="187"/>
      <c r="AC2010" s="187"/>
      <c r="AD2010" s="187"/>
      <c r="AE2010" s="187"/>
      <c r="AF2010" s="187"/>
    </row>
    <row r="2011" spans="1:32">
      <c r="A2011" s="663"/>
      <c r="B2011" s="3130" t="s">
        <v>773</v>
      </c>
      <c r="C2011" s="663" t="s">
        <v>369</v>
      </c>
      <c r="D2011" s="678" t="s">
        <v>1980</v>
      </c>
      <c r="E2011" s="1407" t="s">
        <v>1930</v>
      </c>
      <c r="F2011" s="1413">
        <v>1119</v>
      </c>
      <c r="G2011" s="818" t="s">
        <v>4143</v>
      </c>
      <c r="H2011" s="1683"/>
      <c r="I2011" s="2164">
        <v>58821</v>
      </c>
      <c r="J2011" s="1684" t="s">
        <v>1134</v>
      </c>
      <c r="K2011" s="1685"/>
      <c r="L2011" s="1683"/>
      <c r="M2011" s="3006">
        <v>44130</v>
      </c>
      <c r="N2011" s="1223"/>
      <c r="O2011" s="4"/>
      <c r="P2011" s="4"/>
      <c r="Q2011" s="4"/>
      <c r="R2011" s="4"/>
      <c r="S2011" s="4"/>
      <c r="T2011" s="4"/>
      <c r="U2011" s="4"/>
      <c r="V2011" s="4"/>
      <c r="W2011" s="4"/>
      <c r="X2011" s="4"/>
      <c r="Y2011" s="4"/>
      <c r="Z2011" s="4"/>
      <c r="AA2011" s="4"/>
      <c r="AB2011" s="4"/>
      <c r="AC2011" s="4"/>
      <c r="AD2011" s="4"/>
      <c r="AE2011" s="4"/>
      <c r="AF2011" s="4"/>
    </row>
    <row r="2012" spans="1:32" ht="20.399999999999999">
      <c r="A2012" s="663"/>
      <c r="B2012" s="3130" t="s">
        <v>773</v>
      </c>
      <c r="C2012" s="663" t="s">
        <v>369</v>
      </c>
      <c r="D2012" s="678" t="s">
        <v>1980</v>
      </c>
      <c r="E2012" s="1407" t="s">
        <v>1930</v>
      </c>
      <c r="F2012" s="1413">
        <v>1119</v>
      </c>
      <c r="G2012" s="818" t="s">
        <v>4144</v>
      </c>
      <c r="H2012" s="1683"/>
      <c r="I2012" s="2164">
        <v>23532</v>
      </c>
      <c r="J2012" s="1684" t="s">
        <v>1134</v>
      </c>
      <c r="K2012" s="1685"/>
      <c r="L2012" s="1683"/>
      <c r="M2012" s="3006">
        <v>30420</v>
      </c>
      <c r="N2012" s="1223"/>
      <c r="O2012" s="4"/>
      <c r="P2012" s="4"/>
      <c r="Q2012" s="4"/>
      <c r="R2012" s="4"/>
      <c r="S2012" s="4"/>
      <c r="T2012" s="4"/>
      <c r="U2012" s="4"/>
      <c r="V2012" s="4"/>
      <c r="W2012" s="4"/>
      <c r="X2012" s="4"/>
      <c r="Y2012" s="4"/>
      <c r="Z2012" s="4"/>
      <c r="AA2012" s="4"/>
      <c r="AB2012" s="4"/>
      <c r="AC2012" s="4"/>
      <c r="AD2012" s="4"/>
      <c r="AE2012" s="4"/>
      <c r="AF2012" s="4"/>
    </row>
    <row r="2013" spans="1:32" ht="20.399999999999999">
      <c r="A2013" s="663"/>
      <c r="B2013" s="3130" t="s">
        <v>773</v>
      </c>
      <c r="C2013" s="663" t="s">
        <v>369</v>
      </c>
      <c r="D2013" s="678" t="s">
        <v>1980</v>
      </c>
      <c r="E2013" s="1407" t="s">
        <v>1930</v>
      </c>
      <c r="F2013" s="1413">
        <v>1119</v>
      </c>
      <c r="G2013" s="818" t="s">
        <v>4145</v>
      </c>
      <c r="H2013" s="1683"/>
      <c r="I2013" s="2164">
        <v>-2000</v>
      </c>
      <c r="J2013" s="1684" t="s">
        <v>1134</v>
      </c>
      <c r="K2013" s="1685"/>
      <c r="L2013" s="1683"/>
      <c r="M2013" s="2437">
        <v>26263</v>
      </c>
      <c r="N2013" s="1223"/>
      <c r="O2013" s="4"/>
      <c r="P2013" s="4"/>
      <c r="Q2013" s="4"/>
      <c r="R2013" s="4"/>
      <c r="S2013" s="4"/>
      <c r="T2013" s="4"/>
      <c r="U2013" s="4"/>
      <c r="V2013" s="4"/>
      <c r="W2013" s="4"/>
      <c r="X2013" s="4"/>
      <c r="Y2013" s="4"/>
      <c r="Z2013" s="4"/>
      <c r="AA2013" s="4"/>
      <c r="AB2013" s="4"/>
      <c r="AC2013" s="4"/>
      <c r="AD2013" s="4"/>
      <c r="AE2013" s="4"/>
      <c r="AF2013" s="4"/>
    </row>
    <row r="2014" spans="1:32" ht="20.399999999999999">
      <c r="A2014" s="1495"/>
      <c r="B2014" s="3138" t="s">
        <v>773</v>
      </c>
      <c r="C2014" s="1495" t="s">
        <v>369</v>
      </c>
      <c r="D2014" s="1561" t="s">
        <v>1980</v>
      </c>
      <c r="E2014" s="1559" t="s">
        <v>1930</v>
      </c>
      <c r="F2014" s="2110">
        <v>1119</v>
      </c>
      <c r="G2014" s="2084" t="s">
        <v>3170</v>
      </c>
      <c r="H2014" s="1805"/>
      <c r="I2014" s="2181">
        <v>-2000</v>
      </c>
      <c r="J2014" s="1805"/>
      <c r="K2014" s="1807"/>
      <c r="L2014" s="1805"/>
      <c r="M2014" s="2435">
        <v>-5000</v>
      </c>
      <c r="N2014" s="1223"/>
      <c r="O2014" s="187"/>
      <c r="P2014" s="187"/>
      <c r="Q2014" s="187"/>
      <c r="R2014" s="187"/>
      <c r="S2014" s="187"/>
      <c r="T2014" s="187"/>
      <c r="U2014" s="187"/>
      <c r="V2014" s="187"/>
      <c r="W2014" s="187"/>
      <c r="X2014" s="187"/>
      <c r="Y2014" s="187"/>
      <c r="Z2014" s="187"/>
      <c r="AA2014" s="187"/>
      <c r="AB2014" s="187"/>
      <c r="AC2014" s="187"/>
      <c r="AD2014" s="187"/>
      <c r="AE2014" s="187"/>
      <c r="AF2014" s="187"/>
    </row>
    <row r="2015" spans="1:32" ht="20.399999999999999">
      <c r="A2015" s="603"/>
      <c r="B2015" s="3130" t="s">
        <v>773</v>
      </c>
      <c r="C2015" s="663" t="s">
        <v>369</v>
      </c>
      <c r="D2015" s="678" t="s">
        <v>1980</v>
      </c>
      <c r="E2015" s="1407" t="s">
        <v>1930</v>
      </c>
      <c r="F2015" s="1413">
        <v>1119</v>
      </c>
      <c r="G2015" s="818" t="s">
        <v>5171</v>
      </c>
      <c r="H2015" s="1713"/>
      <c r="I2015" s="2166">
        <v>-16094</v>
      </c>
      <c r="J2015" s="1684" t="s">
        <v>1134</v>
      </c>
      <c r="K2015" s="1918"/>
      <c r="L2015" s="1713"/>
      <c r="M2015" s="3006">
        <v>-8423.2276074116035</v>
      </c>
      <c r="N2015" s="1223"/>
      <c r="O2015" s="187"/>
      <c r="P2015" s="187"/>
      <c r="Q2015" s="187"/>
      <c r="R2015" s="187"/>
      <c r="S2015" s="187"/>
      <c r="T2015" s="187"/>
      <c r="U2015" s="187"/>
      <c r="V2015" s="187"/>
      <c r="W2015" s="187"/>
      <c r="X2015" s="187"/>
      <c r="Y2015" s="187"/>
      <c r="Z2015" s="187"/>
      <c r="AA2015" s="187"/>
      <c r="AB2015" s="187"/>
      <c r="AC2015" s="187"/>
      <c r="AD2015" s="187"/>
      <c r="AE2015" s="187"/>
      <c r="AF2015" s="187"/>
    </row>
    <row r="2016" spans="1:32" ht="20.399999999999999">
      <c r="A2016" s="2679"/>
      <c r="B2016" s="3130" t="s">
        <v>773</v>
      </c>
      <c r="C2016" s="663" t="s">
        <v>369</v>
      </c>
      <c r="D2016" s="678" t="s">
        <v>1980</v>
      </c>
      <c r="E2016" s="1407" t="s">
        <v>1930</v>
      </c>
      <c r="F2016" s="1413">
        <v>1119</v>
      </c>
      <c r="G2016" s="818" t="s">
        <v>5172</v>
      </c>
      <c r="H2016" s="2711"/>
      <c r="I2016" s="3007"/>
      <c r="J2016" s="3008"/>
      <c r="K2016" s="3009"/>
      <c r="L2016" s="2711"/>
      <c r="M2016" s="3006">
        <v>-5806.3581195889637</v>
      </c>
      <c r="N2016" s="1223"/>
      <c r="O2016" s="187"/>
      <c r="P2016" s="187"/>
      <c r="Q2016" s="187"/>
      <c r="R2016" s="187"/>
      <c r="S2016" s="187"/>
      <c r="T2016" s="187"/>
      <c r="U2016" s="187"/>
      <c r="V2016" s="187"/>
      <c r="W2016" s="187"/>
      <c r="X2016" s="187"/>
      <c r="Y2016" s="187"/>
      <c r="Z2016" s="187"/>
      <c r="AA2016" s="187"/>
      <c r="AB2016" s="187"/>
      <c r="AC2016" s="187"/>
      <c r="AD2016" s="187"/>
      <c r="AE2016" s="187"/>
      <c r="AF2016" s="187"/>
    </row>
    <row r="2017" spans="1:32" ht="20.399999999999999">
      <c r="A2017" s="603"/>
      <c r="B2017" s="3130" t="s">
        <v>773</v>
      </c>
      <c r="C2017" s="663" t="s">
        <v>369</v>
      </c>
      <c r="D2017" s="678" t="s">
        <v>1980</v>
      </c>
      <c r="E2017" s="1407" t="s">
        <v>1930</v>
      </c>
      <c r="F2017" s="1413">
        <v>1119</v>
      </c>
      <c r="G2017" s="818" t="s">
        <v>5173</v>
      </c>
      <c r="H2017" s="1713"/>
      <c r="I2017" s="2166">
        <v>-2289</v>
      </c>
      <c r="J2017" s="1684" t="s">
        <v>1134</v>
      </c>
      <c r="K2017" s="1918"/>
      <c r="L2017" s="1713"/>
      <c r="M2017" s="2437">
        <v>-5012.8988591309981</v>
      </c>
      <c r="N2017" s="1223"/>
      <c r="O2017" s="187"/>
      <c r="P2017" s="187"/>
      <c r="Q2017" s="187"/>
      <c r="R2017" s="187"/>
      <c r="S2017" s="187"/>
      <c r="T2017" s="187"/>
      <c r="U2017" s="187"/>
      <c r="V2017" s="187"/>
      <c r="W2017" s="187"/>
      <c r="X2017" s="187"/>
      <c r="Y2017" s="187"/>
      <c r="Z2017" s="187"/>
      <c r="AA2017" s="187"/>
      <c r="AB2017" s="187"/>
      <c r="AC2017" s="187"/>
      <c r="AD2017" s="187"/>
      <c r="AE2017" s="187"/>
      <c r="AF2017" s="187"/>
    </row>
    <row r="2018" spans="1:32" ht="20.399999999999999">
      <c r="A2018" s="1495"/>
      <c r="B2018" s="3138" t="s">
        <v>773</v>
      </c>
      <c r="C2018" s="1495" t="s">
        <v>369</v>
      </c>
      <c r="D2018" s="1561" t="s">
        <v>1980</v>
      </c>
      <c r="E2018" s="1559" t="s">
        <v>1930</v>
      </c>
      <c r="F2018" s="2110">
        <v>1119</v>
      </c>
      <c r="G2018" s="2084" t="s">
        <v>3417</v>
      </c>
      <c r="H2018" s="1805"/>
      <c r="I2018" s="2181">
        <v>-3329</v>
      </c>
      <c r="J2018" s="1805"/>
      <c r="K2018" s="1807"/>
      <c r="L2018" s="1805"/>
      <c r="M2018" s="2434"/>
      <c r="N2018" s="1223"/>
      <c r="O2018" s="187"/>
      <c r="P2018" s="187"/>
      <c r="Q2018" s="187"/>
      <c r="R2018" s="187"/>
      <c r="S2018" s="187"/>
      <c r="T2018" s="187"/>
      <c r="U2018" s="187"/>
      <c r="V2018" s="187"/>
      <c r="W2018" s="187"/>
      <c r="X2018" s="187"/>
      <c r="Y2018" s="187"/>
      <c r="Z2018" s="187"/>
      <c r="AA2018" s="187"/>
      <c r="AB2018" s="187"/>
      <c r="AC2018" s="187"/>
      <c r="AD2018" s="187"/>
      <c r="AE2018" s="187"/>
      <c r="AF2018" s="187"/>
    </row>
    <row r="2019" spans="1:32">
      <c r="A2019" s="683"/>
      <c r="B2019" s="3136" t="s">
        <v>773</v>
      </c>
      <c r="C2019" s="683" t="s">
        <v>369</v>
      </c>
      <c r="D2019" s="719" t="s">
        <v>1980</v>
      </c>
      <c r="E2019" s="1406" t="s">
        <v>1930</v>
      </c>
      <c r="F2019" s="1698">
        <v>1147</v>
      </c>
      <c r="G2019" s="1691" t="s">
        <v>428</v>
      </c>
      <c r="H2019" s="1692">
        <v>5000</v>
      </c>
      <c r="I2019" s="1692"/>
      <c r="J2019" s="1684">
        <v>4202</v>
      </c>
      <c r="K2019" s="1685"/>
      <c r="L2019" s="1692">
        <v>5000</v>
      </c>
      <c r="M2019" s="706"/>
      <c r="N2019" s="305"/>
      <c r="O2019" s="187"/>
      <c r="P2019" s="187"/>
      <c r="Q2019" s="187"/>
      <c r="R2019" s="187"/>
      <c r="S2019" s="187"/>
      <c r="T2019" s="187"/>
      <c r="U2019" s="187"/>
      <c r="V2019" s="187"/>
      <c r="W2019" s="187"/>
      <c r="X2019" s="187"/>
      <c r="Y2019" s="187"/>
      <c r="Z2019" s="187"/>
      <c r="AA2019" s="187"/>
      <c r="AB2019" s="187"/>
      <c r="AC2019" s="187"/>
      <c r="AD2019" s="187"/>
      <c r="AE2019" s="187"/>
      <c r="AF2019" s="187"/>
    </row>
    <row r="2020" spans="1:32" ht="20.399999999999999">
      <c r="A2020" s="663"/>
      <c r="B2020" s="3130" t="s">
        <v>773</v>
      </c>
      <c r="C2020" s="663" t="s">
        <v>369</v>
      </c>
      <c r="D2020" s="678" t="s">
        <v>1980</v>
      </c>
      <c r="E2020" s="1407" t="s">
        <v>1930</v>
      </c>
      <c r="F2020" s="1413">
        <v>1147</v>
      </c>
      <c r="G2020" s="818" t="s">
        <v>3170</v>
      </c>
      <c r="H2020" s="1683"/>
      <c r="I2020" s="2164">
        <v>2000</v>
      </c>
      <c r="J2020" s="1684" t="s">
        <v>1134</v>
      </c>
      <c r="K2020" s="1685"/>
      <c r="L2020" s="1683"/>
      <c r="M2020" s="1789">
        <v>5000</v>
      </c>
      <c r="N2020" s="305"/>
      <c r="O2020" s="187"/>
      <c r="P2020" s="187"/>
      <c r="Q2020" s="187"/>
      <c r="R2020" s="187"/>
      <c r="S2020" s="187"/>
      <c r="T2020" s="187"/>
      <c r="U2020" s="187"/>
      <c r="V2020" s="187"/>
      <c r="W2020" s="187"/>
      <c r="X2020" s="187"/>
      <c r="Y2020" s="187"/>
      <c r="Z2020" s="187"/>
      <c r="AA2020" s="187"/>
      <c r="AB2020" s="187"/>
      <c r="AC2020" s="187"/>
      <c r="AD2020" s="187"/>
      <c r="AE2020" s="187"/>
      <c r="AF2020" s="187"/>
    </row>
    <row r="2021" spans="1:32" ht="20.399999999999999">
      <c r="A2021" s="1495"/>
      <c r="B2021" s="3138" t="s">
        <v>773</v>
      </c>
      <c r="C2021" s="1495" t="s">
        <v>369</v>
      </c>
      <c r="D2021" s="1561" t="s">
        <v>1980</v>
      </c>
      <c r="E2021" s="1559" t="s">
        <v>1930</v>
      </c>
      <c r="F2021" s="1413">
        <v>1147</v>
      </c>
      <c r="G2021" s="2084" t="s">
        <v>3170</v>
      </c>
      <c r="H2021" s="1805"/>
      <c r="I2021" s="2181">
        <v>3000</v>
      </c>
      <c r="J2021" s="1805"/>
      <c r="K2021" s="1807"/>
      <c r="L2021" s="1805"/>
      <c r="M2021" s="2434"/>
      <c r="N2021" s="125" t="s">
        <v>1513</v>
      </c>
      <c r="O2021" s="187"/>
      <c r="P2021" s="187"/>
      <c r="Q2021" s="187"/>
      <c r="R2021" s="187"/>
      <c r="S2021" s="187"/>
      <c r="T2021" s="187"/>
      <c r="U2021" s="187"/>
      <c r="V2021" s="187"/>
      <c r="W2021" s="187"/>
      <c r="X2021" s="187"/>
      <c r="Y2021" s="187"/>
      <c r="Z2021" s="187"/>
      <c r="AA2021" s="187"/>
      <c r="AB2021" s="187"/>
      <c r="AC2021" s="187"/>
      <c r="AD2021" s="187"/>
      <c r="AE2021" s="187"/>
      <c r="AF2021" s="187"/>
    </row>
    <row r="2022" spans="1:32" ht="20.399999999999999">
      <c r="A2022" s="683"/>
      <c r="B2022" s="3136" t="s">
        <v>773</v>
      </c>
      <c r="C2022" s="683" t="s">
        <v>369</v>
      </c>
      <c r="D2022" s="719" t="s">
        <v>1980</v>
      </c>
      <c r="E2022" s="1406" t="s">
        <v>1930</v>
      </c>
      <c r="F2022" s="1698">
        <v>1210</v>
      </c>
      <c r="G2022" s="1691" t="s">
        <v>402</v>
      </c>
      <c r="H2022" s="1692">
        <v>13094</v>
      </c>
      <c r="I2022" s="1692"/>
      <c r="J2022" s="1684">
        <v>11480</v>
      </c>
      <c r="K2022" s="1685"/>
      <c r="L2022" s="1692">
        <v>14229.585727000567</v>
      </c>
      <c r="M2022" s="706"/>
      <c r="N2022" s="125"/>
      <c r="O2022" s="187"/>
      <c r="P2022" s="187"/>
      <c r="Q2022" s="187"/>
      <c r="R2022" s="187"/>
      <c r="S2022" s="187"/>
      <c r="T2022" s="187"/>
      <c r="U2022" s="187"/>
      <c r="V2022" s="187"/>
      <c r="W2022" s="187"/>
      <c r="X2022" s="187"/>
      <c r="Y2022" s="187"/>
      <c r="Z2022" s="187"/>
      <c r="AA2022" s="187"/>
      <c r="AB2022" s="187"/>
      <c r="AC2022" s="187"/>
      <c r="AD2022" s="187"/>
      <c r="AE2022" s="187"/>
      <c r="AF2022" s="187"/>
    </row>
    <row r="2023" spans="1:32" ht="20.399999999999999">
      <c r="A2023" s="663"/>
      <c r="B2023" s="3130" t="s">
        <v>773</v>
      </c>
      <c r="C2023" s="663" t="s">
        <v>369</v>
      </c>
      <c r="D2023" s="678" t="s">
        <v>1980</v>
      </c>
      <c r="E2023" s="1407" t="s">
        <v>1930</v>
      </c>
      <c r="F2023" s="1413">
        <v>1210</v>
      </c>
      <c r="G2023" s="818" t="s">
        <v>5171</v>
      </c>
      <c r="H2023" s="1683"/>
      <c r="I2023" s="2164">
        <v>8094</v>
      </c>
      <c r="J2023" s="1684" t="s">
        <v>1134</v>
      </c>
      <c r="K2023" s="1685"/>
      <c r="L2023" s="1683"/>
      <c r="M2023" s="2436">
        <v>8423.2276074116035</v>
      </c>
      <c r="N2023" s="125"/>
      <c r="O2023" s="187"/>
      <c r="P2023" s="187"/>
      <c r="Q2023" s="187"/>
      <c r="R2023" s="187"/>
      <c r="S2023" s="187"/>
      <c r="T2023" s="187"/>
      <c r="U2023" s="187"/>
      <c r="V2023" s="187"/>
      <c r="W2023" s="187"/>
      <c r="X2023" s="187"/>
      <c r="Y2023" s="187"/>
      <c r="Z2023" s="187"/>
      <c r="AA2023" s="187"/>
      <c r="AB2023" s="187"/>
      <c r="AC2023" s="187"/>
      <c r="AD2023" s="187"/>
      <c r="AE2023" s="187"/>
      <c r="AF2023" s="187"/>
    </row>
    <row r="2024" spans="1:32" ht="20.399999999999999">
      <c r="A2024" s="663"/>
      <c r="B2024" s="3130" t="s">
        <v>773</v>
      </c>
      <c r="C2024" s="663" t="s">
        <v>369</v>
      </c>
      <c r="D2024" s="678" t="s">
        <v>1980</v>
      </c>
      <c r="E2024" s="1407" t="s">
        <v>1930</v>
      </c>
      <c r="F2024" s="1413">
        <v>1210</v>
      </c>
      <c r="G2024" s="818" t="s">
        <v>5172</v>
      </c>
      <c r="H2024" s="1683"/>
      <c r="I2024" s="2164">
        <v>5000</v>
      </c>
      <c r="J2024" s="1684" t="s">
        <v>1134</v>
      </c>
      <c r="K2024" s="1685"/>
      <c r="L2024" s="1683"/>
      <c r="M2024" s="2436">
        <v>5806.3581195889637</v>
      </c>
      <c r="N2024" s="125"/>
      <c r="O2024" s="187"/>
      <c r="P2024" s="187"/>
      <c r="Q2024" s="187"/>
      <c r="R2024" s="187"/>
      <c r="S2024" s="187"/>
      <c r="T2024" s="187"/>
      <c r="U2024" s="187"/>
      <c r="V2024" s="187"/>
      <c r="W2024" s="187"/>
      <c r="X2024" s="187"/>
      <c r="Y2024" s="187"/>
      <c r="Z2024" s="187"/>
      <c r="AA2024" s="187"/>
      <c r="AB2024" s="187"/>
      <c r="AC2024" s="187"/>
      <c r="AD2024" s="187"/>
      <c r="AE2024" s="187"/>
      <c r="AF2024" s="187"/>
    </row>
    <row r="2025" spans="1:32" ht="30.6">
      <c r="A2025" s="683"/>
      <c r="B2025" s="3136" t="s">
        <v>773</v>
      </c>
      <c r="C2025" s="683" t="s">
        <v>369</v>
      </c>
      <c r="D2025" s="719" t="s">
        <v>1980</v>
      </c>
      <c r="E2025" s="1406" t="s">
        <v>1930</v>
      </c>
      <c r="F2025" s="1698">
        <v>1221</v>
      </c>
      <c r="G2025" s="1691" t="s">
        <v>150</v>
      </c>
      <c r="H2025" s="1692">
        <v>4289</v>
      </c>
      <c r="I2025" s="1692"/>
      <c r="J2025" s="1684">
        <v>4289</v>
      </c>
      <c r="K2025" s="1685"/>
      <c r="L2025" s="1692">
        <v>5012.8988591309981</v>
      </c>
      <c r="M2025" s="706"/>
      <c r="N2025" s="125"/>
      <c r="O2025" s="187"/>
      <c r="P2025" s="187"/>
      <c r="Q2025" s="187"/>
      <c r="R2025" s="187"/>
      <c r="S2025" s="187"/>
      <c r="T2025" s="187"/>
      <c r="U2025" s="187"/>
      <c r="V2025" s="187"/>
      <c r="W2025" s="187"/>
      <c r="X2025" s="187"/>
      <c r="Y2025" s="187"/>
      <c r="Z2025" s="187"/>
      <c r="AA2025" s="187"/>
      <c r="AB2025" s="187"/>
      <c r="AC2025" s="187"/>
      <c r="AD2025" s="187"/>
      <c r="AE2025" s="187"/>
      <c r="AF2025" s="187"/>
    </row>
    <row r="2026" spans="1:32" ht="20.399999999999999">
      <c r="A2026" s="663"/>
      <c r="B2026" s="3130" t="s">
        <v>773</v>
      </c>
      <c r="C2026" s="663" t="s">
        <v>369</v>
      </c>
      <c r="D2026" s="678" t="s">
        <v>1980</v>
      </c>
      <c r="E2026" s="1407" t="s">
        <v>1930</v>
      </c>
      <c r="F2026" s="1413">
        <v>1221</v>
      </c>
      <c r="G2026" s="818" t="s">
        <v>5173</v>
      </c>
      <c r="H2026" s="1683"/>
      <c r="I2026" s="2164">
        <v>4289</v>
      </c>
      <c r="J2026" s="1684" t="s">
        <v>1134</v>
      </c>
      <c r="K2026" s="1685"/>
      <c r="L2026" s="1683"/>
      <c r="M2026" s="2438">
        <v>5012.8988591309981</v>
      </c>
      <c r="N2026" s="125"/>
      <c r="O2026" s="187"/>
      <c r="P2026" s="187"/>
      <c r="Q2026" s="187"/>
      <c r="R2026" s="187"/>
      <c r="S2026" s="187"/>
      <c r="T2026" s="187"/>
      <c r="U2026" s="187"/>
      <c r="V2026" s="187"/>
      <c r="W2026" s="187"/>
      <c r="X2026" s="187"/>
      <c r="Y2026" s="187"/>
      <c r="Z2026" s="187"/>
      <c r="AA2026" s="187"/>
      <c r="AB2026" s="187"/>
      <c r="AC2026" s="187"/>
      <c r="AD2026" s="187"/>
      <c r="AE2026" s="187"/>
      <c r="AF2026" s="187"/>
    </row>
    <row r="2027" spans="1:32" ht="20.399999999999999">
      <c r="A2027" s="683"/>
      <c r="B2027" s="3136" t="s">
        <v>773</v>
      </c>
      <c r="C2027" s="683" t="s">
        <v>369</v>
      </c>
      <c r="D2027" s="719" t="s">
        <v>1980</v>
      </c>
      <c r="E2027" s="1406" t="s">
        <v>1930</v>
      </c>
      <c r="F2027" s="1698">
        <v>2112</v>
      </c>
      <c r="G2027" s="1691" t="s">
        <v>1043</v>
      </c>
      <c r="H2027" s="1692">
        <v>120</v>
      </c>
      <c r="I2027" s="1692"/>
      <c r="J2027" s="1684">
        <v>120</v>
      </c>
      <c r="K2027" s="1685"/>
      <c r="L2027" s="1692">
        <v>0</v>
      </c>
      <c r="M2027" s="1692"/>
      <c r="N2027" s="125"/>
      <c r="O2027" s="187"/>
      <c r="P2027" s="187"/>
      <c r="Q2027" s="187"/>
      <c r="R2027" s="187"/>
      <c r="S2027" s="187"/>
      <c r="T2027" s="187"/>
      <c r="U2027" s="187"/>
      <c r="V2027" s="187"/>
      <c r="W2027" s="187"/>
      <c r="X2027" s="187"/>
      <c r="Y2027" s="187"/>
      <c r="Z2027" s="187"/>
      <c r="AA2027" s="187"/>
      <c r="AB2027" s="187"/>
      <c r="AC2027" s="187"/>
      <c r="AD2027" s="187"/>
      <c r="AE2027" s="187"/>
      <c r="AF2027" s="187"/>
    </row>
    <row r="2028" spans="1:32" ht="20.399999999999999">
      <c r="A2028" s="663"/>
      <c r="B2028" s="3130" t="s">
        <v>773</v>
      </c>
      <c r="C2028" s="663" t="s">
        <v>369</v>
      </c>
      <c r="D2028" s="678" t="s">
        <v>1980</v>
      </c>
      <c r="E2028" s="1407" t="s">
        <v>1930</v>
      </c>
      <c r="F2028" s="1413">
        <v>2112</v>
      </c>
      <c r="G2028" s="2165" t="s">
        <v>3274</v>
      </c>
      <c r="H2028" s="1683"/>
      <c r="I2028" s="2164">
        <v>120</v>
      </c>
      <c r="J2028" s="1684" t="s">
        <v>1134</v>
      </c>
      <c r="K2028" s="1685"/>
      <c r="L2028" s="1683"/>
      <c r="M2028" s="2164"/>
      <c r="N2028" s="125"/>
      <c r="O2028" s="187"/>
      <c r="P2028" s="187"/>
      <c r="Q2028" s="187"/>
      <c r="R2028" s="187"/>
      <c r="S2028" s="187"/>
      <c r="T2028" s="187"/>
      <c r="U2028" s="187"/>
      <c r="V2028" s="187"/>
      <c r="W2028" s="187"/>
      <c r="X2028" s="187"/>
      <c r="Y2028" s="187"/>
      <c r="Z2028" s="187"/>
      <c r="AA2028" s="187"/>
      <c r="AB2028" s="187"/>
      <c r="AC2028" s="187"/>
      <c r="AD2028" s="187"/>
      <c r="AE2028" s="187"/>
      <c r="AF2028" s="187"/>
    </row>
    <row r="2029" spans="1:32">
      <c r="A2029" s="683"/>
      <c r="B2029" s="3136" t="s">
        <v>772</v>
      </c>
      <c r="C2029" s="683" t="s">
        <v>369</v>
      </c>
      <c r="D2029" s="719" t="s">
        <v>1980</v>
      </c>
      <c r="E2029" s="1406" t="s">
        <v>1930</v>
      </c>
      <c r="F2029" s="1698">
        <v>2210</v>
      </c>
      <c r="G2029" s="1691" t="s">
        <v>731</v>
      </c>
      <c r="H2029" s="1692"/>
      <c r="I2029" s="1692"/>
      <c r="J2029" s="1684"/>
      <c r="K2029" s="1685"/>
      <c r="L2029" s="1692">
        <v>583</v>
      </c>
      <c r="M2029" s="1692"/>
      <c r="N2029" s="125"/>
      <c r="O2029" s="187"/>
      <c r="P2029" s="187"/>
      <c r="Q2029" s="187"/>
      <c r="R2029" s="187"/>
      <c r="S2029" s="187"/>
      <c r="T2029" s="187"/>
      <c r="U2029" s="187"/>
      <c r="V2029" s="187"/>
      <c r="W2029" s="187"/>
      <c r="X2029" s="187"/>
      <c r="Y2029" s="187"/>
      <c r="Z2029" s="187"/>
      <c r="AA2029" s="187"/>
      <c r="AB2029" s="187"/>
      <c r="AC2029" s="187"/>
      <c r="AD2029" s="187"/>
      <c r="AE2029" s="187"/>
      <c r="AF2029" s="187"/>
    </row>
    <row r="2030" spans="1:32">
      <c r="A2030" s="663"/>
      <c r="B2030" s="3130" t="s">
        <v>772</v>
      </c>
      <c r="C2030" s="663" t="s">
        <v>369</v>
      </c>
      <c r="D2030" s="678" t="s">
        <v>1980</v>
      </c>
      <c r="E2030" s="1407" t="s">
        <v>1930</v>
      </c>
      <c r="F2030" s="1413">
        <v>2210</v>
      </c>
      <c r="G2030" s="3114" t="s">
        <v>5222</v>
      </c>
      <c r="H2030" s="1683"/>
      <c r="I2030" s="2164"/>
      <c r="J2030" s="1684"/>
      <c r="K2030" s="1685"/>
      <c r="L2030" s="1683"/>
      <c r="M2030" s="2164">
        <v>583</v>
      </c>
      <c r="N2030" s="574" t="s">
        <v>4141</v>
      </c>
      <c r="O2030" s="187"/>
      <c r="P2030" s="187"/>
      <c r="Q2030" s="187"/>
      <c r="R2030" s="187"/>
      <c r="S2030" s="187"/>
      <c r="T2030" s="187"/>
      <c r="U2030" s="187"/>
      <c r="V2030" s="187"/>
      <c r="W2030" s="187"/>
      <c r="X2030" s="187"/>
      <c r="Y2030" s="187"/>
      <c r="Z2030" s="187"/>
      <c r="AA2030" s="187"/>
      <c r="AB2030" s="187"/>
      <c r="AC2030" s="187"/>
      <c r="AD2030" s="187"/>
      <c r="AE2030" s="187"/>
      <c r="AF2030" s="187"/>
    </row>
    <row r="2031" spans="1:32">
      <c r="A2031" s="683"/>
      <c r="B2031" s="3136" t="s">
        <v>772</v>
      </c>
      <c r="C2031" s="683" t="s">
        <v>322</v>
      </c>
      <c r="D2031" s="719" t="s">
        <v>1980</v>
      </c>
      <c r="E2031" s="1406" t="s">
        <v>1930</v>
      </c>
      <c r="F2031" s="1698">
        <v>2233</v>
      </c>
      <c r="G2031" s="1691" t="s">
        <v>145</v>
      </c>
      <c r="H2031" s="1692">
        <v>1090</v>
      </c>
      <c r="I2031" s="1692"/>
      <c r="J2031" s="1684">
        <v>497</v>
      </c>
      <c r="K2031" s="1685"/>
      <c r="L2031" s="1692">
        <v>1540</v>
      </c>
      <c r="M2031" s="1692"/>
      <c r="N2031" s="125"/>
      <c r="O2031" s="4"/>
      <c r="P2031" s="4"/>
      <c r="Q2031" s="4"/>
      <c r="R2031" s="4"/>
      <c r="S2031" s="4"/>
      <c r="T2031" s="4"/>
      <c r="U2031" s="4"/>
      <c r="V2031" s="4"/>
      <c r="W2031" s="4"/>
      <c r="X2031" s="4"/>
      <c r="Y2031" s="4"/>
      <c r="Z2031" s="4"/>
      <c r="AA2031" s="4"/>
      <c r="AB2031" s="4"/>
      <c r="AC2031" s="4"/>
      <c r="AD2031" s="4"/>
      <c r="AE2031" s="4"/>
      <c r="AF2031" s="4"/>
    </row>
    <row r="2032" spans="1:32" ht="40.799999999999997">
      <c r="A2032" s="663"/>
      <c r="B2032" s="3130" t="s">
        <v>772</v>
      </c>
      <c r="C2032" s="663" t="s">
        <v>322</v>
      </c>
      <c r="D2032" s="678" t="s">
        <v>1980</v>
      </c>
      <c r="E2032" s="1407" t="s">
        <v>1930</v>
      </c>
      <c r="F2032" s="1413">
        <v>2233</v>
      </c>
      <c r="G2032" s="2163" t="s">
        <v>4150</v>
      </c>
      <c r="H2032" s="1683"/>
      <c r="I2032" s="2164">
        <v>1210</v>
      </c>
      <c r="J2032" s="1684" t="s">
        <v>1134</v>
      </c>
      <c r="K2032" s="1685"/>
      <c r="L2032" s="1683"/>
      <c r="M2032" s="2164">
        <v>1540</v>
      </c>
      <c r="N2032" s="125"/>
      <c r="O2032" s="187"/>
      <c r="P2032" s="187"/>
      <c r="Q2032" s="187"/>
      <c r="R2032" s="187"/>
      <c r="S2032" s="187"/>
      <c r="T2032" s="187"/>
      <c r="U2032" s="187"/>
      <c r="V2032" s="187"/>
      <c r="W2032" s="187"/>
      <c r="X2032" s="187"/>
      <c r="Y2032" s="187"/>
      <c r="Z2032" s="187"/>
      <c r="AA2032" s="187"/>
      <c r="AB2032" s="187"/>
      <c r="AC2032" s="187"/>
      <c r="AD2032" s="187"/>
      <c r="AE2032" s="187"/>
      <c r="AF2032" s="187"/>
    </row>
    <row r="2033" spans="1:32" ht="20.399999999999999">
      <c r="A2033" s="603"/>
      <c r="B2033" s="3130" t="s">
        <v>772</v>
      </c>
      <c r="C2033" s="663" t="s">
        <v>322</v>
      </c>
      <c r="D2033" s="678" t="s">
        <v>1980</v>
      </c>
      <c r="E2033" s="1407" t="s">
        <v>1930</v>
      </c>
      <c r="F2033" s="1413">
        <v>2233</v>
      </c>
      <c r="G2033" s="2165" t="s">
        <v>3274</v>
      </c>
      <c r="H2033" s="1713"/>
      <c r="I2033" s="2166">
        <v>-120</v>
      </c>
      <c r="J2033" s="1684" t="s">
        <v>1134</v>
      </c>
      <c r="K2033" s="1918"/>
      <c r="L2033" s="1713"/>
      <c r="M2033" s="2166"/>
      <c r="N2033" s="125"/>
      <c r="O2033" s="4"/>
      <c r="P2033" s="4"/>
      <c r="Q2033" s="4"/>
      <c r="R2033" s="4"/>
      <c r="S2033" s="4"/>
      <c r="T2033" s="4"/>
      <c r="U2033" s="4"/>
      <c r="V2033" s="4"/>
      <c r="W2033" s="4"/>
      <c r="X2033" s="4"/>
      <c r="Y2033" s="4"/>
      <c r="Z2033" s="4"/>
      <c r="AA2033" s="4"/>
      <c r="AB2033" s="4"/>
      <c r="AC2033" s="4"/>
      <c r="AD2033" s="4"/>
      <c r="AE2033" s="4"/>
      <c r="AF2033" s="4"/>
    </row>
    <row r="2034" spans="1:32">
      <c r="A2034" s="683"/>
      <c r="B2034" s="3136" t="s">
        <v>772</v>
      </c>
      <c r="C2034" s="683" t="s">
        <v>322</v>
      </c>
      <c r="D2034" s="719" t="s">
        <v>1980</v>
      </c>
      <c r="E2034" s="1406" t="s">
        <v>1930</v>
      </c>
      <c r="F2034" s="1698">
        <v>2235</v>
      </c>
      <c r="G2034" s="1691" t="s">
        <v>931</v>
      </c>
      <c r="H2034" s="1692">
        <v>303</v>
      </c>
      <c r="I2034" s="1692"/>
      <c r="J2034" s="1684">
        <v>302.5</v>
      </c>
      <c r="K2034" s="1685"/>
      <c r="L2034" s="1692">
        <v>0</v>
      </c>
      <c r="M2034" s="1692"/>
      <c r="N2034" s="125"/>
      <c r="O2034" s="187"/>
      <c r="P2034" s="187"/>
      <c r="Q2034" s="187"/>
      <c r="R2034" s="187"/>
      <c r="S2034" s="187"/>
      <c r="T2034" s="187"/>
      <c r="U2034" s="187"/>
      <c r="V2034" s="187"/>
      <c r="W2034" s="187"/>
      <c r="X2034" s="187"/>
      <c r="Y2034" s="187"/>
      <c r="Z2034" s="187"/>
      <c r="AA2034" s="187"/>
      <c r="AB2034" s="187"/>
      <c r="AC2034" s="187"/>
      <c r="AD2034" s="187"/>
      <c r="AE2034" s="187"/>
      <c r="AF2034" s="187"/>
    </row>
    <row r="2035" spans="1:32" ht="20.399999999999999">
      <c r="A2035" s="663"/>
      <c r="B2035" s="3130" t="s">
        <v>772</v>
      </c>
      <c r="C2035" s="663" t="s">
        <v>322</v>
      </c>
      <c r="D2035" s="678" t="s">
        <v>1980</v>
      </c>
      <c r="E2035" s="1407" t="s">
        <v>1930</v>
      </c>
      <c r="F2035" s="1413">
        <v>2235</v>
      </c>
      <c r="G2035" s="2167" t="s">
        <v>3177</v>
      </c>
      <c r="H2035" s="1683"/>
      <c r="I2035" s="2164">
        <v>303</v>
      </c>
      <c r="J2035" s="1684" t="s">
        <v>1134</v>
      </c>
      <c r="K2035" s="1685"/>
      <c r="L2035" s="1683"/>
      <c r="M2035" s="2164"/>
      <c r="N2035" s="125"/>
      <c r="O2035" s="4"/>
      <c r="P2035" s="4"/>
      <c r="Q2035" s="4"/>
      <c r="R2035" s="4"/>
      <c r="S2035" s="4"/>
      <c r="T2035" s="4"/>
      <c r="U2035" s="4"/>
      <c r="V2035" s="4"/>
      <c r="W2035" s="4"/>
      <c r="X2035" s="4"/>
      <c r="Y2035" s="4"/>
      <c r="Z2035" s="4"/>
      <c r="AA2035" s="4"/>
      <c r="AB2035" s="4"/>
      <c r="AC2035" s="4"/>
      <c r="AD2035" s="4"/>
      <c r="AE2035" s="4"/>
      <c r="AF2035" s="4"/>
    </row>
    <row r="2036" spans="1:32">
      <c r="A2036" s="683"/>
      <c r="B2036" s="3136" t="s">
        <v>772</v>
      </c>
      <c r="C2036" s="683" t="s">
        <v>322</v>
      </c>
      <c r="D2036" s="719" t="s">
        <v>1980</v>
      </c>
      <c r="E2036" s="1406" t="s">
        <v>1930</v>
      </c>
      <c r="F2036" s="1698">
        <v>2239</v>
      </c>
      <c r="G2036" s="1691" t="s">
        <v>1017</v>
      </c>
      <c r="H2036" s="1692">
        <v>2814</v>
      </c>
      <c r="I2036" s="1692"/>
      <c r="J2036" s="1684">
        <v>2027</v>
      </c>
      <c r="K2036" s="1685"/>
      <c r="L2036" s="1692">
        <v>4810</v>
      </c>
      <c r="M2036" s="1692"/>
      <c r="N2036" s="125"/>
      <c r="O2036" s="187"/>
      <c r="P2036" s="187"/>
      <c r="Q2036" s="187"/>
      <c r="R2036" s="187"/>
      <c r="S2036" s="187"/>
      <c r="T2036" s="187"/>
      <c r="U2036" s="187"/>
      <c r="V2036" s="187"/>
      <c r="W2036" s="187"/>
      <c r="X2036" s="187"/>
      <c r="Y2036" s="187"/>
      <c r="Z2036" s="187"/>
      <c r="AA2036" s="187"/>
      <c r="AB2036" s="187"/>
      <c r="AC2036" s="187"/>
      <c r="AD2036" s="187"/>
      <c r="AE2036" s="187"/>
      <c r="AF2036" s="187"/>
    </row>
    <row r="2037" spans="1:32" ht="40.799999999999997">
      <c r="A2037" s="663" t="s">
        <v>1154</v>
      </c>
      <c r="B2037" s="3130" t="s">
        <v>772</v>
      </c>
      <c r="C2037" s="663" t="s">
        <v>322</v>
      </c>
      <c r="D2037" s="678" t="s">
        <v>1980</v>
      </c>
      <c r="E2037" s="1407" t="s">
        <v>1930</v>
      </c>
      <c r="F2037" s="1413">
        <v>2239</v>
      </c>
      <c r="G2037" s="2172" t="s">
        <v>4149</v>
      </c>
      <c r="H2037" s="1683"/>
      <c r="I2037" s="2164">
        <v>3000</v>
      </c>
      <c r="J2037" s="1684" t="s">
        <v>1134</v>
      </c>
      <c r="K2037" s="1685"/>
      <c r="L2037" s="1683"/>
      <c r="M2037" s="2164">
        <v>3400</v>
      </c>
      <c r="N2037" s="125"/>
      <c r="O2037" s="187"/>
      <c r="P2037" s="187"/>
      <c r="Q2037" s="187"/>
      <c r="R2037" s="187"/>
      <c r="S2037" s="187"/>
      <c r="T2037" s="187"/>
      <c r="U2037" s="187"/>
      <c r="V2037" s="187"/>
      <c r="W2037" s="187"/>
      <c r="X2037" s="187"/>
      <c r="Y2037" s="187"/>
      <c r="Z2037" s="187"/>
      <c r="AA2037" s="187"/>
      <c r="AB2037" s="187"/>
      <c r="AC2037" s="187"/>
      <c r="AD2037" s="187"/>
      <c r="AE2037" s="187"/>
      <c r="AF2037" s="187"/>
    </row>
    <row r="2038" spans="1:32" ht="20.399999999999999">
      <c r="A2038" s="663" t="s">
        <v>1154</v>
      </c>
      <c r="B2038" s="3130" t="s">
        <v>772</v>
      </c>
      <c r="C2038" s="663" t="s">
        <v>322</v>
      </c>
      <c r="D2038" s="678" t="s">
        <v>1980</v>
      </c>
      <c r="E2038" s="1407" t="s">
        <v>1930</v>
      </c>
      <c r="F2038" s="1413">
        <v>2239</v>
      </c>
      <c r="G2038" s="2167" t="s">
        <v>3177</v>
      </c>
      <c r="H2038" s="1713"/>
      <c r="I2038" s="2166">
        <v>-303</v>
      </c>
      <c r="J2038" s="1684" t="s">
        <v>1134</v>
      </c>
      <c r="K2038" s="1918"/>
      <c r="L2038" s="1713"/>
      <c r="M2038" s="2166"/>
      <c r="N2038" s="125"/>
      <c r="O2038" s="187"/>
      <c r="P2038" s="187"/>
      <c r="Q2038" s="187"/>
      <c r="R2038" s="187"/>
      <c r="S2038" s="187"/>
      <c r="T2038" s="187"/>
      <c r="U2038" s="187"/>
      <c r="V2038" s="187"/>
      <c r="W2038" s="187"/>
      <c r="X2038" s="187"/>
      <c r="Y2038" s="187"/>
      <c r="Z2038" s="187"/>
      <c r="AA2038" s="187"/>
      <c r="AB2038" s="187"/>
      <c r="AC2038" s="187"/>
      <c r="AD2038" s="187"/>
      <c r="AE2038" s="187"/>
      <c r="AF2038" s="187"/>
    </row>
    <row r="2039" spans="1:32" ht="40.799999999999997">
      <c r="A2039" s="663" t="s">
        <v>1155</v>
      </c>
      <c r="B2039" s="3130" t="s">
        <v>772</v>
      </c>
      <c r="C2039" s="663" t="s">
        <v>322</v>
      </c>
      <c r="D2039" s="678" t="s">
        <v>1980</v>
      </c>
      <c r="E2039" s="1407" t="s">
        <v>1930</v>
      </c>
      <c r="F2039" s="1413">
        <v>2239</v>
      </c>
      <c r="G2039" s="2163" t="s">
        <v>4150</v>
      </c>
      <c r="H2039" s="1683"/>
      <c r="I2039" s="2164">
        <v>200</v>
      </c>
      <c r="J2039" s="1684" t="s">
        <v>1134</v>
      </c>
      <c r="K2039" s="1685"/>
      <c r="L2039" s="1683"/>
      <c r="M2039" s="2164">
        <v>300</v>
      </c>
      <c r="N2039" s="125"/>
      <c r="O2039" s="187"/>
      <c r="P2039" s="187"/>
      <c r="Q2039" s="187"/>
      <c r="R2039" s="187"/>
      <c r="S2039" s="187"/>
      <c r="T2039" s="187"/>
      <c r="U2039" s="187"/>
      <c r="V2039" s="187"/>
      <c r="W2039" s="187"/>
      <c r="X2039" s="187"/>
      <c r="Y2039" s="187"/>
      <c r="Z2039" s="187"/>
      <c r="AA2039" s="187"/>
      <c r="AB2039" s="187"/>
      <c r="AC2039" s="187"/>
      <c r="AD2039" s="187"/>
      <c r="AE2039" s="187"/>
      <c r="AF2039" s="187"/>
    </row>
    <row r="2040" spans="1:32" ht="20.399999999999999">
      <c r="A2040" s="663" t="s">
        <v>902</v>
      </c>
      <c r="B2040" s="3130" t="s">
        <v>772</v>
      </c>
      <c r="C2040" s="663" t="s">
        <v>322</v>
      </c>
      <c r="D2040" s="678" t="s">
        <v>1980</v>
      </c>
      <c r="E2040" s="1407" t="s">
        <v>1930</v>
      </c>
      <c r="F2040" s="1413">
        <v>2239</v>
      </c>
      <c r="G2040" s="2163" t="s">
        <v>4147</v>
      </c>
      <c r="H2040" s="1683"/>
      <c r="I2040" s="2164">
        <v>510</v>
      </c>
      <c r="J2040" s="1684" t="s">
        <v>1134</v>
      </c>
      <c r="K2040" s="1685"/>
      <c r="L2040" s="1683"/>
      <c r="M2040" s="2164">
        <v>1000</v>
      </c>
      <c r="N2040" s="125"/>
      <c r="O2040" s="187"/>
      <c r="P2040" s="187"/>
      <c r="Q2040" s="187"/>
      <c r="R2040" s="187"/>
      <c r="S2040" s="187"/>
      <c r="T2040" s="187"/>
      <c r="U2040" s="187"/>
      <c r="V2040" s="187"/>
      <c r="W2040" s="187"/>
      <c r="X2040" s="187"/>
      <c r="Y2040" s="187"/>
      <c r="Z2040" s="187"/>
      <c r="AA2040" s="187"/>
      <c r="AB2040" s="187"/>
      <c r="AC2040" s="187"/>
      <c r="AD2040" s="187"/>
      <c r="AE2040" s="187"/>
      <c r="AF2040" s="187"/>
    </row>
    <row r="2041" spans="1:32" ht="40.799999999999997">
      <c r="A2041" s="2168"/>
      <c r="B2041" s="3130" t="s">
        <v>772</v>
      </c>
      <c r="C2041" s="663" t="s">
        <v>322</v>
      </c>
      <c r="D2041" s="678" t="s">
        <v>1980</v>
      </c>
      <c r="E2041" s="1407" t="s">
        <v>1930</v>
      </c>
      <c r="F2041" s="1413">
        <v>2239</v>
      </c>
      <c r="G2041" s="2177" t="s">
        <v>4152</v>
      </c>
      <c r="H2041" s="2173"/>
      <c r="I2041" s="2174"/>
      <c r="J2041" s="2175"/>
      <c r="K2041" s="2176"/>
      <c r="L2041" s="2173"/>
      <c r="M2041" s="2174">
        <v>110</v>
      </c>
      <c r="N2041" s="125"/>
      <c r="O2041" s="187"/>
      <c r="P2041" s="187"/>
      <c r="Q2041" s="187"/>
      <c r="R2041" s="187"/>
      <c r="S2041" s="187"/>
      <c r="T2041" s="187"/>
      <c r="U2041" s="187"/>
      <c r="V2041" s="187"/>
      <c r="W2041" s="187"/>
      <c r="X2041" s="187"/>
      <c r="Y2041" s="187"/>
      <c r="Z2041" s="187"/>
      <c r="AA2041" s="187"/>
      <c r="AB2041" s="187"/>
      <c r="AC2041" s="187"/>
      <c r="AD2041" s="187"/>
      <c r="AE2041" s="187"/>
      <c r="AF2041" s="187"/>
    </row>
    <row r="2042" spans="1:32" ht="20.399999999999999">
      <c r="A2042" s="663" t="s">
        <v>1156</v>
      </c>
      <c r="B2042" s="3130" t="s">
        <v>772</v>
      </c>
      <c r="C2042" s="663" t="s">
        <v>322</v>
      </c>
      <c r="D2042" s="678" t="s">
        <v>1980</v>
      </c>
      <c r="E2042" s="1407" t="s">
        <v>1930</v>
      </c>
      <c r="F2042" s="1413">
        <v>2239</v>
      </c>
      <c r="G2042" s="1803" t="s">
        <v>3416</v>
      </c>
      <c r="H2042" s="1683"/>
      <c r="I2042" s="2164">
        <v>-593</v>
      </c>
      <c r="J2042" s="1684" t="s">
        <v>1134</v>
      </c>
      <c r="K2042" s="1685"/>
      <c r="L2042" s="1683"/>
      <c r="M2042" s="2164"/>
      <c r="N2042" s="125"/>
    </row>
    <row r="2043" spans="1:32">
      <c r="A2043" s="683" t="s">
        <v>465</v>
      </c>
      <c r="B2043" s="3136" t="s">
        <v>773</v>
      </c>
      <c r="C2043" s="683" t="s">
        <v>369</v>
      </c>
      <c r="D2043" s="719" t="s">
        <v>1980</v>
      </c>
      <c r="E2043" s="1406" t="s">
        <v>1930</v>
      </c>
      <c r="F2043" s="1698">
        <v>2239</v>
      </c>
      <c r="G2043" s="1691" t="s">
        <v>1017</v>
      </c>
      <c r="H2043" s="1692">
        <v>6134</v>
      </c>
      <c r="I2043" s="1692"/>
      <c r="J2043" s="1684"/>
      <c r="K2043" s="1685"/>
      <c r="L2043" s="1692">
        <v>13634.02</v>
      </c>
      <c r="M2043" s="1692"/>
      <c r="N2043" s="125"/>
      <c r="O2043" s="187"/>
      <c r="P2043" s="187"/>
      <c r="Q2043" s="187"/>
      <c r="R2043" s="187"/>
      <c r="S2043" s="187"/>
      <c r="T2043" s="187"/>
      <c r="U2043" s="187"/>
      <c r="V2043" s="187"/>
      <c r="W2043" s="187"/>
      <c r="X2043" s="187"/>
      <c r="Y2043" s="187"/>
      <c r="Z2043" s="187"/>
      <c r="AA2043" s="187"/>
      <c r="AB2043" s="187"/>
      <c r="AC2043" s="187"/>
      <c r="AD2043" s="187"/>
      <c r="AE2043" s="187"/>
      <c r="AF2043" s="187"/>
    </row>
    <row r="2044" spans="1:32" ht="20.399999999999999">
      <c r="A2044" s="663" t="s">
        <v>465</v>
      </c>
      <c r="B2044" s="3130" t="s">
        <v>773</v>
      </c>
      <c r="C2044" s="663" t="s">
        <v>369</v>
      </c>
      <c r="D2044" s="678" t="s">
        <v>1980</v>
      </c>
      <c r="E2044" s="1407" t="s">
        <v>1930</v>
      </c>
      <c r="F2044" s="1413">
        <v>2239</v>
      </c>
      <c r="G2044" s="818" t="s">
        <v>2311</v>
      </c>
      <c r="H2044" s="1683"/>
      <c r="I2044" s="2164">
        <v>4000</v>
      </c>
      <c r="J2044" s="1684" t="s">
        <v>1134</v>
      </c>
      <c r="K2044" s="1685"/>
      <c r="L2044" s="1683"/>
      <c r="M2044" s="2164">
        <v>4000</v>
      </c>
      <c r="N2044" s="125"/>
      <c r="O2044" s="187"/>
      <c r="P2044" s="187"/>
      <c r="Q2044" s="187"/>
      <c r="R2044" s="187"/>
      <c r="S2044" s="187"/>
      <c r="T2044" s="187"/>
      <c r="U2044" s="187"/>
      <c r="V2044" s="187"/>
      <c r="W2044" s="187"/>
      <c r="X2044" s="187"/>
      <c r="Y2044" s="187"/>
      <c r="Z2044" s="187"/>
      <c r="AA2044" s="187"/>
      <c r="AB2044" s="187"/>
      <c r="AC2044" s="187"/>
      <c r="AD2044" s="187"/>
      <c r="AE2044" s="187"/>
      <c r="AF2044" s="187"/>
    </row>
    <row r="2045" spans="1:32" ht="30.6">
      <c r="A2045" s="603"/>
      <c r="B2045" s="3130" t="s">
        <v>773</v>
      </c>
      <c r="C2045" s="663" t="s">
        <v>369</v>
      </c>
      <c r="D2045" s="678" t="s">
        <v>1980</v>
      </c>
      <c r="E2045" s="1407" t="s">
        <v>1930</v>
      </c>
      <c r="F2045" s="1413">
        <v>2239</v>
      </c>
      <c r="G2045" s="1154" t="s">
        <v>3219</v>
      </c>
      <c r="H2045" s="1130"/>
      <c r="I2045" s="1146"/>
      <c r="J2045" s="1494" t="s">
        <v>1134</v>
      </c>
      <c r="K2045" s="646"/>
      <c r="L2045" s="1115"/>
      <c r="M2045" s="3115">
        <v>9634.02</v>
      </c>
      <c r="N2045" s="125"/>
      <c r="O2045" s="187"/>
      <c r="P2045" s="187"/>
      <c r="Q2045" s="187"/>
      <c r="R2045" s="187"/>
      <c r="S2045" s="187"/>
      <c r="T2045" s="187"/>
      <c r="U2045" s="187"/>
      <c r="V2045" s="187"/>
      <c r="W2045" s="187"/>
      <c r="X2045" s="187"/>
      <c r="Y2045" s="187"/>
      <c r="Z2045" s="187"/>
      <c r="AA2045" s="187"/>
      <c r="AB2045" s="187"/>
      <c r="AC2045" s="187"/>
      <c r="AD2045" s="187"/>
      <c r="AE2045" s="187"/>
      <c r="AF2045" s="187"/>
    </row>
    <row r="2046" spans="1:32">
      <c r="A2046" s="2168"/>
      <c r="B2046" s="3130" t="s">
        <v>773</v>
      </c>
      <c r="C2046" s="663" t="s">
        <v>369</v>
      </c>
      <c r="D2046" s="678" t="s">
        <v>1980</v>
      </c>
      <c r="E2046" s="1407" t="s">
        <v>1930</v>
      </c>
      <c r="F2046" s="1413">
        <v>2239</v>
      </c>
      <c r="G2046" s="2178" t="s">
        <v>4148</v>
      </c>
      <c r="H2046" s="2173"/>
      <c r="I2046" s="2174"/>
      <c r="J2046" s="2175"/>
      <c r="K2046" s="2176"/>
      <c r="L2046" s="2173"/>
      <c r="M2046" s="2174">
        <v>0</v>
      </c>
      <c r="N2046" s="125"/>
      <c r="O2046" s="187"/>
      <c r="P2046" s="187"/>
      <c r="Q2046" s="187"/>
      <c r="R2046" s="187"/>
      <c r="S2046" s="187"/>
      <c r="T2046" s="187"/>
      <c r="U2046" s="187"/>
      <c r="V2046" s="187"/>
      <c r="W2046" s="187"/>
      <c r="X2046" s="187"/>
      <c r="Y2046" s="187"/>
      <c r="Z2046" s="187"/>
      <c r="AA2046" s="187"/>
      <c r="AB2046" s="187"/>
      <c r="AC2046" s="187"/>
      <c r="AD2046" s="187"/>
      <c r="AE2046" s="187"/>
      <c r="AF2046" s="187"/>
    </row>
    <row r="2047" spans="1:32" ht="20.399999999999999">
      <c r="A2047" s="663" t="s">
        <v>465</v>
      </c>
      <c r="B2047" s="3130" t="s">
        <v>773</v>
      </c>
      <c r="C2047" s="663" t="s">
        <v>369</v>
      </c>
      <c r="D2047" s="678" t="s">
        <v>1980</v>
      </c>
      <c r="E2047" s="1407" t="s">
        <v>1930</v>
      </c>
      <c r="F2047" s="1413">
        <v>2239</v>
      </c>
      <c r="G2047" s="818" t="s">
        <v>2312</v>
      </c>
      <c r="H2047" s="1683"/>
      <c r="I2047" s="2164">
        <v>2134</v>
      </c>
      <c r="J2047" s="1684" t="s">
        <v>1134</v>
      </c>
      <c r="K2047" s="1685"/>
      <c r="L2047" s="1683"/>
      <c r="M2047" s="2164"/>
      <c r="N2047" s="125"/>
      <c r="O2047" s="187"/>
      <c r="P2047" s="187"/>
      <c r="Q2047" s="187"/>
      <c r="R2047" s="187"/>
      <c r="S2047" s="187"/>
      <c r="T2047" s="187"/>
      <c r="U2047" s="187"/>
      <c r="V2047" s="187"/>
      <c r="W2047" s="187"/>
      <c r="X2047" s="187"/>
      <c r="Y2047" s="187"/>
      <c r="Z2047" s="187"/>
      <c r="AA2047" s="187"/>
      <c r="AB2047" s="187"/>
      <c r="AC2047" s="187"/>
      <c r="AD2047" s="187"/>
      <c r="AE2047" s="187"/>
      <c r="AF2047" s="187"/>
    </row>
    <row r="2048" spans="1:32">
      <c r="A2048" s="683"/>
      <c r="B2048" s="3136" t="s">
        <v>772</v>
      </c>
      <c r="C2048" s="683" t="s">
        <v>322</v>
      </c>
      <c r="D2048" s="719" t="s">
        <v>1980</v>
      </c>
      <c r="E2048" s="1406" t="s">
        <v>1930</v>
      </c>
      <c r="F2048" s="1698">
        <v>2264</v>
      </c>
      <c r="G2048" s="1691" t="s">
        <v>1288</v>
      </c>
      <c r="H2048" s="1692">
        <v>593</v>
      </c>
      <c r="I2048" s="1692"/>
      <c r="J2048" s="1684">
        <v>593</v>
      </c>
      <c r="K2048" s="1685"/>
      <c r="L2048" s="1692">
        <v>0</v>
      </c>
      <c r="M2048" s="1692"/>
      <c r="N2048" s="125"/>
      <c r="O2048" s="187"/>
      <c r="P2048" s="187"/>
      <c r="Q2048" s="187"/>
      <c r="R2048" s="187"/>
      <c r="S2048" s="187"/>
      <c r="T2048" s="187"/>
      <c r="U2048" s="187"/>
      <c r="V2048" s="187"/>
      <c r="W2048" s="187"/>
      <c r="X2048" s="187"/>
      <c r="Y2048" s="187"/>
      <c r="Z2048" s="187"/>
      <c r="AA2048" s="187"/>
      <c r="AB2048" s="187"/>
      <c r="AC2048" s="187"/>
      <c r="AD2048" s="187"/>
      <c r="AE2048" s="187"/>
      <c r="AF2048" s="187"/>
    </row>
    <row r="2049" spans="1:32" ht="33.75" customHeight="1">
      <c r="A2049" s="663" t="s">
        <v>1154</v>
      </c>
      <c r="B2049" s="3130" t="s">
        <v>772</v>
      </c>
      <c r="C2049" s="663" t="s">
        <v>322</v>
      </c>
      <c r="D2049" s="678" t="s">
        <v>1980</v>
      </c>
      <c r="E2049" s="1407" t="s">
        <v>1930</v>
      </c>
      <c r="F2049" s="1413">
        <v>2264</v>
      </c>
      <c r="G2049" s="1941" t="s">
        <v>3416</v>
      </c>
      <c r="H2049" s="1683"/>
      <c r="I2049" s="2164">
        <v>593</v>
      </c>
      <c r="J2049" s="1684" t="s">
        <v>1134</v>
      </c>
      <c r="K2049" s="1685"/>
      <c r="L2049" s="1683"/>
      <c r="M2049" s="2164"/>
      <c r="N2049" s="125"/>
      <c r="O2049" s="4"/>
      <c r="P2049" s="4"/>
      <c r="Q2049" s="4"/>
      <c r="R2049" s="4"/>
      <c r="S2049" s="4"/>
      <c r="T2049" s="4"/>
      <c r="U2049" s="4"/>
      <c r="V2049" s="4"/>
      <c r="W2049" s="4"/>
      <c r="X2049" s="4"/>
      <c r="Y2049" s="4"/>
      <c r="Z2049" s="4"/>
      <c r="AA2049" s="4"/>
      <c r="AB2049" s="4"/>
      <c r="AC2049" s="4"/>
      <c r="AD2049" s="4"/>
      <c r="AE2049" s="4"/>
      <c r="AF2049" s="4"/>
    </row>
    <row r="2050" spans="1:32" ht="45" customHeight="1">
      <c r="A2050" s="683"/>
      <c r="B2050" s="3136" t="s">
        <v>772</v>
      </c>
      <c r="C2050" s="683" t="s">
        <v>322</v>
      </c>
      <c r="D2050" s="719" t="s">
        <v>1980</v>
      </c>
      <c r="E2050" s="1406" t="s">
        <v>1930</v>
      </c>
      <c r="F2050" s="1698">
        <v>2311</v>
      </c>
      <c r="G2050" s="1691" t="s">
        <v>260</v>
      </c>
      <c r="H2050" s="1692">
        <v>431</v>
      </c>
      <c r="I2050" s="1692"/>
      <c r="J2050" s="1684">
        <v>0</v>
      </c>
      <c r="K2050" s="1685"/>
      <c r="L2050" s="1692">
        <v>600</v>
      </c>
      <c r="M2050" s="1692"/>
      <c r="N2050" s="125"/>
      <c r="O2050" s="4"/>
      <c r="P2050" s="4"/>
      <c r="Q2050" s="4"/>
      <c r="R2050" s="4"/>
      <c r="S2050" s="4"/>
      <c r="T2050" s="4"/>
      <c r="U2050" s="4"/>
      <c r="V2050" s="4"/>
      <c r="W2050" s="4"/>
      <c r="X2050" s="4"/>
      <c r="Y2050" s="4"/>
      <c r="Z2050" s="4"/>
      <c r="AA2050" s="4"/>
      <c r="AB2050" s="4"/>
      <c r="AC2050" s="4"/>
      <c r="AD2050" s="4"/>
      <c r="AE2050" s="4"/>
      <c r="AF2050" s="4"/>
    </row>
    <row r="2051" spans="1:32" ht="40.799999999999997">
      <c r="A2051" s="663"/>
      <c r="B2051" s="3130" t="s">
        <v>772</v>
      </c>
      <c r="C2051" s="663" t="s">
        <v>322</v>
      </c>
      <c r="D2051" s="678" t="s">
        <v>1980</v>
      </c>
      <c r="E2051" s="1407" t="s">
        <v>1930</v>
      </c>
      <c r="F2051" s="1413">
        <v>2311</v>
      </c>
      <c r="G2051" s="2172" t="s">
        <v>4149</v>
      </c>
      <c r="H2051" s="1683"/>
      <c r="I2051" s="2164">
        <v>431</v>
      </c>
      <c r="J2051" s="1684" t="s">
        <v>1134</v>
      </c>
      <c r="K2051" s="1685"/>
      <c r="L2051" s="1683"/>
      <c r="M2051" s="2164">
        <v>600</v>
      </c>
      <c r="N2051" s="125"/>
      <c r="O2051" s="4"/>
      <c r="P2051" s="4"/>
      <c r="Q2051" s="4"/>
      <c r="R2051" s="4"/>
      <c r="S2051" s="4"/>
      <c r="T2051" s="4"/>
      <c r="U2051" s="4"/>
      <c r="V2051" s="4"/>
      <c r="W2051" s="4"/>
      <c r="X2051" s="4"/>
      <c r="Y2051" s="4"/>
      <c r="Z2051" s="4"/>
      <c r="AA2051" s="4"/>
      <c r="AB2051" s="4"/>
      <c r="AC2051" s="4"/>
      <c r="AD2051" s="4"/>
      <c r="AE2051" s="4"/>
      <c r="AF2051" s="4"/>
    </row>
    <row r="2052" spans="1:32">
      <c r="A2052" s="683"/>
      <c r="B2052" s="3136" t="s">
        <v>772</v>
      </c>
      <c r="C2052" s="683" t="s">
        <v>322</v>
      </c>
      <c r="D2052" s="719" t="s">
        <v>1980</v>
      </c>
      <c r="E2052" s="1406" t="s">
        <v>1930</v>
      </c>
      <c r="F2052" s="1698">
        <v>2312</v>
      </c>
      <c r="G2052" s="1691" t="s">
        <v>207</v>
      </c>
      <c r="H2052" s="1692">
        <v>1120</v>
      </c>
      <c r="I2052" s="1692"/>
      <c r="J2052" s="1684">
        <v>19</v>
      </c>
      <c r="K2052" s="1685"/>
      <c r="L2052" s="1692">
        <v>1180</v>
      </c>
      <c r="M2052" s="1692"/>
      <c r="N2052" s="125"/>
      <c r="O2052" s="4"/>
      <c r="P2052" s="4"/>
      <c r="Q2052" s="4"/>
      <c r="R2052" s="4"/>
      <c r="S2052" s="4"/>
      <c r="T2052" s="4"/>
      <c r="U2052" s="4"/>
      <c r="V2052" s="4"/>
      <c r="W2052" s="4"/>
      <c r="X2052" s="4"/>
      <c r="Y2052" s="4"/>
      <c r="Z2052" s="4"/>
      <c r="AA2052" s="4"/>
      <c r="AB2052" s="4"/>
      <c r="AC2052" s="4"/>
      <c r="AD2052" s="4"/>
      <c r="AE2052" s="4"/>
      <c r="AF2052" s="4"/>
    </row>
    <row r="2053" spans="1:32" ht="40.799999999999997">
      <c r="A2053" s="663"/>
      <c r="B2053" s="3130" t="s">
        <v>772</v>
      </c>
      <c r="C2053" s="663" t="s">
        <v>322</v>
      </c>
      <c r="D2053" s="678" t="s">
        <v>1980</v>
      </c>
      <c r="E2053" s="1407" t="s">
        <v>1930</v>
      </c>
      <c r="F2053" s="1413">
        <v>2312</v>
      </c>
      <c r="G2053" s="2177" t="s">
        <v>4152</v>
      </c>
      <c r="H2053" s="1683"/>
      <c r="I2053" s="2164">
        <v>1120</v>
      </c>
      <c r="J2053" s="1684" t="s">
        <v>1134</v>
      </c>
      <c r="K2053" s="1685"/>
      <c r="L2053" s="1683"/>
      <c r="M2053" s="2164">
        <v>1180</v>
      </c>
      <c r="N2053" s="125"/>
      <c r="O2053" s="4"/>
      <c r="P2053" s="4"/>
      <c r="Q2053" s="4"/>
      <c r="R2053" s="4"/>
      <c r="S2053" s="4"/>
      <c r="T2053" s="4"/>
      <c r="U2053" s="4"/>
      <c r="V2053" s="4"/>
      <c r="W2053" s="4"/>
      <c r="X2053" s="4"/>
      <c r="Y2053" s="4"/>
      <c r="Z2053" s="4"/>
      <c r="AA2053" s="4"/>
      <c r="AB2053" s="4"/>
      <c r="AC2053" s="4"/>
      <c r="AD2053" s="4"/>
      <c r="AE2053" s="4"/>
      <c r="AF2053" s="4"/>
    </row>
    <row r="2054" spans="1:32" ht="20.399999999999999">
      <c r="A2054" s="683"/>
      <c r="B2054" s="3136" t="s">
        <v>772</v>
      </c>
      <c r="C2054" s="683" t="s">
        <v>322</v>
      </c>
      <c r="D2054" s="719" t="s">
        <v>1980</v>
      </c>
      <c r="E2054" s="1406" t="s">
        <v>1930</v>
      </c>
      <c r="F2054" s="1698">
        <v>2314</v>
      </c>
      <c r="G2054" s="1691" t="s">
        <v>1435</v>
      </c>
      <c r="H2054" s="1692">
        <v>3795</v>
      </c>
      <c r="I2054" s="1692"/>
      <c r="J2054" s="1684">
        <v>1328</v>
      </c>
      <c r="K2054" s="1685"/>
      <c r="L2054" s="1692">
        <v>5335</v>
      </c>
      <c r="M2054" s="1692"/>
      <c r="N2054" s="125"/>
      <c r="O2054" s="4"/>
      <c r="P2054" s="4"/>
      <c r="Q2054" s="4"/>
      <c r="R2054" s="4"/>
      <c r="S2054" s="4"/>
      <c r="T2054" s="4"/>
      <c r="U2054" s="4"/>
      <c r="V2054" s="4"/>
      <c r="W2054" s="4"/>
      <c r="X2054" s="4"/>
      <c r="Y2054" s="4"/>
      <c r="Z2054" s="4"/>
      <c r="AA2054" s="4"/>
      <c r="AB2054" s="4"/>
      <c r="AC2054" s="4"/>
      <c r="AD2054" s="4"/>
      <c r="AE2054" s="4"/>
      <c r="AF2054" s="4"/>
    </row>
    <row r="2055" spans="1:32" ht="40.799999999999997">
      <c r="A2055" s="663"/>
      <c r="B2055" s="3130" t="s">
        <v>772</v>
      </c>
      <c r="C2055" s="663" t="s">
        <v>322</v>
      </c>
      <c r="D2055" s="678" t="s">
        <v>1980</v>
      </c>
      <c r="E2055" s="1407" t="s">
        <v>1930</v>
      </c>
      <c r="F2055" s="1413">
        <v>2314</v>
      </c>
      <c r="G2055" s="2172" t="s">
        <v>4149</v>
      </c>
      <c r="H2055" s="1683"/>
      <c r="I2055" s="2164">
        <v>2665</v>
      </c>
      <c r="J2055" s="1684" t="s">
        <v>1134</v>
      </c>
      <c r="K2055" s="1685"/>
      <c r="L2055" s="1683"/>
      <c r="M2055" s="2164">
        <v>2435</v>
      </c>
      <c r="N2055" s="125"/>
      <c r="O2055" s="187"/>
      <c r="P2055" s="187"/>
      <c r="Q2055" s="187"/>
      <c r="R2055" s="187"/>
      <c r="S2055" s="187"/>
      <c r="T2055" s="187"/>
      <c r="U2055" s="187"/>
      <c r="V2055" s="187"/>
      <c r="W2055" s="187"/>
      <c r="X2055" s="187"/>
      <c r="Y2055" s="187"/>
      <c r="Z2055" s="187"/>
      <c r="AA2055" s="187"/>
      <c r="AB2055" s="187"/>
      <c r="AC2055" s="187"/>
      <c r="AD2055" s="187"/>
      <c r="AE2055" s="187"/>
      <c r="AF2055" s="187"/>
    </row>
    <row r="2056" spans="1:32" ht="20.399999999999999">
      <c r="A2056" s="663"/>
      <c r="B2056" s="3130" t="s">
        <v>772</v>
      </c>
      <c r="C2056" s="663" t="s">
        <v>322</v>
      </c>
      <c r="D2056" s="678" t="s">
        <v>1980</v>
      </c>
      <c r="E2056" s="1407" t="s">
        <v>1930</v>
      </c>
      <c r="F2056" s="1413">
        <v>2314</v>
      </c>
      <c r="G2056" s="2163" t="s">
        <v>2289</v>
      </c>
      <c r="H2056" s="1683"/>
      <c r="I2056" s="2164">
        <v>880</v>
      </c>
      <c r="J2056" s="1684" t="s">
        <v>1134</v>
      </c>
      <c r="K2056" s="1685"/>
      <c r="L2056" s="1683"/>
      <c r="M2056" s="2164">
        <v>1210</v>
      </c>
      <c r="N2056" s="125"/>
      <c r="O2056" s="4"/>
      <c r="P2056" s="4"/>
      <c r="Q2056" s="4"/>
      <c r="R2056" s="4"/>
      <c r="S2056" s="4"/>
      <c r="T2056" s="4"/>
      <c r="U2056" s="4"/>
      <c r="V2056" s="4"/>
      <c r="W2056" s="4"/>
      <c r="X2056" s="4"/>
      <c r="Y2056" s="4"/>
      <c r="Z2056" s="4"/>
      <c r="AA2056" s="4"/>
      <c r="AB2056" s="4"/>
      <c r="AC2056" s="4"/>
      <c r="AD2056" s="4"/>
      <c r="AE2056" s="4"/>
      <c r="AF2056" s="4"/>
    </row>
    <row r="2057" spans="1:32">
      <c r="A2057" s="2168"/>
      <c r="B2057" s="3130" t="s">
        <v>772</v>
      </c>
      <c r="C2057" s="663" t="s">
        <v>322</v>
      </c>
      <c r="D2057" s="678" t="s">
        <v>1980</v>
      </c>
      <c r="E2057" s="1407" t="s">
        <v>1930</v>
      </c>
      <c r="F2057" s="1413">
        <v>2314</v>
      </c>
      <c r="G2057" s="2163" t="s">
        <v>4146</v>
      </c>
      <c r="H2057" s="2173"/>
      <c r="I2057" s="2174"/>
      <c r="J2057" s="2175"/>
      <c r="K2057" s="2176"/>
      <c r="L2057" s="2173"/>
      <c r="M2057" s="2174">
        <v>820</v>
      </c>
      <c r="N2057" s="125"/>
      <c r="O2057" s="187"/>
      <c r="P2057" s="187"/>
      <c r="Q2057" s="187"/>
      <c r="R2057" s="187"/>
      <c r="S2057" s="187"/>
      <c r="T2057" s="187"/>
      <c r="U2057" s="187"/>
      <c r="V2057" s="187"/>
      <c r="W2057" s="187"/>
      <c r="X2057" s="187"/>
      <c r="Y2057" s="187"/>
      <c r="Z2057" s="187"/>
      <c r="AA2057" s="187"/>
      <c r="AB2057" s="187"/>
      <c r="AC2057" s="187"/>
      <c r="AD2057" s="187"/>
      <c r="AE2057" s="187"/>
      <c r="AF2057" s="187"/>
    </row>
    <row r="2058" spans="1:32" ht="20.399999999999999">
      <c r="A2058" s="663"/>
      <c r="B2058" s="3130" t="s">
        <v>772</v>
      </c>
      <c r="C2058" s="663" t="s">
        <v>322</v>
      </c>
      <c r="D2058" s="678" t="s">
        <v>1980</v>
      </c>
      <c r="E2058" s="1407" t="s">
        <v>1930</v>
      </c>
      <c r="F2058" s="1413">
        <v>2314</v>
      </c>
      <c r="G2058" s="1803" t="s">
        <v>4151</v>
      </c>
      <c r="H2058" s="1683"/>
      <c r="I2058" s="2164">
        <v>150</v>
      </c>
      <c r="J2058" s="1684" t="s">
        <v>1134</v>
      </c>
      <c r="K2058" s="1685"/>
      <c r="L2058" s="1683"/>
      <c r="M2058" s="2164">
        <v>350</v>
      </c>
      <c r="N2058" s="125"/>
      <c r="O2058" s="4"/>
      <c r="P2058" s="4"/>
      <c r="Q2058" s="4"/>
      <c r="R2058" s="4"/>
      <c r="S2058" s="4"/>
      <c r="T2058" s="4"/>
      <c r="U2058" s="4"/>
      <c r="V2058" s="4"/>
      <c r="W2058" s="4"/>
      <c r="X2058" s="4"/>
      <c r="Y2058" s="4"/>
      <c r="Z2058" s="4"/>
      <c r="AA2058" s="4"/>
      <c r="AB2058" s="4"/>
      <c r="AC2058" s="4"/>
      <c r="AD2058" s="4"/>
      <c r="AE2058" s="4"/>
      <c r="AF2058" s="4"/>
    </row>
    <row r="2059" spans="1:32" ht="40.799999999999997">
      <c r="A2059" s="663"/>
      <c r="B2059" s="3130" t="s">
        <v>772</v>
      </c>
      <c r="C2059" s="663" t="s">
        <v>322</v>
      </c>
      <c r="D2059" s="678" t="s">
        <v>1980</v>
      </c>
      <c r="E2059" s="1407" t="s">
        <v>1930</v>
      </c>
      <c r="F2059" s="1413">
        <v>2314</v>
      </c>
      <c r="G2059" s="2178" t="s">
        <v>4152</v>
      </c>
      <c r="H2059" s="1683"/>
      <c r="I2059" s="2164">
        <v>300</v>
      </c>
      <c r="J2059" s="1684" t="s">
        <v>1134</v>
      </c>
      <c r="K2059" s="1685"/>
      <c r="L2059" s="1683"/>
      <c r="M2059" s="2164">
        <v>520</v>
      </c>
      <c r="N2059" s="125"/>
      <c r="O2059" s="187"/>
      <c r="P2059" s="187"/>
      <c r="Q2059" s="187"/>
      <c r="R2059" s="187"/>
      <c r="S2059" s="187"/>
      <c r="T2059" s="187"/>
      <c r="U2059" s="187"/>
      <c r="V2059" s="187"/>
      <c r="W2059" s="187"/>
      <c r="X2059" s="187"/>
      <c r="Y2059" s="187"/>
      <c r="Z2059" s="187"/>
      <c r="AA2059" s="187"/>
      <c r="AB2059" s="187"/>
      <c r="AC2059" s="187"/>
    </row>
    <row r="2060" spans="1:32" ht="20.399999999999999">
      <c r="A2060" s="1669"/>
      <c r="B2060" s="3130" t="s">
        <v>772</v>
      </c>
      <c r="C2060" s="663" t="s">
        <v>322</v>
      </c>
      <c r="D2060" s="678" t="s">
        <v>1980</v>
      </c>
      <c r="E2060" s="1407" t="s">
        <v>1930</v>
      </c>
      <c r="F2060" s="1413">
        <v>2314</v>
      </c>
      <c r="G2060" s="2179" t="s">
        <v>4142</v>
      </c>
      <c r="H2060" s="1700"/>
      <c r="I2060" s="2180">
        <v>-200</v>
      </c>
      <c r="J2060" s="1701"/>
      <c r="K2060" s="1702"/>
      <c r="L2060" s="1700"/>
      <c r="M2060" s="2180"/>
      <c r="N2060" s="125"/>
      <c r="O2060" s="4"/>
      <c r="P2060" s="4"/>
      <c r="Q2060" s="4"/>
      <c r="R2060" s="4"/>
      <c r="S2060" s="4"/>
      <c r="T2060" s="4"/>
      <c r="U2060" s="4"/>
      <c r="V2060" s="4"/>
      <c r="W2060" s="4"/>
      <c r="X2060" s="4"/>
      <c r="Y2060" s="4"/>
      <c r="Z2060" s="4"/>
      <c r="AA2060" s="4"/>
      <c r="AB2060" s="4"/>
      <c r="AC2060" s="4"/>
      <c r="AD2060" s="4"/>
      <c r="AE2060" s="4"/>
      <c r="AF2060" s="4"/>
    </row>
    <row r="2061" spans="1:32">
      <c r="A2061" s="683"/>
      <c r="B2061" s="3136" t="s">
        <v>772</v>
      </c>
      <c r="C2061" s="683" t="s">
        <v>322</v>
      </c>
      <c r="D2061" s="719" t="s">
        <v>1980</v>
      </c>
      <c r="E2061" s="1406" t="s">
        <v>1930</v>
      </c>
      <c r="F2061" s="1698">
        <v>2350</v>
      </c>
      <c r="G2061" s="1691" t="s">
        <v>1044</v>
      </c>
      <c r="H2061" s="1692">
        <v>360</v>
      </c>
      <c r="I2061" s="1692"/>
      <c r="J2061" s="1684">
        <v>267</v>
      </c>
      <c r="K2061" s="1685"/>
      <c r="L2061" s="1692">
        <v>655</v>
      </c>
      <c r="M2061" s="1692"/>
      <c r="N2061" s="125"/>
      <c r="O2061" s="187"/>
      <c r="P2061" s="187"/>
      <c r="Q2061" s="187"/>
      <c r="R2061" s="187"/>
      <c r="S2061" s="187"/>
      <c r="T2061" s="187"/>
      <c r="U2061" s="187"/>
      <c r="V2061" s="187"/>
      <c r="W2061" s="187"/>
      <c r="X2061" s="187"/>
      <c r="Y2061" s="187"/>
      <c r="Z2061" s="187"/>
      <c r="AA2061" s="187"/>
      <c r="AB2061" s="187"/>
      <c r="AC2061" s="187"/>
      <c r="AD2061" s="187"/>
      <c r="AE2061" s="187"/>
      <c r="AF2061" s="187"/>
    </row>
    <row r="2062" spans="1:32" ht="40.799999999999997">
      <c r="A2062" s="663"/>
      <c r="B2062" s="3130" t="s">
        <v>772</v>
      </c>
      <c r="C2062" s="663" t="s">
        <v>322</v>
      </c>
      <c r="D2062" s="678" t="s">
        <v>1980</v>
      </c>
      <c r="E2062" s="1407" t="s">
        <v>1930</v>
      </c>
      <c r="F2062" s="1413">
        <v>2350</v>
      </c>
      <c r="G2062" s="2178" t="s">
        <v>4152</v>
      </c>
      <c r="H2062" s="1683"/>
      <c r="I2062" s="2164">
        <v>160</v>
      </c>
      <c r="J2062" s="1684" t="s">
        <v>1134</v>
      </c>
      <c r="K2062" s="1685"/>
      <c r="L2062" s="1683"/>
      <c r="M2062" s="2164">
        <v>655</v>
      </c>
      <c r="N2062" s="125"/>
      <c r="O2062" s="187"/>
      <c r="P2062" s="187"/>
      <c r="Q2062" s="187"/>
      <c r="R2062" s="187"/>
      <c r="S2062" s="187"/>
      <c r="T2062" s="187"/>
      <c r="U2062" s="187"/>
      <c r="V2062" s="187"/>
      <c r="W2062" s="187"/>
      <c r="X2062" s="187"/>
      <c r="Y2062" s="187"/>
      <c r="Z2062" s="187"/>
      <c r="AA2062" s="187"/>
      <c r="AB2062" s="187"/>
      <c r="AC2062" s="187"/>
      <c r="AD2062" s="187"/>
      <c r="AE2062" s="187"/>
      <c r="AF2062" s="187"/>
    </row>
    <row r="2063" spans="1:32" ht="20.399999999999999">
      <c r="A2063" s="1669"/>
      <c r="B2063" s="3130" t="s">
        <v>772</v>
      </c>
      <c r="C2063" s="663" t="s">
        <v>322</v>
      </c>
      <c r="D2063" s="678" t="s">
        <v>1980</v>
      </c>
      <c r="E2063" s="1407" t="s">
        <v>1930</v>
      </c>
      <c r="F2063" s="1413">
        <v>2350</v>
      </c>
      <c r="G2063" s="2179" t="s">
        <v>4142</v>
      </c>
      <c r="H2063" s="1700"/>
      <c r="I2063" s="2180">
        <v>200</v>
      </c>
      <c r="J2063" s="1701"/>
      <c r="K2063" s="1702"/>
      <c r="L2063" s="1700"/>
      <c r="M2063" s="2180"/>
      <c r="N2063" s="125"/>
      <c r="O2063" s="187"/>
      <c r="P2063" s="187"/>
      <c r="Q2063" s="187"/>
      <c r="R2063" s="187"/>
      <c r="S2063" s="187"/>
      <c r="T2063" s="187"/>
      <c r="U2063" s="187"/>
      <c r="V2063" s="187"/>
      <c r="W2063" s="187"/>
      <c r="X2063" s="187"/>
      <c r="Y2063" s="187"/>
      <c r="Z2063" s="187"/>
      <c r="AA2063" s="187"/>
      <c r="AB2063" s="187"/>
      <c r="AC2063" s="187"/>
      <c r="AD2063" s="187"/>
      <c r="AE2063" s="187"/>
      <c r="AF2063" s="187"/>
    </row>
    <row r="2064" spans="1:32">
      <c r="A2064" s="683"/>
      <c r="B2064" s="3136" t="s">
        <v>773</v>
      </c>
      <c r="C2064" s="683" t="s">
        <v>322</v>
      </c>
      <c r="D2064" s="719" t="s">
        <v>1980</v>
      </c>
      <c r="E2064" s="720" t="s">
        <v>1930</v>
      </c>
      <c r="F2064" s="824">
        <v>5238</v>
      </c>
      <c r="G2064" s="800" t="s">
        <v>139</v>
      </c>
      <c r="H2064" s="706">
        <v>3329</v>
      </c>
      <c r="I2064" s="706"/>
      <c r="J2064" s="1654">
        <v>3329</v>
      </c>
      <c r="K2064" s="792"/>
      <c r="L2064" s="706">
        <v>2800</v>
      </c>
      <c r="M2064" s="706"/>
      <c r="N2064" s="125"/>
      <c r="O2064" s="187"/>
      <c r="P2064" s="187"/>
      <c r="Q2064" s="187"/>
      <c r="R2064" s="187"/>
      <c r="S2064" s="187"/>
      <c r="T2064" s="187"/>
      <c r="U2064" s="187"/>
      <c r="V2064" s="187"/>
      <c r="W2064" s="187"/>
      <c r="X2064" s="187"/>
      <c r="Y2064" s="187"/>
      <c r="Z2064" s="187"/>
      <c r="AA2064" s="187"/>
      <c r="AB2064" s="187"/>
      <c r="AC2064" s="187"/>
      <c r="AD2064" s="187"/>
      <c r="AE2064" s="187"/>
      <c r="AF2064" s="187"/>
    </row>
    <row r="2065" spans="1:32" ht="20.399999999999999">
      <c r="A2065" s="663"/>
      <c r="B2065" s="3130" t="s">
        <v>773</v>
      </c>
      <c r="C2065" s="663" t="s">
        <v>322</v>
      </c>
      <c r="D2065" s="678" t="s">
        <v>1980</v>
      </c>
      <c r="E2065" s="700" t="s">
        <v>1930</v>
      </c>
      <c r="F2065" s="795">
        <v>5238</v>
      </c>
      <c r="G2065" s="2182" t="s">
        <v>4154</v>
      </c>
      <c r="H2065" s="701"/>
      <c r="I2065" s="715">
        <v>3329</v>
      </c>
      <c r="J2065" s="1654" t="s">
        <v>1134</v>
      </c>
      <c r="K2065" s="792"/>
      <c r="L2065" s="701"/>
      <c r="M2065" s="715">
        <v>2800</v>
      </c>
      <c r="N2065" s="125"/>
      <c r="O2065" s="187"/>
      <c r="P2065" s="187"/>
      <c r="Q2065" s="187"/>
      <c r="R2065" s="187"/>
      <c r="S2065" s="187"/>
      <c r="T2065" s="187"/>
      <c r="U2065" s="187"/>
      <c r="V2065" s="187"/>
      <c r="W2065" s="187"/>
      <c r="X2065" s="187"/>
      <c r="Y2065" s="187"/>
      <c r="Z2065" s="187"/>
      <c r="AA2065" s="187"/>
      <c r="AB2065" s="187"/>
      <c r="AC2065" s="187"/>
      <c r="AD2065" s="187"/>
      <c r="AE2065" s="187"/>
      <c r="AF2065" s="187"/>
    </row>
    <row r="2066" spans="1:32">
      <c r="A2066" s="683"/>
      <c r="B2066" s="3129" t="s">
        <v>365</v>
      </c>
      <c r="C2066" s="683" t="s">
        <v>323</v>
      </c>
      <c r="D2066" s="719" t="s">
        <v>1980</v>
      </c>
      <c r="E2066" s="836" t="s">
        <v>1931</v>
      </c>
      <c r="F2066" s="685">
        <v>1119</v>
      </c>
      <c r="G2066" s="686" t="s">
        <v>777</v>
      </c>
      <c r="H2066" s="689">
        <v>0</v>
      </c>
      <c r="I2066" s="689"/>
      <c r="J2066" s="1494" t="s">
        <v>1134</v>
      </c>
      <c r="K2066" s="667"/>
      <c r="L2066" s="687">
        <v>0</v>
      </c>
      <c r="M2066" s="687"/>
      <c r="N2066" s="125"/>
      <c r="O2066" s="187"/>
      <c r="P2066" s="187"/>
      <c r="Q2066" s="187"/>
      <c r="R2066" s="187"/>
      <c r="S2066" s="187"/>
      <c r="T2066" s="187"/>
      <c r="U2066" s="187"/>
      <c r="V2066" s="187"/>
      <c r="W2066" s="187"/>
      <c r="X2066" s="187"/>
      <c r="Y2066" s="187"/>
      <c r="Z2066" s="187"/>
      <c r="AA2066" s="187"/>
      <c r="AB2066" s="187"/>
      <c r="AC2066" s="187"/>
      <c r="AD2066" s="187"/>
      <c r="AE2066" s="187"/>
      <c r="AF2066" s="187"/>
    </row>
    <row r="2067" spans="1:32" ht="30.6">
      <c r="A2067" s="663"/>
      <c r="B2067" s="3130" t="s">
        <v>365</v>
      </c>
      <c r="C2067" s="663" t="s">
        <v>323</v>
      </c>
      <c r="D2067" s="678" t="s">
        <v>1980</v>
      </c>
      <c r="E2067" s="839" t="s">
        <v>1931</v>
      </c>
      <c r="F2067" s="679">
        <v>1119</v>
      </c>
      <c r="G2067" s="665" t="s">
        <v>2923</v>
      </c>
      <c r="H2067" s="660"/>
      <c r="I2067" s="726"/>
      <c r="J2067" s="1494" t="s">
        <v>1134</v>
      </c>
      <c r="K2067" s="667"/>
      <c r="L2067" s="659"/>
      <c r="M2067" s="695"/>
      <c r="N2067" s="125"/>
      <c r="O2067" s="187"/>
      <c r="P2067" s="187"/>
      <c r="Q2067" s="187"/>
      <c r="R2067" s="187"/>
      <c r="S2067" s="187"/>
      <c r="T2067" s="187"/>
      <c r="U2067" s="187"/>
      <c r="V2067" s="187"/>
      <c r="W2067" s="187"/>
      <c r="X2067" s="187"/>
      <c r="Y2067" s="187"/>
      <c r="Z2067" s="187"/>
      <c r="AA2067" s="187"/>
      <c r="AB2067" s="187"/>
      <c r="AC2067" s="187"/>
      <c r="AD2067" s="187"/>
      <c r="AE2067" s="187"/>
      <c r="AF2067" s="187"/>
    </row>
    <row r="2068" spans="1:32">
      <c r="A2068" s="663"/>
      <c r="B2068" s="3130" t="s">
        <v>365</v>
      </c>
      <c r="C2068" s="663" t="s">
        <v>323</v>
      </c>
      <c r="D2068" s="678" t="s">
        <v>1980</v>
      </c>
      <c r="E2068" s="839" t="s">
        <v>1931</v>
      </c>
      <c r="F2068" s="679">
        <v>1119</v>
      </c>
      <c r="G2068" s="665" t="s">
        <v>1851</v>
      </c>
      <c r="H2068" s="660"/>
      <c r="I2068" s="726"/>
      <c r="J2068" s="1494" t="s">
        <v>1134</v>
      </c>
      <c r="K2068" s="667"/>
      <c r="L2068" s="659"/>
      <c r="M2068" s="695"/>
      <c r="N2068" s="125"/>
      <c r="O2068" s="187"/>
      <c r="P2068" s="187"/>
      <c r="Q2068" s="187"/>
      <c r="R2068" s="187"/>
      <c r="S2068" s="187"/>
      <c r="T2068" s="187"/>
      <c r="U2068" s="187"/>
      <c r="V2068" s="187"/>
      <c r="W2068" s="187"/>
      <c r="X2068" s="187"/>
      <c r="Y2068" s="187"/>
      <c r="Z2068" s="187"/>
      <c r="AA2068" s="187"/>
      <c r="AB2068" s="187"/>
      <c r="AC2068" s="187"/>
      <c r="AD2068" s="187"/>
      <c r="AE2068" s="187"/>
      <c r="AF2068" s="187"/>
    </row>
    <row r="2069" spans="1:32">
      <c r="A2069" s="683"/>
      <c r="B2069" s="3129" t="s">
        <v>365</v>
      </c>
      <c r="C2069" s="683" t="s">
        <v>323</v>
      </c>
      <c r="D2069" s="719" t="s">
        <v>1980</v>
      </c>
      <c r="E2069" s="840" t="s">
        <v>1931</v>
      </c>
      <c r="F2069" s="685">
        <v>1210</v>
      </c>
      <c r="G2069" s="686" t="s">
        <v>803</v>
      </c>
      <c r="H2069" s="689"/>
      <c r="I2069" s="689"/>
      <c r="J2069" s="1494" t="s">
        <v>1134</v>
      </c>
      <c r="K2069" s="667"/>
      <c r="L2069" s="687"/>
      <c r="M2069" s="687"/>
      <c r="N2069" s="125"/>
      <c r="O2069" s="187"/>
      <c r="P2069" s="187"/>
      <c r="Q2069" s="187"/>
      <c r="R2069" s="187"/>
      <c r="S2069" s="187"/>
      <c r="T2069" s="187"/>
      <c r="U2069" s="187"/>
      <c r="V2069" s="187"/>
      <c r="W2069" s="187"/>
      <c r="X2069" s="187"/>
      <c r="Y2069" s="187"/>
      <c r="Z2069" s="187"/>
      <c r="AA2069" s="187"/>
      <c r="AB2069" s="187"/>
      <c r="AC2069" s="187"/>
      <c r="AD2069" s="187"/>
      <c r="AE2069" s="187"/>
      <c r="AF2069" s="187"/>
    </row>
    <row r="2070" spans="1:32" ht="20.399999999999999">
      <c r="A2070" s="663"/>
      <c r="B2070" s="3130" t="s">
        <v>365</v>
      </c>
      <c r="C2070" s="663" t="s">
        <v>323</v>
      </c>
      <c r="D2070" s="678" t="s">
        <v>1980</v>
      </c>
      <c r="E2070" s="839" t="s">
        <v>1931</v>
      </c>
      <c r="F2070" s="679">
        <v>1210</v>
      </c>
      <c r="G2070" s="665" t="s">
        <v>802</v>
      </c>
      <c r="H2070" s="660"/>
      <c r="I2070" s="726"/>
      <c r="J2070" s="1494" t="s">
        <v>1134</v>
      </c>
      <c r="K2070" s="667"/>
      <c r="L2070" s="659"/>
      <c r="M2070" s="695"/>
      <c r="N2070" s="125"/>
      <c r="O2070" s="187"/>
      <c r="P2070" s="187"/>
      <c r="Q2070" s="187"/>
      <c r="R2070" s="187"/>
      <c r="S2070" s="187"/>
      <c r="T2070" s="187"/>
      <c r="U2070" s="187"/>
      <c r="V2070" s="187"/>
      <c r="W2070" s="187"/>
      <c r="X2070" s="187"/>
      <c r="Y2070" s="187"/>
      <c r="Z2070" s="187"/>
      <c r="AA2070" s="187"/>
      <c r="AB2070" s="187"/>
      <c r="AC2070" s="187"/>
      <c r="AD2070" s="187"/>
      <c r="AE2070" s="187"/>
      <c r="AF2070" s="187"/>
    </row>
    <row r="2071" spans="1:32" ht="20.399999999999999">
      <c r="A2071" s="683"/>
      <c r="B2071" s="3129" t="s">
        <v>365</v>
      </c>
      <c r="C2071" s="683" t="s">
        <v>323</v>
      </c>
      <c r="D2071" s="719" t="s">
        <v>1980</v>
      </c>
      <c r="E2071" s="840" t="s">
        <v>1931</v>
      </c>
      <c r="F2071" s="685">
        <v>1221</v>
      </c>
      <c r="G2071" s="686" t="s">
        <v>804</v>
      </c>
      <c r="H2071" s="689"/>
      <c r="I2071" s="689"/>
      <c r="J2071" s="1494" t="s">
        <v>1134</v>
      </c>
      <c r="K2071" s="667"/>
      <c r="L2071" s="687"/>
      <c r="M2071" s="687"/>
      <c r="N2071" s="7"/>
      <c r="O2071" s="187"/>
      <c r="P2071" s="187"/>
      <c r="Q2071" s="187"/>
      <c r="R2071" s="187"/>
      <c r="S2071" s="187"/>
      <c r="T2071" s="187"/>
      <c r="U2071" s="187"/>
      <c r="V2071" s="187"/>
      <c r="W2071" s="187"/>
      <c r="X2071" s="187"/>
      <c r="Y2071" s="187"/>
      <c r="Z2071" s="187"/>
      <c r="AA2071" s="187"/>
      <c r="AB2071" s="187"/>
      <c r="AC2071" s="187"/>
      <c r="AD2071" s="187"/>
      <c r="AE2071" s="187"/>
    </row>
    <row r="2072" spans="1:32" ht="20.399999999999999">
      <c r="A2072" s="663"/>
      <c r="B2072" s="3130" t="s">
        <v>365</v>
      </c>
      <c r="C2072" s="663" t="s">
        <v>323</v>
      </c>
      <c r="D2072" s="678" t="s">
        <v>1980</v>
      </c>
      <c r="E2072" s="839" t="s">
        <v>1931</v>
      </c>
      <c r="F2072" s="679">
        <v>1221</v>
      </c>
      <c r="G2072" s="665" t="s">
        <v>802</v>
      </c>
      <c r="H2072" s="660"/>
      <c r="I2072" s="726"/>
      <c r="J2072" s="1494" t="s">
        <v>1134</v>
      </c>
      <c r="K2072" s="667"/>
      <c r="L2072" s="659"/>
      <c r="M2072" s="695"/>
      <c r="N2072" s="125"/>
      <c r="O2072" s="187"/>
      <c r="P2072" s="187"/>
      <c r="Q2072" s="187"/>
      <c r="R2072" s="187"/>
      <c r="S2072" s="187"/>
      <c r="T2072" s="187"/>
      <c r="U2072" s="187"/>
      <c r="V2072" s="187"/>
      <c r="W2072" s="187"/>
      <c r="X2072" s="187"/>
      <c r="Y2072" s="187"/>
      <c r="Z2072" s="187"/>
      <c r="AA2072" s="187"/>
      <c r="AB2072" s="187"/>
      <c r="AC2072" s="187"/>
      <c r="AD2072" s="187"/>
      <c r="AE2072" s="187"/>
    </row>
    <row r="2073" spans="1:32" ht="30.6">
      <c r="A2073" s="683"/>
      <c r="B2073" s="3129" t="s">
        <v>365</v>
      </c>
      <c r="C2073" s="683" t="s">
        <v>323</v>
      </c>
      <c r="D2073" s="719" t="s">
        <v>1980</v>
      </c>
      <c r="E2073" s="840" t="s">
        <v>1931</v>
      </c>
      <c r="F2073" s="685">
        <v>2239</v>
      </c>
      <c r="G2073" s="686" t="s">
        <v>122</v>
      </c>
      <c r="H2073" s="689"/>
      <c r="I2073" s="689"/>
      <c r="J2073" s="1494" t="s">
        <v>1134</v>
      </c>
      <c r="K2073" s="667"/>
      <c r="L2073" s="687"/>
      <c r="M2073" s="687"/>
      <c r="N2073" s="125"/>
      <c r="O2073" s="187"/>
      <c r="P2073" s="187"/>
      <c r="Q2073" s="187"/>
      <c r="R2073" s="187"/>
      <c r="S2073" s="187"/>
      <c r="T2073" s="187"/>
      <c r="U2073" s="187"/>
      <c r="V2073" s="187"/>
      <c r="W2073" s="187"/>
      <c r="X2073" s="187"/>
      <c r="Y2073" s="187"/>
      <c r="Z2073" s="187"/>
      <c r="AA2073" s="187"/>
      <c r="AB2073" s="187"/>
      <c r="AC2073" s="187"/>
      <c r="AD2073" s="187"/>
      <c r="AE2073" s="187"/>
    </row>
    <row r="2074" spans="1:32" ht="20.399999999999999">
      <c r="A2074" s="663"/>
      <c r="B2074" s="3130" t="s">
        <v>365</v>
      </c>
      <c r="C2074" s="663" t="s">
        <v>323</v>
      </c>
      <c r="D2074" s="678" t="s">
        <v>1980</v>
      </c>
      <c r="E2074" s="839" t="s">
        <v>1931</v>
      </c>
      <c r="F2074" s="679">
        <v>2239</v>
      </c>
      <c r="G2074" s="665" t="s">
        <v>802</v>
      </c>
      <c r="H2074" s="660"/>
      <c r="I2074" s="726"/>
      <c r="J2074" s="1494" t="s">
        <v>1134</v>
      </c>
      <c r="K2074" s="667"/>
      <c r="L2074" s="659"/>
      <c r="M2074" s="695"/>
      <c r="N2074" s="125"/>
      <c r="O2074" s="187"/>
      <c r="P2074" s="187"/>
      <c r="Q2074" s="187"/>
      <c r="R2074" s="187"/>
      <c r="S2074" s="187"/>
      <c r="T2074" s="187"/>
      <c r="U2074" s="187"/>
      <c r="V2074" s="187"/>
      <c r="W2074" s="187"/>
      <c r="X2074" s="187"/>
      <c r="Y2074" s="187"/>
      <c r="Z2074" s="187"/>
      <c r="AA2074" s="187"/>
      <c r="AB2074" s="187"/>
      <c r="AC2074" s="187"/>
      <c r="AD2074" s="187"/>
      <c r="AE2074" s="187"/>
      <c r="AF2074" s="187"/>
    </row>
    <row r="2075" spans="1:32">
      <c r="A2075" s="683"/>
      <c r="B2075" s="3129" t="s">
        <v>365</v>
      </c>
      <c r="C2075" s="683" t="s">
        <v>323</v>
      </c>
      <c r="D2075" s="719" t="s">
        <v>1980</v>
      </c>
      <c r="E2075" s="742" t="s">
        <v>2992</v>
      </c>
      <c r="F2075" s="685">
        <v>1147</v>
      </c>
      <c r="G2075" s="686" t="s">
        <v>428</v>
      </c>
      <c r="H2075" s="689">
        <v>2600</v>
      </c>
      <c r="I2075" s="689"/>
      <c r="J2075" s="1494">
        <v>1273.27</v>
      </c>
      <c r="K2075" s="667"/>
      <c r="L2075" s="689">
        <v>1214.0004280281576</v>
      </c>
      <c r="M2075" s="689"/>
      <c r="N2075" s="125"/>
      <c r="O2075" s="187"/>
      <c r="P2075" s="187"/>
      <c r="Q2075" s="187"/>
      <c r="R2075" s="187"/>
      <c r="S2075" s="187"/>
      <c r="T2075" s="187"/>
      <c r="U2075" s="187"/>
      <c r="V2075" s="187"/>
      <c r="W2075" s="187"/>
      <c r="X2075" s="187"/>
      <c r="Y2075" s="187"/>
      <c r="Z2075" s="187"/>
      <c r="AA2075" s="187"/>
      <c r="AB2075" s="187"/>
      <c r="AC2075" s="187"/>
      <c r="AD2075" s="187"/>
      <c r="AE2075" s="187"/>
    </row>
    <row r="2076" spans="1:32" ht="20.399999999999999">
      <c r="A2076" s="663"/>
      <c r="B2076" s="3130" t="s">
        <v>365</v>
      </c>
      <c r="C2076" s="663" t="s">
        <v>323</v>
      </c>
      <c r="D2076" s="678" t="s">
        <v>1980</v>
      </c>
      <c r="E2076" s="700" t="s">
        <v>2992</v>
      </c>
      <c r="F2076" s="679">
        <v>1147</v>
      </c>
      <c r="G2076" s="665" t="s">
        <v>3062</v>
      </c>
      <c r="H2076" s="660"/>
      <c r="I2076" s="726">
        <v>600</v>
      </c>
      <c r="J2076" s="1494" t="s">
        <v>1134</v>
      </c>
      <c r="K2076" s="667"/>
      <c r="L2076" s="660"/>
      <c r="M2076" s="3116">
        <v>1214.0004280281576</v>
      </c>
      <c r="N2076" s="125"/>
      <c r="O2076" s="187"/>
      <c r="P2076" s="187"/>
      <c r="Q2076" s="187"/>
      <c r="R2076" s="187"/>
      <c r="S2076" s="187"/>
      <c r="T2076" s="187"/>
      <c r="U2076" s="187"/>
      <c r="V2076" s="187"/>
      <c r="W2076" s="187"/>
      <c r="X2076" s="187"/>
      <c r="Y2076" s="187"/>
      <c r="Z2076" s="187"/>
      <c r="AA2076" s="187"/>
      <c r="AB2076" s="187"/>
      <c r="AC2076" s="187"/>
      <c r="AD2076" s="187"/>
      <c r="AE2076" s="187"/>
      <c r="AF2076" s="187"/>
    </row>
    <row r="2077" spans="1:32" ht="20.399999999999999">
      <c r="A2077" s="663"/>
      <c r="B2077" s="3130" t="s">
        <v>365</v>
      </c>
      <c r="C2077" s="663" t="s">
        <v>323</v>
      </c>
      <c r="D2077" s="678" t="s">
        <v>1980</v>
      </c>
      <c r="E2077" s="700" t="s">
        <v>2992</v>
      </c>
      <c r="F2077" s="679">
        <v>1147</v>
      </c>
      <c r="G2077" s="665" t="s">
        <v>3178</v>
      </c>
      <c r="H2077" s="660"/>
      <c r="I2077" s="726">
        <v>1000</v>
      </c>
      <c r="J2077" s="1494" t="s">
        <v>1134</v>
      </c>
      <c r="K2077" s="667"/>
      <c r="L2077" s="660"/>
      <c r="M2077" s="726"/>
      <c r="N2077" s="125"/>
      <c r="O2077" s="187"/>
      <c r="P2077" s="187"/>
      <c r="Q2077" s="187"/>
      <c r="R2077" s="187"/>
      <c r="S2077" s="187"/>
      <c r="T2077" s="187"/>
      <c r="U2077" s="187"/>
      <c r="V2077" s="187"/>
      <c r="W2077" s="187"/>
      <c r="X2077" s="187"/>
      <c r="Y2077" s="187"/>
      <c r="Z2077" s="187"/>
      <c r="AA2077" s="187"/>
      <c r="AB2077" s="187"/>
      <c r="AC2077" s="187"/>
      <c r="AD2077" s="187"/>
      <c r="AE2077" s="187"/>
      <c r="AF2077" s="187"/>
    </row>
    <row r="2078" spans="1:32" ht="20.399999999999999">
      <c r="A2078" s="663"/>
      <c r="B2078" s="3130" t="s">
        <v>365</v>
      </c>
      <c r="C2078" s="663" t="s">
        <v>323</v>
      </c>
      <c r="D2078" s="678" t="s">
        <v>1980</v>
      </c>
      <c r="E2078" s="700" t="s">
        <v>2992</v>
      </c>
      <c r="F2078" s="679">
        <v>1147</v>
      </c>
      <c r="G2078" s="665" t="s">
        <v>3178</v>
      </c>
      <c r="H2078" s="660"/>
      <c r="I2078" s="726">
        <v>1000</v>
      </c>
      <c r="J2078" s="1494" t="s">
        <v>1134</v>
      </c>
      <c r="K2078" s="667"/>
      <c r="L2078" s="660"/>
      <c r="M2078" s="726"/>
      <c r="N2078" s="125"/>
      <c r="O2078" s="187"/>
      <c r="P2078" s="187"/>
      <c r="Q2078" s="187"/>
      <c r="R2078" s="187"/>
      <c r="S2078" s="187"/>
      <c r="T2078" s="187"/>
      <c r="U2078" s="187"/>
      <c r="V2078" s="187"/>
      <c r="W2078" s="187"/>
      <c r="X2078" s="187"/>
      <c r="Y2078" s="187"/>
      <c r="Z2078" s="187"/>
      <c r="AA2078" s="187"/>
      <c r="AB2078" s="187"/>
      <c r="AC2078" s="187"/>
      <c r="AD2078" s="187"/>
      <c r="AE2078" s="187"/>
      <c r="AF2078" s="187"/>
    </row>
    <row r="2079" spans="1:32" ht="51">
      <c r="A2079" s="683"/>
      <c r="B2079" s="3129" t="s">
        <v>365</v>
      </c>
      <c r="C2079" s="683" t="s">
        <v>323</v>
      </c>
      <c r="D2079" s="719" t="s">
        <v>1980</v>
      </c>
      <c r="E2079" s="742" t="s">
        <v>2992</v>
      </c>
      <c r="F2079" s="685">
        <v>1150</v>
      </c>
      <c r="G2079" s="686" t="s">
        <v>1041</v>
      </c>
      <c r="H2079" s="689">
        <v>3411</v>
      </c>
      <c r="I2079" s="689"/>
      <c r="J2079" s="1494">
        <v>350</v>
      </c>
      <c r="K2079" s="667"/>
      <c r="L2079" s="689">
        <v>0</v>
      </c>
      <c r="M2079" s="689"/>
      <c r="N2079" s="125"/>
      <c r="O2079" s="187"/>
      <c r="P2079" s="187"/>
      <c r="Q2079" s="187"/>
      <c r="R2079" s="187"/>
      <c r="S2079" s="187"/>
      <c r="T2079" s="187"/>
      <c r="U2079" s="187"/>
      <c r="V2079" s="187"/>
      <c r="W2079" s="187"/>
      <c r="X2079" s="187"/>
      <c r="Y2079" s="187"/>
      <c r="Z2079" s="187"/>
      <c r="AA2079" s="187"/>
      <c r="AB2079" s="187"/>
      <c r="AC2079" s="187"/>
      <c r="AD2079" s="187"/>
      <c r="AE2079" s="187"/>
      <c r="AF2079" s="187"/>
    </row>
    <row r="2080" spans="1:32">
      <c r="A2080" s="663"/>
      <c r="B2080" s="3130" t="s">
        <v>365</v>
      </c>
      <c r="C2080" s="663" t="s">
        <v>323</v>
      </c>
      <c r="D2080" s="678" t="s">
        <v>1980</v>
      </c>
      <c r="E2080" s="700" t="s">
        <v>2992</v>
      </c>
      <c r="F2080" s="679">
        <v>1150</v>
      </c>
      <c r="G2080" s="665" t="s">
        <v>2993</v>
      </c>
      <c r="H2080" s="660"/>
      <c r="I2080" s="726">
        <v>4289</v>
      </c>
      <c r="J2080" s="1494" t="s">
        <v>1134</v>
      </c>
      <c r="K2080" s="667"/>
      <c r="L2080" s="660"/>
      <c r="M2080" s="726"/>
      <c r="N2080" s="125"/>
      <c r="O2080" s="187"/>
      <c r="P2080" s="187"/>
      <c r="Q2080" s="187"/>
      <c r="R2080" s="187"/>
      <c r="S2080" s="187"/>
      <c r="T2080" s="187"/>
      <c r="U2080" s="187"/>
      <c r="V2080" s="187"/>
      <c r="W2080" s="187"/>
      <c r="X2080" s="187"/>
      <c r="Y2080" s="187"/>
      <c r="Z2080" s="187"/>
      <c r="AA2080" s="187"/>
      <c r="AB2080" s="187"/>
      <c r="AC2080" s="187"/>
      <c r="AD2080" s="187"/>
      <c r="AE2080" s="187"/>
      <c r="AF2080" s="187"/>
    </row>
    <row r="2081" spans="1:32" ht="20.399999999999999">
      <c r="A2081" s="663"/>
      <c r="B2081" s="3130" t="s">
        <v>365</v>
      </c>
      <c r="C2081" s="663" t="s">
        <v>323</v>
      </c>
      <c r="D2081" s="678" t="s">
        <v>1980</v>
      </c>
      <c r="E2081" s="700" t="s">
        <v>2992</v>
      </c>
      <c r="F2081" s="679">
        <v>1150</v>
      </c>
      <c r="G2081" s="665" t="s">
        <v>2994</v>
      </c>
      <c r="H2081" s="660"/>
      <c r="I2081" s="726">
        <v>1144</v>
      </c>
      <c r="J2081" s="1494" t="s">
        <v>1134</v>
      </c>
      <c r="K2081" s="667"/>
      <c r="L2081" s="660"/>
      <c r="M2081" s="726"/>
      <c r="N2081" s="125"/>
      <c r="O2081" s="187"/>
      <c r="P2081" s="187"/>
      <c r="Q2081" s="187"/>
      <c r="R2081" s="187"/>
      <c r="S2081" s="187"/>
      <c r="T2081" s="187"/>
      <c r="U2081" s="187"/>
      <c r="V2081" s="187"/>
      <c r="W2081" s="187"/>
      <c r="X2081" s="187"/>
      <c r="Y2081" s="187"/>
      <c r="Z2081" s="187"/>
      <c r="AA2081" s="187"/>
      <c r="AB2081" s="187"/>
      <c r="AC2081" s="187"/>
      <c r="AD2081" s="187"/>
      <c r="AE2081" s="187"/>
      <c r="AF2081" s="187"/>
    </row>
    <row r="2082" spans="1:32" ht="20.399999999999999">
      <c r="A2082" s="663"/>
      <c r="B2082" s="3130" t="s">
        <v>365</v>
      </c>
      <c r="C2082" s="663" t="s">
        <v>323</v>
      </c>
      <c r="D2082" s="678" t="s">
        <v>1980</v>
      </c>
      <c r="E2082" s="700" t="s">
        <v>2992</v>
      </c>
      <c r="F2082" s="679">
        <v>1150</v>
      </c>
      <c r="G2082" s="665" t="s">
        <v>2995</v>
      </c>
      <c r="H2082" s="660"/>
      <c r="I2082" s="726">
        <v>858</v>
      </c>
      <c r="J2082" s="1494" t="s">
        <v>1134</v>
      </c>
      <c r="K2082" s="667"/>
      <c r="L2082" s="660"/>
      <c r="M2082" s="726"/>
      <c r="N2082" s="50"/>
      <c r="O2082" s="187"/>
      <c r="P2082" s="187"/>
      <c r="Q2082" s="187"/>
      <c r="R2082" s="187"/>
      <c r="S2082" s="187"/>
      <c r="T2082" s="187"/>
      <c r="U2082" s="187"/>
      <c r="V2082" s="187"/>
      <c r="W2082" s="187"/>
      <c r="X2082" s="187"/>
      <c r="Y2082" s="187"/>
      <c r="Z2082" s="187"/>
      <c r="AA2082" s="187"/>
      <c r="AB2082" s="187"/>
      <c r="AC2082" s="187"/>
      <c r="AD2082" s="187"/>
      <c r="AE2082" s="187"/>
      <c r="AF2082" s="187"/>
    </row>
    <row r="2083" spans="1:32" ht="20.399999999999999">
      <c r="A2083" s="663"/>
      <c r="B2083" s="3130" t="s">
        <v>365</v>
      </c>
      <c r="C2083" s="663" t="s">
        <v>323</v>
      </c>
      <c r="D2083" s="678" t="s">
        <v>1980</v>
      </c>
      <c r="E2083" s="700" t="s">
        <v>2992</v>
      </c>
      <c r="F2083" s="679">
        <v>1150</v>
      </c>
      <c r="G2083" s="665" t="s">
        <v>3062</v>
      </c>
      <c r="H2083" s="660"/>
      <c r="I2083" s="726">
        <v>-600</v>
      </c>
      <c r="J2083" s="1494" t="s">
        <v>1134</v>
      </c>
      <c r="K2083" s="667"/>
      <c r="L2083" s="660"/>
      <c r="M2083" s="726"/>
      <c r="N2083" s="176"/>
      <c r="O2083" s="187"/>
      <c r="P2083" s="187"/>
      <c r="Q2083" s="187"/>
      <c r="R2083" s="187"/>
      <c r="S2083" s="187"/>
      <c r="T2083" s="187"/>
      <c r="U2083" s="187"/>
      <c r="V2083" s="187"/>
      <c r="W2083" s="187"/>
      <c r="X2083" s="187"/>
      <c r="Y2083" s="187"/>
      <c r="Z2083" s="187"/>
      <c r="AA2083" s="187"/>
      <c r="AB2083" s="187"/>
      <c r="AC2083" s="187"/>
      <c r="AD2083" s="187"/>
      <c r="AE2083" s="187"/>
      <c r="AF2083" s="187"/>
    </row>
    <row r="2084" spans="1:32" ht="20.399999999999999">
      <c r="A2084" s="663"/>
      <c r="B2084" s="3130" t="s">
        <v>365</v>
      </c>
      <c r="C2084" s="663" t="s">
        <v>323</v>
      </c>
      <c r="D2084" s="678" t="s">
        <v>1980</v>
      </c>
      <c r="E2084" s="700" t="s">
        <v>2992</v>
      </c>
      <c r="F2084" s="679">
        <v>1150</v>
      </c>
      <c r="G2084" s="665" t="s">
        <v>3063</v>
      </c>
      <c r="H2084" s="660"/>
      <c r="I2084" s="726">
        <v>-140</v>
      </c>
      <c r="J2084" s="1494" t="s">
        <v>1134</v>
      </c>
      <c r="K2084" s="667"/>
      <c r="L2084" s="660"/>
      <c r="M2084" s="726"/>
      <c r="N2084" s="50"/>
      <c r="O2084" s="187"/>
      <c r="P2084" s="187"/>
      <c r="Q2084" s="187"/>
      <c r="R2084" s="187"/>
      <c r="S2084" s="187"/>
      <c r="T2084" s="187"/>
      <c r="U2084" s="187"/>
      <c r="V2084" s="187"/>
      <c r="W2084" s="187"/>
      <c r="X2084" s="187"/>
      <c r="Y2084" s="187"/>
      <c r="Z2084" s="187"/>
      <c r="AA2084" s="187"/>
      <c r="AB2084" s="187"/>
      <c r="AC2084" s="187"/>
      <c r="AD2084" s="187"/>
      <c r="AE2084" s="187"/>
      <c r="AF2084" s="187"/>
    </row>
    <row r="2085" spans="1:32" ht="20.399999999999999">
      <c r="A2085" s="663"/>
      <c r="B2085" s="3130" t="s">
        <v>365</v>
      </c>
      <c r="C2085" s="663" t="s">
        <v>323</v>
      </c>
      <c r="D2085" s="678" t="s">
        <v>1980</v>
      </c>
      <c r="E2085" s="700" t="s">
        <v>2992</v>
      </c>
      <c r="F2085" s="679">
        <v>1150</v>
      </c>
      <c r="G2085" s="665" t="s">
        <v>3178</v>
      </c>
      <c r="H2085" s="660"/>
      <c r="I2085" s="726">
        <v>-1000</v>
      </c>
      <c r="J2085" s="1494" t="s">
        <v>1134</v>
      </c>
      <c r="K2085" s="667"/>
      <c r="L2085" s="660"/>
      <c r="M2085" s="726"/>
      <c r="N2085" s="176"/>
      <c r="O2085" s="187"/>
      <c r="P2085" s="187"/>
      <c r="Q2085" s="187"/>
      <c r="R2085" s="187"/>
      <c r="S2085" s="187"/>
      <c r="T2085" s="187"/>
      <c r="U2085" s="187"/>
      <c r="V2085" s="187"/>
      <c r="W2085" s="187"/>
      <c r="X2085" s="187"/>
      <c r="Y2085" s="187"/>
      <c r="Z2085" s="187"/>
      <c r="AA2085" s="187"/>
      <c r="AB2085" s="187"/>
      <c r="AC2085" s="187"/>
      <c r="AD2085" s="187"/>
      <c r="AE2085" s="187"/>
      <c r="AF2085" s="187"/>
    </row>
    <row r="2086" spans="1:32" ht="20.399999999999999">
      <c r="A2086" s="663"/>
      <c r="B2086" s="3130" t="s">
        <v>365</v>
      </c>
      <c r="C2086" s="663" t="s">
        <v>323</v>
      </c>
      <c r="D2086" s="678" t="s">
        <v>1980</v>
      </c>
      <c r="E2086" s="700" t="s">
        <v>2992</v>
      </c>
      <c r="F2086" s="679">
        <v>1150</v>
      </c>
      <c r="G2086" s="665" t="s">
        <v>3178</v>
      </c>
      <c r="H2086" s="660"/>
      <c r="I2086" s="726">
        <v>-1000</v>
      </c>
      <c r="J2086" s="1494" t="s">
        <v>1134</v>
      </c>
      <c r="K2086" s="667"/>
      <c r="L2086" s="660"/>
      <c r="M2086" s="726"/>
      <c r="N2086" s="11"/>
      <c r="O2086" s="187"/>
      <c r="P2086" s="187"/>
      <c r="Q2086" s="187"/>
      <c r="R2086" s="187"/>
      <c r="S2086" s="187"/>
      <c r="T2086" s="187"/>
      <c r="U2086" s="187"/>
      <c r="V2086" s="187"/>
      <c r="W2086" s="187"/>
      <c r="X2086" s="187"/>
      <c r="Y2086" s="187"/>
      <c r="Z2086" s="187"/>
      <c r="AA2086" s="187"/>
      <c r="AB2086" s="187"/>
      <c r="AC2086" s="187"/>
      <c r="AD2086" s="187"/>
      <c r="AE2086" s="187"/>
      <c r="AF2086" s="187"/>
    </row>
    <row r="2087" spans="1:32" ht="20.399999999999999">
      <c r="A2087" s="663"/>
      <c r="B2087" s="3130" t="s">
        <v>365</v>
      </c>
      <c r="C2087" s="663" t="s">
        <v>323</v>
      </c>
      <c r="D2087" s="678" t="s">
        <v>1980</v>
      </c>
      <c r="E2087" s="700" t="s">
        <v>2992</v>
      </c>
      <c r="F2087" s="679">
        <v>1150</v>
      </c>
      <c r="G2087" s="665" t="s">
        <v>3063</v>
      </c>
      <c r="H2087" s="660"/>
      <c r="I2087" s="726">
        <v>-140</v>
      </c>
      <c r="J2087" s="1494" t="s">
        <v>1134</v>
      </c>
      <c r="K2087" s="667"/>
      <c r="L2087" s="660"/>
      <c r="M2087" s="726"/>
      <c r="N2087" s="176"/>
      <c r="O2087" s="187"/>
      <c r="P2087" s="187"/>
      <c r="Q2087" s="187"/>
      <c r="R2087" s="187"/>
      <c r="S2087" s="187"/>
      <c r="T2087" s="187"/>
      <c r="U2087" s="187"/>
      <c r="V2087" s="187"/>
      <c r="W2087" s="187"/>
      <c r="X2087" s="187"/>
      <c r="Y2087" s="187"/>
      <c r="Z2087" s="187"/>
      <c r="AA2087" s="187"/>
      <c r="AB2087" s="187"/>
      <c r="AC2087" s="187"/>
      <c r="AD2087" s="187"/>
      <c r="AE2087" s="187"/>
      <c r="AF2087" s="187"/>
    </row>
    <row r="2088" spans="1:32" ht="20.399999999999999">
      <c r="A2088" s="683"/>
      <c r="B2088" s="3129" t="s">
        <v>365</v>
      </c>
      <c r="C2088" s="683" t="s">
        <v>323</v>
      </c>
      <c r="D2088" s="719" t="s">
        <v>1980</v>
      </c>
      <c r="E2088" s="742" t="s">
        <v>2992</v>
      </c>
      <c r="F2088" s="685">
        <v>1210</v>
      </c>
      <c r="G2088" s="686" t="s">
        <v>402</v>
      </c>
      <c r="H2088" s="689">
        <v>140</v>
      </c>
      <c r="I2088" s="689"/>
      <c r="J2088" s="1494">
        <v>249.28</v>
      </c>
      <c r="K2088" s="667"/>
      <c r="L2088" s="689">
        <v>285.99957197184244</v>
      </c>
      <c r="M2088" s="689"/>
      <c r="N2088" s="11"/>
      <c r="O2088" s="187"/>
      <c r="P2088" s="187"/>
      <c r="Q2088" s="187"/>
      <c r="R2088" s="187"/>
      <c r="S2088" s="187"/>
      <c r="T2088" s="187"/>
      <c r="U2088" s="187"/>
      <c r="V2088" s="187"/>
      <c r="W2088" s="187"/>
      <c r="X2088" s="187"/>
      <c r="Y2088" s="187"/>
      <c r="Z2088" s="187"/>
      <c r="AA2088" s="187"/>
      <c r="AB2088" s="187"/>
      <c r="AC2088" s="187"/>
      <c r="AD2088" s="187"/>
      <c r="AE2088" s="187"/>
      <c r="AF2088" s="187"/>
    </row>
    <row r="2089" spans="1:32" ht="20.399999999999999">
      <c r="A2089" s="663"/>
      <c r="B2089" s="3130" t="s">
        <v>365</v>
      </c>
      <c r="C2089" s="663" t="s">
        <v>323</v>
      </c>
      <c r="D2089" s="678" t="s">
        <v>1980</v>
      </c>
      <c r="E2089" s="700" t="s">
        <v>2992</v>
      </c>
      <c r="F2089" s="679">
        <v>1210</v>
      </c>
      <c r="G2089" s="665" t="s">
        <v>3063</v>
      </c>
      <c r="H2089" s="660"/>
      <c r="I2089" s="726">
        <v>140</v>
      </c>
      <c r="J2089" s="1494" t="s">
        <v>1134</v>
      </c>
      <c r="K2089" s="667"/>
      <c r="L2089" s="660"/>
      <c r="M2089" s="726">
        <v>285.99957197184244</v>
      </c>
      <c r="N2089" s="176"/>
      <c r="O2089" s="200"/>
      <c r="P2089" s="200"/>
      <c r="Q2089" s="200"/>
      <c r="R2089" s="200"/>
      <c r="S2089" s="200"/>
      <c r="T2089" s="200"/>
      <c r="U2089" s="200"/>
      <c r="V2089" s="200"/>
      <c r="W2089" s="200"/>
      <c r="X2089" s="200"/>
      <c r="Y2089" s="200"/>
      <c r="Z2089" s="200"/>
      <c r="AA2089" s="200"/>
      <c r="AB2089" s="200"/>
      <c r="AC2089" s="200"/>
      <c r="AD2089" s="200"/>
      <c r="AE2089" s="200"/>
      <c r="AF2089" s="200"/>
    </row>
    <row r="2090" spans="1:32" ht="30.6">
      <c r="A2090" s="683"/>
      <c r="B2090" s="3129" t="s">
        <v>365</v>
      </c>
      <c r="C2090" s="683" t="s">
        <v>323</v>
      </c>
      <c r="D2090" s="719" t="s">
        <v>1980</v>
      </c>
      <c r="E2090" s="720" t="s">
        <v>2992</v>
      </c>
      <c r="F2090" s="685">
        <v>2239</v>
      </c>
      <c r="G2090" s="686" t="s">
        <v>122</v>
      </c>
      <c r="H2090" s="689">
        <v>10131</v>
      </c>
      <c r="I2090" s="689"/>
      <c r="J2090" s="1494">
        <v>1195.19</v>
      </c>
      <c r="K2090" s="667"/>
      <c r="L2090" s="689">
        <v>6483</v>
      </c>
      <c r="M2090" s="689"/>
      <c r="N2090" s="11"/>
      <c r="O2090" s="200"/>
      <c r="P2090" s="200"/>
      <c r="Q2090" s="200"/>
      <c r="R2090" s="200"/>
      <c r="S2090" s="200"/>
      <c r="T2090" s="200"/>
      <c r="U2090" s="200"/>
      <c r="V2090" s="200"/>
      <c r="W2090" s="200"/>
      <c r="X2090" s="200"/>
      <c r="Y2090" s="200"/>
      <c r="Z2090" s="200"/>
      <c r="AA2090" s="200"/>
      <c r="AB2090" s="200"/>
      <c r="AC2090" s="200"/>
      <c r="AD2090" s="200"/>
      <c r="AE2090" s="200"/>
      <c r="AF2090" s="200"/>
    </row>
    <row r="2091" spans="1:32" ht="20.399999999999999" customHeight="1">
      <c r="A2091" s="663"/>
      <c r="B2091" s="3130" t="s">
        <v>365</v>
      </c>
      <c r="C2091" s="663" t="s">
        <v>323</v>
      </c>
      <c r="D2091" s="678" t="s">
        <v>1980</v>
      </c>
      <c r="E2091" s="700" t="s">
        <v>2992</v>
      </c>
      <c r="F2091" s="679">
        <v>2239</v>
      </c>
      <c r="G2091" s="665" t="s">
        <v>2996</v>
      </c>
      <c r="H2091" s="660"/>
      <c r="I2091" s="726">
        <v>572</v>
      </c>
      <c r="J2091" s="1494" t="s">
        <v>1134</v>
      </c>
      <c r="K2091" s="667"/>
      <c r="L2091" s="660"/>
      <c r="M2091" s="726"/>
      <c r="N2091" s="176"/>
      <c r="O2091" s="187"/>
      <c r="P2091" s="187"/>
      <c r="Q2091" s="187"/>
      <c r="R2091" s="187"/>
      <c r="S2091" s="187"/>
      <c r="T2091" s="187"/>
      <c r="U2091" s="187"/>
      <c r="V2091" s="187"/>
      <c r="W2091" s="187"/>
      <c r="X2091" s="187"/>
      <c r="Y2091" s="187"/>
      <c r="Z2091" s="187"/>
      <c r="AA2091" s="187"/>
      <c r="AB2091" s="187"/>
      <c r="AC2091" s="187"/>
      <c r="AD2091" s="187"/>
      <c r="AE2091" s="187"/>
      <c r="AF2091" s="187"/>
    </row>
    <row r="2092" spans="1:32">
      <c r="A2092" s="663"/>
      <c r="B2092" s="3130" t="s">
        <v>365</v>
      </c>
      <c r="C2092" s="663" t="s">
        <v>323</v>
      </c>
      <c r="D2092" s="678" t="s">
        <v>1980</v>
      </c>
      <c r="E2092" s="700" t="s">
        <v>2992</v>
      </c>
      <c r="F2092" s="679">
        <v>2239</v>
      </c>
      <c r="G2092" s="665" t="s">
        <v>2997</v>
      </c>
      <c r="H2092" s="660"/>
      <c r="I2092" s="726">
        <v>357</v>
      </c>
      <c r="J2092" s="1494" t="s">
        <v>1134</v>
      </c>
      <c r="K2092" s="667"/>
      <c r="L2092" s="660"/>
      <c r="M2092" s="726"/>
      <c r="N2092" s="11"/>
      <c r="O2092" s="187"/>
      <c r="P2092" s="187"/>
      <c r="Q2092" s="187"/>
      <c r="R2092" s="187"/>
      <c r="S2092" s="187"/>
      <c r="T2092" s="187"/>
      <c r="U2092" s="187"/>
      <c r="V2092" s="187"/>
      <c r="W2092" s="187"/>
      <c r="X2092" s="187"/>
      <c r="Y2092" s="187"/>
      <c r="Z2092" s="187"/>
      <c r="AA2092" s="187"/>
      <c r="AB2092" s="187"/>
      <c r="AC2092" s="187"/>
      <c r="AD2092" s="187"/>
      <c r="AE2092" s="187"/>
      <c r="AF2092" s="187"/>
    </row>
    <row r="2093" spans="1:32" ht="20.399999999999999" customHeight="1">
      <c r="A2093" s="663"/>
      <c r="B2093" s="3130" t="s">
        <v>365</v>
      </c>
      <c r="C2093" s="663" t="s">
        <v>323</v>
      </c>
      <c r="D2093" s="678" t="s">
        <v>1980</v>
      </c>
      <c r="E2093" s="700" t="s">
        <v>2992</v>
      </c>
      <c r="F2093" s="679">
        <v>2239</v>
      </c>
      <c r="G2093" s="665" t="s">
        <v>2998</v>
      </c>
      <c r="H2093" s="660"/>
      <c r="I2093" s="726">
        <v>953</v>
      </c>
      <c r="J2093" s="1494" t="s">
        <v>1134</v>
      </c>
      <c r="K2093" s="667"/>
      <c r="L2093" s="660"/>
      <c r="M2093" s="726"/>
      <c r="N2093" s="176"/>
      <c r="O2093" s="187"/>
      <c r="P2093" s="187"/>
      <c r="Q2093" s="187"/>
      <c r="R2093" s="187"/>
      <c r="S2093" s="187"/>
      <c r="T2093" s="187"/>
      <c r="U2093" s="187"/>
      <c r="V2093" s="187"/>
      <c r="W2093" s="187"/>
      <c r="X2093" s="187"/>
      <c r="Y2093" s="187"/>
      <c r="Z2093" s="187"/>
      <c r="AA2093" s="187"/>
      <c r="AB2093" s="187"/>
      <c r="AC2093" s="187"/>
      <c r="AD2093" s="187"/>
      <c r="AE2093" s="187"/>
      <c r="AF2093" s="187"/>
    </row>
    <row r="2094" spans="1:32" ht="20.399999999999999" customHeight="1">
      <c r="A2094" s="663"/>
      <c r="B2094" s="3130" t="s">
        <v>365</v>
      </c>
      <c r="C2094" s="663" t="s">
        <v>323</v>
      </c>
      <c r="D2094" s="678" t="s">
        <v>1980</v>
      </c>
      <c r="E2094" s="700" t="s">
        <v>2992</v>
      </c>
      <c r="F2094" s="679">
        <v>2239</v>
      </c>
      <c r="G2094" s="665" t="s">
        <v>2999</v>
      </c>
      <c r="H2094" s="660"/>
      <c r="I2094" s="726">
        <v>858</v>
      </c>
      <c r="J2094" s="1494" t="s">
        <v>1134</v>
      </c>
      <c r="K2094" s="667"/>
      <c r="L2094" s="660"/>
      <c r="M2094" s="726"/>
      <c r="N2094" s="176"/>
      <c r="O2094" s="4"/>
      <c r="P2094" s="4"/>
      <c r="Q2094" s="4"/>
      <c r="R2094" s="4"/>
      <c r="S2094" s="4"/>
      <c r="T2094" s="4"/>
      <c r="U2094" s="4"/>
      <c r="V2094" s="4"/>
      <c r="W2094" s="4"/>
      <c r="X2094" s="4"/>
      <c r="Y2094" s="4"/>
      <c r="Z2094" s="4"/>
      <c r="AA2094" s="4"/>
      <c r="AB2094" s="4"/>
      <c r="AC2094" s="4"/>
      <c r="AD2094" s="4"/>
      <c r="AE2094" s="4"/>
      <c r="AF2094" s="4"/>
    </row>
    <row r="2095" spans="1:32" ht="30.6">
      <c r="A2095" s="663"/>
      <c r="B2095" s="3130" t="s">
        <v>365</v>
      </c>
      <c r="C2095" s="663" t="s">
        <v>323</v>
      </c>
      <c r="D2095" s="678" t="s">
        <v>1980</v>
      </c>
      <c r="E2095" s="700" t="s">
        <v>2992</v>
      </c>
      <c r="F2095" s="679">
        <v>2239</v>
      </c>
      <c r="G2095" s="665" t="s">
        <v>3036</v>
      </c>
      <c r="H2095" s="660"/>
      <c r="I2095" s="726">
        <v>1143</v>
      </c>
      <c r="J2095" s="1494" t="s">
        <v>1134</v>
      </c>
      <c r="K2095" s="667"/>
      <c r="L2095" s="660"/>
      <c r="M2095" s="726"/>
      <c r="N2095" s="11"/>
      <c r="O2095" s="7"/>
      <c r="P2095" s="7"/>
      <c r="Q2095" s="7"/>
      <c r="R2095" s="183"/>
      <c r="S2095" s="7"/>
      <c r="T2095" s="4"/>
      <c r="U2095" s="4"/>
      <c r="V2095" s="4"/>
      <c r="W2095" s="4"/>
      <c r="X2095" s="4"/>
      <c r="Y2095" s="4"/>
      <c r="Z2095" s="4"/>
      <c r="AA2095" s="4"/>
      <c r="AB2095" s="4"/>
      <c r="AC2095" s="4"/>
      <c r="AD2095" s="4"/>
      <c r="AE2095" s="4"/>
      <c r="AF2095" s="4"/>
    </row>
    <row r="2096" spans="1:32" ht="20.399999999999999" customHeight="1">
      <c r="A2096" s="663"/>
      <c r="B2096" s="3130" t="s">
        <v>365</v>
      </c>
      <c r="C2096" s="663" t="s">
        <v>323</v>
      </c>
      <c r="D2096" s="678" t="s">
        <v>1980</v>
      </c>
      <c r="E2096" s="700" t="s">
        <v>2992</v>
      </c>
      <c r="F2096" s="679">
        <v>2239</v>
      </c>
      <c r="G2096" s="665" t="s">
        <v>3037</v>
      </c>
      <c r="H2096" s="660"/>
      <c r="I2096" s="726">
        <v>858</v>
      </c>
      <c r="J2096" s="1494" t="s">
        <v>1134</v>
      </c>
      <c r="K2096" s="667"/>
      <c r="L2096" s="660"/>
      <c r="M2096" s="726"/>
      <c r="N2096" s="176"/>
      <c r="O2096" s="187"/>
      <c r="P2096" s="187"/>
      <c r="Q2096" s="187"/>
      <c r="R2096" s="187"/>
      <c r="S2096" s="187"/>
      <c r="T2096" s="187"/>
      <c r="U2096" s="187"/>
      <c r="V2096" s="187"/>
      <c r="W2096" s="187"/>
      <c r="X2096" s="187"/>
      <c r="Y2096" s="187"/>
      <c r="Z2096" s="187"/>
      <c r="AA2096" s="187"/>
      <c r="AB2096" s="187"/>
      <c r="AC2096" s="187"/>
      <c r="AD2096" s="187"/>
      <c r="AE2096" s="187"/>
      <c r="AF2096" s="187"/>
    </row>
    <row r="2097" spans="1:32">
      <c r="A2097" s="663"/>
      <c r="B2097" s="3130" t="s">
        <v>365</v>
      </c>
      <c r="C2097" s="663" t="s">
        <v>323</v>
      </c>
      <c r="D2097" s="678" t="s">
        <v>1980</v>
      </c>
      <c r="E2097" s="700" t="s">
        <v>2992</v>
      </c>
      <c r="F2097" s="679">
        <v>2239</v>
      </c>
      <c r="G2097" s="665" t="s">
        <v>3000</v>
      </c>
      <c r="H2097" s="660"/>
      <c r="I2097" s="726">
        <v>238</v>
      </c>
      <c r="J2097" s="1494" t="s">
        <v>1134</v>
      </c>
      <c r="K2097" s="667"/>
      <c r="L2097" s="660"/>
      <c r="M2097" s="726"/>
      <c r="N2097" s="176"/>
      <c r="O2097" s="187"/>
      <c r="P2097" s="187"/>
      <c r="Q2097" s="187"/>
      <c r="R2097" s="187"/>
      <c r="S2097" s="187"/>
      <c r="T2097" s="187"/>
      <c r="U2097" s="187"/>
      <c r="V2097" s="187"/>
      <c r="W2097" s="187"/>
      <c r="X2097" s="187"/>
      <c r="Y2097" s="187"/>
      <c r="Z2097" s="187"/>
      <c r="AA2097" s="187"/>
      <c r="AB2097" s="187"/>
      <c r="AC2097" s="187"/>
      <c r="AD2097" s="187"/>
      <c r="AE2097" s="187"/>
      <c r="AF2097" s="187"/>
    </row>
    <row r="2098" spans="1:32" ht="33.75" customHeight="1">
      <c r="A2098" s="663"/>
      <c r="B2098" s="3130" t="s">
        <v>365</v>
      </c>
      <c r="C2098" s="663" t="s">
        <v>323</v>
      </c>
      <c r="D2098" s="678" t="s">
        <v>1980</v>
      </c>
      <c r="E2098" s="700" t="s">
        <v>2992</v>
      </c>
      <c r="F2098" s="679">
        <v>2239</v>
      </c>
      <c r="G2098" s="665" t="s">
        <v>3001</v>
      </c>
      <c r="H2098" s="660"/>
      <c r="I2098" s="726">
        <v>5718</v>
      </c>
      <c r="J2098" s="1494" t="s">
        <v>1134</v>
      </c>
      <c r="K2098" s="667"/>
      <c r="L2098" s="660"/>
      <c r="M2098" s="726">
        <v>6483</v>
      </c>
      <c r="N2098" s="2162" t="s">
        <v>4136</v>
      </c>
      <c r="O2098" s="187"/>
      <c r="P2098" s="187"/>
      <c r="Q2098" s="187"/>
      <c r="R2098" s="187"/>
      <c r="S2098" s="187"/>
      <c r="T2098" s="187"/>
      <c r="U2098" s="187"/>
      <c r="V2098" s="187"/>
      <c r="W2098" s="187"/>
      <c r="X2098" s="187"/>
      <c r="Y2098" s="187"/>
      <c r="Z2098" s="187"/>
      <c r="AA2098" s="187"/>
      <c r="AB2098" s="187"/>
      <c r="AC2098" s="187"/>
      <c r="AD2098" s="187"/>
      <c r="AE2098" s="187"/>
      <c r="AF2098" s="187"/>
    </row>
    <row r="2099" spans="1:32" ht="20.399999999999999">
      <c r="A2099" s="663"/>
      <c r="B2099" s="3130" t="s">
        <v>365</v>
      </c>
      <c r="C2099" s="663" t="s">
        <v>323</v>
      </c>
      <c r="D2099" s="678" t="s">
        <v>1980</v>
      </c>
      <c r="E2099" s="700" t="s">
        <v>2992</v>
      </c>
      <c r="F2099" s="679">
        <v>2239</v>
      </c>
      <c r="G2099" s="665" t="s">
        <v>3179</v>
      </c>
      <c r="H2099" s="660"/>
      <c r="I2099" s="726">
        <v>-116</v>
      </c>
      <c r="J2099" s="1494" t="s">
        <v>1134</v>
      </c>
      <c r="K2099" s="667"/>
      <c r="L2099" s="660"/>
      <c r="M2099" s="726"/>
      <c r="N2099" s="381"/>
      <c r="O2099" s="187"/>
      <c r="P2099" s="187"/>
      <c r="Q2099" s="187"/>
      <c r="R2099" s="187"/>
      <c r="S2099" s="187"/>
      <c r="T2099" s="187"/>
      <c r="U2099" s="187"/>
      <c r="V2099" s="187"/>
      <c r="W2099" s="187"/>
      <c r="X2099" s="187"/>
      <c r="Y2099" s="187"/>
      <c r="Z2099" s="187"/>
      <c r="AA2099" s="187"/>
      <c r="AB2099" s="187"/>
      <c r="AC2099" s="187"/>
      <c r="AD2099" s="187"/>
      <c r="AE2099" s="187"/>
      <c r="AF2099" s="187"/>
    </row>
    <row r="2100" spans="1:32" ht="33.75" customHeight="1">
      <c r="A2100" s="663"/>
      <c r="B2100" s="3130" t="s">
        <v>365</v>
      </c>
      <c r="C2100" s="663" t="s">
        <v>323</v>
      </c>
      <c r="D2100" s="678" t="s">
        <v>1980</v>
      </c>
      <c r="E2100" s="700" t="s">
        <v>2992</v>
      </c>
      <c r="F2100" s="679">
        <v>2239</v>
      </c>
      <c r="G2100" s="665" t="s">
        <v>3035</v>
      </c>
      <c r="H2100" s="660"/>
      <c r="I2100" s="726">
        <v>-450</v>
      </c>
      <c r="J2100" s="1494" t="s">
        <v>1134</v>
      </c>
      <c r="K2100" s="667"/>
      <c r="L2100" s="660"/>
      <c r="M2100" s="726"/>
      <c r="N2100" s="1466"/>
      <c r="O2100" s="187"/>
      <c r="P2100" s="187"/>
      <c r="Q2100" s="187"/>
      <c r="R2100" s="187"/>
      <c r="S2100" s="187"/>
      <c r="T2100" s="187"/>
      <c r="U2100" s="187"/>
      <c r="V2100" s="187"/>
      <c r="W2100" s="187"/>
      <c r="X2100" s="187"/>
      <c r="Y2100" s="187"/>
      <c r="Z2100" s="187"/>
      <c r="AA2100" s="187"/>
      <c r="AB2100" s="187"/>
      <c r="AC2100" s="187"/>
      <c r="AD2100" s="187"/>
      <c r="AE2100" s="187"/>
      <c r="AF2100" s="187"/>
    </row>
    <row r="2101" spans="1:32">
      <c r="A2101" s="683"/>
      <c r="B2101" s="3129" t="s">
        <v>365</v>
      </c>
      <c r="C2101" s="683" t="s">
        <v>323</v>
      </c>
      <c r="D2101" s="719" t="s">
        <v>1980</v>
      </c>
      <c r="E2101" s="720" t="s">
        <v>2992</v>
      </c>
      <c r="F2101" s="685">
        <v>2250</v>
      </c>
      <c r="G2101" s="686" t="s">
        <v>778</v>
      </c>
      <c r="H2101" s="689">
        <v>116</v>
      </c>
      <c r="I2101" s="689"/>
      <c r="J2101" s="1494">
        <v>116.01</v>
      </c>
      <c r="K2101" s="667"/>
      <c r="L2101" s="689">
        <v>320</v>
      </c>
      <c r="M2101" s="689"/>
      <c r="N2101" s="381"/>
      <c r="O2101" s="187"/>
      <c r="P2101" s="187"/>
      <c r="Q2101" s="187"/>
      <c r="R2101" s="187"/>
      <c r="S2101" s="187"/>
      <c r="T2101" s="187"/>
      <c r="U2101" s="187"/>
      <c r="V2101" s="187"/>
      <c r="W2101" s="187"/>
      <c r="X2101" s="187"/>
      <c r="Y2101" s="187"/>
      <c r="Z2101" s="187"/>
      <c r="AA2101" s="187"/>
      <c r="AB2101" s="187"/>
      <c r="AC2101" s="187"/>
      <c r="AD2101" s="187"/>
      <c r="AE2101" s="187"/>
      <c r="AF2101" s="187"/>
    </row>
    <row r="2102" spans="1:32" ht="20.399999999999999">
      <c r="A2102" s="663"/>
      <c r="B2102" s="3130" t="s">
        <v>365</v>
      </c>
      <c r="C2102" s="663" t="s">
        <v>323</v>
      </c>
      <c r="D2102" s="678" t="s">
        <v>1980</v>
      </c>
      <c r="E2102" s="700" t="s">
        <v>2992</v>
      </c>
      <c r="F2102" s="679">
        <v>2250</v>
      </c>
      <c r="G2102" s="665" t="s">
        <v>3179</v>
      </c>
      <c r="H2102" s="660"/>
      <c r="I2102" s="726">
        <v>116</v>
      </c>
      <c r="J2102" s="1494" t="s">
        <v>1134</v>
      </c>
      <c r="K2102" s="667"/>
      <c r="L2102" s="660"/>
      <c r="M2102" s="726">
        <v>320</v>
      </c>
      <c r="N2102" s="1466"/>
      <c r="O2102" s="187"/>
      <c r="P2102" s="187"/>
      <c r="Q2102" s="187"/>
      <c r="R2102" s="187"/>
      <c r="S2102" s="187"/>
      <c r="T2102" s="187"/>
      <c r="U2102" s="187"/>
      <c r="V2102" s="187"/>
      <c r="W2102" s="187"/>
      <c r="X2102" s="187"/>
      <c r="Y2102" s="187"/>
      <c r="Z2102" s="187"/>
      <c r="AA2102" s="187"/>
      <c r="AB2102" s="187"/>
      <c r="AC2102" s="187"/>
      <c r="AD2102" s="187"/>
      <c r="AE2102" s="187"/>
      <c r="AF2102" s="187"/>
    </row>
    <row r="2103" spans="1:32">
      <c r="A2103" s="683"/>
      <c r="B2103" s="3129" t="s">
        <v>365</v>
      </c>
      <c r="C2103" s="683" t="s">
        <v>323</v>
      </c>
      <c r="D2103" s="719" t="s">
        <v>1980</v>
      </c>
      <c r="E2103" s="720" t="s">
        <v>2992</v>
      </c>
      <c r="F2103" s="685">
        <v>2261</v>
      </c>
      <c r="G2103" s="686" t="s">
        <v>199</v>
      </c>
      <c r="H2103" s="689">
        <v>450</v>
      </c>
      <c r="I2103" s="689"/>
      <c r="J2103" s="1494">
        <v>450</v>
      </c>
      <c r="K2103" s="667"/>
      <c r="L2103" s="689">
        <v>0</v>
      </c>
      <c r="M2103" s="689"/>
      <c r="N2103" s="381"/>
      <c r="O2103" s="187"/>
      <c r="P2103" s="187"/>
      <c r="Q2103" s="187"/>
      <c r="R2103" s="187"/>
      <c r="S2103" s="187"/>
      <c r="T2103" s="187"/>
      <c r="U2103" s="187"/>
      <c r="V2103" s="187"/>
      <c r="W2103" s="187"/>
      <c r="X2103" s="187"/>
      <c r="Y2103" s="187"/>
      <c r="Z2103" s="187"/>
      <c r="AA2103" s="187"/>
      <c r="AB2103" s="187"/>
      <c r="AC2103" s="187"/>
      <c r="AD2103" s="187"/>
      <c r="AE2103" s="187"/>
      <c r="AF2103" s="187"/>
    </row>
    <row r="2104" spans="1:32" ht="30.6">
      <c r="A2104" s="663"/>
      <c r="B2104" s="3130" t="s">
        <v>365</v>
      </c>
      <c r="C2104" s="663" t="s">
        <v>323</v>
      </c>
      <c r="D2104" s="678" t="s">
        <v>1980</v>
      </c>
      <c r="E2104" s="700" t="s">
        <v>2992</v>
      </c>
      <c r="F2104" s="679">
        <v>2261</v>
      </c>
      <c r="G2104" s="665" t="s">
        <v>3035</v>
      </c>
      <c r="H2104" s="660"/>
      <c r="I2104" s="726">
        <v>450</v>
      </c>
      <c r="J2104" s="1494" t="s">
        <v>1134</v>
      </c>
      <c r="K2104" s="667"/>
      <c r="L2104" s="660"/>
      <c r="M2104" s="726"/>
      <c r="N2104" s="381"/>
      <c r="O2104" s="187"/>
      <c r="P2104" s="187"/>
      <c r="Q2104" s="187"/>
      <c r="R2104" s="187"/>
      <c r="S2104" s="187"/>
      <c r="T2104" s="187"/>
      <c r="U2104" s="187"/>
      <c r="V2104" s="187"/>
      <c r="W2104" s="187"/>
      <c r="X2104" s="187"/>
      <c r="Y2104" s="187"/>
      <c r="Z2104" s="187"/>
      <c r="AA2104" s="187"/>
      <c r="AB2104" s="187"/>
      <c r="AC2104" s="187"/>
      <c r="AD2104" s="187"/>
      <c r="AE2104" s="187"/>
      <c r="AF2104" s="187"/>
    </row>
    <row r="2105" spans="1:32" ht="30.6">
      <c r="A2105" s="683"/>
      <c r="B2105" s="3129" t="s">
        <v>365</v>
      </c>
      <c r="C2105" s="683" t="s">
        <v>323</v>
      </c>
      <c r="D2105" s="719" t="s">
        <v>1980</v>
      </c>
      <c r="E2105" s="720" t="s">
        <v>2992</v>
      </c>
      <c r="F2105" s="685">
        <v>2312</v>
      </c>
      <c r="G2105" s="686" t="s">
        <v>122</v>
      </c>
      <c r="H2105" s="689">
        <v>1100</v>
      </c>
      <c r="I2105" s="689"/>
      <c r="J2105" s="1494">
        <v>1089</v>
      </c>
      <c r="K2105" s="667"/>
      <c r="L2105" s="689">
        <v>1100</v>
      </c>
      <c r="M2105" s="689"/>
      <c r="N2105" s="381"/>
      <c r="O2105" s="187"/>
      <c r="P2105" s="187"/>
      <c r="Q2105" s="187"/>
      <c r="R2105" s="187"/>
      <c r="S2105" s="187"/>
      <c r="T2105" s="187"/>
      <c r="U2105" s="187"/>
      <c r="V2105" s="187"/>
      <c r="W2105" s="187"/>
      <c r="X2105" s="187"/>
      <c r="Y2105" s="187"/>
      <c r="Z2105" s="187"/>
      <c r="AA2105" s="187"/>
      <c r="AB2105" s="187"/>
      <c r="AC2105" s="187"/>
      <c r="AD2105" s="187"/>
      <c r="AE2105" s="187"/>
      <c r="AF2105" s="187"/>
    </row>
    <row r="2106" spans="1:32" ht="20.399999999999999">
      <c r="A2106" s="663"/>
      <c r="B2106" s="3130" t="s">
        <v>365</v>
      </c>
      <c r="C2106" s="663" t="s">
        <v>323</v>
      </c>
      <c r="D2106" s="678" t="s">
        <v>1980</v>
      </c>
      <c r="E2106" s="700" t="s">
        <v>2992</v>
      </c>
      <c r="F2106" s="679">
        <v>2312</v>
      </c>
      <c r="G2106" s="665" t="s">
        <v>3002</v>
      </c>
      <c r="H2106" s="660"/>
      <c r="I2106" s="726">
        <v>500</v>
      </c>
      <c r="J2106" s="1494" t="s">
        <v>1134</v>
      </c>
      <c r="K2106" s="667"/>
      <c r="L2106" s="660"/>
      <c r="M2106" s="726">
        <v>500</v>
      </c>
      <c r="N2106" s="1466"/>
      <c r="O2106" s="187"/>
      <c r="P2106" s="187"/>
      <c r="Q2106" s="187"/>
      <c r="R2106" s="187"/>
      <c r="S2106" s="187"/>
      <c r="T2106" s="187"/>
      <c r="U2106" s="187"/>
      <c r="V2106" s="187"/>
      <c r="W2106" s="187"/>
      <c r="X2106" s="187"/>
      <c r="Y2106" s="187"/>
      <c r="Z2106" s="187"/>
      <c r="AA2106" s="187"/>
      <c r="AB2106" s="187"/>
      <c r="AC2106" s="187"/>
      <c r="AD2106" s="187"/>
      <c r="AE2106" s="187"/>
      <c r="AF2106" s="187"/>
    </row>
    <row r="2107" spans="1:32">
      <c r="A2107" s="663"/>
      <c r="B2107" s="3130" t="s">
        <v>365</v>
      </c>
      <c r="C2107" s="663" t="s">
        <v>323</v>
      </c>
      <c r="D2107" s="678" t="s">
        <v>1980</v>
      </c>
      <c r="E2107" s="700" t="s">
        <v>2992</v>
      </c>
      <c r="F2107" s="679">
        <v>2312</v>
      </c>
      <c r="G2107" s="665" t="s">
        <v>3003</v>
      </c>
      <c r="H2107" s="660"/>
      <c r="I2107" s="726">
        <v>600</v>
      </c>
      <c r="J2107" s="1494" t="s">
        <v>1134</v>
      </c>
      <c r="K2107" s="667"/>
      <c r="L2107" s="660"/>
      <c r="M2107" s="726">
        <v>600</v>
      </c>
      <c r="N2107" s="381"/>
      <c r="O2107" s="187"/>
      <c r="P2107" s="187"/>
      <c r="Q2107" s="187"/>
      <c r="R2107" s="187"/>
      <c r="S2107" s="187"/>
      <c r="T2107" s="187"/>
      <c r="U2107" s="187"/>
      <c r="V2107" s="187"/>
      <c r="W2107" s="187"/>
      <c r="X2107" s="187"/>
      <c r="Y2107" s="187"/>
      <c r="Z2107" s="187"/>
      <c r="AA2107" s="187"/>
      <c r="AB2107" s="187"/>
      <c r="AC2107" s="187"/>
      <c r="AD2107" s="187"/>
      <c r="AE2107" s="187"/>
      <c r="AF2107" s="187"/>
    </row>
    <row r="2108" spans="1:32" ht="20.399999999999999">
      <c r="A2108" s="683"/>
      <c r="B2108" s="3129" t="s">
        <v>365</v>
      </c>
      <c r="C2108" s="683" t="s">
        <v>323</v>
      </c>
      <c r="D2108" s="719" t="s">
        <v>1980</v>
      </c>
      <c r="E2108" s="720" t="s">
        <v>2992</v>
      </c>
      <c r="F2108" s="685">
        <v>2314</v>
      </c>
      <c r="G2108" s="686" t="s">
        <v>1435</v>
      </c>
      <c r="H2108" s="689">
        <v>5837</v>
      </c>
      <c r="I2108" s="689"/>
      <c r="J2108" s="1494">
        <v>340.98</v>
      </c>
      <c r="K2108" s="667"/>
      <c r="L2108" s="689">
        <v>5837</v>
      </c>
      <c r="M2108" s="689"/>
      <c r="N2108" s="381"/>
      <c r="O2108" s="201"/>
      <c r="P2108" s="201"/>
      <c r="Q2108" s="201"/>
      <c r="R2108" s="201"/>
      <c r="S2108" s="201"/>
      <c r="T2108" s="201"/>
      <c r="U2108" s="201"/>
      <c r="V2108" s="201"/>
      <c r="W2108" s="201"/>
      <c r="X2108" s="201"/>
      <c r="Y2108" s="201"/>
      <c r="Z2108" s="201"/>
      <c r="AA2108" s="201"/>
      <c r="AB2108" s="201"/>
      <c r="AC2108" s="201"/>
      <c r="AD2108" s="201"/>
      <c r="AE2108" s="201"/>
      <c r="AF2108" s="201"/>
    </row>
    <row r="2109" spans="1:32" ht="20.399999999999999">
      <c r="A2109" s="663"/>
      <c r="B2109" s="3130" t="s">
        <v>365</v>
      </c>
      <c r="C2109" s="663" t="s">
        <v>323</v>
      </c>
      <c r="D2109" s="678" t="s">
        <v>1980</v>
      </c>
      <c r="E2109" s="700" t="s">
        <v>2992</v>
      </c>
      <c r="F2109" s="679">
        <v>2314</v>
      </c>
      <c r="G2109" s="665" t="s">
        <v>3004</v>
      </c>
      <c r="H2109" s="660"/>
      <c r="I2109" s="726">
        <v>714</v>
      </c>
      <c r="J2109" s="1494" t="s">
        <v>1134</v>
      </c>
      <c r="K2109" s="667"/>
      <c r="L2109" s="660"/>
      <c r="M2109" s="726">
        <v>714</v>
      </c>
      <c r="N2109" s="381"/>
      <c r="O2109" s="187"/>
      <c r="P2109" s="187"/>
      <c r="Q2109" s="187"/>
      <c r="R2109" s="187"/>
      <c r="S2109" s="187"/>
      <c r="T2109" s="187"/>
      <c r="U2109" s="187"/>
      <c r="V2109" s="187"/>
      <c r="W2109" s="187"/>
      <c r="X2109" s="187"/>
      <c r="Y2109" s="187"/>
      <c r="Z2109" s="187"/>
      <c r="AA2109" s="187"/>
      <c r="AB2109" s="187"/>
      <c r="AC2109" s="187"/>
      <c r="AD2109" s="187"/>
      <c r="AE2109" s="187"/>
      <c r="AF2109" s="187"/>
    </row>
    <row r="2110" spans="1:32" ht="20.399999999999999">
      <c r="A2110" s="663"/>
      <c r="B2110" s="3130" t="s">
        <v>365</v>
      </c>
      <c r="C2110" s="663" t="s">
        <v>323</v>
      </c>
      <c r="D2110" s="678" t="s">
        <v>1980</v>
      </c>
      <c r="E2110" s="700" t="s">
        <v>2992</v>
      </c>
      <c r="F2110" s="679">
        <v>2314</v>
      </c>
      <c r="G2110" s="665" t="s">
        <v>3005</v>
      </c>
      <c r="H2110" s="660"/>
      <c r="I2110" s="726">
        <v>1073</v>
      </c>
      <c r="J2110" s="1494" t="s">
        <v>1134</v>
      </c>
      <c r="K2110" s="667"/>
      <c r="L2110" s="660"/>
      <c r="M2110" s="726">
        <v>1073</v>
      </c>
      <c r="N2110" s="1466"/>
      <c r="O2110" s="201"/>
      <c r="P2110" s="201"/>
      <c r="Q2110" s="201"/>
      <c r="R2110" s="201"/>
      <c r="S2110" s="201"/>
      <c r="T2110" s="201"/>
      <c r="U2110" s="201"/>
      <c r="V2110" s="201"/>
      <c r="W2110" s="201"/>
      <c r="X2110" s="201"/>
      <c r="Y2110" s="201"/>
      <c r="Z2110" s="201"/>
      <c r="AA2110" s="201"/>
      <c r="AB2110" s="201"/>
      <c r="AC2110" s="201"/>
      <c r="AD2110" s="201"/>
      <c r="AE2110" s="201"/>
      <c r="AF2110" s="201"/>
    </row>
    <row r="2111" spans="1:32">
      <c r="A2111" s="663"/>
      <c r="B2111" s="3130" t="s">
        <v>365</v>
      </c>
      <c r="C2111" s="663" t="s">
        <v>323</v>
      </c>
      <c r="D2111" s="678" t="s">
        <v>1980</v>
      </c>
      <c r="E2111" s="700" t="s">
        <v>2992</v>
      </c>
      <c r="F2111" s="679">
        <v>2314</v>
      </c>
      <c r="G2111" s="665" t="s">
        <v>3006</v>
      </c>
      <c r="H2111" s="660"/>
      <c r="I2111" s="726">
        <v>715</v>
      </c>
      <c r="J2111" s="1494" t="s">
        <v>1134</v>
      </c>
      <c r="K2111" s="667"/>
      <c r="L2111" s="660"/>
      <c r="M2111" s="726">
        <v>715</v>
      </c>
      <c r="N2111" s="381"/>
      <c r="O2111" s="187"/>
      <c r="P2111" s="187"/>
      <c r="Q2111" s="187"/>
      <c r="R2111" s="187"/>
      <c r="S2111" s="187"/>
      <c r="T2111" s="187"/>
      <c r="U2111" s="187"/>
      <c r="V2111" s="187"/>
      <c r="W2111" s="187"/>
      <c r="X2111" s="187"/>
      <c r="Y2111" s="187"/>
      <c r="Z2111" s="187"/>
      <c r="AA2111" s="187"/>
      <c r="AB2111" s="187"/>
      <c r="AC2111" s="187"/>
      <c r="AD2111" s="187"/>
      <c r="AE2111" s="187"/>
      <c r="AF2111" s="187"/>
    </row>
    <row r="2112" spans="1:32">
      <c r="A2112" s="663"/>
      <c r="B2112" s="3130" t="s">
        <v>365</v>
      </c>
      <c r="C2112" s="663" t="s">
        <v>323</v>
      </c>
      <c r="D2112" s="678" t="s">
        <v>1980</v>
      </c>
      <c r="E2112" s="700" t="s">
        <v>2992</v>
      </c>
      <c r="F2112" s="679">
        <v>2314</v>
      </c>
      <c r="G2112" s="665" t="s">
        <v>3007</v>
      </c>
      <c r="H2112" s="660"/>
      <c r="I2112" s="726">
        <v>953</v>
      </c>
      <c r="J2112" s="1494" t="s">
        <v>1134</v>
      </c>
      <c r="K2112" s="667"/>
      <c r="L2112" s="660"/>
      <c r="M2112" s="726">
        <v>953</v>
      </c>
      <c r="N2112" s="381"/>
      <c r="O2112" s="201"/>
      <c r="P2112" s="201"/>
      <c r="Q2112" s="201"/>
      <c r="R2112" s="201"/>
      <c r="S2112" s="201"/>
      <c r="T2112" s="201"/>
      <c r="U2112" s="201"/>
      <c r="V2112" s="201"/>
      <c r="W2112" s="201"/>
      <c r="X2112" s="201"/>
      <c r="Y2112" s="201"/>
      <c r="Z2112" s="201"/>
      <c r="AA2112" s="201"/>
      <c r="AB2112" s="201"/>
      <c r="AC2112" s="201"/>
      <c r="AD2112" s="201"/>
      <c r="AE2112" s="201"/>
      <c r="AF2112" s="201"/>
    </row>
    <row r="2113" spans="1:32">
      <c r="A2113" s="1263"/>
      <c r="B2113" s="3130" t="s">
        <v>365</v>
      </c>
      <c r="C2113" s="663" t="s">
        <v>323</v>
      </c>
      <c r="D2113" s="678" t="s">
        <v>1980</v>
      </c>
      <c r="E2113" s="700" t="s">
        <v>2992</v>
      </c>
      <c r="F2113" s="679">
        <v>2314</v>
      </c>
      <c r="G2113" s="1264" t="s">
        <v>3008</v>
      </c>
      <c r="H2113" s="1260"/>
      <c r="I2113" s="1435">
        <v>953</v>
      </c>
      <c r="J2113" s="1494" t="s">
        <v>1134</v>
      </c>
      <c r="K2113" s="1261"/>
      <c r="L2113" s="1260"/>
      <c r="M2113" s="1435">
        <v>953</v>
      </c>
      <c r="N2113" s="381"/>
      <c r="O2113" s="187"/>
      <c r="P2113" s="187"/>
      <c r="Q2113" s="187"/>
      <c r="R2113" s="187"/>
      <c r="S2113" s="187"/>
      <c r="T2113" s="187"/>
      <c r="U2113" s="187"/>
      <c r="V2113" s="187"/>
      <c r="W2113" s="187"/>
      <c r="X2113" s="187"/>
      <c r="Y2113" s="187"/>
      <c r="Z2113" s="187"/>
      <c r="AA2113" s="187"/>
      <c r="AB2113" s="187"/>
      <c r="AC2113" s="187"/>
      <c r="AD2113" s="187"/>
      <c r="AE2113" s="187"/>
      <c r="AF2113" s="187"/>
    </row>
    <row r="2114" spans="1:32">
      <c r="A2114" s="663"/>
      <c r="B2114" s="3130" t="s">
        <v>365</v>
      </c>
      <c r="C2114" s="663" t="s">
        <v>323</v>
      </c>
      <c r="D2114" s="678" t="s">
        <v>1980</v>
      </c>
      <c r="E2114" s="700" t="s">
        <v>2992</v>
      </c>
      <c r="F2114" s="679">
        <v>2314</v>
      </c>
      <c r="G2114" s="665" t="s">
        <v>3009</v>
      </c>
      <c r="H2114" s="660"/>
      <c r="I2114" s="726">
        <v>714</v>
      </c>
      <c r="J2114" s="1494" t="s">
        <v>1134</v>
      </c>
      <c r="K2114" s="667"/>
      <c r="L2114" s="660"/>
      <c r="M2114" s="726">
        <v>714</v>
      </c>
      <c r="N2114" s="381"/>
      <c r="O2114" s="201"/>
      <c r="P2114" s="201"/>
      <c r="Q2114" s="201"/>
      <c r="R2114" s="201"/>
      <c r="S2114" s="201"/>
      <c r="T2114" s="201"/>
      <c r="U2114" s="201"/>
      <c r="V2114" s="201"/>
      <c r="W2114" s="201"/>
      <c r="X2114" s="201"/>
      <c r="Y2114" s="201"/>
      <c r="Z2114" s="201"/>
      <c r="AA2114" s="201"/>
      <c r="AB2114" s="201"/>
      <c r="AC2114" s="201"/>
      <c r="AD2114" s="201"/>
      <c r="AE2114" s="201"/>
      <c r="AF2114" s="201"/>
    </row>
    <row r="2115" spans="1:32" ht="45" customHeight="1">
      <c r="A2115" s="663"/>
      <c r="B2115" s="3130" t="s">
        <v>365</v>
      </c>
      <c r="C2115" s="663" t="s">
        <v>323</v>
      </c>
      <c r="D2115" s="678" t="s">
        <v>1980</v>
      </c>
      <c r="E2115" s="700" t="s">
        <v>2992</v>
      </c>
      <c r="F2115" s="679">
        <v>2314</v>
      </c>
      <c r="G2115" s="665" t="s">
        <v>3010</v>
      </c>
      <c r="H2115" s="660"/>
      <c r="I2115" s="726">
        <v>715</v>
      </c>
      <c r="J2115" s="1494" t="s">
        <v>1134</v>
      </c>
      <c r="K2115" s="667"/>
      <c r="L2115" s="660"/>
      <c r="M2115" s="726">
        <v>715</v>
      </c>
      <c r="N2115" s="381"/>
      <c r="O2115" s="187"/>
      <c r="P2115" s="187"/>
      <c r="Q2115" s="187"/>
      <c r="R2115" s="187"/>
      <c r="S2115" s="187"/>
      <c r="T2115" s="187"/>
      <c r="U2115" s="187"/>
      <c r="V2115" s="187"/>
      <c r="W2115" s="187"/>
      <c r="X2115" s="187"/>
      <c r="Y2115" s="187"/>
      <c r="Z2115" s="187"/>
      <c r="AA2115" s="187"/>
      <c r="AB2115" s="187"/>
      <c r="AC2115" s="187"/>
      <c r="AD2115" s="187"/>
      <c r="AE2115" s="187"/>
      <c r="AF2115" s="187"/>
    </row>
    <row r="2116" spans="1:32" ht="20.399999999999999">
      <c r="A2116" s="1495"/>
      <c r="B2116" s="3138" t="s">
        <v>365</v>
      </c>
      <c r="C2116" s="1495" t="s">
        <v>323</v>
      </c>
      <c r="D2116" s="1561" t="s">
        <v>1980</v>
      </c>
      <c r="E2116" s="1590" t="s">
        <v>2992</v>
      </c>
      <c r="F2116" s="1574">
        <v>2314</v>
      </c>
      <c r="G2116" s="1548" t="s">
        <v>3418</v>
      </c>
      <c r="H2116" s="1549"/>
      <c r="I2116" s="1625"/>
      <c r="J2116" s="1549"/>
      <c r="K2116" s="1551"/>
      <c r="L2116" s="1549"/>
      <c r="M2116" s="1625"/>
      <c r="N2116" s="1466"/>
      <c r="O2116" s="201"/>
      <c r="P2116" s="201"/>
      <c r="Q2116" s="201"/>
      <c r="R2116" s="201"/>
      <c r="S2116" s="201"/>
      <c r="T2116" s="201"/>
      <c r="U2116" s="201"/>
      <c r="V2116" s="201"/>
      <c r="W2116" s="201"/>
      <c r="X2116" s="201"/>
      <c r="Y2116" s="201"/>
      <c r="Z2116" s="201"/>
      <c r="AA2116" s="201"/>
      <c r="AB2116" s="201"/>
      <c r="AC2116" s="201"/>
      <c r="AD2116" s="201"/>
      <c r="AE2116" s="201"/>
      <c r="AF2116" s="201"/>
    </row>
    <row r="2117" spans="1:32" ht="22.5" customHeight="1">
      <c r="A2117" s="683"/>
      <c r="B2117" s="3129" t="s">
        <v>365</v>
      </c>
      <c r="C2117" s="683" t="s">
        <v>323</v>
      </c>
      <c r="D2117" s="719" t="s">
        <v>1980</v>
      </c>
      <c r="E2117" s="720" t="s">
        <v>2992</v>
      </c>
      <c r="F2117" s="685">
        <v>5120</v>
      </c>
      <c r="G2117" s="686" t="s">
        <v>588</v>
      </c>
      <c r="H2117" s="689">
        <v>483</v>
      </c>
      <c r="I2117" s="689"/>
      <c r="J2117" s="1494">
        <v>0</v>
      </c>
      <c r="K2117" s="667"/>
      <c r="L2117" s="689">
        <v>0</v>
      </c>
      <c r="M2117" s="689"/>
      <c r="N2117" s="381"/>
      <c r="O2117" s="187"/>
      <c r="P2117" s="187"/>
      <c r="Q2117" s="187"/>
      <c r="R2117" s="187"/>
      <c r="S2117" s="187"/>
      <c r="T2117" s="187"/>
      <c r="U2117" s="187"/>
      <c r="V2117" s="187"/>
      <c r="W2117" s="187"/>
      <c r="X2117" s="187"/>
      <c r="Y2117" s="187"/>
      <c r="Z2117" s="187"/>
      <c r="AA2117" s="187"/>
      <c r="AB2117" s="187"/>
      <c r="AC2117" s="187"/>
      <c r="AD2117" s="187"/>
      <c r="AE2117" s="187"/>
      <c r="AF2117" s="187"/>
    </row>
    <row r="2118" spans="1:32">
      <c r="A2118" s="663"/>
      <c r="B2118" s="3130" t="s">
        <v>365</v>
      </c>
      <c r="C2118" s="663" t="s">
        <v>323</v>
      </c>
      <c r="D2118" s="678" t="s">
        <v>1980</v>
      </c>
      <c r="E2118" s="700" t="s">
        <v>2992</v>
      </c>
      <c r="F2118" s="679">
        <v>5120</v>
      </c>
      <c r="G2118" s="665" t="s">
        <v>3011</v>
      </c>
      <c r="H2118" s="660"/>
      <c r="I2118" s="726">
        <v>170</v>
      </c>
      <c r="J2118" s="1494" t="s">
        <v>1134</v>
      </c>
      <c r="K2118" s="667"/>
      <c r="L2118" s="660"/>
      <c r="M2118" s="726"/>
      <c r="N2118" s="381"/>
      <c r="O2118" s="187"/>
      <c r="P2118" s="187"/>
      <c r="Q2118" s="187"/>
      <c r="R2118" s="187"/>
      <c r="S2118" s="187"/>
      <c r="T2118" s="187"/>
      <c r="U2118" s="187"/>
      <c r="V2118" s="187"/>
      <c r="W2118" s="187"/>
      <c r="X2118" s="187"/>
      <c r="Y2118" s="187"/>
      <c r="Z2118" s="187"/>
      <c r="AA2118" s="187"/>
      <c r="AB2118" s="187"/>
      <c r="AC2118" s="187"/>
      <c r="AD2118" s="187"/>
      <c r="AE2118" s="187"/>
      <c r="AF2118" s="187"/>
    </row>
    <row r="2119" spans="1:32" ht="22.5" customHeight="1">
      <c r="A2119" s="663"/>
      <c r="B2119" s="3130" t="s">
        <v>365</v>
      </c>
      <c r="C2119" s="663" t="s">
        <v>323</v>
      </c>
      <c r="D2119" s="678" t="s">
        <v>1980</v>
      </c>
      <c r="E2119" s="700" t="s">
        <v>2992</v>
      </c>
      <c r="F2119" s="679">
        <v>5120</v>
      </c>
      <c r="G2119" s="665" t="s">
        <v>3012</v>
      </c>
      <c r="H2119" s="660"/>
      <c r="I2119" s="726">
        <v>150</v>
      </c>
      <c r="J2119" s="1494" t="s">
        <v>1134</v>
      </c>
      <c r="K2119" s="667"/>
      <c r="L2119" s="660"/>
      <c r="M2119" s="726"/>
      <c r="N2119" s="381"/>
      <c r="O2119" s="187"/>
      <c r="P2119" s="187"/>
      <c r="Q2119" s="187"/>
      <c r="R2119" s="187"/>
      <c r="S2119" s="187"/>
      <c r="T2119" s="187"/>
      <c r="U2119" s="187"/>
      <c r="V2119" s="187"/>
      <c r="W2119" s="187"/>
      <c r="X2119" s="187"/>
      <c r="Y2119" s="187"/>
      <c r="Z2119" s="187"/>
      <c r="AA2119" s="187"/>
      <c r="AB2119" s="187"/>
      <c r="AC2119" s="187"/>
      <c r="AD2119" s="187"/>
      <c r="AE2119" s="187"/>
      <c r="AF2119" s="187"/>
    </row>
    <row r="2120" spans="1:32">
      <c r="A2120" s="663"/>
      <c r="B2120" s="3130" t="s">
        <v>365</v>
      </c>
      <c r="C2120" s="663" t="s">
        <v>323</v>
      </c>
      <c r="D2120" s="678" t="s">
        <v>1980</v>
      </c>
      <c r="E2120" s="700" t="s">
        <v>2992</v>
      </c>
      <c r="F2120" s="679">
        <v>5120</v>
      </c>
      <c r="G2120" s="665" t="s">
        <v>3013</v>
      </c>
      <c r="H2120" s="660"/>
      <c r="I2120" s="726">
        <v>163</v>
      </c>
      <c r="J2120" s="1494" t="s">
        <v>1134</v>
      </c>
      <c r="K2120" s="667"/>
      <c r="L2120" s="660"/>
      <c r="M2120" s="726"/>
      <c r="N2120" s="381"/>
      <c r="O2120" s="187"/>
      <c r="P2120" s="187"/>
      <c r="Q2120" s="187"/>
      <c r="R2120" s="187"/>
      <c r="S2120" s="187"/>
      <c r="T2120" s="187"/>
      <c r="U2120" s="187"/>
      <c r="V2120" s="187"/>
      <c r="W2120" s="187"/>
      <c r="X2120" s="187"/>
      <c r="Y2120" s="187"/>
      <c r="Z2120" s="187"/>
      <c r="AA2120" s="187"/>
      <c r="AB2120" s="187"/>
      <c r="AC2120" s="187"/>
      <c r="AD2120" s="187"/>
      <c r="AE2120" s="187"/>
      <c r="AF2120" s="187"/>
    </row>
    <row r="2121" spans="1:32">
      <c r="A2121" s="683"/>
      <c r="B2121" s="3129" t="s">
        <v>365</v>
      </c>
      <c r="C2121" s="683" t="s">
        <v>323</v>
      </c>
      <c r="D2121" s="719" t="s">
        <v>1980</v>
      </c>
      <c r="E2121" s="720" t="s">
        <v>2992</v>
      </c>
      <c r="F2121" s="685">
        <v>5238</v>
      </c>
      <c r="G2121" s="686" t="s">
        <v>139</v>
      </c>
      <c r="H2121" s="689">
        <v>16500</v>
      </c>
      <c r="I2121" s="689"/>
      <c r="J2121" s="1494">
        <v>11524.44</v>
      </c>
      <c r="K2121" s="667"/>
      <c r="L2121" s="689">
        <v>1300</v>
      </c>
      <c r="M2121" s="689"/>
      <c r="N2121" s="381"/>
      <c r="O2121" s="187"/>
      <c r="P2121" s="187"/>
      <c r="Q2121" s="187"/>
      <c r="R2121" s="187"/>
      <c r="S2121" s="187"/>
      <c r="T2121" s="187"/>
      <c r="U2121" s="187"/>
      <c r="V2121" s="187"/>
      <c r="W2121" s="187"/>
      <c r="X2121" s="187"/>
      <c r="Y2121" s="187"/>
      <c r="Z2121" s="187"/>
      <c r="AA2121" s="187"/>
      <c r="AB2121" s="187"/>
      <c r="AC2121" s="187"/>
      <c r="AD2121" s="187"/>
      <c r="AE2121" s="187"/>
      <c r="AF2121" s="187"/>
    </row>
    <row r="2122" spans="1:32">
      <c r="A2122" s="663"/>
      <c r="B2122" s="3130" t="s">
        <v>365</v>
      </c>
      <c r="C2122" s="663" t="s">
        <v>323</v>
      </c>
      <c r="D2122" s="678" t="s">
        <v>1980</v>
      </c>
      <c r="E2122" s="700" t="s">
        <v>2992</v>
      </c>
      <c r="F2122" s="679">
        <v>5238</v>
      </c>
      <c r="G2122" s="665" t="s">
        <v>3014</v>
      </c>
      <c r="H2122" s="660"/>
      <c r="I2122" s="726">
        <v>1600</v>
      </c>
      <c r="J2122" s="1494" t="s">
        <v>1134</v>
      </c>
      <c r="K2122" s="667"/>
      <c r="L2122" s="660"/>
      <c r="M2122" s="726"/>
      <c r="N2122" s="381"/>
      <c r="O2122" s="187"/>
      <c r="P2122" s="187"/>
      <c r="Q2122" s="187"/>
      <c r="R2122" s="187"/>
      <c r="S2122" s="187"/>
      <c r="T2122" s="187"/>
      <c r="U2122" s="187"/>
      <c r="V2122" s="187"/>
      <c r="W2122" s="187"/>
      <c r="X2122" s="187"/>
      <c r="Y2122" s="187"/>
      <c r="Z2122" s="187"/>
      <c r="AA2122" s="187"/>
      <c r="AB2122" s="187"/>
      <c r="AC2122" s="187"/>
      <c r="AD2122" s="187"/>
      <c r="AE2122" s="187"/>
      <c r="AF2122" s="187"/>
    </row>
    <row r="2123" spans="1:32">
      <c r="A2123" s="663"/>
      <c r="B2123" s="3130" t="s">
        <v>365</v>
      </c>
      <c r="C2123" s="663" t="s">
        <v>323</v>
      </c>
      <c r="D2123" s="678" t="s">
        <v>1980</v>
      </c>
      <c r="E2123" s="700" t="s">
        <v>2992</v>
      </c>
      <c r="F2123" s="679">
        <v>5238</v>
      </c>
      <c r="G2123" s="665" t="s">
        <v>3015</v>
      </c>
      <c r="H2123" s="660"/>
      <c r="I2123" s="726">
        <v>8000</v>
      </c>
      <c r="J2123" s="1494" t="s">
        <v>1134</v>
      </c>
      <c r="K2123" s="667"/>
      <c r="L2123" s="660"/>
      <c r="M2123" s="726"/>
      <c r="N2123" s="1466"/>
      <c r="O2123" s="187"/>
      <c r="P2123" s="187"/>
      <c r="Q2123" s="187"/>
      <c r="R2123" s="187"/>
      <c r="S2123" s="187"/>
      <c r="T2123" s="187"/>
      <c r="U2123" s="187"/>
      <c r="V2123" s="187"/>
      <c r="W2123" s="187"/>
      <c r="X2123" s="187"/>
      <c r="Y2123" s="187"/>
      <c r="Z2123" s="187"/>
      <c r="AA2123" s="187"/>
      <c r="AB2123" s="187"/>
      <c r="AC2123" s="187"/>
      <c r="AD2123" s="187"/>
      <c r="AE2123" s="187"/>
      <c r="AF2123" s="187"/>
    </row>
    <row r="2124" spans="1:32" ht="33.75" customHeight="1">
      <c r="A2124" s="663"/>
      <c r="B2124" s="3130" t="s">
        <v>365</v>
      </c>
      <c r="C2124" s="663" t="s">
        <v>323</v>
      </c>
      <c r="D2124" s="678" t="s">
        <v>1980</v>
      </c>
      <c r="E2124" s="700" t="s">
        <v>2992</v>
      </c>
      <c r="F2124" s="679">
        <v>5238</v>
      </c>
      <c r="G2124" s="665" t="s">
        <v>3016</v>
      </c>
      <c r="H2124" s="660"/>
      <c r="I2124" s="726">
        <v>1600</v>
      </c>
      <c r="J2124" s="1494" t="s">
        <v>1134</v>
      </c>
      <c r="K2124" s="667"/>
      <c r="L2124" s="660"/>
      <c r="M2124" s="726"/>
      <c r="N2124" s="381"/>
      <c r="O2124" s="187"/>
      <c r="P2124" s="187"/>
      <c r="Q2124" s="187"/>
      <c r="R2124" s="187"/>
      <c r="S2124" s="187"/>
      <c r="T2124" s="187"/>
      <c r="U2124" s="187"/>
      <c r="V2124" s="187"/>
      <c r="W2124" s="187"/>
      <c r="X2124" s="187"/>
      <c r="Y2124" s="187"/>
      <c r="Z2124" s="187"/>
      <c r="AA2124" s="187"/>
      <c r="AB2124" s="187"/>
      <c r="AC2124" s="187"/>
      <c r="AD2124" s="187"/>
      <c r="AE2124" s="187"/>
      <c r="AF2124" s="187"/>
    </row>
    <row r="2125" spans="1:32" ht="22.5" customHeight="1">
      <c r="A2125" s="663"/>
      <c r="B2125" s="3130" t="s">
        <v>365</v>
      </c>
      <c r="C2125" s="663" t="s">
        <v>323</v>
      </c>
      <c r="D2125" s="678" t="s">
        <v>1980</v>
      </c>
      <c r="E2125" s="700" t="s">
        <v>2992</v>
      </c>
      <c r="F2125" s="679">
        <v>5238</v>
      </c>
      <c r="G2125" s="665" t="s">
        <v>2330</v>
      </c>
      <c r="H2125" s="660"/>
      <c r="I2125" s="726">
        <v>4000</v>
      </c>
      <c r="J2125" s="1494" t="s">
        <v>1134</v>
      </c>
      <c r="K2125" s="667"/>
      <c r="L2125" s="660"/>
      <c r="M2125" s="726"/>
      <c r="N2125" s="381"/>
      <c r="O2125" s="187"/>
      <c r="P2125" s="187"/>
      <c r="Q2125" s="187"/>
      <c r="R2125" s="187"/>
      <c r="S2125" s="187"/>
      <c r="T2125" s="187"/>
      <c r="U2125" s="187"/>
      <c r="V2125" s="187"/>
      <c r="W2125" s="187"/>
      <c r="X2125" s="187"/>
      <c r="Y2125" s="187"/>
      <c r="Z2125" s="187"/>
      <c r="AA2125" s="187"/>
      <c r="AB2125" s="187"/>
      <c r="AC2125" s="187"/>
      <c r="AD2125" s="187"/>
      <c r="AE2125" s="187"/>
      <c r="AF2125" s="187"/>
    </row>
    <row r="2126" spans="1:32" ht="33.75" customHeight="1">
      <c r="A2126" s="663"/>
      <c r="B2126" s="3130" t="s">
        <v>365</v>
      </c>
      <c r="C2126" s="663" t="s">
        <v>323</v>
      </c>
      <c r="D2126" s="678" t="s">
        <v>1980</v>
      </c>
      <c r="E2126" s="700" t="s">
        <v>2992</v>
      </c>
      <c r="F2126" s="679">
        <v>5238</v>
      </c>
      <c r="G2126" s="665" t="s">
        <v>1603</v>
      </c>
      <c r="H2126" s="660"/>
      <c r="I2126" s="726">
        <v>1300</v>
      </c>
      <c r="J2126" s="1494" t="s">
        <v>1134</v>
      </c>
      <c r="K2126" s="667"/>
      <c r="L2126" s="660"/>
      <c r="M2126" s="726">
        <v>1300</v>
      </c>
      <c r="N2126" s="381"/>
      <c r="O2126" s="187"/>
      <c r="P2126" s="187"/>
      <c r="Q2126" s="187"/>
      <c r="R2126" s="187"/>
      <c r="S2126" s="187"/>
      <c r="T2126" s="187"/>
      <c r="U2126" s="187"/>
      <c r="V2126" s="187"/>
      <c r="W2126" s="187"/>
      <c r="X2126" s="187"/>
      <c r="Y2126" s="187"/>
      <c r="Z2126" s="187"/>
      <c r="AA2126" s="187"/>
      <c r="AB2126" s="187"/>
      <c r="AC2126" s="187"/>
      <c r="AD2126" s="187"/>
      <c r="AE2126" s="187"/>
      <c r="AF2126" s="187"/>
    </row>
    <row r="2127" spans="1:32" ht="22.5" customHeight="1">
      <c r="A2127" s="683"/>
      <c r="B2127" s="3129" t="s">
        <v>365</v>
      </c>
      <c r="C2127" s="683" t="s">
        <v>323</v>
      </c>
      <c r="D2127" s="719" t="s">
        <v>1980</v>
      </c>
      <c r="E2127" s="720" t="s">
        <v>2992</v>
      </c>
      <c r="F2127" s="685">
        <v>5239</v>
      </c>
      <c r="G2127" s="686" t="s">
        <v>1178</v>
      </c>
      <c r="H2127" s="689"/>
      <c r="I2127" s="689"/>
      <c r="J2127" s="1494"/>
      <c r="K2127" s="667"/>
      <c r="L2127" s="689">
        <v>2634</v>
      </c>
      <c r="M2127" s="689"/>
      <c r="N2127" s="11"/>
      <c r="O2127" s="187"/>
      <c r="P2127" s="187"/>
      <c r="Q2127" s="187"/>
      <c r="R2127" s="187"/>
      <c r="S2127" s="187"/>
      <c r="T2127" s="187"/>
      <c r="U2127" s="187"/>
      <c r="V2127" s="187"/>
      <c r="W2127" s="187"/>
      <c r="X2127" s="187"/>
      <c r="Y2127" s="187"/>
      <c r="Z2127" s="187"/>
      <c r="AA2127" s="187"/>
      <c r="AB2127" s="187"/>
      <c r="AC2127" s="187"/>
      <c r="AD2127" s="187"/>
      <c r="AE2127" s="187"/>
      <c r="AF2127" s="187"/>
    </row>
    <row r="2128" spans="1:32">
      <c r="A2128" s="663"/>
      <c r="B2128" s="3130" t="s">
        <v>365</v>
      </c>
      <c r="C2128" s="663" t="s">
        <v>323</v>
      </c>
      <c r="D2128" s="678" t="s">
        <v>1980</v>
      </c>
      <c r="E2128" s="700" t="s">
        <v>2992</v>
      </c>
      <c r="F2128" s="679">
        <v>5239</v>
      </c>
      <c r="G2128" s="665" t="s">
        <v>5228</v>
      </c>
      <c r="H2128" s="660"/>
      <c r="I2128" s="726"/>
      <c r="J2128" s="1494" t="s">
        <v>1134</v>
      </c>
      <c r="K2128" s="667"/>
      <c r="L2128" s="660"/>
      <c r="M2128" s="726">
        <v>2634</v>
      </c>
      <c r="N2128" s="176"/>
      <c r="O2128" s="187"/>
      <c r="P2128" s="187"/>
      <c r="Q2128" s="187"/>
      <c r="R2128" s="187"/>
      <c r="S2128" s="187"/>
      <c r="T2128" s="187"/>
      <c r="U2128" s="187"/>
      <c r="V2128" s="187"/>
      <c r="W2128" s="187"/>
      <c r="X2128" s="187"/>
      <c r="Y2128" s="187"/>
      <c r="Z2128" s="187"/>
      <c r="AA2128" s="187"/>
      <c r="AB2128" s="187"/>
      <c r="AC2128" s="187"/>
      <c r="AD2128" s="187"/>
      <c r="AE2128" s="187"/>
      <c r="AF2128" s="187"/>
    </row>
    <row r="2129" spans="1:32">
      <c r="A2129" s="663"/>
      <c r="B2129" s="3130" t="s">
        <v>365</v>
      </c>
      <c r="C2129" s="663" t="s">
        <v>323</v>
      </c>
      <c r="D2129" s="678" t="s">
        <v>1980</v>
      </c>
      <c r="E2129" s="700" t="s">
        <v>2992</v>
      </c>
      <c r="F2129" s="679"/>
      <c r="G2129" s="665"/>
      <c r="H2129" s="660"/>
      <c r="I2129" s="726"/>
      <c r="J2129" s="1494" t="s">
        <v>1134</v>
      </c>
      <c r="K2129" s="667"/>
      <c r="L2129" s="660"/>
      <c r="M2129" s="726"/>
      <c r="N2129" s="11"/>
      <c r="O2129" s="187"/>
      <c r="P2129" s="187"/>
      <c r="Q2129" s="187"/>
      <c r="R2129" s="187"/>
      <c r="S2129" s="187"/>
      <c r="T2129" s="187"/>
      <c r="U2129" s="187"/>
      <c r="V2129" s="187"/>
      <c r="W2129" s="187"/>
      <c r="X2129" s="187"/>
      <c r="Y2129" s="187"/>
      <c r="Z2129" s="187"/>
      <c r="AA2129" s="187"/>
      <c r="AB2129" s="187"/>
      <c r="AC2129" s="187"/>
      <c r="AD2129" s="187"/>
      <c r="AE2129" s="187"/>
      <c r="AF2129" s="187"/>
    </row>
    <row r="2130" spans="1:32">
      <c r="A2130" s="663"/>
      <c r="B2130" s="3130" t="s">
        <v>365</v>
      </c>
      <c r="C2130" s="663" t="s">
        <v>323</v>
      </c>
      <c r="D2130" s="678" t="s">
        <v>1980</v>
      </c>
      <c r="E2130" s="700" t="s">
        <v>2992</v>
      </c>
      <c r="F2130" s="679"/>
      <c r="G2130" s="665"/>
      <c r="H2130" s="660"/>
      <c r="I2130" s="726"/>
      <c r="J2130" s="1494" t="s">
        <v>1134</v>
      </c>
      <c r="K2130" s="667"/>
      <c r="L2130" s="660"/>
      <c r="M2130" s="726"/>
      <c r="N2130" s="176"/>
      <c r="O2130" s="187"/>
      <c r="P2130" s="187"/>
      <c r="Q2130" s="187"/>
      <c r="R2130" s="187"/>
      <c r="S2130" s="187"/>
      <c r="T2130" s="187"/>
      <c r="U2130" s="187"/>
      <c r="V2130" s="187"/>
      <c r="W2130" s="187"/>
      <c r="X2130" s="187"/>
      <c r="Y2130" s="187"/>
      <c r="Z2130" s="187"/>
      <c r="AA2130" s="187"/>
      <c r="AB2130" s="187"/>
      <c r="AC2130" s="187"/>
      <c r="AD2130" s="187"/>
      <c r="AE2130" s="187"/>
      <c r="AF2130" s="187"/>
    </row>
    <row r="2131" spans="1:32">
      <c r="A2131" s="663"/>
      <c r="B2131" s="3130" t="s">
        <v>365</v>
      </c>
      <c r="C2131" s="663" t="s">
        <v>323</v>
      </c>
      <c r="D2131" s="678" t="s">
        <v>1980</v>
      </c>
      <c r="E2131" s="700" t="s">
        <v>2992</v>
      </c>
      <c r="F2131" s="679"/>
      <c r="G2131" s="665"/>
      <c r="H2131" s="660"/>
      <c r="I2131" s="726"/>
      <c r="J2131" s="1494" t="s">
        <v>1134</v>
      </c>
      <c r="K2131" s="667"/>
      <c r="L2131" s="660"/>
      <c r="M2131" s="726"/>
      <c r="N2131" s="11"/>
      <c r="O2131" s="187"/>
      <c r="P2131" s="187"/>
      <c r="Q2131" s="187"/>
      <c r="R2131" s="187"/>
      <c r="S2131" s="187"/>
      <c r="T2131" s="187"/>
      <c r="U2131" s="187"/>
      <c r="V2131" s="187"/>
      <c r="W2131" s="187"/>
      <c r="X2131" s="187"/>
      <c r="Y2131" s="187"/>
      <c r="Z2131" s="187"/>
      <c r="AA2131" s="187"/>
      <c r="AB2131" s="187"/>
      <c r="AC2131" s="187"/>
      <c r="AD2131" s="187"/>
      <c r="AE2131" s="187"/>
      <c r="AF2131" s="187"/>
    </row>
    <row r="2132" spans="1:32">
      <c r="A2132" s="663"/>
      <c r="B2132" s="3130" t="s">
        <v>365</v>
      </c>
      <c r="C2132" s="663" t="s">
        <v>323</v>
      </c>
      <c r="D2132" s="678" t="s">
        <v>1980</v>
      </c>
      <c r="E2132" s="700" t="s">
        <v>2992</v>
      </c>
      <c r="F2132" s="679"/>
      <c r="G2132" s="665"/>
      <c r="H2132" s="660"/>
      <c r="I2132" s="726"/>
      <c r="J2132" s="1494" t="s">
        <v>1134</v>
      </c>
      <c r="K2132" s="667"/>
      <c r="L2132" s="660"/>
      <c r="M2132" s="726"/>
      <c r="N2132" s="176"/>
      <c r="O2132" s="187"/>
      <c r="P2132" s="187"/>
      <c r="Q2132" s="187"/>
      <c r="R2132" s="187"/>
      <c r="S2132" s="187"/>
      <c r="T2132" s="187"/>
      <c r="U2132" s="187"/>
      <c r="V2132" s="187"/>
      <c r="W2132" s="187"/>
      <c r="X2132" s="187"/>
      <c r="Y2132" s="187"/>
      <c r="Z2132" s="187"/>
      <c r="AA2132" s="187"/>
      <c r="AB2132" s="187"/>
      <c r="AC2132" s="187"/>
      <c r="AD2132" s="187"/>
      <c r="AE2132" s="187"/>
      <c r="AF2132" s="187"/>
    </row>
    <row r="2133" spans="1:32">
      <c r="A2133" s="683"/>
      <c r="B2133" s="3129" t="s">
        <v>365</v>
      </c>
      <c r="C2133" s="683" t="s">
        <v>323</v>
      </c>
      <c r="D2133" s="719" t="s">
        <v>1980</v>
      </c>
      <c r="E2133" s="742" t="s">
        <v>3121</v>
      </c>
      <c r="F2133" s="694">
        <v>1119</v>
      </c>
      <c r="G2133" s="686" t="s">
        <v>142</v>
      </c>
      <c r="H2133" s="689"/>
      <c r="I2133" s="689"/>
      <c r="J2133" s="1494">
        <v>285.77</v>
      </c>
      <c r="K2133" s="727"/>
      <c r="L2133" s="1661">
        <v>61698.357472287404</v>
      </c>
      <c r="M2133" s="1661"/>
      <c r="N2133" s="176"/>
      <c r="O2133" s="187"/>
      <c r="P2133" s="187"/>
      <c r="Q2133" s="187"/>
      <c r="R2133" s="187"/>
      <c r="S2133" s="187"/>
      <c r="T2133" s="187"/>
      <c r="U2133" s="187"/>
      <c r="V2133" s="187"/>
      <c r="W2133" s="187"/>
      <c r="X2133" s="187"/>
      <c r="Y2133" s="187"/>
      <c r="Z2133" s="187"/>
      <c r="AA2133" s="187"/>
      <c r="AB2133" s="187"/>
      <c r="AC2133" s="187"/>
      <c r="AD2133" s="187"/>
      <c r="AE2133" s="187"/>
      <c r="AF2133" s="187"/>
    </row>
    <row r="2134" spans="1:32" ht="20.399999999999999">
      <c r="A2134" s="663"/>
      <c r="B2134" s="3130" t="s">
        <v>365</v>
      </c>
      <c r="C2134" s="663" t="s">
        <v>323</v>
      </c>
      <c r="D2134" s="678" t="s">
        <v>1980</v>
      </c>
      <c r="E2134" s="700" t="s">
        <v>3121</v>
      </c>
      <c r="F2134" s="679">
        <v>1119</v>
      </c>
      <c r="G2134" s="681" t="s">
        <v>3122</v>
      </c>
      <c r="H2134" s="741"/>
      <c r="I2134" s="741"/>
      <c r="J2134" s="1494" t="s">
        <v>1134</v>
      </c>
      <c r="K2134" s="747"/>
      <c r="L2134" s="1958"/>
      <c r="M2134" s="1958">
        <v>61698.357472287404</v>
      </c>
      <c r="N2134" s="2161" t="s">
        <v>4140</v>
      </c>
      <c r="O2134" s="187"/>
      <c r="P2134" s="187"/>
      <c r="Q2134" s="187"/>
      <c r="R2134" s="187"/>
      <c r="S2134" s="187"/>
      <c r="T2134" s="187"/>
      <c r="U2134" s="187"/>
      <c r="V2134" s="187"/>
      <c r="W2134" s="187"/>
      <c r="X2134" s="187"/>
      <c r="Y2134" s="187"/>
      <c r="Z2134" s="187"/>
      <c r="AA2134" s="187"/>
      <c r="AB2134" s="187"/>
      <c r="AC2134" s="187"/>
      <c r="AD2134" s="187"/>
      <c r="AE2134" s="187"/>
      <c r="AF2134" s="187"/>
    </row>
    <row r="2135" spans="1:32">
      <c r="A2135" s="683"/>
      <c r="B2135" s="3129" t="s">
        <v>365</v>
      </c>
      <c r="C2135" s="683" t="s">
        <v>323</v>
      </c>
      <c r="D2135" s="719" t="s">
        <v>1980</v>
      </c>
      <c r="E2135" s="742" t="s">
        <v>3121</v>
      </c>
      <c r="F2135" s="694">
        <v>1147</v>
      </c>
      <c r="G2135" s="686" t="s">
        <v>1056</v>
      </c>
      <c r="H2135" s="689">
        <v>35988</v>
      </c>
      <c r="I2135" s="689"/>
      <c r="J2135" s="1494">
        <v>0</v>
      </c>
      <c r="K2135" s="727"/>
      <c r="L2135" s="1661">
        <v>0</v>
      </c>
      <c r="M2135" s="1661"/>
      <c r="N2135" s="176"/>
      <c r="O2135" s="4"/>
      <c r="P2135" s="4"/>
      <c r="Q2135" s="4"/>
      <c r="R2135" s="187"/>
      <c r="S2135" s="187"/>
      <c r="T2135" s="187"/>
      <c r="U2135" s="187"/>
      <c r="V2135" s="187"/>
      <c r="W2135" s="187"/>
      <c r="X2135" s="187"/>
      <c r="Y2135" s="187"/>
      <c r="Z2135" s="187"/>
      <c r="AA2135" s="187"/>
      <c r="AB2135" s="187"/>
      <c r="AC2135" s="187"/>
      <c r="AD2135" s="187"/>
      <c r="AE2135" s="187"/>
      <c r="AF2135" s="187"/>
    </row>
    <row r="2136" spans="1:32" ht="20.399999999999999">
      <c r="A2136" s="663"/>
      <c r="B2136" s="3130" t="s">
        <v>365</v>
      </c>
      <c r="C2136" s="663" t="s">
        <v>323</v>
      </c>
      <c r="D2136" s="678" t="s">
        <v>1980</v>
      </c>
      <c r="E2136" s="700" t="s">
        <v>3121</v>
      </c>
      <c r="F2136" s="679">
        <v>1147</v>
      </c>
      <c r="G2136" s="681" t="s">
        <v>3122</v>
      </c>
      <c r="H2136" s="741"/>
      <c r="I2136" s="741">
        <v>35988</v>
      </c>
      <c r="J2136" s="1494" t="s">
        <v>1134</v>
      </c>
      <c r="K2136" s="747"/>
      <c r="L2136" s="1958"/>
      <c r="M2136" s="1958"/>
      <c r="N2136" s="11"/>
      <c r="O2136" s="4"/>
      <c r="P2136" s="4"/>
      <c r="Q2136" s="4"/>
      <c r="R2136" s="187"/>
      <c r="S2136" s="187"/>
      <c r="T2136" s="187"/>
      <c r="U2136" s="187"/>
      <c r="V2136" s="187"/>
      <c r="W2136" s="187"/>
      <c r="X2136" s="187"/>
      <c r="Y2136" s="187"/>
      <c r="Z2136" s="187"/>
      <c r="AA2136" s="187"/>
      <c r="AB2136" s="187"/>
      <c r="AC2136" s="187"/>
      <c r="AD2136" s="187"/>
      <c r="AE2136" s="187"/>
      <c r="AF2136" s="187"/>
    </row>
    <row r="2137" spans="1:32">
      <c r="A2137" s="683"/>
      <c r="B2137" s="3129" t="s">
        <v>365</v>
      </c>
      <c r="C2137" s="683" t="s">
        <v>323</v>
      </c>
      <c r="D2137" s="719" t="s">
        <v>1980</v>
      </c>
      <c r="E2137" s="720" t="s">
        <v>3121</v>
      </c>
      <c r="F2137" s="694">
        <v>1210</v>
      </c>
      <c r="G2137" s="686" t="s">
        <v>803</v>
      </c>
      <c r="H2137" s="689">
        <v>43177</v>
      </c>
      <c r="I2137" s="689"/>
      <c r="J2137" s="1494">
        <v>0</v>
      </c>
      <c r="K2137" s="727"/>
      <c r="L2137" s="1661">
        <v>14554.642527712598</v>
      </c>
      <c r="M2137" s="1661"/>
      <c r="N2137" s="176"/>
      <c r="O2137" s="4"/>
      <c r="P2137" s="4"/>
      <c r="Q2137" s="4"/>
      <c r="R2137" s="187"/>
      <c r="S2137" s="187"/>
      <c r="T2137" s="187"/>
      <c r="U2137" s="187"/>
      <c r="V2137" s="187"/>
      <c r="W2137" s="187"/>
      <c r="X2137" s="187"/>
      <c r="Y2137" s="187"/>
      <c r="Z2137" s="187"/>
      <c r="AA2137" s="187"/>
      <c r="AB2137" s="187"/>
      <c r="AC2137" s="187"/>
      <c r="AD2137" s="187"/>
      <c r="AE2137" s="187"/>
      <c r="AF2137" s="187"/>
    </row>
    <row r="2138" spans="1:32" ht="22.5" customHeight="1">
      <c r="A2138" s="663"/>
      <c r="B2138" s="3130" t="s">
        <v>365</v>
      </c>
      <c r="C2138" s="663" t="s">
        <v>323</v>
      </c>
      <c r="D2138" s="678" t="s">
        <v>1980</v>
      </c>
      <c r="E2138" s="700" t="s">
        <v>3121</v>
      </c>
      <c r="F2138" s="679">
        <v>1210</v>
      </c>
      <c r="G2138" s="681" t="s">
        <v>3122</v>
      </c>
      <c r="H2138" s="741"/>
      <c r="I2138" s="741">
        <v>43177</v>
      </c>
      <c r="J2138" s="1494" t="s">
        <v>1134</v>
      </c>
      <c r="K2138" s="747"/>
      <c r="L2138" s="1958"/>
      <c r="M2138" s="1958">
        <v>14554.642527712598</v>
      </c>
      <c r="N2138" s="11"/>
      <c r="O2138" s="187"/>
      <c r="P2138" s="187"/>
      <c r="Q2138" s="187"/>
      <c r="R2138" s="187"/>
      <c r="S2138" s="187"/>
      <c r="T2138" s="187"/>
      <c r="U2138" s="187"/>
      <c r="V2138" s="187"/>
      <c r="W2138" s="187"/>
      <c r="X2138" s="187"/>
      <c r="Y2138" s="187"/>
      <c r="Z2138" s="187"/>
      <c r="AA2138" s="187"/>
      <c r="AB2138" s="187"/>
      <c r="AC2138" s="187"/>
      <c r="AD2138" s="187"/>
      <c r="AE2138" s="187"/>
      <c r="AF2138" s="187"/>
    </row>
    <row r="2139" spans="1:32">
      <c r="A2139" s="683"/>
      <c r="B2139" s="3129" t="s">
        <v>365</v>
      </c>
      <c r="C2139" s="683" t="s">
        <v>323</v>
      </c>
      <c r="D2139" s="719" t="s">
        <v>1980</v>
      </c>
      <c r="E2139" s="720" t="s">
        <v>3121</v>
      </c>
      <c r="F2139" s="694">
        <v>2231</v>
      </c>
      <c r="G2139" s="214" t="s">
        <v>1661</v>
      </c>
      <c r="H2139" s="689">
        <v>9478</v>
      </c>
      <c r="I2139" s="689"/>
      <c r="J2139" s="1494">
        <v>0</v>
      </c>
      <c r="K2139" s="727"/>
      <c r="L2139" s="689">
        <v>0</v>
      </c>
      <c r="M2139" s="687"/>
      <c r="N2139" s="176"/>
      <c r="O2139" s="187"/>
      <c r="P2139" s="187"/>
      <c r="Q2139" s="187"/>
      <c r="R2139" s="187"/>
      <c r="S2139" s="187"/>
      <c r="T2139" s="187"/>
      <c r="U2139" s="187"/>
      <c r="V2139" s="187"/>
      <c r="W2139" s="187"/>
      <c r="X2139" s="187"/>
      <c r="Y2139" s="187"/>
      <c r="Z2139" s="187"/>
      <c r="AA2139" s="187"/>
      <c r="AB2139" s="187"/>
      <c r="AC2139" s="187"/>
      <c r="AD2139" s="187"/>
      <c r="AE2139" s="187"/>
      <c r="AF2139" s="187"/>
    </row>
    <row r="2140" spans="1:32" ht="22.5" customHeight="1">
      <c r="A2140" s="663"/>
      <c r="B2140" s="3130" t="s">
        <v>365</v>
      </c>
      <c r="C2140" s="663" t="s">
        <v>323</v>
      </c>
      <c r="D2140" s="678" t="s">
        <v>1980</v>
      </c>
      <c r="E2140" s="700" t="s">
        <v>3121</v>
      </c>
      <c r="F2140" s="679">
        <v>2231</v>
      </c>
      <c r="G2140" s="2656" t="s">
        <v>4831</v>
      </c>
      <c r="H2140" s="741"/>
      <c r="I2140" s="741">
        <v>14838</v>
      </c>
      <c r="J2140" s="1494" t="s">
        <v>1134</v>
      </c>
      <c r="K2140" s="747"/>
      <c r="L2140" s="741"/>
      <c r="M2140" s="1958"/>
      <c r="N2140" s="176"/>
      <c r="O2140" s="187"/>
      <c r="P2140" s="187"/>
      <c r="Q2140" s="187"/>
      <c r="R2140" s="187"/>
      <c r="S2140" s="187"/>
      <c r="T2140" s="187"/>
      <c r="U2140" s="187"/>
      <c r="V2140" s="187"/>
      <c r="W2140" s="187"/>
      <c r="X2140" s="187"/>
      <c r="Y2140" s="187"/>
      <c r="Z2140" s="187"/>
      <c r="AA2140" s="187"/>
      <c r="AB2140" s="187"/>
      <c r="AC2140" s="187"/>
      <c r="AD2140" s="187"/>
      <c r="AE2140" s="187"/>
      <c r="AF2140" s="187"/>
    </row>
    <row r="2141" spans="1:32" ht="30.6">
      <c r="A2141" s="683"/>
      <c r="B2141" s="3129" t="s">
        <v>365</v>
      </c>
      <c r="C2141" s="683" t="s">
        <v>323</v>
      </c>
      <c r="D2141" s="719" t="s">
        <v>1980</v>
      </c>
      <c r="E2141" s="720" t="s">
        <v>3121</v>
      </c>
      <c r="F2141" s="694">
        <v>2239</v>
      </c>
      <c r="G2141" s="686" t="s">
        <v>1017</v>
      </c>
      <c r="H2141" s="689"/>
      <c r="I2141" s="689"/>
      <c r="J2141" s="1494">
        <v>400</v>
      </c>
      <c r="K2141" s="727"/>
      <c r="L2141" s="689">
        <v>500</v>
      </c>
      <c r="M2141" s="687"/>
      <c r="N2141" s="2530" t="s">
        <v>4742</v>
      </c>
      <c r="O2141" s="187"/>
      <c r="P2141" s="187"/>
      <c r="Q2141" s="187"/>
      <c r="R2141" s="187"/>
      <c r="S2141" s="187"/>
      <c r="T2141" s="187"/>
      <c r="U2141" s="187"/>
      <c r="V2141" s="187"/>
      <c r="W2141" s="187"/>
      <c r="X2141" s="187"/>
      <c r="Y2141" s="187"/>
      <c r="Z2141" s="187"/>
      <c r="AA2141" s="187"/>
      <c r="AB2141" s="187"/>
      <c r="AC2141" s="187"/>
      <c r="AD2141" s="187"/>
      <c r="AE2141" s="187"/>
      <c r="AF2141" s="187"/>
    </row>
    <row r="2142" spans="1:32" ht="20.399999999999999">
      <c r="A2142" s="663"/>
      <c r="B2142" s="3130" t="s">
        <v>365</v>
      </c>
      <c r="C2142" s="663" t="s">
        <v>323</v>
      </c>
      <c r="D2142" s="678" t="s">
        <v>1980</v>
      </c>
      <c r="E2142" s="700" t="s">
        <v>3121</v>
      </c>
      <c r="F2142" s="679">
        <v>2239</v>
      </c>
      <c r="G2142" s="2654" t="s">
        <v>4830</v>
      </c>
      <c r="H2142" s="741"/>
      <c r="I2142" s="741"/>
      <c r="J2142" s="1494" t="s">
        <v>1134</v>
      </c>
      <c r="K2142" s="747"/>
      <c r="L2142" s="741"/>
      <c r="M2142" s="1958">
        <v>500</v>
      </c>
      <c r="N2142" s="359" t="s">
        <v>4743</v>
      </c>
      <c r="O2142" s="187"/>
      <c r="P2142" s="187"/>
      <c r="Q2142" s="187"/>
      <c r="R2142" s="187"/>
      <c r="S2142" s="187"/>
      <c r="T2142" s="187"/>
      <c r="U2142" s="187"/>
      <c r="V2142" s="187"/>
      <c r="W2142" s="187"/>
      <c r="X2142" s="187"/>
      <c r="Y2142" s="187"/>
      <c r="Z2142" s="187"/>
      <c r="AA2142" s="187"/>
      <c r="AB2142" s="187"/>
      <c r="AC2142" s="187"/>
      <c r="AD2142" s="187"/>
      <c r="AE2142" s="187"/>
      <c r="AF2142" s="187"/>
    </row>
    <row r="2143" spans="1:32">
      <c r="A2143" s="683"/>
      <c r="B2143" s="3129" t="s">
        <v>365</v>
      </c>
      <c r="C2143" s="683" t="s">
        <v>323</v>
      </c>
      <c r="D2143" s="719" t="s">
        <v>1980</v>
      </c>
      <c r="E2143" s="720" t="s">
        <v>3121</v>
      </c>
      <c r="F2143" s="694">
        <v>2370</v>
      </c>
      <c r="G2143" s="686" t="s">
        <v>134</v>
      </c>
      <c r="H2143" s="689">
        <v>9478</v>
      </c>
      <c r="I2143" s="689"/>
      <c r="J2143" s="1494">
        <v>0</v>
      </c>
      <c r="K2143" s="727"/>
      <c r="L2143" s="689">
        <v>74</v>
      </c>
      <c r="M2143" s="687"/>
      <c r="N2143" s="176"/>
      <c r="O2143" s="187"/>
      <c r="P2143" s="187"/>
      <c r="Q2143" s="187"/>
      <c r="R2143" s="187"/>
      <c r="S2143" s="187"/>
      <c r="T2143" s="187"/>
      <c r="U2143" s="187"/>
      <c r="V2143" s="187"/>
      <c r="W2143" s="187"/>
      <c r="X2143" s="187"/>
      <c r="Y2143" s="187"/>
      <c r="Z2143" s="187"/>
      <c r="AA2143" s="187"/>
      <c r="AB2143" s="187"/>
      <c r="AC2143" s="187"/>
      <c r="AD2143" s="187"/>
      <c r="AE2143" s="187"/>
      <c r="AF2143" s="187"/>
    </row>
    <row r="2144" spans="1:32" ht="40.799999999999997">
      <c r="A2144" s="663"/>
      <c r="B2144" s="3130" t="s">
        <v>365</v>
      </c>
      <c r="C2144" s="663" t="s">
        <v>323</v>
      </c>
      <c r="D2144" s="678" t="s">
        <v>1980</v>
      </c>
      <c r="E2144" s="700" t="s">
        <v>3121</v>
      </c>
      <c r="F2144" s="679">
        <v>2370</v>
      </c>
      <c r="G2144" s="2654" t="s">
        <v>3197</v>
      </c>
      <c r="H2144" s="741"/>
      <c r="I2144" s="741">
        <v>14838</v>
      </c>
      <c r="J2144" s="1494" t="s">
        <v>1134</v>
      </c>
      <c r="K2144" s="747"/>
      <c r="L2144" s="741"/>
      <c r="M2144" s="1958">
        <v>74</v>
      </c>
      <c r="N2144" s="2577" t="e">
        <v>#DIV/0!</v>
      </c>
      <c r="O2144" s="187"/>
      <c r="P2144" s="187"/>
      <c r="Q2144" s="187"/>
      <c r="R2144" s="187"/>
      <c r="S2144" s="187"/>
      <c r="T2144" s="187"/>
      <c r="U2144" s="187"/>
      <c r="V2144" s="187"/>
      <c r="W2144" s="187"/>
      <c r="X2144" s="187"/>
      <c r="Y2144" s="187"/>
      <c r="Z2144" s="187"/>
      <c r="AA2144" s="187"/>
      <c r="AB2144" s="187"/>
      <c r="AC2144" s="187"/>
      <c r="AD2144" s="187"/>
      <c r="AE2144" s="187"/>
      <c r="AF2144" s="187"/>
    </row>
    <row r="2145" spans="1:32" ht="30.6">
      <c r="A2145" s="663"/>
      <c r="B2145" s="3130" t="s">
        <v>365</v>
      </c>
      <c r="C2145" s="663" t="s">
        <v>323</v>
      </c>
      <c r="D2145" s="678" t="s">
        <v>1980</v>
      </c>
      <c r="E2145" s="700" t="s">
        <v>3121</v>
      </c>
      <c r="F2145" s="679">
        <v>2370</v>
      </c>
      <c r="G2145" s="681" t="s">
        <v>3276</v>
      </c>
      <c r="H2145" s="741"/>
      <c r="I2145" s="741">
        <v>-5360</v>
      </c>
      <c r="J2145" s="1494" t="s">
        <v>1134</v>
      </c>
      <c r="K2145" s="747"/>
      <c r="L2145" s="741"/>
      <c r="M2145" s="859"/>
      <c r="N2145" s="359" t="s">
        <v>4797</v>
      </c>
      <c r="O2145" s="187"/>
      <c r="P2145" s="187"/>
      <c r="Q2145" s="187"/>
      <c r="R2145" s="187"/>
      <c r="S2145" s="187"/>
      <c r="T2145" s="187"/>
      <c r="U2145" s="187"/>
      <c r="V2145" s="187"/>
      <c r="W2145" s="187"/>
      <c r="X2145" s="187"/>
      <c r="Y2145" s="187"/>
      <c r="Z2145" s="187"/>
      <c r="AA2145" s="187"/>
      <c r="AB2145" s="187"/>
      <c r="AC2145" s="187"/>
      <c r="AD2145" s="187"/>
      <c r="AE2145" s="187"/>
      <c r="AF2145" s="187"/>
    </row>
    <row r="2146" spans="1:32">
      <c r="A2146" s="683"/>
      <c r="B2146" s="3129" t="s">
        <v>365</v>
      </c>
      <c r="C2146" s="683" t="s">
        <v>323</v>
      </c>
      <c r="D2146" s="719" t="s">
        <v>1980</v>
      </c>
      <c r="E2146" s="720" t="s">
        <v>3121</v>
      </c>
      <c r="F2146" s="694">
        <v>5233</v>
      </c>
      <c r="G2146" s="686" t="s">
        <v>704</v>
      </c>
      <c r="H2146" s="689">
        <v>5360</v>
      </c>
      <c r="I2146" s="689"/>
      <c r="J2146" s="1494">
        <v>0</v>
      </c>
      <c r="K2146" s="727"/>
      <c r="L2146" s="689">
        <v>6533</v>
      </c>
      <c r="M2146" s="687"/>
      <c r="N2146" s="359"/>
      <c r="O2146" s="187"/>
      <c r="P2146" s="187"/>
      <c r="Q2146" s="187"/>
      <c r="R2146" s="187"/>
      <c r="S2146" s="187"/>
      <c r="T2146" s="187"/>
      <c r="U2146" s="187"/>
      <c r="V2146" s="187"/>
      <c r="W2146" s="187"/>
      <c r="X2146" s="187"/>
      <c r="Y2146" s="187"/>
      <c r="Z2146" s="187"/>
      <c r="AA2146" s="187"/>
      <c r="AB2146" s="187"/>
      <c r="AC2146" s="187"/>
      <c r="AD2146" s="187"/>
      <c r="AE2146" s="187"/>
      <c r="AF2146" s="187"/>
    </row>
    <row r="2147" spans="1:32" ht="30.6">
      <c r="A2147" s="663"/>
      <c r="B2147" s="3130" t="s">
        <v>365</v>
      </c>
      <c r="C2147" s="663" t="s">
        <v>323</v>
      </c>
      <c r="D2147" s="678" t="s">
        <v>1980</v>
      </c>
      <c r="E2147" s="700" t="s">
        <v>3121</v>
      </c>
      <c r="F2147" s="679">
        <v>5233</v>
      </c>
      <c r="G2147" s="681" t="s">
        <v>3276</v>
      </c>
      <c r="H2147" s="741"/>
      <c r="I2147" s="741">
        <v>5360</v>
      </c>
      <c r="J2147" s="1494" t="s">
        <v>1134</v>
      </c>
      <c r="K2147" s="747"/>
      <c r="L2147" s="741"/>
      <c r="M2147" s="1958">
        <v>6533</v>
      </c>
      <c r="N2147" s="359"/>
      <c r="O2147" s="187"/>
      <c r="P2147" s="187"/>
      <c r="Q2147" s="187"/>
      <c r="R2147" s="187"/>
      <c r="S2147" s="187"/>
      <c r="T2147" s="187"/>
      <c r="U2147" s="187"/>
      <c r="V2147" s="187"/>
      <c r="W2147" s="187"/>
      <c r="X2147" s="187"/>
      <c r="Y2147" s="187"/>
      <c r="Z2147" s="187"/>
      <c r="AA2147" s="187"/>
      <c r="AB2147" s="187"/>
      <c r="AC2147" s="187"/>
      <c r="AD2147" s="187"/>
      <c r="AE2147" s="187"/>
      <c r="AF2147" s="187"/>
    </row>
    <row r="2148" spans="1:32">
      <c r="A2148" s="663"/>
      <c r="B2148" s="3130" t="s">
        <v>365</v>
      </c>
      <c r="C2148" s="663" t="s">
        <v>323</v>
      </c>
      <c r="D2148" s="678" t="s">
        <v>1980</v>
      </c>
      <c r="E2148" s="700" t="s">
        <v>3121</v>
      </c>
      <c r="F2148" s="679">
        <v>5233</v>
      </c>
      <c r="G2148" s="681"/>
      <c r="H2148" s="741"/>
      <c r="I2148" s="741"/>
      <c r="J2148" s="1494" t="s">
        <v>1134</v>
      </c>
      <c r="K2148" s="747"/>
      <c r="L2148" s="859"/>
      <c r="M2148" s="859"/>
      <c r="N2148" s="2577" t="e">
        <v>#DIV/0!</v>
      </c>
      <c r="O2148" s="187"/>
      <c r="P2148" s="187"/>
      <c r="Q2148" s="187"/>
      <c r="R2148" s="187"/>
      <c r="S2148" s="187"/>
      <c r="T2148" s="187"/>
      <c r="U2148" s="187"/>
      <c r="V2148" s="187"/>
      <c r="W2148" s="187"/>
      <c r="X2148" s="187"/>
      <c r="Y2148" s="187"/>
      <c r="Z2148" s="187"/>
      <c r="AA2148" s="187"/>
      <c r="AB2148" s="187"/>
      <c r="AC2148" s="187"/>
      <c r="AD2148" s="187"/>
      <c r="AE2148" s="187"/>
      <c r="AF2148" s="187"/>
    </row>
    <row r="2149" spans="1:32">
      <c r="A2149" s="683"/>
      <c r="B2149" s="3129" t="s">
        <v>365</v>
      </c>
      <c r="C2149" s="683" t="s">
        <v>323</v>
      </c>
      <c r="D2149" s="719" t="s">
        <v>1980</v>
      </c>
      <c r="E2149" s="720" t="s">
        <v>3123</v>
      </c>
      <c r="F2149" s="826">
        <v>1119</v>
      </c>
      <c r="G2149" s="800" t="s">
        <v>142</v>
      </c>
      <c r="H2149" s="706">
        <v>3230</v>
      </c>
      <c r="I2149" s="706"/>
      <c r="J2149" s="1654">
        <v>0</v>
      </c>
      <c r="K2149" s="802"/>
      <c r="L2149" s="706">
        <v>0</v>
      </c>
      <c r="M2149" s="706"/>
      <c r="N2149" s="359" t="s">
        <v>4799</v>
      </c>
      <c r="O2149" s="187"/>
      <c r="P2149" s="187"/>
      <c r="Q2149" s="187"/>
      <c r="R2149" s="187"/>
      <c r="S2149" s="187"/>
      <c r="T2149" s="187"/>
      <c r="U2149" s="187"/>
      <c r="V2149" s="187"/>
      <c r="W2149" s="187"/>
      <c r="X2149" s="187"/>
      <c r="Y2149" s="187"/>
      <c r="Z2149" s="187"/>
      <c r="AA2149" s="187"/>
      <c r="AB2149" s="187"/>
      <c r="AC2149" s="187"/>
      <c r="AD2149" s="187"/>
      <c r="AE2149" s="187"/>
      <c r="AF2149" s="187"/>
    </row>
    <row r="2150" spans="1:32" ht="20.399999999999999">
      <c r="A2150" s="663"/>
      <c r="B2150" s="3130" t="s">
        <v>365</v>
      </c>
      <c r="C2150" s="663" t="s">
        <v>323</v>
      </c>
      <c r="D2150" s="678" t="s">
        <v>1980</v>
      </c>
      <c r="E2150" s="700" t="s">
        <v>3123</v>
      </c>
      <c r="F2150" s="795">
        <v>1119</v>
      </c>
      <c r="G2150" s="812" t="s">
        <v>3124</v>
      </c>
      <c r="H2150" s="748"/>
      <c r="I2150" s="748">
        <v>3230</v>
      </c>
      <c r="J2150" s="1654" t="s">
        <v>1134</v>
      </c>
      <c r="K2150" s="1251"/>
      <c r="L2150" s="748"/>
      <c r="M2150" s="748"/>
      <c r="N2150" s="359"/>
      <c r="O2150" s="187"/>
      <c r="P2150" s="187"/>
      <c r="Q2150" s="187"/>
      <c r="R2150" s="187"/>
      <c r="S2150" s="187"/>
      <c r="T2150" s="187"/>
      <c r="U2150" s="187"/>
      <c r="V2150" s="187"/>
      <c r="W2150" s="187"/>
      <c r="X2150" s="187"/>
      <c r="Y2150" s="187"/>
      <c r="Z2150" s="187"/>
      <c r="AA2150" s="187"/>
      <c r="AB2150" s="187"/>
      <c r="AC2150" s="187"/>
      <c r="AD2150" s="187"/>
      <c r="AE2150" s="187"/>
      <c r="AF2150" s="187"/>
    </row>
    <row r="2151" spans="1:32" ht="20.399999999999999">
      <c r="A2151" s="683"/>
      <c r="B2151" s="3129" t="s">
        <v>365</v>
      </c>
      <c r="C2151" s="683" t="s">
        <v>323</v>
      </c>
      <c r="D2151" s="719" t="s">
        <v>1980</v>
      </c>
      <c r="E2151" s="720" t="s">
        <v>3123</v>
      </c>
      <c r="F2151" s="826">
        <v>1210</v>
      </c>
      <c r="G2151" s="800" t="s">
        <v>402</v>
      </c>
      <c r="H2151" s="706">
        <v>762</v>
      </c>
      <c r="I2151" s="706"/>
      <c r="J2151" s="1654">
        <v>0</v>
      </c>
      <c r="K2151" s="802"/>
      <c r="L2151" s="706">
        <v>0</v>
      </c>
      <c r="M2151" s="706"/>
      <c r="N2151" s="7"/>
      <c r="O2151" s="187"/>
      <c r="P2151" s="187"/>
      <c r="Q2151" s="187"/>
      <c r="R2151" s="187"/>
      <c r="S2151" s="187"/>
      <c r="T2151" s="187"/>
      <c r="U2151" s="187"/>
      <c r="V2151" s="187"/>
      <c r="W2151" s="187"/>
      <c r="X2151" s="187"/>
      <c r="Y2151" s="187"/>
      <c r="Z2151" s="187"/>
      <c r="AA2151" s="187"/>
      <c r="AB2151" s="187"/>
      <c r="AC2151" s="187"/>
      <c r="AD2151" s="187"/>
      <c r="AE2151" s="187"/>
      <c r="AF2151" s="187"/>
    </row>
    <row r="2152" spans="1:32" ht="20.399999999999999">
      <c r="A2152" s="663"/>
      <c r="B2152" s="3130" t="s">
        <v>365</v>
      </c>
      <c r="C2152" s="663" t="s">
        <v>323</v>
      </c>
      <c r="D2152" s="678" t="s">
        <v>1980</v>
      </c>
      <c r="E2152" s="700" t="s">
        <v>3123</v>
      </c>
      <c r="F2152" s="795">
        <v>1210</v>
      </c>
      <c r="G2152" s="812" t="s">
        <v>3125</v>
      </c>
      <c r="H2152" s="748"/>
      <c r="I2152" s="748">
        <v>762</v>
      </c>
      <c r="J2152" s="1654" t="s">
        <v>1134</v>
      </c>
      <c r="K2152" s="1251"/>
      <c r="L2152" s="748"/>
      <c r="M2152" s="748"/>
      <c r="N2152" s="7"/>
      <c r="O2152" s="187"/>
      <c r="P2152" s="187"/>
      <c r="Q2152" s="187"/>
      <c r="R2152" s="187"/>
      <c r="S2152" s="187"/>
      <c r="T2152" s="187"/>
      <c r="U2152" s="187"/>
      <c r="V2152" s="187"/>
      <c r="W2152" s="187"/>
      <c r="X2152" s="187"/>
      <c r="Y2152" s="187"/>
      <c r="Z2152" s="187"/>
      <c r="AA2152" s="187"/>
      <c r="AB2152" s="187"/>
      <c r="AC2152" s="187"/>
      <c r="AD2152" s="187"/>
      <c r="AE2152" s="187"/>
      <c r="AF2152" s="187"/>
    </row>
    <row r="2153" spans="1:32">
      <c r="A2153" s="683"/>
      <c r="B2153" s="3129" t="s">
        <v>365</v>
      </c>
      <c r="C2153" s="683" t="s">
        <v>323</v>
      </c>
      <c r="D2153" s="719" t="s">
        <v>1980</v>
      </c>
      <c r="E2153" s="720" t="s">
        <v>3123</v>
      </c>
      <c r="F2153" s="826">
        <v>2233</v>
      </c>
      <c r="G2153" s="800" t="s">
        <v>145</v>
      </c>
      <c r="H2153" s="706">
        <v>1530</v>
      </c>
      <c r="I2153" s="706"/>
      <c r="J2153" s="1654">
        <v>677.12</v>
      </c>
      <c r="K2153" s="802"/>
      <c r="L2153" s="706">
        <v>0</v>
      </c>
      <c r="M2153" s="706"/>
      <c r="N2153" s="7"/>
      <c r="O2153" s="187"/>
      <c r="P2153" s="187"/>
      <c r="Q2153" s="187"/>
      <c r="R2153" s="187"/>
      <c r="S2153" s="187"/>
      <c r="T2153" s="187"/>
      <c r="U2153" s="187"/>
      <c r="V2153" s="187"/>
      <c r="W2153" s="187"/>
      <c r="X2153" s="187"/>
      <c r="Y2153" s="187"/>
      <c r="Z2153" s="187"/>
      <c r="AA2153" s="187"/>
      <c r="AB2153" s="187"/>
      <c r="AC2153" s="187"/>
      <c r="AD2153" s="187"/>
      <c r="AE2153" s="187"/>
      <c r="AF2153" s="187"/>
    </row>
    <row r="2154" spans="1:32">
      <c r="A2154" s="663"/>
      <c r="B2154" s="3130" t="s">
        <v>365</v>
      </c>
      <c r="C2154" s="663" t="s">
        <v>323</v>
      </c>
      <c r="D2154" s="678" t="s">
        <v>1980</v>
      </c>
      <c r="E2154" s="700" t="s">
        <v>3123</v>
      </c>
      <c r="F2154" s="795">
        <v>2233</v>
      </c>
      <c r="G2154" s="812" t="s">
        <v>3126</v>
      </c>
      <c r="H2154" s="748"/>
      <c r="I2154" s="748">
        <v>600</v>
      </c>
      <c r="J2154" s="1654" t="s">
        <v>1134</v>
      </c>
      <c r="K2154" s="1251"/>
      <c r="L2154" s="748"/>
      <c r="M2154" s="748"/>
      <c r="N2154" s="7"/>
      <c r="O2154" s="187"/>
      <c r="P2154" s="187"/>
      <c r="Q2154" s="187"/>
      <c r="R2154" s="187"/>
      <c r="S2154" s="187"/>
      <c r="T2154" s="187"/>
      <c r="U2154" s="187"/>
      <c r="V2154" s="187"/>
      <c r="W2154" s="187"/>
      <c r="X2154" s="187"/>
      <c r="Y2154" s="187"/>
      <c r="Z2154" s="187"/>
      <c r="AA2154" s="187"/>
      <c r="AB2154" s="187"/>
      <c r="AC2154" s="187"/>
      <c r="AD2154" s="187"/>
      <c r="AE2154" s="187"/>
      <c r="AF2154" s="187"/>
    </row>
    <row r="2155" spans="1:32">
      <c r="A2155" s="663"/>
      <c r="B2155" s="3130" t="s">
        <v>365</v>
      </c>
      <c r="C2155" s="663" t="s">
        <v>323</v>
      </c>
      <c r="D2155" s="678" t="s">
        <v>1980</v>
      </c>
      <c r="E2155" s="700" t="s">
        <v>3123</v>
      </c>
      <c r="F2155" s="795">
        <v>2233</v>
      </c>
      <c r="G2155" s="812" t="s">
        <v>3127</v>
      </c>
      <c r="H2155" s="748"/>
      <c r="I2155" s="748">
        <v>420</v>
      </c>
      <c r="J2155" s="1654" t="s">
        <v>1134</v>
      </c>
      <c r="K2155" s="1251"/>
      <c r="L2155" s="748"/>
      <c r="M2155" s="748"/>
      <c r="N2155" s="7"/>
      <c r="O2155" s="187"/>
      <c r="P2155" s="187"/>
      <c r="Q2155" s="187"/>
      <c r="R2155" s="187"/>
      <c r="S2155" s="187"/>
      <c r="T2155" s="187"/>
      <c r="U2155" s="187"/>
      <c r="V2155" s="187"/>
      <c r="W2155" s="187"/>
      <c r="X2155" s="187"/>
      <c r="Y2155" s="187"/>
      <c r="Z2155" s="187"/>
      <c r="AA2155" s="187"/>
      <c r="AB2155" s="187"/>
      <c r="AC2155" s="187"/>
      <c r="AD2155" s="187"/>
      <c r="AE2155" s="187"/>
      <c r="AF2155" s="187"/>
    </row>
    <row r="2156" spans="1:32">
      <c r="A2156" s="663"/>
      <c r="B2156" s="3130" t="s">
        <v>365</v>
      </c>
      <c r="C2156" s="663" t="s">
        <v>323</v>
      </c>
      <c r="D2156" s="678" t="s">
        <v>1980</v>
      </c>
      <c r="E2156" s="700" t="s">
        <v>3123</v>
      </c>
      <c r="F2156" s="795">
        <v>2233</v>
      </c>
      <c r="G2156" s="812" t="s">
        <v>3128</v>
      </c>
      <c r="H2156" s="748"/>
      <c r="I2156" s="748">
        <v>510</v>
      </c>
      <c r="J2156" s="1654" t="s">
        <v>1134</v>
      </c>
      <c r="K2156" s="1251"/>
      <c r="L2156" s="748"/>
      <c r="M2156" s="748"/>
      <c r="N2156" s="7"/>
      <c r="O2156" s="187"/>
      <c r="P2156" s="187"/>
      <c r="Q2156" s="187"/>
      <c r="R2156" s="187"/>
      <c r="S2156" s="187"/>
      <c r="T2156" s="187"/>
      <c r="U2156" s="187"/>
      <c r="V2156" s="187"/>
      <c r="W2156" s="187"/>
      <c r="X2156" s="187"/>
      <c r="Y2156" s="187"/>
      <c r="Z2156" s="187"/>
      <c r="AA2156" s="187"/>
      <c r="AB2156" s="187"/>
      <c r="AC2156" s="187"/>
      <c r="AD2156" s="187"/>
      <c r="AE2156" s="187"/>
      <c r="AF2156" s="187"/>
    </row>
    <row r="2157" spans="1:32">
      <c r="A2157" s="683"/>
      <c r="B2157" s="3129" t="s">
        <v>365</v>
      </c>
      <c r="C2157" s="683" t="s">
        <v>323</v>
      </c>
      <c r="D2157" s="719" t="s">
        <v>1980</v>
      </c>
      <c r="E2157" s="720" t="s">
        <v>3123</v>
      </c>
      <c r="F2157" s="826">
        <v>2239</v>
      </c>
      <c r="G2157" s="800" t="s">
        <v>1017</v>
      </c>
      <c r="H2157" s="706">
        <v>1090</v>
      </c>
      <c r="I2157" s="706"/>
      <c r="J2157" s="1654">
        <v>940</v>
      </c>
      <c r="K2157" s="802"/>
      <c r="L2157" s="706">
        <v>0</v>
      </c>
      <c r="M2157" s="706"/>
      <c r="N2157" s="7"/>
      <c r="O2157" s="187"/>
      <c r="P2157" s="187"/>
      <c r="Q2157" s="187"/>
      <c r="R2157" s="187"/>
      <c r="S2157" s="187"/>
      <c r="T2157" s="187"/>
      <c r="U2157" s="187"/>
      <c r="V2157" s="187"/>
      <c r="W2157" s="187"/>
      <c r="X2157" s="187"/>
      <c r="Y2157" s="187"/>
      <c r="Z2157" s="187"/>
      <c r="AA2157" s="187"/>
      <c r="AB2157" s="187"/>
      <c r="AC2157" s="187"/>
      <c r="AD2157" s="187"/>
      <c r="AE2157" s="187"/>
      <c r="AF2157" s="187"/>
    </row>
    <row r="2158" spans="1:32">
      <c r="A2158" s="663"/>
      <c r="B2158" s="3130" t="s">
        <v>365</v>
      </c>
      <c r="C2158" s="663" t="s">
        <v>323</v>
      </c>
      <c r="D2158" s="678" t="s">
        <v>1980</v>
      </c>
      <c r="E2158" s="700" t="s">
        <v>3123</v>
      </c>
      <c r="F2158" s="795">
        <v>2239</v>
      </c>
      <c r="G2158" s="812" t="s">
        <v>3136</v>
      </c>
      <c r="H2158" s="748"/>
      <c r="I2158" s="748">
        <v>150</v>
      </c>
      <c r="J2158" s="1654" t="s">
        <v>1134</v>
      </c>
      <c r="K2158" s="1251"/>
      <c r="L2158" s="748"/>
      <c r="M2158" s="748"/>
      <c r="N2158" s="1717" t="s">
        <v>3520</v>
      </c>
      <c r="O2158" s="187"/>
      <c r="P2158" s="187"/>
      <c r="Q2158" s="187"/>
      <c r="R2158" s="187"/>
      <c r="S2158" s="187"/>
      <c r="T2158" s="187"/>
      <c r="U2158" s="187"/>
      <c r="V2158" s="187"/>
      <c r="W2158" s="187"/>
      <c r="X2158" s="187"/>
      <c r="Y2158" s="187"/>
      <c r="Z2158" s="187"/>
      <c r="AA2158" s="187"/>
      <c r="AB2158" s="187"/>
      <c r="AC2158" s="187"/>
      <c r="AD2158" s="187"/>
      <c r="AE2158" s="187"/>
      <c r="AF2158" s="187"/>
    </row>
    <row r="2159" spans="1:32" ht="20.399999999999999">
      <c r="A2159" s="663"/>
      <c r="B2159" s="3130" t="s">
        <v>365</v>
      </c>
      <c r="C2159" s="663" t="s">
        <v>323</v>
      </c>
      <c r="D2159" s="678" t="s">
        <v>1980</v>
      </c>
      <c r="E2159" s="700" t="s">
        <v>3123</v>
      </c>
      <c r="F2159" s="795">
        <v>2239</v>
      </c>
      <c r="G2159" s="812" t="s">
        <v>3139</v>
      </c>
      <c r="H2159" s="748"/>
      <c r="I2159" s="748">
        <v>450</v>
      </c>
      <c r="J2159" s="1654" t="s">
        <v>1134</v>
      </c>
      <c r="K2159" s="1251"/>
      <c r="L2159" s="748"/>
      <c r="M2159" s="748"/>
      <c r="N2159" s="176"/>
      <c r="O2159" s="187"/>
      <c r="P2159" s="187"/>
      <c r="Q2159" s="187"/>
      <c r="R2159" s="187"/>
      <c r="S2159" s="187"/>
      <c r="T2159" s="187"/>
      <c r="U2159" s="187"/>
      <c r="V2159" s="187"/>
      <c r="W2159" s="187"/>
      <c r="X2159" s="187"/>
      <c r="Y2159" s="187"/>
      <c r="Z2159" s="187"/>
      <c r="AA2159" s="187"/>
      <c r="AB2159" s="187"/>
      <c r="AC2159" s="187"/>
      <c r="AD2159" s="187"/>
      <c r="AE2159" s="187"/>
      <c r="AF2159" s="187"/>
    </row>
    <row r="2160" spans="1:32">
      <c r="A2160" s="663"/>
      <c r="B2160" s="3130" t="s">
        <v>365</v>
      </c>
      <c r="C2160" s="663" t="s">
        <v>323</v>
      </c>
      <c r="D2160" s="678" t="s">
        <v>1980</v>
      </c>
      <c r="E2160" s="700" t="s">
        <v>3123</v>
      </c>
      <c r="F2160" s="795">
        <v>2239</v>
      </c>
      <c r="G2160" s="812" t="s">
        <v>3145</v>
      </c>
      <c r="H2160" s="748"/>
      <c r="I2160" s="748">
        <v>490</v>
      </c>
      <c r="J2160" s="1654" t="s">
        <v>1134</v>
      </c>
      <c r="K2160" s="1251"/>
      <c r="L2160" s="748"/>
      <c r="M2160" s="748"/>
      <c r="N2160" s="176"/>
      <c r="O2160" s="187"/>
      <c r="P2160" s="187"/>
      <c r="Q2160" s="187"/>
      <c r="R2160" s="187"/>
      <c r="S2160" s="187"/>
      <c r="T2160" s="187"/>
      <c r="U2160" s="187"/>
      <c r="V2160" s="187"/>
      <c r="W2160" s="187"/>
      <c r="X2160" s="187"/>
      <c r="Y2160" s="187"/>
      <c r="Z2160" s="187"/>
      <c r="AA2160" s="187"/>
      <c r="AB2160" s="187"/>
      <c r="AC2160" s="187"/>
      <c r="AD2160" s="187"/>
      <c r="AE2160" s="187"/>
      <c r="AF2160" s="187"/>
    </row>
    <row r="2161" spans="1:32">
      <c r="A2161" s="683"/>
      <c r="B2161" s="3129" t="s">
        <v>365</v>
      </c>
      <c r="C2161" s="683" t="s">
        <v>323</v>
      </c>
      <c r="D2161" s="719" t="s">
        <v>1980</v>
      </c>
      <c r="E2161" s="720" t="s">
        <v>3123</v>
      </c>
      <c r="F2161" s="826">
        <v>2311</v>
      </c>
      <c r="G2161" s="800" t="s">
        <v>260</v>
      </c>
      <c r="H2161" s="706">
        <v>79</v>
      </c>
      <c r="I2161" s="706"/>
      <c r="J2161" s="1654">
        <v>0</v>
      </c>
      <c r="K2161" s="802"/>
      <c r="L2161" s="706">
        <v>0</v>
      </c>
      <c r="M2161" s="706"/>
      <c r="N2161" s="7"/>
      <c r="O2161" s="187"/>
      <c r="P2161" s="187"/>
      <c r="Q2161" s="187"/>
      <c r="R2161" s="187"/>
      <c r="S2161" s="187"/>
      <c r="T2161" s="187"/>
      <c r="U2161" s="187"/>
      <c r="V2161" s="187"/>
      <c r="W2161" s="187"/>
      <c r="X2161" s="187"/>
      <c r="Y2161" s="187"/>
      <c r="Z2161" s="187"/>
      <c r="AA2161" s="187"/>
      <c r="AB2161" s="187"/>
      <c r="AC2161" s="187"/>
      <c r="AD2161" s="187"/>
      <c r="AE2161" s="187"/>
      <c r="AF2161" s="187"/>
    </row>
    <row r="2162" spans="1:32">
      <c r="A2162" s="663"/>
      <c r="B2162" s="3130" t="s">
        <v>365</v>
      </c>
      <c r="C2162" s="663" t="s">
        <v>323</v>
      </c>
      <c r="D2162" s="678" t="s">
        <v>1980</v>
      </c>
      <c r="E2162" s="700" t="s">
        <v>3123</v>
      </c>
      <c r="F2162" s="795">
        <v>2311</v>
      </c>
      <c r="G2162" s="812" t="s">
        <v>3129</v>
      </c>
      <c r="H2162" s="748"/>
      <c r="I2162" s="748">
        <v>5</v>
      </c>
      <c r="J2162" s="1654" t="s">
        <v>1134</v>
      </c>
      <c r="K2162" s="1251"/>
      <c r="L2162" s="748"/>
      <c r="M2162" s="748"/>
      <c r="N2162" s="7"/>
      <c r="O2162" s="187"/>
      <c r="P2162" s="187"/>
      <c r="Q2162" s="187"/>
      <c r="R2162" s="187"/>
      <c r="S2162" s="187"/>
      <c r="T2162" s="187"/>
      <c r="U2162" s="187"/>
      <c r="V2162" s="187"/>
      <c r="W2162" s="187"/>
      <c r="X2162" s="187"/>
      <c r="Y2162" s="187"/>
      <c r="Z2162" s="187"/>
      <c r="AA2162" s="187"/>
      <c r="AB2162" s="187"/>
      <c r="AC2162" s="187"/>
      <c r="AD2162" s="187"/>
      <c r="AE2162" s="187"/>
      <c r="AF2162" s="187"/>
    </row>
    <row r="2163" spans="1:32">
      <c r="A2163" s="663"/>
      <c r="B2163" s="3130" t="s">
        <v>365</v>
      </c>
      <c r="C2163" s="663" t="s">
        <v>323</v>
      </c>
      <c r="D2163" s="678" t="s">
        <v>1980</v>
      </c>
      <c r="E2163" s="700" t="s">
        <v>3123</v>
      </c>
      <c r="F2163" s="795">
        <v>2311</v>
      </c>
      <c r="G2163" s="812" t="s">
        <v>3130</v>
      </c>
      <c r="H2163" s="748"/>
      <c r="I2163" s="748">
        <v>50</v>
      </c>
      <c r="J2163" s="1654" t="s">
        <v>1134</v>
      </c>
      <c r="K2163" s="1251"/>
      <c r="L2163" s="748"/>
      <c r="M2163" s="748"/>
      <c r="N2163" s="7"/>
      <c r="O2163" s="187"/>
      <c r="P2163" s="187"/>
      <c r="Q2163" s="187"/>
      <c r="R2163" s="187"/>
      <c r="S2163" s="187"/>
      <c r="T2163" s="187"/>
      <c r="U2163" s="187"/>
      <c r="V2163" s="187"/>
      <c r="W2163" s="187"/>
      <c r="X2163" s="187"/>
      <c r="Y2163" s="187"/>
      <c r="Z2163" s="187"/>
      <c r="AA2163" s="187"/>
      <c r="AB2163" s="187"/>
      <c r="AC2163" s="187"/>
      <c r="AD2163" s="187"/>
      <c r="AE2163" s="187"/>
      <c r="AF2163" s="187"/>
    </row>
    <row r="2164" spans="1:32">
      <c r="A2164" s="663"/>
      <c r="B2164" s="3130" t="s">
        <v>365</v>
      </c>
      <c r="C2164" s="663" t="s">
        <v>323</v>
      </c>
      <c r="D2164" s="678" t="s">
        <v>1980</v>
      </c>
      <c r="E2164" s="700" t="s">
        <v>3123</v>
      </c>
      <c r="F2164" s="795">
        <v>2311</v>
      </c>
      <c r="G2164" s="812" t="s">
        <v>3131</v>
      </c>
      <c r="H2164" s="748"/>
      <c r="I2164" s="748">
        <v>7</v>
      </c>
      <c r="J2164" s="1654" t="s">
        <v>1134</v>
      </c>
      <c r="K2164" s="1251"/>
      <c r="L2164" s="748"/>
      <c r="M2164" s="748"/>
      <c r="N2164" s="7"/>
      <c r="O2164" s="187"/>
      <c r="P2164" s="187"/>
      <c r="Q2164" s="187"/>
      <c r="R2164" s="187"/>
      <c r="S2164" s="187"/>
      <c r="T2164" s="187"/>
      <c r="U2164" s="187"/>
      <c r="V2164" s="187"/>
      <c r="W2164" s="187"/>
      <c r="X2164" s="187"/>
      <c r="Y2164" s="187"/>
      <c r="Z2164" s="187"/>
      <c r="AA2164" s="187"/>
      <c r="AB2164" s="187"/>
      <c r="AC2164" s="187"/>
      <c r="AD2164" s="187"/>
      <c r="AE2164" s="187"/>
      <c r="AF2164" s="187"/>
    </row>
    <row r="2165" spans="1:32">
      <c r="A2165" s="663"/>
      <c r="B2165" s="3130" t="s">
        <v>365</v>
      </c>
      <c r="C2165" s="663" t="s">
        <v>323</v>
      </c>
      <c r="D2165" s="678" t="s">
        <v>1980</v>
      </c>
      <c r="E2165" s="700" t="s">
        <v>3123</v>
      </c>
      <c r="F2165" s="795">
        <v>2311</v>
      </c>
      <c r="G2165" s="812" t="s">
        <v>3132</v>
      </c>
      <c r="H2165" s="748"/>
      <c r="I2165" s="748">
        <v>10</v>
      </c>
      <c r="J2165" s="1654" t="s">
        <v>1134</v>
      </c>
      <c r="K2165" s="1251"/>
      <c r="L2165" s="748"/>
      <c r="M2165" s="748"/>
      <c r="N2165" s="7"/>
      <c r="O2165" s="187"/>
      <c r="P2165" s="187"/>
      <c r="Q2165" s="187"/>
      <c r="R2165" s="187"/>
      <c r="S2165" s="187"/>
      <c r="T2165" s="187"/>
      <c r="U2165" s="187"/>
      <c r="V2165" s="187"/>
      <c r="W2165" s="187"/>
      <c r="X2165" s="187"/>
      <c r="Y2165" s="187"/>
      <c r="Z2165" s="187"/>
      <c r="AA2165" s="187"/>
      <c r="AB2165" s="187"/>
      <c r="AC2165" s="187"/>
      <c r="AD2165" s="187"/>
      <c r="AE2165" s="187"/>
      <c r="AF2165" s="187"/>
    </row>
    <row r="2166" spans="1:32">
      <c r="A2166" s="663"/>
      <c r="B2166" s="3130" t="s">
        <v>365</v>
      </c>
      <c r="C2166" s="663" t="s">
        <v>323</v>
      </c>
      <c r="D2166" s="678" t="s">
        <v>1980</v>
      </c>
      <c r="E2166" s="700" t="s">
        <v>3123</v>
      </c>
      <c r="F2166" s="795">
        <v>2311</v>
      </c>
      <c r="G2166" s="812" t="s">
        <v>3133</v>
      </c>
      <c r="H2166" s="748"/>
      <c r="I2166" s="748">
        <v>7</v>
      </c>
      <c r="J2166" s="1654" t="s">
        <v>1134</v>
      </c>
      <c r="K2166" s="1251"/>
      <c r="L2166" s="748"/>
      <c r="M2166" s="748"/>
      <c r="N2166" s="7"/>
      <c r="O2166" s="187"/>
      <c r="P2166" s="187"/>
      <c r="Q2166" s="187"/>
      <c r="R2166" s="187"/>
      <c r="S2166" s="187"/>
      <c r="T2166" s="187"/>
      <c r="U2166" s="187"/>
      <c r="V2166" s="187"/>
      <c r="W2166" s="187"/>
      <c r="X2166" s="187"/>
      <c r="Y2166" s="187"/>
      <c r="Z2166" s="187"/>
      <c r="AA2166" s="187"/>
      <c r="AB2166" s="187"/>
      <c r="AC2166" s="187"/>
      <c r="AD2166" s="187"/>
      <c r="AE2166" s="187"/>
      <c r="AF2166" s="187"/>
    </row>
    <row r="2167" spans="1:32" ht="20.399999999999999">
      <c r="A2167" s="683"/>
      <c r="B2167" s="3129" t="s">
        <v>365</v>
      </c>
      <c r="C2167" s="683" t="s">
        <v>323</v>
      </c>
      <c r="D2167" s="719" t="s">
        <v>1980</v>
      </c>
      <c r="E2167" s="720" t="s">
        <v>3123</v>
      </c>
      <c r="F2167" s="826">
        <v>2314</v>
      </c>
      <c r="G2167" s="800" t="s">
        <v>1435</v>
      </c>
      <c r="H2167" s="706">
        <v>1665</v>
      </c>
      <c r="I2167" s="706"/>
      <c r="J2167" s="1654">
        <v>886.21</v>
      </c>
      <c r="K2167" s="802"/>
      <c r="L2167" s="706">
        <v>502</v>
      </c>
      <c r="M2167" s="706"/>
      <c r="N2167" s="7" t="s">
        <v>3519</v>
      </c>
      <c r="O2167" s="187"/>
      <c r="P2167" s="187"/>
      <c r="Q2167" s="187"/>
      <c r="R2167" s="187"/>
      <c r="S2167" s="187"/>
      <c r="T2167" s="187"/>
      <c r="U2167" s="187"/>
      <c r="V2167" s="187"/>
      <c r="W2167" s="187"/>
      <c r="X2167" s="187"/>
      <c r="Y2167" s="187"/>
      <c r="Z2167" s="187"/>
      <c r="AA2167" s="187"/>
      <c r="AB2167" s="187"/>
      <c r="AC2167" s="187"/>
      <c r="AD2167" s="187"/>
      <c r="AE2167" s="187"/>
      <c r="AF2167" s="187"/>
    </row>
    <row r="2168" spans="1:32">
      <c r="A2168" s="663"/>
      <c r="B2168" s="3130" t="s">
        <v>365</v>
      </c>
      <c r="C2168" s="663" t="s">
        <v>323</v>
      </c>
      <c r="D2168" s="678" t="s">
        <v>1980</v>
      </c>
      <c r="E2168" s="700" t="s">
        <v>3123</v>
      </c>
      <c r="F2168" s="795">
        <v>2314</v>
      </c>
      <c r="G2168" s="812" t="s">
        <v>3134</v>
      </c>
      <c r="H2168" s="748"/>
      <c r="I2168" s="748">
        <v>540</v>
      </c>
      <c r="J2168" s="1654" t="s">
        <v>1134</v>
      </c>
      <c r="K2168" s="1251"/>
      <c r="L2168" s="748"/>
      <c r="M2168" s="748">
        <v>502</v>
      </c>
      <c r="N2168" s="359"/>
      <c r="O2168" s="4"/>
      <c r="P2168" s="4"/>
      <c r="Q2168" s="4"/>
      <c r="R2168" s="4"/>
      <c r="S2168" s="4"/>
      <c r="T2168" s="4"/>
      <c r="U2168" s="4"/>
      <c r="V2168" s="4"/>
      <c r="W2168" s="4"/>
      <c r="X2168" s="4"/>
      <c r="Y2168" s="4"/>
      <c r="Z2168" s="4"/>
      <c r="AA2168" s="4"/>
      <c r="AB2168" s="4"/>
      <c r="AC2168" s="4"/>
      <c r="AD2168" s="4"/>
      <c r="AE2168" s="4"/>
      <c r="AF2168" s="4"/>
    </row>
    <row r="2169" spans="1:32">
      <c r="A2169" s="663"/>
      <c r="B2169" s="3130" t="s">
        <v>365</v>
      </c>
      <c r="C2169" s="663" t="s">
        <v>323</v>
      </c>
      <c r="D2169" s="678" t="s">
        <v>1980</v>
      </c>
      <c r="E2169" s="700" t="s">
        <v>3123</v>
      </c>
      <c r="F2169" s="795">
        <v>2314</v>
      </c>
      <c r="G2169" s="812" t="s">
        <v>3135</v>
      </c>
      <c r="H2169" s="748"/>
      <c r="I2169" s="748">
        <v>300</v>
      </c>
      <c r="J2169" s="1654" t="s">
        <v>1134</v>
      </c>
      <c r="K2169" s="1251"/>
      <c r="L2169" s="748"/>
      <c r="M2169" s="748"/>
      <c r="N2169" s="7"/>
      <c r="O2169" s="4"/>
      <c r="P2169" s="4"/>
      <c r="Q2169" s="4"/>
      <c r="R2169" s="4"/>
      <c r="S2169" s="4"/>
      <c r="T2169" s="4"/>
      <c r="U2169" s="4"/>
      <c r="V2169" s="4"/>
      <c r="W2169" s="4"/>
      <c r="X2169" s="4"/>
      <c r="Y2169" s="4"/>
      <c r="Z2169" s="4"/>
      <c r="AA2169" s="4"/>
      <c r="AB2169" s="4"/>
      <c r="AC2169" s="4"/>
      <c r="AD2169" s="4"/>
      <c r="AE2169" s="4"/>
      <c r="AF2169" s="4"/>
    </row>
    <row r="2170" spans="1:32" ht="20.399999999999999">
      <c r="A2170" s="663"/>
      <c r="B2170" s="3130" t="s">
        <v>365</v>
      </c>
      <c r="C2170" s="663" t="s">
        <v>323</v>
      </c>
      <c r="D2170" s="678" t="s">
        <v>1980</v>
      </c>
      <c r="E2170" s="700" t="s">
        <v>3123</v>
      </c>
      <c r="F2170" s="795">
        <v>2314</v>
      </c>
      <c r="G2170" s="812" t="s">
        <v>3137</v>
      </c>
      <c r="H2170" s="748"/>
      <c r="I2170" s="748">
        <v>70</v>
      </c>
      <c r="J2170" s="1654" t="s">
        <v>1134</v>
      </c>
      <c r="K2170" s="1251"/>
      <c r="L2170" s="748"/>
      <c r="M2170" s="748"/>
      <c r="N2170" s="7"/>
      <c r="O2170" s="187"/>
      <c r="P2170" s="187"/>
      <c r="Q2170" s="187"/>
      <c r="R2170" s="187"/>
      <c r="S2170" s="187"/>
      <c r="T2170" s="187"/>
      <c r="U2170" s="187"/>
      <c r="V2170" s="187"/>
      <c r="W2170" s="187"/>
      <c r="X2170" s="187"/>
      <c r="Y2170" s="187"/>
      <c r="Z2170" s="187"/>
      <c r="AA2170" s="187"/>
      <c r="AB2170" s="187"/>
      <c r="AC2170" s="187"/>
      <c r="AD2170" s="187"/>
      <c r="AE2170" s="187"/>
      <c r="AF2170" s="187"/>
    </row>
    <row r="2171" spans="1:32">
      <c r="A2171" s="663"/>
      <c r="B2171" s="3130" t="s">
        <v>365</v>
      </c>
      <c r="C2171" s="663" t="s">
        <v>323</v>
      </c>
      <c r="D2171" s="678" t="s">
        <v>1980</v>
      </c>
      <c r="E2171" s="700" t="s">
        <v>3123</v>
      </c>
      <c r="F2171" s="795">
        <v>2314</v>
      </c>
      <c r="G2171" s="812" t="s">
        <v>3138</v>
      </c>
      <c r="H2171" s="748"/>
      <c r="I2171" s="748">
        <v>105</v>
      </c>
      <c r="J2171" s="1654" t="s">
        <v>1134</v>
      </c>
      <c r="K2171" s="1251"/>
      <c r="L2171" s="748"/>
      <c r="M2171" s="748"/>
      <c r="N2171" s="7"/>
      <c r="O2171" s="187"/>
      <c r="P2171" s="187"/>
      <c r="Q2171" s="187"/>
      <c r="R2171" s="187"/>
      <c r="S2171" s="187"/>
      <c r="T2171" s="187"/>
      <c r="U2171" s="187"/>
      <c r="V2171" s="187"/>
      <c r="W2171" s="187"/>
      <c r="X2171" s="187"/>
      <c r="Y2171" s="187"/>
      <c r="Z2171" s="187"/>
      <c r="AA2171" s="187"/>
      <c r="AB2171" s="187"/>
      <c r="AC2171" s="187"/>
      <c r="AD2171" s="187"/>
      <c r="AE2171" s="187"/>
      <c r="AF2171" s="187"/>
    </row>
    <row r="2172" spans="1:32">
      <c r="A2172" s="663"/>
      <c r="B2172" s="3130" t="s">
        <v>365</v>
      </c>
      <c r="C2172" s="663" t="s">
        <v>323</v>
      </c>
      <c r="D2172" s="678" t="s">
        <v>1980</v>
      </c>
      <c r="E2172" s="700" t="s">
        <v>3123</v>
      </c>
      <c r="F2172" s="795">
        <v>2314</v>
      </c>
      <c r="G2172" s="812" t="s">
        <v>3140</v>
      </c>
      <c r="H2172" s="748"/>
      <c r="I2172" s="748">
        <v>350</v>
      </c>
      <c r="J2172" s="1654" t="s">
        <v>1134</v>
      </c>
      <c r="K2172" s="1251"/>
      <c r="L2172" s="748"/>
      <c r="M2172" s="748"/>
      <c r="N2172" s="359"/>
      <c r="O2172" s="187"/>
      <c r="P2172" s="187"/>
      <c r="Q2172" s="187"/>
      <c r="R2172" s="187"/>
      <c r="S2172" s="187"/>
      <c r="T2172" s="187"/>
      <c r="U2172" s="187"/>
      <c r="V2172" s="187"/>
      <c r="W2172" s="187"/>
      <c r="X2172" s="187"/>
      <c r="Y2172" s="187"/>
      <c r="Z2172" s="187"/>
      <c r="AA2172" s="187"/>
      <c r="AB2172" s="187"/>
      <c r="AC2172" s="187"/>
      <c r="AD2172" s="187"/>
      <c r="AE2172" s="187"/>
      <c r="AF2172" s="187"/>
    </row>
    <row r="2173" spans="1:32">
      <c r="A2173" s="663"/>
      <c r="B2173" s="3130" t="s">
        <v>365</v>
      </c>
      <c r="C2173" s="663" t="s">
        <v>323</v>
      </c>
      <c r="D2173" s="678" t="s">
        <v>1980</v>
      </c>
      <c r="E2173" s="700" t="s">
        <v>3123</v>
      </c>
      <c r="F2173" s="795">
        <v>2314</v>
      </c>
      <c r="G2173" s="812" t="s">
        <v>3141</v>
      </c>
      <c r="H2173" s="748"/>
      <c r="I2173" s="748">
        <v>300</v>
      </c>
      <c r="J2173" s="1654" t="s">
        <v>1134</v>
      </c>
      <c r="K2173" s="1251"/>
      <c r="L2173" s="748"/>
      <c r="M2173" s="748"/>
      <c r="N2173" s="7"/>
      <c r="O2173" s="187"/>
      <c r="P2173" s="187"/>
      <c r="Q2173" s="187"/>
      <c r="R2173" s="187"/>
      <c r="S2173" s="187"/>
      <c r="T2173" s="187"/>
      <c r="U2173" s="187"/>
      <c r="V2173" s="187"/>
      <c r="W2173" s="187"/>
      <c r="X2173" s="187"/>
      <c r="Y2173" s="187"/>
      <c r="Z2173" s="187"/>
      <c r="AA2173" s="187"/>
      <c r="AB2173" s="187"/>
      <c r="AC2173" s="187"/>
      <c r="AD2173" s="187"/>
      <c r="AE2173" s="187"/>
      <c r="AF2173" s="187"/>
    </row>
    <row r="2174" spans="1:32">
      <c r="A2174" s="683"/>
      <c r="B2174" s="3129" t="s">
        <v>365</v>
      </c>
      <c r="C2174" s="683" t="s">
        <v>323</v>
      </c>
      <c r="D2174" s="719" t="s">
        <v>1980</v>
      </c>
      <c r="E2174" s="720" t="s">
        <v>3123</v>
      </c>
      <c r="F2174" s="826">
        <v>2390</v>
      </c>
      <c r="G2174" s="800" t="s">
        <v>135</v>
      </c>
      <c r="H2174" s="706">
        <v>425</v>
      </c>
      <c r="I2174" s="706"/>
      <c r="J2174" s="1654">
        <v>259.01</v>
      </c>
      <c r="K2174" s="802"/>
      <c r="L2174" s="706">
        <v>0</v>
      </c>
      <c r="M2174" s="706"/>
      <c r="N2174" s="7"/>
      <c r="O2174" s="4"/>
      <c r="P2174" s="4"/>
      <c r="Q2174" s="4"/>
      <c r="R2174" s="4"/>
      <c r="S2174" s="4"/>
      <c r="T2174" s="4"/>
      <c r="U2174" s="4"/>
      <c r="V2174" s="4"/>
      <c r="W2174" s="4"/>
      <c r="X2174" s="4"/>
      <c r="Y2174" s="4"/>
      <c r="Z2174" s="4"/>
      <c r="AA2174" s="4"/>
      <c r="AB2174" s="4"/>
      <c r="AC2174" s="4"/>
      <c r="AD2174" s="4"/>
      <c r="AE2174" s="4"/>
      <c r="AF2174" s="4"/>
    </row>
    <row r="2175" spans="1:32" ht="20.399999999999999">
      <c r="A2175" s="663"/>
      <c r="B2175" s="3130" t="s">
        <v>365</v>
      </c>
      <c r="C2175" s="663" t="s">
        <v>323</v>
      </c>
      <c r="D2175" s="678" t="s">
        <v>1980</v>
      </c>
      <c r="E2175" s="700" t="s">
        <v>3123</v>
      </c>
      <c r="F2175" s="795">
        <v>2390</v>
      </c>
      <c r="G2175" s="812" t="s">
        <v>3142</v>
      </c>
      <c r="H2175" s="748"/>
      <c r="I2175" s="748">
        <v>100</v>
      </c>
      <c r="J2175" s="1654" t="s">
        <v>1134</v>
      </c>
      <c r="K2175" s="1251"/>
      <c r="L2175" s="748"/>
      <c r="M2175" s="748"/>
      <c r="N2175" s="125"/>
      <c r="O2175" s="187"/>
      <c r="P2175" s="187"/>
      <c r="Q2175" s="187"/>
      <c r="R2175" s="187"/>
      <c r="S2175" s="187"/>
      <c r="T2175" s="187"/>
      <c r="U2175" s="187"/>
      <c r="V2175" s="187"/>
      <c r="W2175" s="187"/>
      <c r="X2175" s="187"/>
      <c r="Y2175" s="187"/>
      <c r="Z2175" s="187"/>
      <c r="AA2175" s="187"/>
      <c r="AB2175" s="187"/>
      <c r="AC2175" s="187"/>
      <c r="AD2175" s="187"/>
      <c r="AE2175" s="187"/>
      <c r="AF2175" s="187"/>
    </row>
    <row r="2176" spans="1:32">
      <c r="A2176" s="663"/>
      <c r="B2176" s="3130" t="s">
        <v>365</v>
      </c>
      <c r="C2176" s="663" t="s">
        <v>323</v>
      </c>
      <c r="D2176" s="678" t="s">
        <v>1980</v>
      </c>
      <c r="E2176" s="700" t="s">
        <v>3123</v>
      </c>
      <c r="F2176" s="795">
        <v>2390</v>
      </c>
      <c r="G2176" s="812" t="s">
        <v>3143</v>
      </c>
      <c r="H2176" s="748"/>
      <c r="I2176" s="748">
        <v>150</v>
      </c>
      <c r="J2176" s="1654" t="s">
        <v>1134</v>
      </c>
      <c r="K2176" s="1251"/>
      <c r="L2176" s="748"/>
      <c r="M2176" s="748"/>
      <c r="N2176" s="125"/>
      <c r="O2176" s="201"/>
      <c r="P2176" s="201"/>
      <c r="Q2176" s="201"/>
      <c r="R2176" s="201"/>
      <c r="S2176" s="201"/>
      <c r="T2176" s="201"/>
      <c r="U2176" s="201"/>
      <c r="V2176" s="201"/>
      <c r="W2176" s="201"/>
      <c r="X2176" s="201"/>
      <c r="Y2176" s="201"/>
      <c r="Z2176" s="201"/>
      <c r="AA2176" s="201"/>
      <c r="AB2176" s="201"/>
      <c r="AC2176" s="201"/>
      <c r="AD2176" s="201"/>
      <c r="AE2176" s="201"/>
      <c r="AF2176" s="201"/>
    </row>
    <row r="2177" spans="1:32" ht="20.399999999999999">
      <c r="A2177" s="663"/>
      <c r="B2177" s="3130" t="s">
        <v>365</v>
      </c>
      <c r="C2177" s="663" t="s">
        <v>323</v>
      </c>
      <c r="D2177" s="678" t="s">
        <v>1980</v>
      </c>
      <c r="E2177" s="700" t="s">
        <v>3123</v>
      </c>
      <c r="F2177" s="795">
        <v>2390</v>
      </c>
      <c r="G2177" s="812" t="s">
        <v>3144</v>
      </c>
      <c r="H2177" s="748"/>
      <c r="I2177" s="748">
        <v>175</v>
      </c>
      <c r="J2177" s="1654" t="s">
        <v>1134</v>
      </c>
      <c r="K2177" s="1251"/>
      <c r="L2177" s="748"/>
      <c r="M2177" s="748"/>
      <c r="N2177" s="125"/>
      <c r="O2177" s="187"/>
      <c r="P2177" s="187"/>
      <c r="Q2177" s="187"/>
      <c r="R2177" s="187"/>
      <c r="S2177" s="187"/>
      <c r="T2177" s="187"/>
      <c r="U2177" s="187"/>
      <c r="V2177" s="187"/>
      <c r="W2177" s="187"/>
      <c r="X2177" s="187"/>
      <c r="Y2177" s="187"/>
      <c r="Z2177" s="187"/>
      <c r="AA2177" s="187"/>
      <c r="AB2177" s="187"/>
      <c r="AC2177" s="187"/>
      <c r="AD2177" s="187"/>
      <c r="AE2177" s="187"/>
      <c r="AF2177" s="187"/>
    </row>
    <row r="2178" spans="1:32">
      <c r="A2178" s="683"/>
      <c r="B2178" s="3129" t="s">
        <v>365</v>
      </c>
      <c r="C2178" s="683" t="s">
        <v>323</v>
      </c>
      <c r="D2178" s="719" t="s">
        <v>1980</v>
      </c>
      <c r="E2178" s="2655" t="s">
        <v>3315</v>
      </c>
      <c r="F2178" s="694">
        <v>1119</v>
      </c>
      <c r="G2178" s="686" t="s">
        <v>142</v>
      </c>
      <c r="H2178" s="689">
        <v>30750</v>
      </c>
      <c r="I2178" s="689"/>
      <c r="J2178" s="1494">
        <v>0</v>
      </c>
      <c r="K2178" s="727"/>
      <c r="L2178" s="689">
        <v>33780.001119831701</v>
      </c>
      <c r="M2178" s="689"/>
      <c r="N2178" s="176"/>
      <c r="O2178" s="201"/>
      <c r="P2178" s="201"/>
      <c r="Q2178" s="201"/>
      <c r="R2178" s="201"/>
      <c r="S2178" s="201"/>
      <c r="T2178" s="201"/>
      <c r="U2178" s="201"/>
      <c r="V2178" s="201"/>
      <c r="W2178" s="201"/>
      <c r="X2178" s="201"/>
      <c r="Y2178" s="201"/>
      <c r="Z2178" s="201"/>
      <c r="AA2178" s="201"/>
      <c r="AB2178" s="201"/>
      <c r="AC2178" s="201"/>
      <c r="AD2178" s="201"/>
      <c r="AE2178" s="201"/>
      <c r="AF2178" s="201"/>
    </row>
    <row r="2179" spans="1:32">
      <c r="A2179" s="663"/>
      <c r="B2179" s="3130" t="s">
        <v>365</v>
      </c>
      <c r="C2179" s="663" t="s">
        <v>323</v>
      </c>
      <c r="D2179" s="678" t="s">
        <v>1980</v>
      </c>
      <c r="E2179" s="700" t="s">
        <v>3152</v>
      </c>
      <c r="F2179" s="679">
        <v>1119</v>
      </c>
      <c r="G2179" s="681" t="s">
        <v>3155</v>
      </c>
      <c r="H2179" s="741"/>
      <c r="I2179" s="741">
        <v>30750</v>
      </c>
      <c r="J2179" s="1494" t="s">
        <v>1134</v>
      </c>
      <c r="K2179" s="747"/>
      <c r="L2179" s="741"/>
      <c r="M2179" s="676">
        <v>33780.001119831701</v>
      </c>
      <c r="N2179" s="125"/>
      <c r="O2179" s="187"/>
      <c r="P2179" s="187"/>
      <c r="Q2179" s="187"/>
      <c r="R2179" s="187"/>
      <c r="S2179" s="187"/>
      <c r="T2179" s="187"/>
      <c r="U2179" s="187"/>
      <c r="V2179" s="187"/>
      <c r="W2179" s="187"/>
      <c r="X2179" s="187"/>
      <c r="Y2179" s="187"/>
      <c r="Z2179" s="187"/>
      <c r="AA2179" s="187"/>
      <c r="AB2179" s="187"/>
      <c r="AC2179" s="187"/>
      <c r="AD2179" s="187"/>
      <c r="AE2179" s="187"/>
      <c r="AF2179" s="187"/>
    </row>
    <row r="2180" spans="1:32" ht="20.399999999999999">
      <c r="A2180" s="683"/>
      <c r="B2180" s="3129" t="s">
        <v>365</v>
      </c>
      <c r="C2180" s="683" t="s">
        <v>323</v>
      </c>
      <c r="D2180" s="719" t="s">
        <v>1980</v>
      </c>
      <c r="E2180" s="2655" t="s">
        <v>3315</v>
      </c>
      <c r="F2180" s="694">
        <v>1210</v>
      </c>
      <c r="G2180" s="686" t="s">
        <v>402</v>
      </c>
      <c r="H2180" s="689">
        <v>7253</v>
      </c>
      <c r="I2180" s="689"/>
      <c r="J2180" s="1494">
        <v>0</v>
      </c>
      <c r="K2180" s="727"/>
      <c r="L2180" s="689">
        <v>7968.9988801682994</v>
      </c>
      <c r="M2180" s="689"/>
      <c r="N2180" s="125"/>
      <c r="O2180" s="187"/>
      <c r="P2180" s="187"/>
      <c r="Q2180" s="187"/>
      <c r="R2180" s="187"/>
      <c r="S2180" s="187"/>
      <c r="T2180" s="187"/>
      <c r="U2180" s="187"/>
      <c r="V2180" s="187"/>
      <c r="W2180" s="187"/>
      <c r="X2180" s="187"/>
      <c r="Y2180" s="187"/>
      <c r="Z2180" s="187"/>
      <c r="AA2180" s="187"/>
      <c r="AB2180" s="187"/>
      <c r="AC2180" s="187"/>
      <c r="AD2180" s="187"/>
      <c r="AE2180" s="187"/>
      <c r="AF2180" s="187"/>
    </row>
    <row r="2181" spans="1:32">
      <c r="A2181" s="663"/>
      <c r="B2181" s="3130" t="s">
        <v>365</v>
      </c>
      <c r="C2181" s="663" t="s">
        <v>323</v>
      </c>
      <c r="D2181" s="678" t="s">
        <v>1980</v>
      </c>
      <c r="E2181" s="700" t="s">
        <v>3152</v>
      </c>
      <c r="F2181" s="679">
        <v>1210</v>
      </c>
      <c r="G2181" s="681"/>
      <c r="H2181" s="741"/>
      <c r="I2181" s="741">
        <v>7253</v>
      </c>
      <c r="J2181" s="1494" t="s">
        <v>1134</v>
      </c>
      <c r="K2181" s="747"/>
      <c r="L2181" s="741"/>
      <c r="M2181" s="741">
        <v>7968.9988801682994</v>
      </c>
      <c r="N2181" s="125"/>
      <c r="O2181" s="187"/>
      <c r="P2181" s="187"/>
      <c r="Q2181" s="187"/>
      <c r="R2181" s="187"/>
      <c r="S2181" s="187"/>
      <c r="T2181" s="187"/>
      <c r="U2181" s="187"/>
      <c r="V2181" s="187"/>
      <c r="W2181" s="187"/>
      <c r="X2181" s="187"/>
      <c r="Y2181" s="187"/>
      <c r="Z2181" s="187"/>
      <c r="AA2181" s="187"/>
      <c r="AB2181" s="187"/>
      <c r="AC2181" s="187"/>
      <c r="AD2181" s="187"/>
      <c r="AE2181" s="187"/>
      <c r="AF2181" s="187"/>
    </row>
    <row r="2182" spans="1:32">
      <c r="A2182" s="683"/>
      <c r="B2182" s="3129" t="s">
        <v>365</v>
      </c>
      <c r="C2182" s="683" t="s">
        <v>323</v>
      </c>
      <c r="D2182" s="719" t="s">
        <v>1980</v>
      </c>
      <c r="E2182" s="2655" t="s">
        <v>3315</v>
      </c>
      <c r="F2182" s="694">
        <v>2239</v>
      </c>
      <c r="G2182" s="214" t="s">
        <v>1017</v>
      </c>
      <c r="H2182" s="689"/>
      <c r="I2182" s="689"/>
      <c r="J2182" s="1494">
        <v>0</v>
      </c>
      <c r="K2182" s="727"/>
      <c r="L2182" s="689">
        <v>0</v>
      </c>
      <c r="M2182" s="689"/>
      <c r="N2182" s="125"/>
      <c r="O2182" s="187"/>
      <c r="P2182" s="187"/>
      <c r="Q2182" s="187"/>
      <c r="R2182" s="187"/>
      <c r="S2182" s="187"/>
      <c r="T2182" s="187"/>
      <c r="U2182" s="187"/>
      <c r="V2182" s="187"/>
      <c r="W2182" s="187"/>
      <c r="X2182" s="187"/>
      <c r="Y2182" s="187"/>
      <c r="Z2182" s="187"/>
      <c r="AA2182" s="187"/>
      <c r="AB2182" s="187"/>
      <c r="AC2182" s="187"/>
      <c r="AD2182" s="187"/>
      <c r="AE2182" s="187"/>
      <c r="AF2182" s="187"/>
    </row>
    <row r="2183" spans="1:32">
      <c r="A2183" s="663"/>
      <c r="B2183" s="3130" t="s">
        <v>365</v>
      </c>
      <c r="C2183" s="663" t="s">
        <v>323</v>
      </c>
      <c r="D2183" s="678" t="s">
        <v>1980</v>
      </c>
      <c r="E2183" s="700" t="s">
        <v>3152</v>
      </c>
      <c r="F2183" s="679">
        <v>2239</v>
      </c>
      <c r="G2183" s="681" t="s">
        <v>4828</v>
      </c>
      <c r="H2183" s="741"/>
      <c r="I2183" s="741"/>
      <c r="J2183" s="1494"/>
      <c r="K2183" s="747"/>
      <c r="L2183" s="741"/>
      <c r="M2183" s="741"/>
      <c r="N2183" s="176"/>
      <c r="O2183" s="187"/>
      <c r="P2183" s="187"/>
      <c r="Q2183" s="187"/>
      <c r="R2183" s="187"/>
      <c r="S2183" s="187"/>
      <c r="T2183" s="187"/>
      <c r="U2183" s="187"/>
      <c r="V2183" s="187"/>
      <c r="W2183" s="187"/>
      <c r="X2183" s="187"/>
      <c r="Y2183" s="187"/>
      <c r="Z2183" s="187"/>
      <c r="AA2183" s="187"/>
      <c r="AB2183" s="187"/>
      <c r="AC2183" s="187"/>
      <c r="AD2183" s="187"/>
      <c r="AE2183" s="187"/>
      <c r="AF2183" s="187"/>
    </row>
    <row r="2184" spans="1:32">
      <c r="A2184" s="663"/>
      <c r="B2184" s="3130" t="s">
        <v>365</v>
      </c>
      <c r="C2184" s="663" t="s">
        <v>323</v>
      </c>
      <c r="D2184" s="678" t="s">
        <v>1980</v>
      </c>
      <c r="E2184" s="700" t="s">
        <v>3152</v>
      </c>
      <c r="F2184" s="679">
        <v>2239</v>
      </c>
      <c r="G2184" s="681" t="s">
        <v>4829</v>
      </c>
      <c r="H2184" s="741"/>
      <c r="I2184" s="741"/>
      <c r="J2184" s="1494" t="s">
        <v>1134</v>
      </c>
      <c r="K2184" s="747"/>
      <c r="L2184" s="741"/>
      <c r="M2184" s="741"/>
      <c r="N2184" s="125"/>
      <c r="O2184" s="187"/>
      <c r="P2184" s="187"/>
      <c r="Q2184" s="187"/>
      <c r="R2184" s="187"/>
      <c r="S2184" s="187"/>
      <c r="T2184" s="187"/>
      <c r="U2184" s="187"/>
      <c r="V2184" s="187"/>
      <c r="W2184" s="187"/>
      <c r="X2184" s="187"/>
      <c r="Y2184" s="187"/>
      <c r="Z2184" s="187"/>
      <c r="AA2184" s="187"/>
      <c r="AB2184" s="187"/>
      <c r="AC2184" s="187"/>
      <c r="AD2184" s="187"/>
      <c r="AE2184" s="187"/>
      <c r="AF2184" s="187"/>
    </row>
    <row r="2185" spans="1:32">
      <c r="A2185" s="683"/>
      <c r="B2185" s="3129" t="s">
        <v>365</v>
      </c>
      <c r="C2185" s="683" t="s">
        <v>323</v>
      </c>
      <c r="D2185" s="719" t="s">
        <v>1980</v>
      </c>
      <c r="E2185" s="720" t="s">
        <v>3261</v>
      </c>
      <c r="F2185" s="694">
        <v>2312</v>
      </c>
      <c r="G2185" s="686" t="s">
        <v>207</v>
      </c>
      <c r="H2185" s="689"/>
      <c r="I2185" s="689"/>
      <c r="J2185" s="1494">
        <v>385</v>
      </c>
      <c r="K2185" s="727"/>
      <c r="L2185" s="687"/>
      <c r="M2185" s="687"/>
      <c r="N2185" s="176"/>
      <c r="O2185" s="187"/>
      <c r="P2185" s="187"/>
      <c r="Q2185" s="187"/>
      <c r="R2185" s="187"/>
      <c r="S2185" s="187"/>
      <c r="T2185" s="187"/>
      <c r="U2185" s="187"/>
      <c r="V2185" s="187"/>
      <c r="W2185" s="187"/>
      <c r="X2185" s="187"/>
      <c r="Y2185" s="187"/>
      <c r="Z2185" s="187"/>
      <c r="AA2185" s="187"/>
      <c r="AB2185" s="187"/>
      <c r="AC2185" s="187"/>
      <c r="AD2185" s="187"/>
      <c r="AE2185" s="187"/>
      <c r="AF2185" s="187"/>
    </row>
    <row r="2186" spans="1:32">
      <c r="A2186" s="663"/>
      <c r="B2186" s="3130" t="s">
        <v>365</v>
      </c>
      <c r="C2186" s="663" t="s">
        <v>323</v>
      </c>
      <c r="D2186" s="678" t="s">
        <v>1980</v>
      </c>
      <c r="E2186" s="700" t="s">
        <v>3261</v>
      </c>
      <c r="F2186" s="679">
        <v>2312</v>
      </c>
      <c r="G2186" s="681"/>
      <c r="H2186" s="741"/>
      <c r="I2186" s="741"/>
      <c r="J2186" s="1494" t="s">
        <v>1134</v>
      </c>
      <c r="K2186" s="747"/>
      <c r="L2186" s="859"/>
      <c r="M2186" s="859"/>
      <c r="N2186" s="176"/>
      <c r="O2186" s="4"/>
      <c r="P2186" s="4"/>
      <c r="Q2186" s="4"/>
      <c r="R2186" s="4"/>
      <c r="S2186" s="4"/>
      <c r="T2186" s="4"/>
      <c r="U2186" s="4"/>
      <c r="V2186" s="4"/>
      <c r="W2186" s="4"/>
      <c r="X2186" s="4"/>
      <c r="Y2186" s="4"/>
      <c r="Z2186" s="4"/>
      <c r="AA2186" s="4"/>
      <c r="AB2186" s="4"/>
      <c r="AC2186" s="4"/>
      <c r="AD2186" s="4"/>
      <c r="AE2186" s="4"/>
      <c r="AF2186" s="4"/>
    </row>
    <row r="2187" spans="1:32" ht="20.399999999999999">
      <c r="A2187" s="683"/>
      <c r="B2187" s="3129" t="s">
        <v>365</v>
      </c>
      <c r="C2187" s="683" t="s">
        <v>323</v>
      </c>
      <c r="D2187" s="719" t="s">
        <v>1980</v>
      </c>
      <c r="E2187" s="720" t="s">
        <v>3261</v>
      </c>
      <c r="F2187" s="694">
        <v>2314</v>
      </c>
      <c r="G2187" s="686" t="s">
        <v>1435</v>
      </c>
      <c r="H2187" s="689"/>
      <c r="I2187" s="689"/>
      <c r="J2187" s="1494">
        <v>36</v>
      </c>
      <c r="K2187" s="727"/>
      <c r="L2187" s="687"/>
      <c r="M2187" s="687"/>
      <c r="N2187" s="125"/>
      <c r="O2187" s="4"/>
      <c r="P2187" s="4"/>
      <c r="Q2187" s="4"/>
      <c r="R2187" s="4"/>
      <c r="S2187" s="4"/>
      <c r="T2187" s="4"/>
      <c r="U2187" s="4"/>
      <c r="V2187" s="4"/>
      <c r="W2187" s="4"/>
      <c r="X2187" s="4"/>
      <c r="Y2187" s="4"/>
      <c r="Z2187" s="4"/>
      <c r="AA2187" s="4"/>
      <c r="AB2187" s="4"/>
      <c r="AC2187" s="4"/>
      <c r="AD2187" s="4"/>
      <c r="AE2187" s="4"/>
      <c r="AF2187" s="4"/>
    </row>
    <row r="2188" spans="1:32">
      <c r="A2188" s="663"/>
      <c r="B2188" s="3130" t="s">
        <v>365</v>
      </c>
      <c r="C2188" s="663" t="s">
        <v>323</v>
      </c>
      <c r="D2188" s="678" t="s">
        <v>1980</v>
      </c>
      <c r="E2188" s="700" t="s">
        <v>3261</v>
      </c>
      <c r="F2188" s="679">
        <v>2314</v>
      </c>
      <c r="G2188" s="681"/>
      <c r="H2188" s="741"/>
      <c r="I2188" s="741"/>
      <c r="J2188" s="1494" t="s">
        <v>1134</v>
      </c>
      <c r="K2188" s="747"/>
      <c r="L2188" s="859"/>
      <c r="M2188" s="859"/>
      <c r="N2188" s="176"/>
      <c r="O2188" s="187"/>
      <c r="P2188" s="187"/>
      <c r="Q2188" s="187"/>
      <c r="R2188" s="187"/>
      <c r="S2188" s="187"/>
      <c r="T2188" s="187"/>
      <c r="U2188" s="187"/>
      <c r="V2188" s="187"/>
      <c r="W2188" s="187"/>
      <c r="X2188" s="187"/>
      <c r="Y2188" s="187"/>
      <c r="Z2188" s="187"/>
      <c r="AA2188" s="187"/>
      <c r="AB2188" s="187"/>
      <c r="AC2188" s="187"/>
      <c r="AD2188" s="187"/>
      <c r="AE2188" s="187"/>
      <c r="AF2188" s="187"/>
    </row>
    <row r="2189" spans="1:32">
      <c r="A2189" s="683"/>
      <c r="B2189" s="3129" t="s">
        <v>365</v>
      </c>
      <c r="C2189" s="683" t="s">
        <v>323</v>
      </c>
      <c r="D2189" s="719" t="s">
        <v>1980</v>
      </c>
      <c r="E2189" s="720" t="s">
        <v>3261</v>
      </c>
      <c r="F2189" s="694">
        <v>5239</v>
      </c>
      <c r="G2189" s="686" t="s">
        <v>207</v>
      </c>
      <c r="H2189" s="689">
        <v>30000</v>
      </c>
      <c r="I2189" s="689"/>
      <c r="J2189" s="1494"/>
      <c r="K2189" s="727"/>
      <c r="L2189" s="689">
        <v>20933.849999999999</v>
      </c>
      <c r="M2189" s="689"/>
      <c r="N2189" s="176"/>
      <c r="O2189" s="187"/>
      <c r="P2189" s="187"/>
      <c r="Q2189" s="187"/>
      <c r="R2189" s="187"/>
      <c r="S2189" s="187"/>
      <c r="T2189" s="187"/>
      <c r="U2189" s="187"/>
      <c r="V2189" s="187"/>
      <c r="W2189" s="187"/>
      <c r="X2189" s="187"/>
      <c r="Y2189" s="187"/>
      <c r="Z2189" s="187"/>
      <c r="AA2189" s="187"/>
      <c r="AB2189" s="187"/>
      <c r="AC2189" s="187"/>
      <c r="AD2189" s="187"/>
      <c r="AE2189" s="187"/>
      <c r="AF2189" s="187"/>
    </row>
    <row r="2190" spans="1:32">
      <c r="A2190" s="663"/>
      <c r="B2190" s="3130" t="s">
        <v>365</v>
      </c>
      <c r="C2190" s="663" t="s">
        <v>323</v>
      </c>
      <c r="D2190" s="678" t="s">
        <v>1980</v>
      </c>
      <c r="E2190" s="700" t="s">
        <v>3261</v>
      </c>
      <c r="F2190" s="679">
        <v>5239</v>
      </c>
      <c r="G2190" s="750" t="s">
        <v>5191</v>
      </c>
      <c r="H2190" s="741"/>
      <c r="I2190" s="741">
        <v>5400</v>
      </c>
      <c r="J2190" s="1494" t="s">
        <v>1134</v>
      </c>
      <c r="K2190" s="747"/>
      <c r="L2190" s="741"/>
      <c r="M2190" s="741">
        <v>20249.41</v>
      </c>
      <c r="N2190" s="176"/>
      <c r="O2190" s="187"/>
      <c r="P2190" s="187"/>
      <c r="Q2190" s="187"/>
      <c r="R2190" s="187"/>
      <c r="S2190" s="187"/>
      <c r="T2190" s="187"/>
      <c r="U2190" s="187"/>
      <c r="V2190" s="187"/>
      <c r="W2190" s="187"/>
      <c r="X2190" s="187"/>
      <c r="Y2190" s="187"/>
      <c r="Z2190" s="187"/>
      <c r="AA2190" s="187"/>
      <c r="AB2190" s="187"/>
      <c r="AC2190" s="187"/>
      <c r="AD2190" s="187"/>
      <c r="AE2190" s="187"/>
      <c r="AF2190" s="187"/>
    </row>
    <row r="2191" spans="1:32" ht="30.6">
      <c r="A2191" s="663"/>
      <c r="B2191" s="3130" t="s">
        <v>365</v>
      </c>
      <c r="C2191" s="663" t="s">
        <v>323</v>
      </c>
      <c r="D2191" s="678" t="s">
        <v>1980</v>
      </c>
      <c r="E2191" s="700" t="s">
        <v>3261</v>
      </c>
      <c r="F2191" s="679">
        <v>5239</v>
      </c>
      <c r="G2191" s="681" t="s">
        <v>3262</v>
      </c>
      <c r="H2191" s="741"/>
      <c r="I2191" s="741">
        <v>24600</v>
      </c>
      <c r="J2191" s="1494" t="s">
        <v>1134</v>
      </c>
      <c r="K2191" s="747"/>
      <c r="L2191" s="741"/>
      <c r="M2191" s="741">
        <v>684.44</v>
      </c>
      <c r="N2191" s="176"/>
      <c r="O2191" s="187"/>
      <c r="P2191" s="187"/>
      <c r="Q2191" s="187"/>
      <c r="R2191" s="187"/>
      <c r="S2191" s="187"/>
      <c r="T2191" s="187"/>
      <c r="U2191" s="187"/>
      <c r="V2191" s="187"/>
      <c r="W2191" s="187"/>
      <c r="X2191" s="187"/>
      <c r="Y2191" s="187"/>
      <c r="Z2191" s="187"/>
      <c r="AA2191" s="187"/>
      <c r="AB2191" s="187"/>
      <c r="AC2191" s="187"/>
      <c r="AD2191" s="187"/>
      <c r="AE2191" s="187"/>
      <c r="AF2191" s="187"/>
    </row>
    <row r="2192" spans="1:32">
      <c r="A2192" s="683"/>
      <c r="B2192" s="3129" t="s">
        <v>772</v>
      </c>
      <c r="C2192" s="683" t="s">
        <v>322</v>
      </c>
      <c r="D2192" s="719" t="s">
        <v>1980</v>
      </c>
      <c r="E2192" s="742" t="s">
        <v>1932</v>
      </c>
      <c r="F2192" s="685">
        <v>7210</v>
      </c>
      <c r="G2192" s="686" t="s">
        <v>242</v>
      </c>
      <c r="H2192" s="731">
        <v>851975</v>
      </c>
      <c r="I2192" s="731"/>
      <c r="J2192" s="1494">
        <v>463827</v>
      </c>
      <c r="K2192" s="858"/>
      <c r="L2192" s="731">
        <v>800000</v>
      </c>
      <c r="M2192" s="731"/>
      <c r="N2192" s="125"/>
      <c r="O2192" s="187"/>
      <c r="P2192" s="187"/>
      <c r="Q2192" s="187"/>
      <c r="R2192" s="187"/>
      <c r="S2192" s="187"/>
      <c r="T2192" s="187"/>
      <c r="U2192" s="187"/>
      <c r="V2192" s="187"/>
      <c r="W2192" s="187"/>
      <c r="X2192" s="187"/>
      <c r="Y2192" s="187"/>
      <c r="Z2192" s="187"/>
      <c r="AA2192" s="187"/>
      <c r="AB2192" s="187"/>
      <c r="AC2192" s="187"/>
      <c r="AD2192" s="187"/>
      <c r="AE2192" s="187"/>
      <c r="AF2192" s="187"/>
    </row>
    <row r="2193" spans="1:32">
      <c r="A2193" s="663"/>
      <c r="B2193" s="3130" t="s">
        <v>772</v>
      </c>
      <c r="C2193" s="663" t="s">
        <v>322</v>
      </c>
      <c r="D2193" s="678" t="s">
        <v>1980</v>
      </c>
      <c r="E2193" s="700" t="s">
        <v>1932</v>
      </c>
      <c r="F2193" s="679">
        <v>7210</v>
      </c>
      <c r="G2193" s="904" t="s">
        <v>2130</v>
      </c>
      <c r="H2193" s="741"/>
      <c r="I2193" s="741">
        <v>851975</v>
      </c>
      <c r="J2193" s="1494" t="s">
        <v>1134</v>
      </c>
      <c r="K2193" s="729"/>
      <c r="L2193" s="741"/>
      <c r="M2193" s="741">
        <v>800000</v>
      </c>
      <c r="N2193" s="176"/>
      <c r="O2193" s="187"/>
      <c r="P2193" s="187"/>
      <c r="Q2193" s="187"/>
      <c r="R2193" s="187"/>
      <c r="S2193" s="187"/>
      <c r="T2193" s="187"/>
      <c r="U2193" s="187"/>
      <c r="V2193" s="187"/>
      <c r="W2193" s="187"/>
      <c r="X2193" s="187"/>
      <c r="Y2193" s="187"/>
      <c r="Z2193" s="187"/>
      <c r="AA2193" s="187"/>
      <c r="AB2193" s="187"/>
      <c r="AC2193" s="187"/>
      <c r="AD2193" s="187"/>
      <c r="AE2193" s="187"/>
      <c r="AF2193" s="187"/>
    </row>
    <row r="2194" spans="1:32" ht="20.399999999999999">
      <c r="A2194" s="663"/>
      <c r="B2194" s="3130" t="s">
        <v>772</v>
      </c>
      <c r="C2194" s="663" t="s">
        <v>322</v>
      </c>
      <c r="D2194" s="678" t="s">
        <v>1980</v>
      </c>
      <c r="E2194" s="700" t="s">
        <v>1932</v>
      </c>
      <c r="F2194" s="679">
        <v>7210</v>
      </c>
      <c r="G2194" s="904" t="s">
        <v>1989</v>
      </c>
      <c r="H2194" s="741"/>
      <c r="I2194" s="741"/>
      <c r="J2194" s="1494" t="s">
        <v>1134</v>
      </c>
      <c r="K2194" s="729"/>
      <c r="L2194" s="741"/>
      <c r="M2194" s="741"/>
      <c r="N2194" s="125"/>
      <c r="O2194" s="187"/>
      <c r="P2194" s="187"/>
      <c r="Q2194" s="187"/>
      <c r="R2194" s="187"/>
      <c r="S2194" s="187"/>
      <c r="T2194" s="187"/>
      <c r="U2194" s="187"/>
      <c r="V2194" s="187"/>
      <c r="W2194" s="187"/>
      <c r="X2194" s="187"/>
      <c r="Y2194" s="187"/>
      <c r="Z2194" s="187"/>
      <c r="AA2194" s="187"/>
      <c r="AB2194" s="187"/>
      <c r="AC2194" s="187"/>
      <c r="AD2194" s="187"/>
      <c r="AE2194" s="187"/>
      <c r="AF2194" s="187"/>
    </row>
    <row r="2195" spans="1:32">
      <c r="A2195" s="683"/>
      <c r="B2195" s="3129" t="s">
        <v>772</v>
      </c>
      <c r="C2195" s="683" t="s">
        <v>322</v>
      </c>
      <c r="D2195" s="719" t="s">
        <v>1980</v>
      </c>
      <c r="E2195" s="742" t="s">
        <v>1933</v>
      </c>
      <c r="F2195" s="694">
        <v>2239</v>
      </c>
      <c r="G2195" s="686" t="s">
        <v>241</v>
      </c>
      <c r="H2195" s="731">
        <v>2846110</v>
      </c>
      <c r="I2195" s="731"/>
      <c r="J2195" s="1494">
        <v>1446114.61</v>
      </c>
      <c r="K2195" s="858"/>
      <c r="L2195" s="731">
        <v>2381500</v>
      </c>
      <c r="M2195" s="731"/>
      <c r="N2195" s="176"/>
      <c r="O2195" s="187"/>
      <c r="P2195" s="187"/>
      <c r="Q2195" s="187"/>
      <c r="R2195" s="187"/>
      <c r="S2195" s="187"/>
      <c r="T2195" s="187"/>
      <c r="U2195" s="187"/>
      <c r="V2195" s="187"/>
      <c r="W2195" s="187"/>
      <c r="X2195" s="187"/>
      <c r="Y2195" s="187"/>
      <c r="Z2195" s="187"/>
      <c r="AA2195" s="187"/>
      <c r="AB2195" s="187"/>
      <c r="AC2195" s="187"/>
      <c r="AD2195" s="187"/>
      <c r="AE2195" s="187"/>
      <c r="AF2195" s="187"/>
    </row>
    <row r="2196" spans="1:32" ht="20.399999999999999">
      <c r="A2196" s="663"/>
      <c r="B2196" s="3130" t="s">
        <v>772</v>
      </c>
      <c r="C2196" s="663" t="s">
        <v>322</v>
      </c>
      <c r="D2196" s="678" t="s">
        <v>1980</v>
      </c>
      <c r="E2196" s="700" t="s">
        <v>1933</v>
      </c>
      <c r="F2196" s="679">
        <v>2239</v>
      </c>
      <c r="G2196" s="905" t="s">
        <v>4798</v>
      </c>
      <c r="H2196" s="741"/>
      <c r="I2196" s="741">
        <v>2846110</v>
      </c>
      <c r="J2196" s="1494" t="s">
        <v>1134</v>
      </c>
      <c r="K2196" s="729"/>
      <c r="L2196" s="741"/>
      <c r="M2196" s="741">
        <v>2381500</v>
      </c>
      <c r="N2196" s="125"/>
      <c r="O2196" s="187"/>
      <c r="P2196" s="187"/>
      <c r="Q2196" s="187"/>
      <c r="R2196" s="187"/>
      <c r="S2196" s="187"/>
      <c r="T2196" s="187"/>
      <c r="U2196" s="187"/>
      <c r="V2196" s="187"/>
      <c r="W2196" s="187"/>
      <c r="X2196" s="187"/>
      <c r="Y2196" s="187"/>
      <c r="Z2196" s="187"/>
      <c r="AA2196" s="187"/>
      <c r="AB2196" s="187"/>
      <c r="AC2196" s="187"/>
      <c r="AD2196" s="187"/>
      <c r="AE2196" s="187"/>
      <c r="AF2196" s="187"/>
    </row>
    <row r="2197" spans="1:32">
      <c r="A2197" s="663"/>
      <c r="B2197" s="3130" t="s">
        <v>772</v>
      </c>
      <c r="C2197" s="663" t="s">
        <v>322</v>
      </c>
      <c r="D2197" s="678" t="s">
        <v>1980</v>
      </c>
      <c r="E2197" s="700" t="s">
        <v>1933</v>
      </c>
      <c r="F2197" s="679">
        <v>2239</v>
      </c>
      <c r="G2197" s="904" t="s">
        <v>1514</v>
      </c>
      <c r="H2197" s="741"/>
      <c r="I2197" s="741"/>
      <c r="J2197" s="1494" t="s">
        <v>1134</v>
      </c>
      <c r="K2197" s="729"/>
      <c r="L2197" s="741"/>
      <c r="M2197" s="741"/>
      <c r="N2197" s="176"/>
      <c r="O2197" s="187"/>
      <c r="P2197" s="187"/>
      <c r="Q2197" s="187"/>
      <c r="R2197" s="187"/>
      <c r="S2197" s="187"/>
      <c r="T2197" s="187"/>
      <c r="U2197" s="187"/>
      <c r="V2197" s="187"/>
      <c r="W2197" s="187"/>
      <c r="X2197" s="187"/>
      <c r="Y2197" s="187"/>
      <c r="Z2197" s="187"/>
      <c r="AA2197" s="187"/>
      <c r="AB2197" s="187"/>
      <c r="AC2197" s="187"/>
      <c r="AD2197" s="187"/>
      <c r="AE2197" s="187"/>
      <c r="AF2197" s="187"/>
    </row>
    <row r="2198" spans="1:32" ht="20.399999999999999">
      <c r="A2198" s="663"/>
      <c r="B2198" s="3130" t="s">
        <v>772</v>
      </c>
      <c r="C2198" s="663" t="s">
        <v>322</v>
      </c>
      <c r="D2198" s="678" t="s">
        <v>1980</v>
      </c>
      <c r="E2198" s="700" t="s">
        <v>1933</v>
      </c>
      <c r="F2198" s="679">
        <v>2239</v>
      </c>
      <c r="G2198" s="904" t="s">
        <v>1989</v>
      </c>
      <c r="H2198" s="741"/>
      <c r="I2198" s="741"/>
      <c r="J2198" s="1494" t="s">
        <v>1134</v>
      </c>
      <c r="K2198" s="729"/>
      <c r="L2198" s="741"/>
      <c r="M2198" s="741"/>
      <c r="N2198" s="176"/>
      <c r="O2198" s="187"/>
      <c r="P2198" s="187"/>
      <c r="Q2198" s="187"/>
      <c r="R2198" s="187"/>
      <c r="S2198" s="187"/>
      <c r="T2198" s="187"/>
      <c r="U2198" s="187"/>
      <c r="V2198" s="187"/>
      <c r="W2198" s="187"/>
      <c r="X2198" s="187"/>
      <c r="Y2198" s="187"/>
      <c r="Z2198" s="187"/>
      <c r="AA2198" s="187"/>
      <c r="AB2198" s="187"/>
      <c r="AC2198" s="187"/>
      <c r="AD2198" s="187"/>
      <c r="AE2198" s="187"/>
      <c r="AF2198" s="187"/>
    </row>
    <row r="2199" spans="1:32" ht="20.399999999999999">
      <c r="A2199" s="683"/>
      <c r="B2199" s="3129" t="s">
        <v>772</v>
      </c>
      <c r="C2199" s="683" t="s">
        <v>322</v>
      </c>
      <c r="D2199" s="719" t="s">
        <v>1980</v>
      </c>
      <c r="E2199" s="742" t="s">
        <v>1934</v>
      </c>
      <c r="F2199" s="694">
        <v>2239</v>
      </c>
      <c r="G2199" s="686" t="s">
        <v>461</v>
      </c>
      <c r="H2199" s="731">
        <v>253907</v>
      </c>
      <c r="I2199" s="731"/>
      <c r="J2199" s="1494">
        <v>249415</v>
      </c>
      <c r="K2199" s="858"/>
      <c r="L2199" s="731">
        <v>285300</v>
      </c>
      <c r="M2199" s="731"/>
      <c r="N2199" s="652"/>
      <c r="O2199" s="187"/>
      <c r="P2199" s="187"/>
      <c r="Q2199" s="187"/>
      <c r="R2199" s="187"/>
      <c r="S2199" s="187"/>
      <c r="T2199" s="187"/>
      <c r="U2199" s="187"/>
      <c r="V2199" s="187"/>
      <c r="W2199" s="187"/>
      <c r="X2199" s="187"/>
      <c r="Y2199" s="187"/>
      <c r="Z2199" s="187"/>
      <c r="AA2199" s="187"/>
      <c r="AB2199" s="187"/>
      <c r="AC2199" s="187"/>
      <c r="AD2199" s="187"/>
      <c r="AE2199" s="187"/>
      <c r="AF2199" s="187"/>
    </row>
    <row r="2200" spans="1:32" ht="40.799999999999997">
      <c r="A2200" s="663"/>
      <c r="B2200" s="3130" t="s">
        <v>772</v>
      </c>
      <c r="C2200" s="663" t="s">
        <v>322</v>
      </c>
      <c r="D2200" s="678" t="s">
        <v>1980</v>
      </c>
      <c r="E2200" s="794" t="s">
        <v>1934</v>
      </c>
      <c r="F2200" s="679">
        <v>2239</v>
      </c>
      <c r="G2200" s="904" t="s">
        <v>2129</v>
      </c>
      <c r="H2200" s="741"/>
      <c r="I2200" s="741">
        <v>253907</v>
      </c>
      <c r="J2200" s="1494" t="s">
        <v>1134</v>
      </c>
      <c r="K2200" s="729"/>
      <c r="L2200" s="741"/>
      <c r="M2200" s="741">
        <v>285300</v>
      </c>
      <c r="N2200" s="375"/>
      <c r="O2200" s="187"/>
      <c r="P2200" s="187"/>
      <c r="Q2200" s="187"/>
      <c r="R2200" s="187"/>
      <c r="S2200" s="187"/>
      <c r="T2200" s="187"/>
      <c r="U2200" s="187"/>
      <c r="V2200" s="187"/>
      <c r="W2200" s="187"/>
      <c r="X2200" s="187"/>
      <c r="Y2200" s="187"/>
      <c r="Z2200" s="187"/>
      <c r="AA2200" s="187"/>
      <c r="AB2200" s="187"/>
      <c r="AC2200" s="187"/>
      <c r="AD2200" s="187"/>
      <c r="AE2200" s="187"/>
      <c r="AF2200" s="187"/>
    </row>
    <row r="2201" spans="1:32" ht="20.399999999999999">
      <c r="A2201" s="663"/>
      <c r="B2201" s="3130" t="s">
        <v>772</v>
      </c>
      <c r="C2201" s="663" t="s">
        <v>322</v>
      </c>
      <c r="D2201" s="678" t="s">
        <v>1980</v>
      </c>
      <c r="E2201" s="794" t="s">
        <v>1934</v>
      </c>
      <c r="F2201" s="679">
        <v>2239</v>
      </c>
      <c r="G2201" s="904" t="s">
        <v>1989</v>
      </c>
      <c r="H2201" s="741"/>
      <c r="I2201" s="741"/>
      <c r="J2201" s="1494" t="s">
        <v>1134</v>
      </c>
      <c r="K2201" s="729"/>
      <c r="L2201" s="741"/>
      <c r="M2201" s="741"/>
      <c r="N2201" s="176"/>
      <c r="O2201" s="187"/>
      <c r="P2201" s="187"/>
      <c r="Q2201" s="187"/>
      <c r="R2201" s="187"/>
      <c r="S2201" s="187"/>
      <c r="T2201" s="187"/>
      <c r="U2201" s="187"/>
      <c r="V2201" s="187"/>
      <c r="W2201" s="187"/>
      <c r="X2201" s="187"/>
      <c r="Y2201" s="187"/>
      <c r="Z2201" s="187"/>
      <c r="AA2201" s="187"/>
      <c r="AB2201" s="187"/>
      <c r="AC2201" s="187"/>
      <c r="AD2201" s="187"/>
      <c r="AE2201" s="187"/>
      <c r="AF2201" s="187"/>
    </row>
    <row r="2202" spans="1:32">
      <c r="A2202" s="683"/>
      <c r="B2202" s="3129" t="s">
        <v>436</v>
      </c>
      <c r="C2202" s="683" t="s">
        <v>427</v>
      </c>
      <c r="D2202" s="719" t="s">
        <v>1979</v>
      </c>
      <c r="E2202" s="720" t="s">
        <v>1065</v>
      </c>
      <c r="F2202" s="685">
        <v>1119</v>
      </c>
      <c r="G2202" s="686" t="s">
        <v>109</v>
      </c>
      <c r="H2202" s="689">
        <v>100516.56000000001</v>
      </c>
      <c r="I2202" s="689"/>
      <c r="J2202" s="1494">
        <v>60532</v>
      </c>
      <c r="K2202" s="690"/>
      <c r="L2202" s="689">
        <v>107445.6</v>
      </c>
      <c r="M2202" s="689"/>
      <c r="N2202" s="375"/>
      <c r="O2202" s="187"/>
      <c r="P2202" s="187"/>
      <c r="Q2202" s="187"/>
      <c r="R2202" s="187"/>
      <c r="S2202" s="187"/>
      <c r="T2202" s="187"/>
      <c r="U2202" s="187"/>
      <c r="V2202" s="187"/>
      <c r="W2202" s="187"/>
      <c r="X2202" s="187"/>
      <c r="Y2202" s="187"/>
      <c r="Z2202" s="187"/>
      <c r="AA2202" s="187"/>
      <c r="AB2202" s="187"/>
      <c r="AC2202" s="187"/>
      <c r="AD2202" s="187"/>
      <c r="AE2202" s="187"/>
      <c r="AF2202" s="187"/>
    </row>
    <row r="2203" spans="1:32">
      <c r="A2203" s="663"/>
      <c r="B2203" s="3130" t="s">
        <v>436</v>
      </c>
      <c r="C2203" s="663" t="s">
        <v>427</v>
      </c>
      <c r="D2203" s="678" t="s">
        <v>1979</v>
      </c>
      <c r="E2203" s="700" t="s">
        <v>1065</v>
      </c>
      <c r="F2203" s="679">
        <v>1119</v>
      </c>
      <c r="G2203" s="675" t="s">
        <v>436</v>
      </c>
      <c r="H2203" s="660"/>
      <c r="I2203" s="660">
        <v>100516.56000000001</v>
      </c>
      <c r="J2203" s="1494" t="s">
        <v>1134</v>
      </c>
      <c r="K2203" s="690"/>
      <c r="L2203" s="660"/>
      <c r="M2203" s="660">
        <v>107445.6</v>
      </c>
      <c r="N2203" s="176"/>
      <c r="O2203" s="187"/>
      <c r="P2203" s="187"/>
      <c r="Q2203" s="187"/>
      <c r="R2203" s="187"/>
      <c r="S2203" s="187"/>
      <c r="T2203" s="187"/>
      <c r="U2203" s="187"/>
      <c r="V2203" s="187"/>
      <c r="W2203" s="187"/>
      <c r="X2203" s="187"/>
      <c r="Y2203" s="187"/>
      <c r="Z2203" s="187"/>
      <c r="AA2203" s="187"/>
      <c r="AB2203" s="187"/>
      <c r="AC2203" s="187"/>
      <c r="AD2203" s="187"/>
      <c r="AE2203" s="187"/>
      <c r="AF2203" s="187"/>
    </row>
    <row r="2204" spans="1:32" ht="20.399999999999999">
      <c r="A2204" s="663"/>
      <c r="B2204" s="3130" t="s">
        <v>436</v>
      </c>
      <c r="C2204" s="663" t="s">
        <v>427</v>
      </c>
      <c r="D2204" s="678" t="s">
        <v>1979</v>
      </c>
      <c r="E2204" s="700" t="s">
        <v>1065</v>
      </c>
      <c r="F2204" s="679">
        <v>1119</v>
      </c>
      <c r="G2204" s="675" t="s">
        <v>1313</v>
      </c>
      <c r="H2204" s="660"/>
      <c r="I2204" s="660"/>
      <c r="J2204" s="1494" t="s">
        <v>1134</v>
      </c>
      <c r="K2204" s="690"/>
      <c r="L2204" s="660"/>
      <c r="M2204" s="660"/>
      <c r="N2204" s="176"/>
      <c r="O2204" s="187"/>
      <c r="P2204" s="187"/>
      <c r="Q2204" s="187"/>
      <c r="R2204" s="187"/>
      <c r="S2204" s="187"/>
      <c r="T2204" s="187"/>
      <c r="U2204" s="187"/>
      <c r="V2204" s="187"/>
      <c r="W2204" s="187"/>
      <c r="X2204" s="187"/>
      <c r="Y2204" s="187"/>
      <c r="Z2204" s="187"/>
      <c r="AA2204" s="187"/>
      <c r="AB2204" s="187"/>
      <c r="AC2204" s="187"/>
      <c r="AD2204" s="187"/>
      <c r="AE2204" s="187"/>
      <c r="AF2204" s="187"/>
    </row>
    <row r="2205" spans="1:32" ht="20.399999999999999">
      <c r="A2205" s="683"/>
      <c r="B2205" s="3129" t="s">
        <v>436</v>
      </c>
      <c r="C2205" s="683" t="s">
        <v>427</v>
      </c>
      <c r="D2205" s="719" t="s">
        <v>1979</v>
      </c>
      <c r="E2205" s="720" t="s">
        <v>1065</v>
      </c>
      <c r="F2205" s="685">
        <v>1145</v>
      </c>
      <c r="G2205" s="686" t="s">
        <v>1016</v>
      </c>
      <c r="H2205" s="689">
        <v>2532.7368000000001</v>
      </c>
      <c r="I2205" s="689"/>
      <c r="J2205" s="1494">
        <v>1243</v>
      </c>
      <c r="K2205" s="690"/>
      <c r="L2205" s="689">
        <v>2706.8148000000001</v>
      </c>
      <c r="M2205" s="689"/>
      <c r="N2205" s="176"/>
      <c r="O2205" s="187"/>
      <c r="P2205" s="187"/>
      <c r="Q2205" s="187"/>
      <c r="R2205" s="187"/>
      <c r="S2205" s="187"/>
      <c r="T2205" s="187"/>
      <c r="U2205" s="187"/>
      <c r="V2205" s="187"/>
      <c r="W2205" s="187"/>
      <c r="X2205" s="187"/>
      <c r="Y2205" s="187"/>
      <c r="Z2205" s="187"/>
      <c r="AA2205" s="187"/>
      <c r="AB2205" s="187"/>
      <c r="AC2205" s="187"/>
      <c r="AD2205" s="187"/>
      <c r="AE2205" s="187"/>
      <c r="AF2205" s="187"/>
    </row>
    <row r="2206" spans="1:32">
      <c r="A2206" s="663"/>
      <c r="B2206" s="3130" t="s">
        <v>436</v>
      </c>
      <c r="C2206" s="663" t="s">
        <v>427</v>
      </c>
      <c r="D2206" s="678" t="s">
        <v>1979</v>
      </c>
      <c r="E2206" s="700" t="s">
        <v>1065</v>
      </c>
      <c r="F2206" s="679">
        <v>1145</v>
      </c>
      <c r="G2206" s="1249" t="s">
        <v>2829</v>
      </c>
      <c r="H2206" s="660"/>
      <c r="I2206" s="660">
        <v>2532.7368000000001</v>
      </c>
      <c r="J2206" s="1494" t="s">
        <v>1134</v>
      </c>
      <c r="K2206" s="690"/>
      <c r="L2206" s="660"/>
      <c r="M2206" s="2494">
        <v>2706.8148000000001</v>
      </c>
      <c r="N2206" s="176"/>
      <c r="O2206" s="187"/>
      <c r="P2206" s="187"/>
      <c r="Q2206" s="187"/>
      <c r="R2206" s="187"/>
      <c r="S2206" s="187"/>
      <c r="T2206" s="187"/>
      <c r="U2206" s="187"/>
      <c r="V2206" s="187"/>
      <c r="W2206" s="187"/>
      <c r="X2206" s="187"/>
      <c r="Y2206" s="187"/>
      <c r="Z2206" s="187"/>
      <c r="AA2206" s="187"/>
      <c r="AB2206" s="187"/>
      <c r="AC2206" s="187"/>
      <c r="AD2206" s="187"/>
      <c r="AE2206" s="187"/>
      <c r="AF2206" s="187"/>
    </row>
    <row r="2207" spans="1:32">
      <c r="A2207" s="683"/>
      <c r="B2207" s="3129" t="s">
        <v>436</v>
      </c>
      <c r="C2207" s="683" t="s">
        <v>427</v>
      </c>
      <c r="D2207" s="719" t="s">
        <v>1979</v>
      </c>
      <c r="E2207" s="720" t="s">
        <v>1065</v>
      </c>
      <c r="F2207" s="685">
        <v>1147</v>
      </c>
      <c r="G2207" s="686" t="s">
        <v>111</v>
      </c>
      <c r="H2207" s="689">
        <v>13490.742</v>
      </c>
      <c r="I2207" s="689"/>
      <c r="J2207" s="1494">
        <v>4074</v>
      </c>
      <c r="K2207" s="690"/>
      <c r="L2207" s="689">
        <v>14062.73</v>
      </c>
      <c r="M2207" s="689"/>
      <c r="N2207" s="176"/>
      <c r="O2207" s="187"/>
      <c r="P2207" s="187"/>
      <c r="Q2207" s="187"/>
      <c r="R2207" s="187"/>
      <c r="S2207" s="187"/>
      <c r="T2207" s="187"/>
      <c r="U2207" s="187"/>
      <c r="V2207" s="187"/>
      <c r="W2207" s="187"/>
      <c r="X2207" s="187"/>
      <c r="Y2207" s="187"/>
      <c r="Z2207" s="187"/>
      <c r="AA2207" s="187"/>
      <c r="AB2207" s="187"/>
      <c r="AC2207" s="187"/>
      <c r="AD2207" s="187"/>
      <c r="AE2207" s="187"/>
      <c r="AF2207" s="187"/>
    </row>
    <row r="2208" spans="1:32">
      <c r="A2208" s="663"/>
      <c r="B2208" s="3130" t="s">
        <v>436</v>
      </c>
      <c r="C2208" s="663" t="s">
        <v>427</v>
      </c>
      <c r="D2208" s="678" t="s">
        <v>1979</v>
      </c>
      <c r="E2208" s="700" t="s">
        <v>1065</v>
      </c>
      <c r="F2208" s="679">
        <v>1147</v>
      </c>
      <c r="G2208" s="675" t="s">
        <v>436</v>
      </c>
      <c r="H2208" s="660"/>
      <c r="I2208" s="660">
        <v>6538.7420000000002</v>
      </c>
      <c r="J2208" s="1494" t="s">
        <v>1134</v>
      </c>
      <c r="K2208" s="690"/>
      <c r="L2208" s="660"/>
      <c r="M2208" s="660">
        <v>6610.73</v>
      </c>
      <c r="N2208" s="125"/>
      <c r="O2208" s="187"/>
      <c r="P2208" s="187"/>
      <c r="Q2208" s="187"/>
      <c r="R2208" s="187"/>
      <c r="S2208" s="187"/>
      <c r="T2208" s="187"/>
      <c r="U2208" s="187"/>
      <c r="V2208" s="187"/>
      <c r="W2208" s="187"/>
      <c r="X2208" s="187"/>
      <c r="Y2208" s="187"/>
      <c r="Z2208" s="187"/>
      <c r="AA2208" s="187"/>
      <c r="AB2208" s="187"/>
      <c r="AC2208" s="187"/>
      <c r="AD2208" s="187"/>
      <c r="AE2208" s="187"/>
      <c r="AF2208" s="187"/>
    </row>
    <row r="2209" spans="1:32">
      <c r="A2209" s="663"/>
      <c r="B2209" s="3130" t="s">
        <v>436</v>
      </c>
      <c r="C2209" s="663" t="s">
        <v>427</v>
      </c>
      <c r="D2209" s="678" t="s">
        <v>1979</v>
      </c>
      <c r="E2209" s="700" t="s">
        <v>1065</v>
      </c>
      <c r="F2209" s="679">
        <v>1147</v>
      </c>
      <c r="G2209" s="675" t="s">
        <v>1384</v>
      </c>
      <c r="H2209" s="660"/>
      <c r="I2209" s="660">
        <v>7452</v>
      </c>
      <c r="J2209" s="1494" t="s">
        <v>1134</v>
      </c>
      <c r="K2209" s="690"/>
      <c r="L2209" s="659"/>
      <c r="M2209" s="973">
        <v>7452</v>
      </c>
      <c r="N2209" s="7" t="s">
        <v>4806</v>
      </c>
    </row>
    <row r="2210" spans="1:32" ht="20.399999999999999">
      <c r="A2210" s="663"/>
      <c r="B2210" s="3130" t="s">
        <v>436</v>
      </c>
      <c r="C2210" s="663" t="s">
        <v>427</v>
      </c>
      <c r="D2210" s="678" t="s">
        <v>1979</v>
      </c>
      <c r="E2210" s="700" t="s">
        <v>1065</v>
      </c>
      <c r="F2210" s="679">
        <v>1147</v>
      </c>
      <c r="G2210" s="675" t="s">
        <v>3447</v>
      </c>
      <c r="H2210" s="660"/>
      <c r="I2210" s="660">
        <v>-500</v>
      </c>
      <c r="J2210" s="1494" t="s">
        <v>1134</v>
      </c>
      <c r="K2210" s="690"/>
      <c r="L2210" s="659"/>
      <c r="M2210" s="659"/>
      <c r="N2210" s="176"/>
    </row>
    <row r="2211" spans="1:32">
      <c r="A2211" s="663"/>
      <c r="B2211" s="3130" t="s">
        <v>436</v>
      </c>
      <c r="C2211" s="663" t="s">
        <v>427</v>
      </c>
      <c r="D2211" s="678" t="s">
        <v>1979</v>
      </c>
      <c r="E2211" s="700" t="s">
        <v>1065</v>
      </c>
      <c r="F2211" s="679">
        <v>1147</v>
      </c>
      <c r="G2211" s="675"/>
      <c r="H2211" s="660"/>
      <c r="I2211" s="660"/>
      <c r="J2211" s="1494" t="s">
        <v>1134</v>
      </c>
      <c r="K2211" s="690"/>
      <c r="L2211" s="659"/>
      <c r="M2211" s="659"/>
      <c r="N2211" s="125"/>
    </row>
    <row r="2212" spans="1:32">
      <c r="A2212" s="683"/>
      <c r="B2212" s="3129" t="s">
        <v>436</v>
      </c>
      <c r="C2212" s="683" t="s">
        <v>427</v>
      </c>
      <c r="D2212" s="719" t="s">
        <v>1979</v>
      </c>
      <c r="E2212" s="720" t="s">
        <v>1065</v>
      </c>
      <c r="F2212" s="685">
        <v>1148</v>
      </c>
      <c r="G2212" s="686" t="s">
        <v>4703</v>
      </c>
      <c r="H2212" s="689">
        <v>1000</v>
      </c>
      <c r="I2212" s="689"/>
      <c r="J2212" s="1494">
        <v>0</v>
      </c>
      <c r="K2212" s="727"/>
      <c r="L2212" s="689">
        <v>1000</v>
      </c>
      <c r="M2212" s="689"/>
      <c r="N2212" s="176"/>
    </row>
    <row r="2213" spans="1:32">
      <c r="A2213" s="663"/>
      <c r="B2213" s="3130" t="s">
        <v>436</v>
      </c>
      <c r="C2213" s="663" t="s">
        <v>427</v>
      </c>
      <c r="D2213" s="678" t="s">
        <v>1979</v>
      </c>
      <c r="E2213" s="700" t="s">
        <v>1065</v>
      </c>
      <c r="F2213" s="679">
        <v>1148</v>
      </c>
      <c r="G2213" s="681" t="s">
        <v>436</v>
      </c>
      <c r="H2213" s="660"/>
      <c r="I2213" s="660">
        <v>1000</v>
      </c>
      <c r="J2213" s="1494" t="s">
        <v>1134</v>
      </c>
      <c r="K2213" s="667"/>
      <c r="L2213" s="660"/>
      <c r="M2213" s="660">
        <v>1000</v>
      </c>
      <c r="N2213" s="176"/>
    </row>
    <row r="2214" spans="1:32">
      <c r="A2214" s="683"/>
      <c r="B2214" s="3129" t="s">
        <v>436</v>
      </c>
      <c r="C2214" s="683" t="s">
        <v>427</v>
      </c>
      <c r="D2214" s="719" t="s">
        <v>1979</v>
      </c>
      <c r="E2214" s="720" t="s">
        <v>1065</v>
      </c>
      <c r="F2214" s="685">
        <v>1170</v>
      </c>
      <c r="G2214" s="686" t="s">
        <v>475</v>
      </c>
      <c r="H2214" s="837">
        <v>75</v>
      </c>
      <c r="I2214" s="837"/>
      <c r="J2214" s="1494">
        <v>75</v>
      </c>
      <c r="K2214" s="1014"/>
      <c r="L2214" s="837">
        <v>75</v>
      </c>
      <c r="M2214" s="837"/>
      <c r="N2214" s="176"/>
    </row>
    <row r="2215" spans="1:32" ht="20.399999999999999">
      <c r="A2215" s="663"/>
      <c r="B2215" s="3130" t="s">
        <v>436</v>
      </c>
      <c r="C2215" s="663" t="s">
        <v>427</v>
      </c>
      <c r="D2215" s="678" t="s">
        <v>1979</v>
      </c>
      <c r="E2215" s="700" t="s">
        <v>1065</v>
      </c>
      <c r="F2215" s="679">
        <v>1170</v>
      </c>
      <c r="G2215" s="681" t="s">
        <v>833</v>
      </c>
      <c r="H2215" s="676"/>
      <c r="I2215" s="676">
        <v>75</v>
      </c>
      <c r="J2215" s="1494" t="s">
        <v>1134</v>
      </c>
      <c r="K2215" s="1015"/>
      <c r="L2215" s="676"/>
      <c r="M2215" s="676">
        <v>75</v>
      </c>
      <c r="N2215" s="176"/>
      <c r="O2215" s="187"/>
      <c r="P2215" s="187"/>
      <c r="Q2215" s="187"/>
      <c r="R2215" s="187"/>
      <c r="S2215" s="187"/>
      <c r="T2215" s="187"/>
      <c r="U2215" s="187"/>
      <c r="V2215" s="187"/>
      <c r="W2215" s="187"/>
      <c r="X2215" s="187"/>
      <c r="Y2215" s="187"/>
      <c r="Z2215" s="187"/>
      <c r="AA2215" s="187"/>
      <c r="AB2215" s="187"/>
      <c r="AC2215" s="187"/>
      <c r="AD2215" s="187"/>
      <c r="AE2215" s="187"/>
      <c r="AF2215" s="187"/>
    </row>
    <row r="2216" spans="1:32">
      <c r="A2216" s="683"/>
      <c r="B2216" s="3129" t="s">
        <v>436</v>
      </c>
      <c r="C2216" s="683" t="s">
        <v>427</v>
      </c>
      <c r="D2216" s="719" t="s">
        <v>1979</v>
      </c>
      <c r="E2216" s="720" t="s">
        <v>1065</v>
      </c>
      <c r="F2216" s="685">
        <v>1210</v>
      </c>
      <c r="G2216" s="686" t="s">
        <v>113</v>
      </c>
      <c r="H2216" s="689">
        <v>26251.800385779999</v>
      </c>
      <c r="I2216" s="689"/>
      <c r="J2216" s="1494">
        <v>16907</v>
      </c>
      <c r="K2216" s="727"/>
      <c r="L2216" s="689">
        <v>27426.532120469998</v>
      </c>
      <c r="M2216" s="689"/>
      <c r="N2216" s="1223"/>
      <c r="O2216" s="187"/>
      <c r="P2216" s="187"/>
      <c r="Q2216" s="187"/>
      <c r="R2216" s="187"/>
      <c r="S2216" s="187"/>
      <c r="T2216" s="187"/>
      <c r="U2216" s="187"/>
      <c r="V2216" s="187"/>
      <c r="W2216" s="187"/>
      <c r="X2216" s="187"/>
      <c r="Y2216" s="187"/>
      <c r="Z2216" s="187"/>
      <c r="AA2216" s="187"/>
      <c r="AB2216" s="187"/>
      <c r="AC2216" s="187"/>
      <c r="AD2216" s="187"/>
      <c r="AE2216" s="187"/>
      <c r="AF2216" s="187"/>
    </row>
    <row r="2217" spans="1:32">
      <c r="A2217" s="663"/>
      <c r="B2217" s="3130" t="s">
        <v>436</v>
      </c>
      <c r="C2217" s="663" t="s">
        <v>427</v>
      </c>
      <c r="D2217" s="678" t="s">
        <v>1979</v>
      </c>
      <c r="E2217" s="700" t="s">
        <v>1065</v>
      </c>
      <c r="F2217" s="679">
        <v>1210</v>
      </c>
      <c r="G2217" s="681" t="s">
        <v>436</v>
      </c>
      <c r="H2217" s="660"/>
      <c r="I2217" s="660">
        <v>25154.32777466</v>
      </c>
      <c r="J2217" s="1494" t="s">
        <v>1134</v>
      </c>
      <c r="K2217" s="667"/>
      <c r="L2217" s="660"/>
      <c r="M2217" s="660">
        <v>26787.994509149998</v>
      </c>
      <c r="N2217" s="1223"/>
      <c r="O2217" s="187"/>
      <c r="P2217" s="187"/>
      <c r="Q2217" s="187"/>
      <c r="R2217" s="187"/>
      <c r="S2217" s="187"/>
      <c r="T2217" s="187"/>
      <c r="U2217" s="187"/>
      <c r="V2217" s="187"/>
      <c r="W2217" s="187"/>
      <c r="X2217" s="187"/>
      <c r="Y2217" s="187"/>
      <c r="Z2217" s="187"/>
      <c r="AA2217" s="187"/>
      <c r="AB2217" s="187"/>
      <c r="AC2217" s="187"/>
      <c r="AD2217" s="187"/>
      <c r="AE2217" s="187"/>
      <c r="AF2217" s="187"/>
    </row>
    <row r="2218" spans="1:32">
      <c r="A2218" s="663"/>
      <c r="B2218" s="3130" t="s">
        <v>436</v>
      </c>
      <c r="C2218" s="663" t="s">
        <v>427</v>
      </c>
      <c r="D2218" s="678" t="s">
        <v>1979</v>
      </c>
      <c r="E2218" s="700" t="s">
        <v>1065</v>
      </c>
      <c r="F2218" s="679">
        <v>1210</v>
      </c>
      <c r="G2218" s="681" t="s">
        <v>1384</v>
      </c>
      <c r="H2218" s="660"/>
      <c r="I2218" s="660">
        <v>500</v>
      </c>
      <c r="J2218" s="1494" t="s">
        <v>1134</v>
      </c>
      <c r="K2218" s="667"/>
      <c r="L2218" s="660"/>
      <c r="M2218" s="660"/>
      <c r="N2218" s="1223"/>
      <c r="O2218" s="187"/>
      <c r="P2218" s="187"/>
      <c r="Q2218" s="187"/>
      <c r="R2218" s="187"/>
      <c r="S2218" s="187"/>
      <c r="T2218" s="187"/>
      <c r="U2218" s="187"/>
      <c r="V2218" s="187"/>
      <c r="W2218" s="187"/>
      <c r="X2218" s="187"/>
      <c r="Y2218" s="187"/>
      <c r="Z2218" s="187"/>
      <c r="AA2218" s="187"/>
      <c r="AB2218" s="187"/>
      <c r="AC2218" s="187"/>
      <c r="AD2218" s="187"/>
      <c r="AE2218" s="187"/>
      <c r="AF2218" s="187"/>
    </row>
    <row r="2219" spans="1:32">
      <c r="A2219" s="663"/>
      <c r="B2219" s="3130" t="s">
        <v>436</v>
      </c>
      <c r="C2219" s="663" t="s">
        <v>427</v>
      </c>
      <c r="D2219" s="678" t="s">
        <v>1979</v>
      </c>
      <c r="E2219" s="700" t="s">
        <v>1065</v>
      </c>
      <c r="F2219" s="679">
        <v>1210</v>
      </c>
      <c r="G2219" s="2495" t="s">
        <v>1696</v>
      </c>
      <c r="H2219" s="660"/>
      <c r="I2219" s="660">
        <v>597.47261112000001</v>
      </c>
      <c r="J2219" s="1494" t="s">
        <v>1134</v>
      </c>
      <c r="K2219" s="667"/>
      <c r="L2219" s="660"/>
      <c r="M2219" s="2494">
        <v>638.53761132</v>
      </c>
      <c r="N2219" s="125"/>
      <c r="O2219" s="187"/>
      <c r="P2219" s="187"/>
      <c r="Q2219" s="187"/>
      <c r="R2219" s="187"/>
      <c r="S2219" s="187"/>
      <c r="T2219" s="187"/>
      <c r="U2219" s="187"/>
      <c r="V2219" s="187"/>
      <c r="W2219" s="187"/>
      <c r="X2219" s="187"/>
      <c r="Y2219" s="187"/>
      <c r="Z2219" s="187"/>
      <c r="AA2219" s="187"/>
      <c r="AB2219" s="187"/>
      <c r="AC2219" s="187"/>
      <c r="AD2219" s="187"/>
      <c r="AE2219" s="187"/>
      <c r="AF2219" s="187"/>
    </row>
    <row r="2220" spans="1:32">
      <c r="A2220" s="683"/>
      <c r="B2220" s="3129" t="s">
        <v>436</v>
      </c>
      <c r="C2220" s="683" t="s">
        <v>427</v>
      </c>
      <c r="D2220" s="719" t="s">
        <v>1979</v>
      </c>
      <c r="E2220" s="720" t="s">
        <v>1065</v>
      </c>
      <c r="F2220" s="685">
        <v>1221</v>
      </c>
      <c r="G2220" s="686" t="s">
        <v>339</v>
      </c>
      <c r="H2220" s="689">
        <v>6012</v>
      </c>
      <c r="I2220" s="689"/>
      <c r="J2220" s="1494">
        <v>5820</v>
      </c>
      <c r="K2220" s="727"/>
      <c r="L2220" s="689">
        <v>5886.7944478499994</v>
      </c>
      <c r="M2220" s="689"/>
      <c r="N2220" s="125"/>
      <c r="O2220" s="187"/>
      <c r="P2220" s="187"/>
      <c r="Q2220" s="187"/>
      <c r="R2220" s="187"/>
      <c r="S2220" s="187"/>
      <c r="T2220" s="187"/>
      <c r="U2220" s="187"/>
      <c r="V2220" s="187"/>
      <c r="W2220" s="187"/>
      <c r="X2220" s="187"/>
      <c r="Y2220" s="187"/>
      <c r="Z2220" s="187"/>
      <c r="AA2220" s="187"/>
      <c r="AB2220" s="187"/>
      <c r="AC2220" s="187"/>
      <c r="AD2220" s="187"/>
      <c r="AE2220" s="187"/>
      <c r="AF2220" s="187"/>
    </row>
    <row r="2221" spans="1:32" ht="11.4" customHeight="1">
      <c r="A2221" s="663"/>
      <c r="B2221" s="3130" t="s">
        <v>436</v>
      </c>
      <c r="C2221" s="663" t="s">
        <v>427</v>
      </c>
      <c r="D2221" s="678" t="s">
        <v>1979</v>
      </c>
      <c r="E2221" s="700" t="s">
        <v>1065</v>
      </c>
      <c r="F2221" s="679">
        <v>1221</v>
      </c>
      <c r="G2221" s="681" t="s">
        <v>436</v>
      </c>
      <c r="H2221" s="660"/>
      <c r="I2221" s="660">
        <v>5512.1019881400007</v>
      </c>
      <c r="J2221" s="1494" t="s">
        <v>1134</v>
      </c>
      <c r="K2221" s="667"/>
      <c r="L2221" s="660"/>
      <c r="M2221" s="660">
        <v>5886.7944478499994</v>
      </c>
      <c r="N2221" s="1223"/>
      <c r="O2221" s="187"/>
      <c r="P2221" s="187"/>
      <c r="Q2221" s="187"/>
      <c r="R2221" s="187"/>
      <c r="S2221" s="187"/>
      <c r="T2221" s="187"/>
      <c r="U2221" s="187"/>
      <c r="V2221" s="187"/>
      <c r="W2221" s="187"/>
      <c r="X2221" s="187"/>
      <c r="Y2221" s="187"/>
      <c r="Z2221" s="187"/>
      <c r="AA2221" s="187"/>
      <c r="AB2221" s="187"/>
      <c r="AC2221" s="187"/>
      <c r="AD2221" s="187"/>
      <c r="AE2221" s="187"/>
      <c r="AF2221" s="187"/>
    </row>
    <row r="2222" spans="1:32" ht="20.399999999999999">
      <c r="A2222" s="663"/>
      <c r="B2222" s="3130" t="s">
        <v>436</v>
      </c>
      <c r="C2222" s="663" t="s">
        <v>427</v>
      </c>
      <c r="D2222" s="678" t="s">
        <v>1979</v>
      </c>
      <c r="E2222" s="700" t="s">
        <v>1065</v>
      </c>
      <c r="F2222" s="679">
        <v>1221</v>
      </c>
      <c r="G2222" s="681" t="s">
        <v>3447</v>
      </c>
      <c r="H2222" s="660"/>
      <c r="I2222" s="660">
        <v>500</v>
      </c>
      <c r="J2222" s="1494" t="s">
        <v>1134</v>
      </c>
      <c r="K2222" s="667"/>
      <c r="L2222" s="660"/>
      <c r="M2222" s="660"/>
      <c r="N2222" s="1223"/>
      <c r="O2222" s="187"/>
      <c r="P2222" s="187"/>
      <c r="Q2222" s="187"/>
      <c r="R2222" s="187"/>
      <c r="S2222" s="187"/>
      <c r="T2222" s="187"/>
      <c r="U2222" s="187"/>
      <c r="V2222" s="187"/>
      <c r="W2222" s="187"/>
      <c r="X2222" s="187"/>
      <c r="Y2222" s="187"/>
      <c r="Z2222" s="187"/>
      <c r="AA2222" s="187"/>
      <c r="AB2222" s="187"/>
      <c r="AC2222" s="187"/>
      <c r="AD2222" s="187"/>
      <c r="AE2222" s="187"/>
      <c r="AF2222" s="187"/>
    </row>
    <row r="2223" spans="1:32">
      <c r="A2223" s="683"/>
      <c r="B2223" s="3129" t="s">
        <v>772</v>
      </c>
      <c r="C2223" s="683" t="s">
        <v>427</v>
      </c>
      <c r="D2223" s="719" t="s">
        <v>1979</v>
      </c>
      <c r="E2223" s="720" t="s">
        <v>1065</v>
      </c>
      <c r="F2223" s="685">
        <v>1228</v>
      </c>
      <c r="G2223" s="686" t="s">
        <v>115</v>
      </c>
      <c r="H2223" s="689">
        <v>1120</v>
      </c>
      <c r="I2223" s="689"/>
      <c r="J2223" s="1494">
        <v>1176</v>
      </c>
      <c r="K2223" s="690"/>
      <c r="L2223" s="689">
        <v>1120</v>
      </c>
      <c r="M2223" s="689"/>
      <c r="N2223" s="1223"/>
      <c r="O2223" s="187"/>
      <c r="P2223" s="187"/>
      <c r="Q2223" s="187"/>
      <c r="R2223" s="187"/>
      <c r="S2223" s="187"/>
      <c r="T2223" s="187"/>
      <c r="U2223" s="187"/>
      <c r="V2223" s="187"/>
      <c r="W2223" s="187"/>
      <c r="X2223" s="187"/>
      <c r="Y2223" s="187"/>
      <c r="Z2223" s="187"/>
      <c r="AA2223" s="187"/>
      <c r="AB2223" s="187"/>
      <c r="AC2223" s="187"/>
      <c r="AD2223" s="187"/>
      <c r="AE2223" s="187"/>
      <c r="AF2223" s="187"/>
    </row>
    <row r="2224" spans="1:32" ht="30.6">
      <c r="A2224" s="663"/>
      <c r="B2224" s="3130" t="s">
        <v>772</v>
      </c>
      <c r="C2224" s="663" t="s">
        <v>427</v>
      </c>
      <c r="D2224" s="678" t="s">
        <v>1979</v>
      </c>
      <c r="E2224" s="700" t="s">
        <v>1065</v>
      </c>
      <c r="F2224" s="679">
        <v>1228</v>
      </c>
      <c r="G2224" s="675" t="s">
        <v>1092</v>
      </c>
      <c r="H2224" s="660"/>
      <c r="I2224" s="660">
        <v>720</v>
      </c>
      <c r="J2224" s="1494" t="s">
        <v>1134</v>
      </c>
      <c r="K2224" s="661"/>
      <c r="L2224" s="660"/>
      <c r="M2224" s="660">
        <v>720</v>
      </c>
      <c r="N2224" s="1223"/>
      <c r="O2224" s="187"/>
      <c r="P2224" s="187"/>
      <c r="Q2224" s="187"/>
      <c r="R2224" s="187"/>
      <c r="S2224" s="187"/>
      <c r="T2224" s="187"/>
      <c r="U2224" s="187"/>
      <c r="V2224" s="187"/>
      <c r="W2224" s="187"/>
      <c r="X2224" s="187"/>
      <c r="Y2224" s="187"/>
      <c r="Z2224" s="187"/>
      <c r="AA2224" s="187"/>
      <c r="AB2224" s="187"/>
      <c r="AC2224" s="187"/>
      <c r="AD2224" s="187"/>
      <c r="AE2224" s="187"/>
      <c r="AF2224" s="187"/>
    </row>
    <row r="2225" spans="1:32">
      <c r="A2225" s="663"/>
      <c r="B2225" s="3130" t="s">
        <v>772</v>
      </c>
      <c r="C2225" s="663" t="s">
        <v>427</v>
      </c>
      <c r="D2225" s="678" t="s">
        <v>1979</v>
      </c>
      <c r="E2225" s="700" t="s">
        <v>1065</v>
      </c>
      <c r="F2225" s="679">
        <v>1228</v>
      </c>
      <c r="G2225" s="665" t="s">
        <v>2121</v>
      </c>
      <c r="H2225" s="660"/>
      <c r="I2225" s="660">
        <v>400</v>
      </c>
      <c r="J2225" s="1494" t="s">
        <v>1134</v>
      </c>
      <c r="K2225" s="661"/>
      <c r="L2225" s="660"/>
      <c r="M2225" s="660">
        <v>400</v>
      </c>
      <c r="N2225" s="1223"/>
      <c r="O2225" s="187"/>
      <c r="P2225" s="187"/>
      <c r="Q2225" s="187"/>
      <c r="R2225" s="187"/>
      <c r="S2225" s="187"/>
      <c r="T2225" s="187"/>
      <c r="U2225" s="187"/>
      <c r="V2225" s="187"/>
      <c r="W2225" s="187"/>
      <c r="X2225" s="187"/>
      <c r="Y2225" s="187"/>
      <c r="Z2225" s="187"/>
      <c r="AA2225" s="187"/>
      <c r="AB2225" s="187"/>
      <c r="AC2225" s="187"/>
      <c r="AD2225" s="187"/>
      <c r="AE2225" s="187"/>
      <c r="AF2225" s="187"/>
    </row>
    <row r="2226" spans="1:32" ht="11.4" customHeight="1">
      <c r="A2226" s="683"/>
      <c r="B2226" s="3129" t="s">
        <v>772</v>
      </c>
      <c r="C2226" s="683" t="s">
        <v>322</v>
      </c>
      <c r="D2226" s="719" t="s">
        <v>1979</v>
      </c>
      <c r="E2226" s="720" t="s">
        <v>1065</v>
      </c>
      <c r="F2226" s="685">
        <v>2121</v>
      </c>
      <c r="G2226" s="686" t="s">
        <v>636</v>
      </c>
      <c r="H2226" s="689">
        <v>0</v>
      </c>
      <c r="I2226" s="689"/>
      <c r="J2226" s="1494" t="s">
        <v>1134</v>
      </c>
      <c r="K2226" s="690"/>
      <c r="L2226" s="687">
        <v>0</v>
      </c>
      <c r="M2226" s="687"/>
      <c r="N2226" s="1223"/>
      <c r="O2226" s="187"/>
      <c r="P2226" s="187"/>
      <c r="Q2226" s="187"/>
      <c r="R2226" s="187"/>
      <c r="S2226" s="187"/>
      <c r="T2226" s="187"/>
      <c r="U2226" s="187"/>
      <c r="V2226" s="187"/>
      <c r="W2226" s="187"/>
      <c r="X2226" s="187"/>
      <c r="Y2226" s="187"/>
      <c r="Z2226" s="187"/>
      <c r="AA2226" s="187"/>
      <c r="AB2226" s="187"/>
      <c r="AC2226" s="187"/>
      <c r="AD2226" s="187"/>
      <c r="AE2226" s="187"/>
      <c r="AF2226" s="187"/>
    </row>
    <row r="2227" spans="1:32" ht="11.4" customHeight="1">
      <c r="A2227" s="663"/>
      <c r="B2227" s="3130" t="s">
        <v>772</v>
      </c>
      <c r="C2227" s="663" t="s">
        <v>322</v>
      </c>
      <c r="D2227" s="678" t="s">
        <v>1979</v>
      </c>
      <c r="E2227" s="700" t="s">
        <v>1065</v>
      </c>
      <c r="F2227" s="679">
        <v>2121</v>
      </c>
      <c r="G2227" s="675"/>
      <c r="H2227" s="660"/>
      <c r="I2227" s="660"/>
      <c r="J2227" s="1494" t="s">
        <v>1134</v>
      </c>
      <c r="K2227" s="661"/>
      <c r="L2227" s="659"/>
      <c r="M2227" s="659"/>
      <c r="N2227" s="1223"/>
      <c r="O2227" s="187"/>
      <c r="P2227" s="187"/>
      <c r="Q2227" s="187"/>
      <c r="R2227" s="187"/>
      <c r="S2227" s="187"/>
      <c r="T2227" s="187"/>
      <c r="U2227" s="187"/>
      <c r="V2227" s="187"/>
      <c r="W2227" s="187"/>
      <c r="X2227" s="187"/>
      <c r="Y2227" s="187"/>
      <c r="Z2227" s="187"/>
      <c r="AA2227" s="187"/>
      <c r="AB2227" s="187"/>
      <c r="AC2227" s="187"/>
      <c r="AD2227" s="187"/>
      <c r="AE2227" s="187"/>
      <c r="AF2227" s="187"/>
    </row>
    <row r="2228" spans="1:32" ht="20.399999999999999">
      <c r="A2228" s="683"/>
      <c r="B2228" s="3129" t="s">
        <v>772</v>
      </c>
      <c r="C2228" s="683" t="s">
        <v>322</v>
      </c>
      <c r="D2228" s="719" t="s">
        <v>1979</v>
      </c>
      <c r="E2228" s="720" t="s">
        <v>1065</v>
      </c>
      <c r="F2228" s="685">
        <v>2122</v>
      </c>
      <c r="G2228" s="686" t="s">
        <v>580</v>
      </c>
      <c r="H2228" s="689">
        <v>500</v>
      </c>
      <c r="I2228" s="689"/>
      <c r="J2228" s="1494">
        <v>0</v>
      </c>
      <c r="K2228" s="690"/>
      <c r="L2228" s="689">
        <v>500</v>
      </c>
      <c r="M2228" s="689"/>
      <c r="N2228" s="1223"/>
      <c r="O2228" s="187"/>
      <c r="P2228" s="187"/>
      <c r="Q2228" s="187"/>
      <c r="R2228" s="187"/>
      <c r="S2228" s="187"/>
      <c r="T2228" s="187"/>
      <c r="U2228" s="187"/>
      <c r="V2228" s="187"/>
      <c r="W2228" s="187"/>
      <c r="X2228" s="187"/>
      <c r="Y2228" s="187"/>
      <c r="Z2228" s="187"/>
      <c r="AA2228" s="187"/>
      <c r="AB2228" s="187"/>
      <c r="AC2228" s="187"/>
      <c r="AD2228" s="187"/>
      <c r="AE2228" s="187"/>
      <c r="AF2228" s="187"/>
    </row>
    <row r="2229" spans="1:32" ht="11.4" customHeight="1">
      <c r="A2229" s="663"/>
      <c r="B2229" s="3130" t="s">
        <v>772</v>
      </c>
      <c r="C2229" s="663" t="s">
        <v>322</v>
      </c>
      <c r="D2229" s="678" t="s">
        <v>1979</v>
      </c>
      <c r="E2229" s="700" t="s">
        <v>1065</v>
      </c>
      <c r="F2229" s="679">
        <v>2122</v>
      </c>
      <c r="G2229" s="665" t="s">
        <v>682</v>
      </c>
      <c r="H2229" s="660"/>
      <c r="I2229" s="660">
        <v>500</v>
      </c>
      <c r="J2229" s="1494" t="s">
        <v>1134</v>
      </c>
      <c r="K2229" s="661"/>
      <c r="L2229" s="660"/>
      <c r="M2229" s="660">
        <v>500</v>
      </c>
      <c r="N2229" s="1223"/>
      <c r="O2229" s="187"/>
      <c r="P2229" s="187"/>
      <c r="Q2229" s="187"/>
      <c r="R2229" s="187"/>
      <c r="S2229" s="187"/>
      <c r="T2229" s="187"/>
      <c r="U2229" s="187"/>
      <c r="V2229" s="187"/>
      <c r="W2229" s="187"/>
      <c r="X2229" s="187"/>
      <c r="Y2229" s="187"/>
      <c r="Z2229" s="187"/>
      <c r="AA2229" s="187"/>
      <c r="AB2229" s="187"/>
      <c r="AC2229" s="187"/>
      <c r="AD2229" s="187"/>
      <c r="AE2229" s="187"/>
    </row>
    <row r="2230" spans="1:32">
      <c r="A2230" s="683"/>
      <c r="B2230" s="3129" t="s">
        <v>772</v>
      </c>
      <c r="C2230" s="683" t="s">
        <v>322</v>
      </c>
      <c r="D2230" s="719" t="s">
        <v>1979</v>
      </c>
      <c r="E2230" s="720" t="s">
        <v>1065</v>
      </c>
      <c r="F2230" s="685">
        <v>2210</v>
      </c>
      <c r="G2230" s="686" t="s">
        <v>572</v>
      </c>
      <c r="H2230" s="689">
        <v>877.19999999999993</v>
      </c>
      <c r="I2230" s="689"/>
      <c r="J2230" s="1494">
        <v>559</v>
      </c>
      <c r="K2230" s="690"/>
      <c r="L2230" s="689">
        <v>877.19999999999993</v>
      </c>
      <c r="M2230" s="689"/>
      <c r="N2230" s="1223"/>
      <c r="O2230" s="187"/>
      <c r="P2230" s="187"/>
      <c r="Q2230" s="187"/>
      <c r="R2230" s="187"/>
      <c r="S2230" s="187"/>
      <c r="T2230" s="187"/>
      <c r="U2230" s="187"/>
      <c r="V2230" s="187"/>
      <c r="W2230" s="187"/>
      <c r="X2230" s="187"/>
      <c r="Y2230" s="187"/>
      <c r="Z2230" s="187"/>
      <c r="AA2230" s="187"/>
      <c r="AB2230" s="187"/>
      <c r="AC2230" s="187"/>
      <c r="AD2230" s="187"/>
      <c r="AE2230" s="187"/>
    </row>
    <row r="2231" spans="1:32">
      <c r="A2231" s="663"/>
      <c r="B2231" s="3130" t="s">
        <v>772</v>
      </c>
      <c r="C2231" s="663" t="s">
        <v>322</v>
      </c>
      <c r="D2231" s="678" t="s">
        <v>1979</v>
      </c>
      <c r="E2231" s="700" t="s">
        <v>1065</v>
      </c>
      <c r="F2231" s="679">
        <v>2210</v>
      </c>
      <c r="G2231" s="665" t="s">
        <v>2122</v>
      </c>
      <c r="H2231" s="660"/>
      <c r="I2231" s="660">
        <v>577.19999999999993</v>
      </c>
      <c r="J2231" s="1494" t="s">
        <v>1134</v>
      </c>
      <c r="K2231" s="661"/>
      <c r="L2231" s="660"/>
      <c r="M2231" s="660">
        <v>577.19999999999993</v>
      </c>
      <c r="N2231" s="1223"/>
      <c r="O2231" s="187"/>
      <c r="P2231" s="187"/>
      <c r="Q2231" s="187"/>
      <c r="R2231" s="187"/>
      <c r="S2231" s="187"/>
      <c r="T2231" s="187"/>
      <c r="U2231" s="187"/>
      <c r="V2231" s="187"/>
      <c r="W2231" s="187"/>
      <c r="X2231" s="187"/>
      <c r="Y2231" s="187"/>
      <c r="Z2231" s="187"/>
      <c r="AA2231" s="187"/>
      <c r="AB2231" s="187"/>
      <c r="AC2231" s="187"/>
      <c r="AD2231" s="187"/>
      <c r="AE2231" s="187"/>
    </row>
    <row r="2232" spans="1:32" ht="11.4" customHeight="1">
      <c r="A2232" s="663"/>
      <c r="B2232" s="3130" t="s">
        <v>772</v>
      </c>
      <c r="C2232" s="663" t="s">
        <v>322</v>
      </c>
      <c r="D2232" s="678" t="s">
        <v>1979</v>
      </c>
      <c r="E2232" s="700" t="s">
        <v>1065</v>
      </c>
      <c r="F2232" s="679">
        <v>2210</v>
      </c>
      <c r="G2232" s="665" t="s">
        <v>1093</v>
      </c>
      <c r="H2232" s="660"/>
      <c r="I2232" s="660">
        <v>300</v>
      </c>
      <c r="J2232" s="1494" t="s">
        <v>1134</v>
      </c>
      <c r="K2232" s="661"/>
      <c r="L2232" s="660"/>
      <c r="M2232" s="660">
        <v>300</v>
      </c>
      <c r="N2232" s="1223"/>
      <c r="O2232" s="187"/>
      <c r="P2232" s="187"/>
      <c r="Q2232" s="187"/>
      <c r="R2232" s="187"/>
      <c r="S2232" s="187"/>
      <c r="T2232" s="187"/>
      <c r="U2232" s="187"/>
      <c r="V2232" s="187"/>
      <c r="W2232" s="187"/>
      <c r="X2232" s="187"/>
      <c r="Y2232" s="187"/>
      <c r="Z2232" s="187"/>
      <c r="AA2232" s="187"/>
      <c r="AB2232" s="187"/>
      <c r="AC2232" s="187"/>
      <c r="AD2232" s="187"/>
      <c r="AE2232" s="187"/>
      <c r="AF2232" s="187"/>
    </row>
    <row r="2233" spans="1:32" ht="11.4" customHeight="1">
      <c r="A2233" s="683"/>
      <c r="B2233" s="3129" t="s">
        <v>772</v>
      </c>
      <c r="C2233" s="683" t="s">
        <v>322</v>
      </c>
      <c r="D2233" s="719" t="s">
        <v>1979</v>
      </c>
      <c r="E2233" s="720" t="s">
        <v>1065</v>
      </c>
      <c r="F2233" s="685">
        <v>2234</v>
      </c>
      <c r="G2233" s="686" t="s">
        <v>1885</v>
      </c>
      <c r="H2233" s="689">
        <v>100</v>
      </c>
      <c r="I2233" s="689"/>
      <c r="J2233" s="1494">
        <v>32</v>
      </c>
      <c r="K2233" s="690"/>
      <c r="L2233" s="689">
        <v>100</v>
      </c>
      <c r="M2233" s="689"/>
      <c r="N2233" s="1223"/>
      <c r="O2233" s="187"/>
      <c r="P2233" s="187"/>
      <c r="Q2233" s="187"/>
      <c r="R2233" s="187"/>
      <c r="S2233" s="187"/>
      <c r="T2233" s="187"/>
      <c r="U2233" s="187"/>
      <c r="V2233" s="187"/>
      <c r="W2233" s="187"/>
      <c r="X2233" s="187"/>
      <c r="Y2233" s="187"/>
      <c r="Z2233" s="187"/>
      <c r="AA2233" s="187"/>
      <c r="AB2233" s="187"/>
      <c r="AC2233" s="187"/>
      <c r="AD2233" s="187"/>
      <c r="AE2233" s="187"/>
      <c r="AF2233" s="187"/>
    </row>
    <row r="2234" spans="1:32">
      <c r="A2234" s="663"/>
      <c r="B2234" s="3130" t="s">
        <v>772</v>
      </c>
      <c r="C2234" s="663" t="s">
        <v>322</v>
      </c>
      <c r="D2234" s="678" t="s">
        <v>1979</v>
      </c>
      <c r="E2234" s="700" t="s">
        <v>1065</v>
      </c>
      <c r="F2234" s="679">
        <v>2234</v>
      </c>
      <c r="G2234" s="665" t="s">
        <v>4711</v>
      </c>
      <c r="H2234" s="660"/>
      <c r="I2234" s="660">
        <v>100</v>
      </c>
      <c r="J2234" s="1494" t="s">
        <v>1134</v>
      </c>
      <c r="K2234" s="661"/>
      <c r="L2234" s="660"/>
      <c r="M2234" s="660">
        <v>100</v>
      </c>
      <c r="N2234" s="1223"/>
    </row>
    <row r="2235" spans="1:32" ht="11.4" customHeight="1">
      <c r="A2235" s="683"/>
      <c r="B2235" s="3129" t="s">
        <v>772</v>
      </c>
      <c r="C2235" s="683" t="s">
        <v>322</v>
      </c>
      <c r="D2235" s="719" t="s">
        <v>1979</v>
      </c>
      <c r="E2235" s="720" t="s">
        <v>1065</v>
      </c>
      <c r="F2235" s="685">
        <v>2235</v>
      </c>
      <c r="G2235" s="686" t="s">
        <v>931</v>
      </c>
      <c r="H2235" s="689">
        <v>1790</v>
      </c>
      <c r="I2235" s="689"/>
      <c r="J2235" s="1494">
        <v>101</v>
      </c>
      <c r="K2235" s="690"/>
      <c r="L2235" s="689">
        <v>1850</v>
      </c>
      <c r="M2235" s="687"/>
      <c r="N2235" s="1223"/>
    </row>
    <row r="2236" spans="1:32" ht="20.399999999999999">
      <c r="A2236" s="663"/>
      <c r="B2236" s="3130" t="s">
        <v>772</v>
      </c>
      <c r="C2236" s="663" t="s">
        <v>322</v>
      </c>
      <c r="D2236" s="678" t="s">
        <v>1979</v>
      </c>
      <c r="E2236" s="700" t="s">
        <v>1065</v>
      </c>
      <c r="F2236" s="679">
        <v>2235</v>
      </c>
      <c r="G2236" s="1671" t="s">
        <v>2123</v>
      </c>
      <c r="H2236" s="660"/>
      <c r="I2236" s="660">
        <v>1850</v>
      </c>
      <c r="J2236" s="1494" t="s">
        <v>1134</v>
      </c>
      <c r="K2236" s="661"/>
      <c r="L2236" s="659"/>
      <c r="M2236" s="660">
        <v>1850</v>
      </c>
      <c r="N2236" s="1223"/>
    </row>
    <row r="2237" spans="1:32" ht="11.4" customHeight="1">
      <c r="A2237" s="663"/>
      <c r="B2237" s="3130" t="s">
        <v>772</v>
      </c>
      <c r="C2237" s="663" t="s">
        <v>322</v>
      </c>
      <c r="D2237" s="678" t="s">
        <v>1979</v>
      </c>
      <c r="E2237" s="700" t="s">
        <v>1065</v>
      </c>
      <c r="F2237" s="679">
        <v>2235</v>
      </c>
      <c r="G2237" s="665" t="s">
        <v>3097</v>
      </c>
      <c r="H2237" s="660"/>
      <c r="I2237" s="660">
        <v>-60</v>
      </c>
      <c r="J2237" s="1494" t="s">
        <v>1134</v>
      </c>
      <c r="K2237" s="661"/>
      <c r="L2237" s="659"/>
      <c r="M2237" s="659"/>
      <c r="N2237" s="1223"/>
    </row>
    <row r="2238" spans="1:32" ht="11.4" customHeight="1">
      <c r="A2238" s="683"/>
      <c r="B2238" s="3129" t="s">
        <v>772</v>
      </c>
      <c r="C2238" s="683" t="s">
        <v>322</v>
      </c>
      <c r="D2238" s="719" t="s">
        <v>1979</v>
      </c>
      <c r="E2238" s="720" t="s">
        <v>1065</v>
      </c>
      <c r="F2238" s="685">
        <v>2239</v>
      </c>
      <c r="G2238" s="686" t="s">
        <v>122</v>
      </c>
      <c r="H2238" s="689">
        <v>410</v>
      </c>
      <c r="I2238" s="689"/>
      <c r="J2238" s="1494">
        <v>410</v>
      </c>
      <c r="K2238" s="690"/>
      <c r="L2238" s="689">
        <v>350</v>
      </c>
      <c r="M2238" s="689"/>
      <c r="N2238" s="1223"/>
    </row>
    <row r="2239" spans="1:32" ht="20.399999999999999">
      <c r="A2239" s="663"/>
      <c r="B2239" s="3130" t="s">
        <v>772</v>
      </c>
      <c r="C2239" s="663" t="s">
        <v>322</v>
      </c>
      <c r="D2239" s="678" t="s">
        <v>1979</v>
      </c>
      <c r="E2239" s="700" t="s">
        <v>1065</v>
      </c>
      <c r="F2239" s="679">
        <v>2239</v>
      </c>
      <c r="G2239" s="665" t="s">
        <v>1094</v>
      </c>
      <c r="H2239" s="660"/>
      <c r="I2239" s="660">
        <v>350</v>
      </c>
      <c r="J2239" s="1494" t="s">
        <v>1134</v>
      </c>
      <c r="K2239" s="661"/>
      <c r="L2239" s="660"/>
      <c r="M2239" s="660">
        <v>350</v>
      </c>
      <c r="N2239" s="7"/>
    </row>
    <row r="2240" spans="1:32" ht="20.399999999999999">
      <c r="A2240" s="663"/>
      <c r="B2240" s="3130" t="s">
        <v>772</v>
      </c>
      <c r="C2240" s="663" t="s">
        <v>322</v>
      </c>
      <c r="D2240" s="678" t="s">
        <v>1979</v>
      </c>
      <c r="E2240" s="700" t="s">
        <v>1065</v>
      </c>
      <c r="F2240" s="679">
        <v>2239</v>
      </c>
      <c r="G2240" s="665" t="s">
        <v>1385</v>
      </c>
      <c r="H2240" s="660"/>
      <c r="I2240" s="660"/>
      <c r="J2240" s="1494" t="s">
        <v>1134</v>
      </c>
      <c r="K2240" s="661"/>
      <c r="L2240" s="659"/>
      <c r="M2240" s="659"/>
      <c r="N2240" s="7"/>
      <c r="O2240" s="187"/>
      <c r="P2240" s="187"/>
      <c r="Q2240" s="187"/>
      <c r="R2240" s="187"/>
      <c r="S2240" s="187"/>
      <c r="T2240" s="187"/>
      <c r="U2240" s="187"/>
      <c r="V2240" s="187"/>
      <c r="W2240" s="187"/>
      <c r="X2240" s="187"/>
      <c r="Y2240" s="187"/>
      <c r="Z2240" s="187"/>
      <c r="AA2240" s="187"/>
      <c r="AB2240" s="187"/>
      <c r="AC2240" s="187"/>
      <c r="AD2240" s="187"/>
      <c r="AE2240" s="187"/>
      <c r="AF2240" s="187"/>
    </row>
    <row r="2241" spans="1:32" ht="20.399999999999999">
      <c r="A2241" s="663"/>
      <c r="B2241" s="3130" t="s">
        <v>772</v>
      </c>
      <c r="C2241" s="663" t="s">
        <v>322</v>
      </c>
      <c r="D2241" s="678" t="s">
        <v>1979</v>
      </c>
      <c r="E2241" s="700" t="s">
        <v>1065</v>
      </c>
      <c r="F2241" s="679">
        <v>2239</v>
      </c>
      <c r="G2241" s="665" t="s">
        <v>3097</v>
      </c>
      <c r="H2241" s="660"/>
      <c r="I2241" s="660">
        <v>60</v>
      </c>
      <c r="J2241" s="1494" t="s">
        <v>1134</v>
      </c>
      <c r="K2241" s="661"/>
      <c r="L2241" s="659"/>
      <c r="M2241" s="659"/>
      <c r="N2241" s="7"/>
      <c r="O2241" s="187"/>
      <c r="P2241" s="187"/>
      <c r="Q2241" s="187"/>
      <c r="R2241" s="187"/>
      <c r="S2241" s="187"/>
      <c r="T2241" s="187"/>
      <c r="U2241" s="187"/>
      <c r="V2241" s="187"/>
      <c r="W2241" s="187"/>
      <c r="X2241" s="187"/>
      <c r="Y2241" s="187"/>
      <c r="Z2241" s="187"/>
      <c r="AA2241" s="187"/>
      <c r="AB2241" s="187"/>
      <c r="AC2241" s="187"/>
      <c r="AD2241" s="187"/>
      <c r="AE2241" s="187"/>
      <c r="AF2241" s="187"/>
    </row>
    <row r="2242" spans="1:32" ht="20.399999999999999">
      <c r="A2242" s="663"/>
      <c r="B2242" s="3130" t="s">
        <v>772</v>
      </c>
      <c r="C2242" s="663" t="s">
        <v>322</v>
      </c>
      <c r="D2242" s="678" t="s">
        <v>1979</v>
      </c>
      <c r="E2242" s="700" t="s">
        <v>1065</v>
      </c>
      <c r="F2242" s="679">
        <v>2239</v>
      </c>
      <c r="G2242" s="665" t="s">
        <v>2033</v>
      </c>
      <c r="H2242" s="660"/>
      <c r="I2242" s="660"/>
      <c r="J2242" s="1494" t="s">
        <v>1134</v>
      </c>
      <c r="K2242" s="661"/>
      <c r="L2242" s="659"/>
      <c r="M2242" s="659"/>
      <c r="N2242" s="7"/>
    </row>
    <row r="2243" spans="1:32">
      <c r="A2243" s="683"/>
      <c r="B2243" s="3129" t="s">
        <v>772</v>
      </c>
      <c r="C2243" s="683" t="s">
        <v>320</v>
      </c>
      <c r="D2243" s="719" t="s">
        <v>1979</v>
      </c>
      <c r="E2243" s="720" t="s">
        <v>1065</v>
      </c>
      <c r="F2243" s="685">
        <v>2242</v>
      </c>
      <c r="G2243" s="686" t="s">
        <v>732</v>
      </c>
      <c r="H2243" s="689">
        <v>150</v>
      </c>
      <c r="I2243" s="689"/>
      <c r="J2243" s="1494">
        <v>73</v>
      </c>
      <c r="K2243" s="690"/>
      <c r="L2243" s="689">
        <v>150</v>
      </c>
      <c r="M2243" s="689"/>
      <c r="N2243" s="7"/>
      <c r="O2243" s="187"/>
      <c r="P2243" s="187"/>
      <c r="Q2243" s="187"/>
      <c r="R2243" s="187"/>
      <c r="S2243" s="187"/>
      <c r="T2243" s="187"/>
      <c r="U2243" s="187"/>
      <c r="V2243" s="187"/>
      <c r="W2243" s="187"/>
      <c r="X2243" s="187"/>
      <c r="Y2243" s="187"/>
      <c r="Z2243" s="187"/>
      <c r="AA2243" s="187"/>
      <c r="AB2243" s="187"/>
      <c r="AC2243" s="187"/>
      <c r="AD2243" s="187"/>
      <c r="AE2243" s="187"/>
      <c r="AF2243" s="187"/>
    </row>
    <row r="2244" spans="1:32" ht="20.399999999999999">
      <c r="A2244" s="663"/>
      <c r="B2244" s="3130" t="s">
        <v>772</v>
      </c>
      <c r="C2244" s="663" t="s">
        <v>320</v>
      </c>
      <c r="D2244" s="678" t="s">
        <v>1979</v>
      </c>
      <c r="E2244" s="700" t="s">
        <v>1065</v>
      </c>
      <c r="F2244" s="679">
        <v>2242</v>
      </c>
      <c r="G2244" s="665" t="s">
        <v>3099</v>
      </c>
      <c r="H2244" s="660"/>
      <c r="I2244" s="660">
        <v>150</v>
      </c>
      <c r="J2244" s="1494" t="s">
        <v>1134</v>
      </c>
      <c r="K2244" s="661"/>
      <c r="L2244" s="660"/>
      <c r="M2244" s="660">
        <v>150</v>
      </c>
      <c r="N2244" s="7"/>
    </row>
    <row r="2245" spans="1:32">
      <c r="A2245" s="683"/>
      <c r="B2245" s="3129" t="s">
        <v>772</v>
      </c>
      <c r="C2245" s="683" t="s">
        <v>320</v>
      </c>
      <c r="D2245" s="719" t="s">
        <v>1979</v>
      </c>
      <c r="E2245" s="720" t="s">
        <v>1065</v>
      </c>
      <c r="F2245" s="685">
        <v>2243</v>
      </c>
      <c r="G2245" s="686" t="s">
        <v>159</v>
      </c>
      <c r="H2245" s="689">
        <v>100</v>
      </c>
      <c r="I2245" s="689"/>
      <c r="J2245" s="1494">
        <v>0</v>
      </c>
      <c r="K2245" s="690"/>
      <c r="L2245" s="689">
        <v>100</v>
      </c>
      <c r="M2245" s="689"/>
      <c r="N2245" s="125"/>
      <c r="O2245" s="187"/>
      <c r="P2245" s="187"/>
      <c r="Q2245" s="187"/>
      <c r="R2245" s="187"/>
      <c r="S2245" s="187"/>
      <c r="T2245" s="187"/>
      <c r="U2245" s="187"/>
      <c r="V2245" s="187"/>
      <c r="W2245" s="187"/>
      <c r="X2245" s="187"/>
      <c r="Y2245" s="187"/>
      <c r="Z2245" s="187"/>
      <c r="AA2245" s="187"/>
      <c r="AB2245" s="187"/>
      <c r="AC2245" s="187"/>
      <c r="AD2245" s="187"/>
      <c r="AE2245" s="187"/>
      <c r="AF2245" s="187"/>
    </row>
    <row r="2246" spans="1:32">
      <c r="A2246" s="663"/>
      <c r="B2246" s="3130" t="s">
        <v>772</v>
      </c>
      <c r="C2246" s="663" t="s">
        <v>320</v>
      </c>
      <c r="D2246" s="678" t="s">
        <v>1979</v>
      </c>
      <c r="E2246" s="700" t="s">
        <v>1065</v>
      </c>
      <c r="F2246" s="679">
        <v>2243</v>
      </c>
      <c r="G2246" s="665" t="s">
        <v>297</v>
      </c>
      <c r="H2246" s="660"/>
      <c r="I2246" s="660">
        <v>100</v>
      </c>
      <c r="J2246" s="1494" t="s">
        <v>1134</v>
      </c>
      <c r="K2246" s="661"/>
      <c r="L2246" s="660"/>
      <c r="M2246" s="660">
        <v>100</v>
      </c>
      <c r="N2246" s="125"/>
    </row>
    <row r="2247" spans="1:32">
      <c r="A2247" s="683"/>
      <c r="B2247" s="3129" t="s">
        <v>772</v>
      </c>
      <c r="C2247" s="683" t="s">
        <v>320</v>
      </c>
      <c r="D2247" s="719" t="s">
        <v>1979</v>
      </c>
      <c r="E2247" s="720" t="s">
        <v>1065</v>
      </c>
      <c r="F2247" s="685">
        <v>2247</v>
      </c>
      <c r="G2247" s="686" t="s">
        <v>161</v>
      </c>
      <c r="H2247" s="689">
        <v>1000</v>
      </c>
      <c r="I2247" s="689"/>
      <c r="J2247" s="1494">
        <v>600</v>
      </c>
      <c r="K2247" s="690"/>
      <c r="L2247" s="689">
        <v>1000</v>
      </c>
      <c r="M2247" s="689"/>
      <c r="N2247" s="1223"/>
    </row>
    <row r="2248" spans="1:32">
      <c r="A2248" s="663"/>
      <c r="B2248" s="3130" t="s">
        <v>772</v>
      </c>
      <c r="C2248" s="663" t="s">
        <v>320</v>
      </c>
      <c r="D2248" s="678" t="s">
        <v>1979</v>
      </c>
      <c r="E2248" s="700" t="s">
        <v>1065</v>
      </c>
      <c r="F2248" s="679">
        <v>2247</v>
      </c>
      <c r="G2248" s="665" t="s">
        <v>2124</v>
      </c>
      <c r="H2248" s="660"/>
      <c r="I2248" s="660">
        <v>1000</v>
      </c>
      <c r="J2248" s="1494" t="s">
        <v>1134</v>
      </c>
      <c r="K2248" s="661"/>
      <c r="L2248" s="660"/>
      <c r="M2248" s="660">
        <v>1000</v>
      </c>
      <c r="N2248" s="1223"/>
    </row>
    <row r="2249" spans="1:32" ht="20.399999999999999">
      <c r="A2249" s="663"/>
      <c r="B2249" s="3130" t="s">
        <v>772</v>
      </c>
      <c r="C2249" s="663" t="s">
        <v>320</v>
      </c>
      <c r="D2249" s="678" t="s">
        <v>1979</v>
      </c>
      <c r="E2249" s="700" t="s">
        <v>1065</v>
      </c>
      <c r="F2249" s="679">
        <v>2247</v>
      </c>
      <c r="G2249" s="665" t="s">
        <v>2032</v>
      </c>
      <c r="H2249" s="660"/>
      <c r="I2249" s="660"/>
      <c r="J2249" s="1494" t="s">
        <v>1134</v>
      </c>
      <c r="K2249" s="661"/>
      <c r="L2249" s="659"/>
      <c r="M2249" s="659"/>
      <c r="N2249" s="1223"/>
    </row>
    <row r="2250" spans="1:32">
      <c r="A2250" s="683"/>
      <c r="B2250" s="3129" t="s">
        <v>772</v>
      </c>
      <c r="C2250" s="683" t="s">
        <v>322</v>
      </c>
      <c r="D2250" s="719" t="s">
        <v>1979</v>
      </c>
      <c r="E2250" s="720" t="s">
        <v>1065</v>
      </c>
      <c r="F2250" s="685">
        <v>2311</v>
      </c>
      <c r="G2250" s="686" t="s">
        <v>129</v>
      </c>
      <c r="H2250" s="689">
        <v>890</v>
      </c>
      <c r="I2250" s="689"/>
      <c r="J2250" s="1494">
        <v>797</v>
      </c>
      <c r="K2250" s="690"/>
      <c r="L2250" s="689">
        <v>890</v>
      </c>
      <c r="M2250" s="689"/>
      <c r="N2250" s="1223"/>
    </row>
    <row r="2251" spans="1:32">
      <c r="A2251" s="663"/>
      <c r="B2251" s="3130" t="s">
        <v>772</v>
      </c>
      <c r="C2251" s="663" t="s">
        <v>322</v>
      </c>
      <c r="D2251" s="678" t="s">
        <v>1979</v>
      </c>
      <c r="E2251" s="700" t="s">
        <v>1065</v>
      </c>
      <c r="F2251" s="679">
        <v>2311</v>
      </c>
      <c r="G2251" s="665" t="s">
        <v>243</v>
      </c>
      <c r="H2251" s="660"/>
      <c r="I2251" s="660">
        <v>150</v>
      </c>
      <c r="J2251" s="1494" t="s">
        <v>1134</v>
      </c>
      <c r="K2251" s="661"/>
      <c r="L2251" s="660"/>
      <c r="M2251" s="660">
        <v>150</v>
      </c>
      <c r="N2251" s="1223"/>
    </row>
    <row r="2252" spans="1:32">
      <c r="A2252" s="663"/>
      <c r="B2252" s="3130" t="s">
        <v>772</v>
      </c>
      <c r="C2252" s="663" t="s">
        <v>322</v>
      </c>
      <c r="D2252" s="678" t="s">
        <v>1979</v>
      </c>
      <c r="E2252" s="700" t="s">
        <v>1065</v>
      </c>
      <c r="F2252" s="679">
        <v>2311</v>
      </c>
      <c r="G2252" s="724" t="s">
        <v>298</v>
      </c>
      <c r="H2252" s="660"/>
      <c r="I2252" s="660">
        <v>500</v>
      </c>
      <c r="J2252" s="1494" t="s">
        <v>1134</v>
      </c>
      <c r="K2252" s="661"/>
      <c r="L2252" s="660"/>
      <c r="M2252" s="660">
        <v>500</v>
      </c>
      <c r="N2252" s="1223"/>
    </row>
    <row r="2253" spans="1:32">
      <c r="A2253" s="663"/>
      <c r="B2253" s="3130" t="s">
        <v>772</v>
      </c>
      <c r="C2253" s="663" t="s">
        <v>322</v>
      </c>
      <c r="D2253" s="678" t="s">
        <v>1979</v>
      </c>
      <c r="E2253" s="700" t="s">
        <v>1065</v>
      </c>
      <c r="F2253" s="679">
        <v>2311</v>
      </c>
      <c r="G2253" s="665" t="s">
        <v>167</v>
      </c>
      <c r="H2253" s="660"/>
      <c r="I2253" s="660">
        <v>240</v>
      </c>
      <c r="J2253" s="1494" t="s">
        <v>1134</v>
      </c>
      <c r="K2253" s="661"/>
      <c r="L2253" s="660"/>
      <c r="M2253" s="660">
        <v>240</v>
      </c>
      <c r="N2253" s="7"/>
    </row>
    <row r="2254" spans="1:32">
      <c r="A2254" s="683"/>
      <c r="B2254" s="3129" t="s">
        <v>772</v>
      </c>
      <c r="C2254" s="683" t="s">
        <v>322</v>
      </c>
      <c r="D2254" s="719" t="s">
        <v>1979</v>
      </c>
      <c r="E2254" s="720" t="s">
        <v>1065</v>
      </c>
      <c r="F2254" s="685">
        <v>2312</v>
      </c>
      <c r="G2254" s="686" t="s">
        <v>207</v>
      </c>
      <c r="H2254" s="689">
        <v>300</v>
      </c>
      <c r="I2254" s="689"/>
      <c r="J2254" s="1494">
        <v>0</v>
      </c>
      <c r="K2254" s="690"/>
      <c r="L2254" s="689">
        <v>300</v>
      </c>
      <c r="M2254" s="689"/>
      <c r="N2254" s="7"/>
    </row>
    <row r="2255" spans="1:32">
      <c r="A2255" s="663"/>
      <c r="B2255" s="3130" t="s">
        <v>772</v>
      </c>
      <c r="C2255" s="663" t="s">
        <v>322</v>
      </c>
      <c r="D2255" s="678" t="s">
        <v>1979</v>
      </c>
      <c r="E2255" s="700" t="s">
        <v>1065</v>
      </c>
      <c r="F2255" s="679">
        <v>2312</v>
      </c>
      <c r="G2255" s="665" t="s">
        <v>1386</v>
      </c>
      <c r="H2255" s="660"/>
      <c r="I2255" s="660">
        <v>300</v>
      </c>
      <c r="J2255" s="1494" t="s">
        <v>1134</v>
      </c>
      <c r="K2255" s="661"/>
      <c r="L2255" s="660"/>
      <c r="M2255" s="660">
        <v>300</v>
      </c>
      <c r="N2255" s="7"/>
    </row>
    <row r="2256" spans="1:32">
      <c r="A2256" s="663"/>
      <c r="B2256" s="3130" t="s">
        <v>772</v>
      </c>
      <c r="C2256" s="663" t="s">
        <v>322</v>
      </c>
      <c r="D2256" s="678" t="s">
        <v>1979</v>
      </c>
      <c r="E2256" s="700" t="s">
        <v>1065</v>
      </c>
      <c r="F2256" s="679">
        <v>2312</v>
      </c>
      <c r="G2256" s="665" t="s">
        <v>555</v>
      </c>
      <c r="H2256" s="660"/>
      <c r="I2256" s="660"/>
      <c r="J2256" s="1494" t="s">
        <v>1134</v>
      </c>
      <c r="K2256" s="661"/>
      <c r="L2256" s="660"/>
      <c r="M2256" s="660"/>
      <c r="N2256" s="359">
        <v>4000</v>
      </c>
    </row>
    <row r="2257" spans="1:32" ht="20.399999999999999">
      <c r="A2257" s="663"/>
      <c r="B2257" s="3130" t="s">
        <v>772</v>
      </c>
      <c r="C2257" s="663" t="s">
        <v>322</v>
      </c>
      <c r="D2257" s="678" t="s">
        <v>1979</v>
      </c>
      <c r="E2257" s="700" t="s">
        <v>1065</v>
      </c>
      <c r="F2257" s="679">
        <v>2312</v>
      </c>
      <c r="G2257" s="665" t="s">
        <v>1877</v>
      </c>
      <c r="H2257" s="660"/>
      <c r="I2257" s="660"/>
      <c r="J2257" s="1494" t="s">
        <v>1134</v>
      </c>
      <c r="K2257" s="661"/>
      <c r="L2257" s="660"/>
      <c r="M2257" s="660"/>
      <c r="N2257" s="7"/>
    </row>
    <row r="2258" spans="1:32" ht="20.399999999999999">
      <c r="A2258" s="683"/>
      <c r="B2258" s="3129" t="s">
        <v>772</v>
      </c>
      <c r="C2258" s="683" t="s">
        <v>322</v>
      </c>
      <c r="D2258" s="719" t="s">
        <v>1979</v>
      </c>
      <c r="E2258" s="720" t="s">
        <v>1065</v>
      </c>
      <c r="F2258" s="685">
        <v>2314</v>
      </c>
      <c r="G2258" s="686" t="s">
        <v>1435</v>
      </c>
      <c r="H2258" s="689">
        <v>100</v>
      </c>
      <c r="I2258" s="689"/>
      <c r="J2258" s="1494">
        <v>30</v>
      </c>
      <c r="K2258" s="690"/>
      <c r="L2258" s="689">
        <v>100</v>
      </c>
      <c r="M2258" s="689"/>
      <c r="N2258" s="125" t="s">
        <v>3759</v>
      </c>
      <c r="O2258" s="187"/>
      <c r="P2258" s="187"/>
      <c r="Q2258" s="187"/>
      <c r="R2258" s="187"/>
      <c r="S2258" s="187"/>
      <c r="T2258" s="187"/>
      <c r="U2258" s="187"/>
      <c r="V2258" s="187"/>
      <c r="W2258" s="187"/>
      <c r="X2258" s="187"/>
      <c r="Y2258" s="187"/>
      <c r="Z2258" s="187"/>
      <c r="AA2258" s="187"/>
      <c r="AB2258" s="187"/>
      <c r="AC2258" s="187"/>
      <c r="AD2258" s="187"/>
      <c r="AE2258" s="187"/>
      <c r="AF2258" s="187"/>
    </row>
    <row r="2259" spans="1:32">
      <c r="A2259" s="663"/>
      <c r="B2259" s="3130" t="s">
        <v>772</v>
      </c>
      <c r="C2259" s="663" t="s">
        <v>322</v>
      </c>
      <c r="D2259" s="678" t="s">
        <v>1979</v>
      </c>
      <c r="E2259" s="700" t="s">
        <v>1065</v>
      </c>
      <c r="F2259" s="679">
        <v>2314</v>
      </c>
      <c r="G2259" s="665" t="s">
        <v>569</v>
      </c>
      <c r="H2259" s="660"/>
      <c r="I2259" s="660">
        <v>100</v>
      </c>
      <c r="J2259" s="1494" t="s">
        <v>1134</v>
      </c>
      <c r="K2259" s="661"/>
      <c r="L2259" s="660"/>
      <c r="M2259" s="660">
        <v>100</v>
      </c>
      <c r="N2259" s="7" t="s">
        <v>3758</v>
      </c>
      <c r="O2259" s="187"/>
      <c r="P2259" s="187"/>
      <c r="Q2259" s="187"/>
      <c r="R2259" s="187"/>
      <c r="S2259" s="187"/>
      <c r="T2259" s="187"/>
      <c r="U2259" s="187"/>
      <c r="V2259" s="187"/>
      <c r="W2259" s="187"/>
      <c r="X2259" s="187"/>
      <c r="Y2259" s="187"/>
      <c r="Z2259" s="187"/>
      <c r="AA2259" s="187"/>
      <c r="AB2259" s="187"/>
      <c r="AC2259" s="187"/>
      <c r="AD2259" s="187"/>
      <c r="AE2259" s="187"/>
      <c r="AF2259" s="187"/>
    </row>
    <row r="2260" spans="1:32">
      <c r="A2260" s="683"/>
      <c r="B2260" s="3129" t="s">
        <v>772</v>
      </c>
      <c r="C2260" s="683" t="s">
        <v>320</v>
      </c>
      <c r="D2260" s="719" t="s">
        <v>1979</v>
      </c>
      <c r="E2260" s="720" t="s">
        <v>1065</v>
      </c>
      <c r="F2260" s="685">
        <v>2322</v>
      </c>
      <c r="G2260" s="686" t="s">
        <v>169</v>
      </c>
      <c r="H2260" s="689">
        <v>1152</v>
      </c>
      <c r="I2260" s="689"/>
      <c r="J2260" s="1494">
        <v>956</v>
      </c>
      <c r="K2260" s="690"/>
      <c r="L2260" s="689">
        <v>1408</v>
      </c>
      <c r="M2260" s="689"/>
      <c r="N2260" s="125"/>
    </row>
    <row r="2261" spans="1:32">
      <c r="A2261" s="663"/>
      <c r="B2261" s="3130" t="s">
        <v>772</v>
      </c>
      <c r="C2261" s="663" t="s">
        <v>320</v>
      </c>
      <c r="D2261" s="678" t="s">
        <v>1979</v>
      </c>
      <c r="E2261" s="700" t="s">
        <v>1065</v>
      </c>
      <c r="F2261" s="679">
        <v>2322</v>
      </c>
      <c r="G2261" s="665" t="s">
        <v>4815</v>
      </c>
      <c r="H2261" s="660"/>
      <c r="I2261" s="660">
        <v>1302</v>
      </c>
      <c r="J2261" s="1494" t="s">
        <v>1134</v>
      </c>
      <c r="K2261" s="661"/>
      <c r="L2261" s="660"/>
      <c r="M2261" s="660">
        <v>1408</v>
      </c>
      <c r="N2261" s="125" t="s">
        <v>3759</v>
      </c>
    </row>
    <row r="2262" spans="1:32" ht="20.399999999999999">
      <c r="A2262" s="663"/>
      <c r="B2262" s="3130" t="s">
        <v>772</v>
      </c>
      <c r="C2262" s="663" t="s">
        <v>320</v>
      </c>
      <c r="D2262" s="678" t="s">
        <v>1979</v>
      </c>
      <c r="E2262" s="700" t="s">
        <v>1065</v>
      </c>
      <c r="F2262" s="679">
        <v>2322</v>
      </c>
      <c r="G2262" s="665" t="s">
        <v>3099</v>
      </c>
      <c r="H2262" s="660"/>
      <c r="I2262" s="660">
        <v>-150</v>
      </c>
      <c r="J2262" s="1494" t="s">
        <v>1134</v>
      </c>
      <c r="K2262" s="661"/>
      <c r="L2262" s="660"/>
      <c r="M2262" s="660"/>
      <c r="N2262" s="7" t="s">
        <v>3760</v>
      </c>
    </row>
    <row r="2263" spans="1:32">
      <c r="A2263" s="683"/>
      <c r="B2263" s="3129" t="s">
        <v>772</v>
      </c>
      <c r="C2263" s="683" t="s">
        <v>320</v>
      </c>
      <c r="D2263" s="719" t="s">
        <v>1979</v>
      </c>
      <c r="E2263" s="720" t="s">
        <v>1065</v>
      </c>
      <c r="F2263" s="685">
        <v>2350</v>
      </c>
      <c r="G2263" s="686" t="s">
        <v>1044</v>
      </c>
      <c r="H2263" s="689">
        <v>50</v>
      </c>
      <c r="I2263" s="689"/>
      <c r="J2263" s="1494">
        <v>31.73</v>
      </c>
      <c r="K2263" s="727"/>
      <c r="L2263" s="689">
        <v>50</v>
      </c>
      <c r="M2263" s="689"/>
      <c r="N2263" s="7"/>
    </row>
    <row r="2264" spans="1:32">
      <c r="A2264" s="663"/>
      <c r="B2264" s="3130" t="s">
        <v>772</v>
      </c>
      <c r="C2264" s="663" t="s">
        <v>320</v>
      </c>
      <c r="D2264" s="678" t="s">
        <v>1979</v>
      </c>
      <c r="E2264" s="700" t="s">
        <v>1065</v>
      </c>
      <c r="F2264" s="679">
        <v>2350</v>
      </c>
      <c r="G2264" s="665"/>
      <c r="H2264" s="660"/>
      <c r="I2264" s="660">
        <v>50</v>
      </c>
      <c r="J2264" s="1494" t="s">
        <v>1134</v>
      </c>
      <c r="K2264" s="667"/>
      <c r="L2264" s="660"/>
      <c r="M2264" s="660">
        <v>50</v>
      </c>
      <c r="N2264" s="7"/>
    </row>
    <row r="2265" spans="1:32">
      <c r="A2265" s="683"/>
      <c r="B2265" s="3129" t="s">
        <v>774</v>
      </c>
      <c r="C2265" s="683" t="s">
        <v>324</v>
      </c>
      <c r="D2265" s="719" t="s">
        <v>1979</v>
      </c>
      <c r="E2265" s="720" t="s">
        <v>1065</v>
      </c>
      <c r="F2265" s="685">
        <v>5238</v>
      </c>
      <c r="G2265" s="686" t="s">
        <v>139</v>
      </c>
      <c r="H2265" s="689">
        <v>0</v>
      </c>
      <c r="I2265" s="689"/>
      <c r="J2265" s="1494" t="s">
        <v>1134</v>
      </c>
      <c r="K2265" s="727"/>
      <c r="L2265" s="689">
        <v>0</v>
      </c>
      <c r="M2265" s="689"/>
      <c r="N2265" s="7"/>
    </row>
    <row r="2266" spans="1:32" ht="20.399999999999999">
      <c r="A2266" s="663"/>
      <c r="B2266" s="3130" t="s">
        <v>774</v>
      </c>
      <c r="C2266" s="663" t="s">
        <v>324</v>
      </c>
      <c r="D2266" s="678" t="s">
        <v>1979</v>
      </c>
      <c r="E2266" s="700" t="s">
        <v>1065</v>
      </c>
      <c r="F2266" s="679">
        <v>5238</v>
      </c>
      <c r="G2266" s="763" t="s">
        <v>912</v>
      </c>
      <c r="H2266" s="660"/>
      <c r="I2266" s="660"/>
      <c r="J2266" s="1494" t="s">
        <v>1134</v>
      </c>
      <c r="K2266" s="690"/>
      <c r="L2266" s="810"/>
      <c r="M2266" s="659"/>
      <c r="N2266" s="7"/>
    </row>
    <row r="2267" spans="1:32">
      <c r="A2267" s="683"/>
      <c r="B2267" s="720" t="s">
        <v>436</v>
      </c>
      <c r="C2267" s="683" t="s">
        <v>427</v>
      </c>
      <c r="D2267" s="906" t="s">
        <v>1978</v>
      </c>
      <c r="E2267" s="1415" t="s">
        <v>1915</v>
      </c>
      <c r="F2267" s="1698">
        <v>1119</v>
      </c>
      <c r="G2267" s="1691" t="s">
        <v>109</v>
      </c>
      <c r="H2267" s="1692">
        <v>271390.88</v>
      </c>
      <c r="I2267" s="1692"/>
      <c r="J2267" s="1684">
        <v>186604</v>
      </c>
      <c r="K2267" s="1694"/>
      <c r="L2267" s="1692">
        <v>281884.17300000013</v>
      </c>
      <c r="M2267" s="1692"/>
      <c r="N2267" s="7"/>
    </row>
    <row r="2268" spans="1:32">
      <c r="A2268" s="663"/>
      <c r="B2268" s="700" t="s">
        <v>436</v>
      </c>
      <c r="C2268" s="663" t="s">
        <v>427</v>
      </c>
      <c r="D2268" s="907" t="s">
        <v>1978</v>
      </c>
      <c r="E2268" s="1407" t="s">
        <v>1915</v>
      </c>
      <c r="F2268" s="1413">
        <v>1119</v>
      </c>
      <c r="G2268" s="1803" t="s">
        <v>436</v>
      </c>
      <c r="H2268" s="1683"/>
      <c r="I2268" s="1683">
        <v>273390.88</v>
      </c>
      <c r="J2268" s="1684" t="s">
        <v>1134</v>
      </c>
      <c r="K2268" s="1685"/>
      <c r="L2268" s="1683"/>
      <c r="M2268" s="1683">
        <v>281884.17300000013</v>
      </c>
      <c r="N2268" s="7"/>
    </row>
    <row r="2269" spans="1:32" ht="20.399999999999999">
      <c r="A2269" s="663"/>
      <c r="B2269" s="700" t="s">
        <v>436</v>
      </c>
      <c r="C2269" s="663" t="s">
        <v>427</v>
      </c>
      <c r="D2269" s="907" t="s">
        <v>1978</v>
      </c>
      <c r="E2269" s="1407" t="s">
        <v>1915</v>
      </c>
      <c r="F2269" s="1413">
        <v>1119</v>
      </c>
      <c r="G2269" s="1803" t="s">
        <v>3105</v>
      </c>
      <c r="H2269" s="1683"/>
      <c r="I2269" s="1683">
        <v>-2000</v>
      </c>
      <c r="J2269" s="1684" t="s">
        <v>1134</v>
      </c>
      <c r="K2269" s="1685"/>
      <c r="L2269" s="1683"/>
      <c r="M2269" s="1683"/>
      <c r="N2269" s="7"/>
    </row>
    <row r="2270" spans="1:32">
      <c r="A2270" s="683"/>
      <c r="B2270" s="3129" t="s">
        <v>326</v>
      </c>
      <c r="C2270" s="683" t="s">
        <v>321</v>
      </c>
      <c r="D2270" s="906" t="s">
        <v>1978</v>
      </c>
      <c r="E2270" s="1406" t="s">
        <v>1915</v>
      </c>
      <c r="F2270" s="685">
        <v>1119</v>
      </c>
      <c r="G2270" s="686" t="s">
        <v>109</v>
      </c>
      <c r="H2270" s="722">
        <v>11700</v>
      </c>
      <c r="I2270" s="689"/>
      <c r="J2270" s="1494"/>
      <c r="K2270" s="690"/>
      <c r="L2270" s="3112">
        <v>12320.995225341856</v>
      </c>
      <c r="M2270" s="1661"/>
      <c r="N2270" s="7"/>
    </row>
    <row r="2271" spans="1:32" ht="20.399999999999999">
      <c r="A2271" s="663"/>
      <c r="B2271" s="3130" t="s">
        <v>326</v>
      </c>
      <c r="C2271" s="663" t="s">
        <v>321</v>
      </c>
      <c r="D2271" s="907" t="s">
        <v>1978</v>
      </c>
      <c r="E2271" s="1407" t="s">
        <v>1915</v>
      </c>
      <c r="F2271" s="679">
        <v>1119</v>
      </c>
      <c r="G2271" s="665" t="s">
        <v>244</v>
      </c>
      <c r="H2271" s="660"/>
      <c r="I2271" s="660">
        <v>11700</v>
      </c>
      <c r="J2271" s="1494" t="s">
        <v>1134</v>
      </c>
      <c r="K2271" s="661"/>
      <c r="L2271" s="1662"/>
      <c r="M2271" s="1681">
        <v>12320.995225341856</v>
      </c>
      <c r="N2271" s="7"/>
    </row>
    <row r="2272" spans="1:32">
      <c r="A2272" s="728"/>
      <c r="B2272" s="720" t="s">
        <v>436</v>
      </c>
      <c r="C2272" s="683" t="s">
        <v>427</v>
      </c>
      <c r="D2272" s="906" t="s">
        <v>1978</v>
      </c>
      <c r="E2272" s="1406" t="s">
        <v>1915</v>
      </c>
      <c r="F2272" s="1698">
        <v>1141</v>
      </c>
      <c r="G2272" s="1691" t="s">
        <v>149</v>
      </c>
      <c r="H2272" s="1692">
        <v>800</v>
      </c>
      <c r="I2272" s="1692"/>
      <c r="J2272" s="1684">
        <v>426.23</v>
      </c>
      <c r="K2272" s="1694"/>
      <c r="L2272" s="1692">
        <v>400</v>
      </c>
      <c r="M2272" s="1692"/>
      <c r="N2272" s="305"/>
    </row>
    <row r="2273" spans="1:14">
      <c r="A2273" s="663"/>
      <c r="B2273" s="700" t="s">
        <v>436</v>
      </c>
      <c r="C2273" s="663" t="s">
        <v>427</v>
      </c>
      <c r="D2273" s="907" t="s">
        <v>1978</v>
      </c>
      <c r="E2273" s="1407" t="s">
        <v>1915</v>
      </c>
      <c r="F2273" s="1413">
        <v>1141</v>
      </c>
      <c r="G2273" s="1803" t="s">
        <v>149</v>
      </c>
      <c r="H2273" s="1683"/>
      <c r="I2273" s="1683">
        <v>400</v>
      </c>
      <c r="J2273" s="1684" t="s">
        <v>1134</v>
      </c>
      <c r="K2273" s="1685"/>
      <c r="L2273" s="1683"/>
      <c r="M2273" s="1683">
        <v>400</v>
      </c>
      <c r="N2273" s="305"/>
    </row>
    <row r="2274" spans="1:14" ht="20.399999999999999">
      <c r="A2274" s="603"/>
      <c r="B2274" s="700" t="s">
        <v>436</v>
      </c>
      <c r="C2274" s="663" t="s">
        <v>427</v>
      </c>
      <c r="D2274" s="907" t="s">
        <v>1978</v>
      </c>
      <c r="E2274" s="1407" t="s">
        <v>1915</v>
      </c>
      <c r="F2274" s="1413">
        <v>1141</v>
      </c>
      <c r="G2274" s="2165" t="s">
        <v>3208</v>
      </c>
      <c r="H2274" s="1713"/>
      <c r="I2274" s="1713">
        <v>400</v>
      </c>
      <c r="J2274" s="1684" t="s">
        <v>1134</v>
      </c>
      <c r="K2274" s="1918"/>
      <c r="L2274" s="1713"/>
      <c r="M2274" s="1713"/>
      <c r="N2274" s="1056" t="s">
        <v>4889</v>
      </c>
    </row>
    <row r="2275" spans="1:14" ht="20.399999999999999">
      <c r="A2275" s="728"/>
      <c r="B2275" s="720" t="s">
        <v>436</v>
      </c>
      <c r="C2275" s="683" t="s">
        <v>427</v>
      </c>
      <c r="D2275" s="906" t="s">
        <v>1978</v>
      </c>
      <c r="E2275" s="1406" t="s">
        <v>1915</v>
      </c>
      <c r="F2275" s="1698">
        <v>1142</v>
      </c>
      <c r="G2275" s="1691" t="s">
        <v>110</v>
      </c>
      <c r="H2275" s="1692">
        <v>12000</v>
      </c>
      <c r="I2275" s="1692"/>
      <c r="J2275" s="1684">
        <v>11415.43</v>
      </c>
      <c r="K2275" s="1694"/>
      <c r="L2275" s="1692">
        <v>2000</v>
      </c>
      <c r="M2275" s="1692"/>
      <c r="N2275" s="305"/>
    </row>
    <row r="2276" spans="1:14" ht="20.399999999999999">
      <c r="A2276" s="663"/>
      <c r="B2276" s="700" t="s">
        <v>436</v>
      </c>
      <c r="C2276" s="663" t="s">
        <v>427</v>
      </c>
      <c r="D2276" s="907" t="s">
        <v>1978</v>
      </c>
      <c r="E2276" s="1407" t="s">
        <v>1915</v>
      </c>
      <c r="F2276" s="1413">
        <v>1142</v>
      </c>
      <c r="G2276" s="1803" t="s">
        <v>110</v>
      </c>
      <c r="H2276" s="1683"/>
      <c r="I2276" s="1683">
        <v>2000</v>
      </c>
      <c r="J2276" s="1684" t="s">
        <v>1134</v>
      </c>
      <c r="K2276" s="1685"/>
      <c r="L2276" s="1683"/>
      <c r="M2276" s="1683">
        <v>2000</v>
      </c>
      <c r="N2276" s="305"/>
    </row>
    <row r="2277" spans="1:14" ht="20.399999999999999">
      <c r="A2277" s="663"/>
      <c r="B2277" s="700" t="s">
        <v>436</v>
      </c>
      <c r="C2277" s="663" t="s">
        <v>427</v>
      </c>
      <c r="D2277" s="907" t="s">
        <v>1978</v>
      </c>
      <c r="E2277" s="1407" t="s">
        <v>1915</v>
      </c>
      <c r="F2277" s="1413">
        <v>1142</v>
      </c>
      <c r="G2277" s="2165" t="s">
        <v>3180</v>
      </c>
      <c r="H2277" s="1683"/>
      <c r="I2277" s="1683">
        <v>8000</v>
      </c>
      <c r="J2277" s="1684" t="s">
        <v>1134</v>
      </c>
      <c r="K2277" s="1685"/>
      <c r="L2277" s="1683"/>
      <c r="M2277" s="1683"/>
      <c r="N2277" s="305"/>
    </row>
    <row r="2278" spans="1:14" ht="20.399999999999999">
      <c r="A2278" s="663"/>
      <c r="B2278" s="700" t="s">
        <v>436</v>
      </c>
      <c r="C2278" s="663" t="s">
        <v>427</v>
      </c>
      <c r="D2278" s="907" t="s">
        <v>1978</v>
      </c>
      <c r="E2278" s="1407" t="s">
        <v>1915</v>
      </c>
      <c r="F2278" s="1413">
        <v>1142</v>
      </c>
      <c r="G2278" s="1803" t="s">
        <v>1999</v>
      </c>
      <c r="H2278" s="1683"/>
      <c r="I2278" s="1683">
        <v>2000</v>
      </c>
      <c r="J2278" s="1684" t="s">
        <v>1134</v>
      </c>
      <c r="K2278" s="1685"/>
      <c r="L2278" s="1683"/>
      <c r="M2278" s="1683"/>
      <c r="N2278" s="305" t="s">
        <v>3761</v>
      </c>
    </row>
    <row r="2279" spans="1:14">
      <c r="A2279" s="728"/>
      <c r="B2279" s="720" t="s">
        <v>436</v>
      </c>
      <c r="C2279" s="683" t="s">
        <v>427</v>
      </c>
      <c r="D2279" s="906" t="s">
        <v>1978</v>
      </c>
      <c r="E2279" s="1406" t="s">
        <v>1915</v>
      </c>
      <c r="F2279" s="1698">
        <v>1146</v>
      </c>
      <c r="G2279" s="1691" t="s">
        <v>111</v>
      </c>
      <c r="H2279" s="1692">
        <v>0</v>
      </c>
      <c r="I2279" s="1692"/>
      <c r="J2279" s="1684" t="s">
        <v>1134</v>
      </c>
      <c r="K2279" s="1694"/>
      <c r="L2279" s="1692">
        <v>0</v>
      </c>
      <c r="M2279" s="1692"/>
      <c r="N2279" s="305"/>
    </row>
    <row r="2280" spans="1:14">
      <c r="A2280" s="663"/>
      <c r="B2280" s="700" t="s">
        <v>436</v>
      </c>
      <c r="C2280" s="663" t="s">
        <v>427</v>
      </c>
      <c r="D2280" s="907" t="s">
        <v>1978</v>
      </c>
      <c r="E2280" s="1407" t="s">
        <v>1915</v>
      </c>
      <c r="F2280" s="1413">
        <v>1146</v>
      </c>
      <c r="G2280" s="1803"/>
      <c r="H2280" s="1683"/>
      <c r="I2280" s="1683"/>
      <c r="J2280" s="1684" t="s">
        <v>1134</v>
      </c>
      <c r="K2280" s="1685"/>
      <c r="L2280" s="1683"/>
      <c r="M2280" s="1683"/>
      <c r="N2280" s="125" t="s">
        <v>4713</v>
      </c>
    </row>
    <row r="2281" spans="1:14">
      <c r="A2281" s="728"/>
      <c r="B2281" s="720" t="s">
        <v>436</v>
      </c>
      <c r="C2281" s="683" t="s">
        <v>427</v>
      </c>
      <c r="D2281" s="906" t="s">
        <v>1978</v>
      </c>
      <c r="E2281" s="1406" t="s">
        <v>1915</v>
      </c>
      <c r="F2281" s="1698">
        <v>1147</v>
      </c>
      <c r="G2281" s="1691" t="s">
        <v>111</v>
      </c>
      <c r="H2281" s="1692">
        <v>13201.36399999998</v>
      </c>
      <c r="I2281" s="1692"/>
      <c r="J2281" s="1684">
        <v>9770</v>
      </c>
      <c r="K2281" s="1694"/>
      <c r="L2281" s="1692">
        <v>17799.450999999994</v>
      </c>
      <c r="M2281" s="1692"/>
      <c r="N2281" s="305"/>
    </row>
    <row r="2282" spans="1:14">
      <c r="A2282" s="663"/>
      <c r="B2282" s="700" t="s">
        <v>436</v>
      </c>
      <c r="C2282" s="663" t="s">
        <v>427</v>
      </c>
      <c r="D2282" s="907" t="s">
        <v>1978</v>
      </c>
      <c r="E2282" s="1407" t="s">
        <v>1915</v>
      </c>
      <c r="F2282" s="1413">
        <v>1147</v>
      </c>
      <c r="G2282" s="1803" t="s">
        <v>436</v>
      </c>
      <c r="H2282" s="1683"/>
      <c r="I2282" s="1683">
        <v>25601.36399999998</v>
      </c>
      <c r="J2282" s="1684" t="s">
        <v>1134</v>
      </c>
      <c r="K2282" s="1685"/>
      <c r="L2282" s="1683"/>
      <c r="M2282" s="1683">
        <v>17799.450999999994</v>
      </c>
      <c r="N2282" s="305"/>
    </row>
    <row r="2283" spans="1:14" ht="20.399999999999999">
      <c r="A2283" s="663"/>
      <c r="B2283" s="700" t="s">
        <v>436</v>
      </c>
      <c r="C2283" s="663" t="s">
        <v>427</v>
      </c>
      <c r="D2283" s="907" t="s">
        <v>1978</v>
      </c>
      <c r="E2283" s="1407" t="s">
        <v>1915</v>
      </c>
      <c r="F2283" s="1413">
        <v>1147</v>
      </c>
      <c r="G2283" s="1803" t="s">
        <v>1019</v>
      </c>
      <c r="H2283" s="1683"/>
      <c r="I2283" s="1683">
        <v>-2000</v>
      </c>
      <c r="J2283" s="1684" t="s">
        <v>1134</v>
      </c>
      <c r="K2283" s="1685"/>
      <c r="L2283" s="1683"/>
      <c r="M2283" s="1683"/>
      <c r="N2283" s="305"/>
    </row>
    <row r="2284" spans="1:14" ht="20.399999999999999">
      <c r="A2284" s="663"/>
      <c r="B2284" s="700" t="s">
        <v>436</v>
      </c>
      <c r="C2284" s="663" t="s">
        <v>427</v>
      </c>
      <c r="D2284" s="907" t="s">
        <v>1978</v>
      </c>
      <c r="E2284" s="1407" t="s">
        <v>1915</v>
      </c>
      <c r="F2284" s="1413">
        <v>1147</v>
      </c>
      <c r="G2284" s="2165" t="s">
        <v>3180</v>
      </c>
      <c r="H2284" s="1683"/>
      <c r="I2284" s="1683">
        <v>-8000</v>
      </c>
      <c r="J2284" s="1684" t="s">
        <v>1134</v>
      </c>
      <c r="K2284" s="1685"/>
      <c r="L2284" s="1683"/>
      <c r="M2284" s="1683"/>
      <c r="N2284" s="305"/>
    </row>
    <row r="2285" spans="1:14" ht="20.399999999999999">
      <c r="A2285" s="663"/>
      <c r="B2285" s="700" t="s">
        <v>436</v>
      </c>
      <c r="C2285" s="663" t="s">
        <v>427</v>
      </c>
      <c r="D2285" s="907" t="s">
        <v>1978</v>
      </c>
      <c r="E2285" s="1407" t="s">
        <v>1915</v>
      </c>
      <c r="F2285" s="1413">
        <v>1147</v>
      </c>
      <c r="G2285" s="2165" t="s">
        <v>3208</v>
      </c>
      <c r="H2285" s="1683"/>
      <c r="I2285" s="1683">
        <v>-400</v>
      </c>
      <c r="J2285" s="1684" t="s">
        <v>1134</v>
      </c>
      <c r="K2285" s="1685"/>
      <c r="L2285" s="1683"/>
      <c r="M2285" s="1683"/>
      <c r="N2285" s="305" t="s">
        <v>3762</v>
      </c>
    </row>
    <row r="2286" spans="1:14" ht="20.399999999999999">
      <c r="A2286" s="603"/>
      <c r="B2286" s="700" t="s">
        <v>436</v>
      </c>
      <c r="C2286" s="663" t="s">
        <v>427</v>
      </c>
      <c r="D2286" s="907" t="s">
        <v>1978</v>
      </c>
      <c r="E2286" s="1407" t="s">
        <v>1915</v>
      </c>
      <c r="F2286" s="1413">
        <v>1147</v>
      </c>
      <c r="G2286" s="2165" t="s">
        <v>1999</v>
      </c>
      <c r="H2286" s="1713"/>
      <c r="I2286" s="1713">
        <v>-2000</v>
      </c>
      <c r="J2286" s="1684" t="s">
        <v>1134</v>
      </c>
      <c r="K2286" s="1918"/>
      <c r="L2286" s="1713"/>
      <c r="M2286" s="1713"/>
      <c r="N2286" s="305"/>
    </row>
    <row r="2287" spans="1:14">
      <c r="A2287" s="728"/>
      <c r="B2287" s="720" t="s">
        <v>436</v>
      </c>
      <c r="C2287" s="683" t="s">
        <v>432</v>
      </c>
      <c r="D2287" s="906" t="s">
        <v>1978</v>
      </c>
      <c r="E2287" s="1406" t="s">
        <v>1915</v>
      </c>
      <c r="F2287" s="1698">
        <v>1148</v>
      </c>
      <c r="G2287" s="1691" t="s">
        <v>112</v>
      </c>
      <c r="H2287" s="1692">
        <v>10000</v>
      </c>
      <c r="I2287" s="1692"/>
      <c r="J2287" s="1684">
        <v>8397.75</v>
      </c>
      <c r="K2287" s="1694"/>
      <c r="L2287" s="1692">
        <v>0</v>
      </c>
      <c r="M2287" s="1692"/>
      <c r="N2287" s="305"/>
    </row>
    <row r="2288" spans="1:14" ht="20.399999999999999">
      <c r="A2288" s="663"/>
      <c r="B2288" s="700" t="s">
        <v>436</v>
      </c>
      <c r="C2288" s="663" t="s">
        <v>432</v>
      </c>
      <c r="D2288" s="907" t="s">
        <v>1978</v>
      </c>
      <c r="E2288" s="1407" t="s">
        <v>1915</v>
      </c>
      <c r="F2288" s="1413">
        <v>1148</v>
      </c>
      <c r="G2288" s="1803" t="s">
        <v>1998</v>
      </c>
      <c r="H2288" s="1683"/>
      <c r="I2288" s="1683">
        <v>8000</v>
      </c>
      <c r="J2288" s="1684" t="s">
        <v>1134</v>
      </c>
      <c r="K2288" s="1694"/>
      <c r="L2288" s="1683"/>
      <c r="M2288" s="1683"/>
      <c r="N2288" s="305"/>
    </row>
    <row r="2289" spans="1:14" ht="20.399999999999999">
      <c r="A2289" s="663"/>
      <c r="B2289" s="700" t="s">
        <v>436</v>
      </c>
      <c r="C2289" s="663" t="s">
        <v>432</v>
      </c>
      <c r="D2289" s="907" t="s">
        <v>1978</v>
      </c>
      <c r="E2289" s="1407" t="s">
        <v>1915</v>
      </c>
      <c r="F2289" s="1413">
        <v>1148</v>
      </c>
      <c r="G2289" s="1803" t="s">
        <v>1019</v>
      </c>
      <c r="H2289" s="1683"/>
      <c r="I2289" s="1683">
        <v>2000</v>
      </c>
      <c r="J2289" s="1684" t="s">
        <v>1134</v>
      </c>
      <c r="K2289" s="1685"/>
      <c r="L2289" s="1683"/>
      <c r="M2289" s="1683"/>
      <c r="N2289" s="305"/>
    </row>
    <row r="2290" spans="1:14">
      <c r="A2290" s="683"/>
      <c r="B2290" s="3129" t="s">
        <v>692</v>
      </c>
      <c r="C2290" s="683" t="s">
        <v>366</v>
      </c>
      <c r="D2290" s="906" t="s">
        <v>1978</v>
      </c>
      <c r="E2290" s="720" t="s">
        <v>1915</v>
      </c>
      <c r="F2290" s="685">
        <v>1150</v>
      </c>
      <c r="G2290" s="686" t="s">
        <v>245</v>
      </c>
      <c r="H2290" s="689">
        <v>19000</v>
      </c>
      <c r="I2290" s="689"/>
      <c r="J2290" s="1494">
        <v>17833.189999999999</v>
      </c>
      <c r="K2290" s="690"/>
      <c r="L2290" s="689">
        <v>19000</v>
      </c>
      <c r="M2290" s="689"/>
      <c r="N2290" s="305"/>
    </row>
    <row r="2291" spans="1:14">
      <c r="A2291" s="663"/>
      <c r="B2291" s="3130" t="s">
        <v>692</v>
      </c>
      <c r="C2291" s="663" t="s">
        <v>366</v>
      </c>
      <c r="D2291" s="907" t="s">
        <v>1978</v>
      </c>
      <c r="E2291" s="700" t="s">
        <v>1915</v>
      </c>
      <c r="F2291" s="679">
        <v>1150</v>
      </c>
      <c r="G2291" s="665" t="s">
        <v>1255</v>
      </c>
      <c r="H2291" s="660"/>
      <c r="I2291" s="660">
        <v>15000</v>
      </c>
      <c r="J2291" s="1494" t="s">
        <v>1134</v>
      </c>
      <c r="K2291" s="661"/>
      <c r="L2291" s="660"/>
      <c r="M2291" s="676">
        <v>19000</v>
      </c>
      <c r="N2291" s="305"/>
    </row>
    <row r="2292" spans="1:14" ht="20.399999999999999">
      <c r="A2292" s="663"/>
      <c r="B2292" s="3130" t="s">
        <v>692</v>
      </c>
      <c r="C2292" s="663" t="s">
        <v>366</v>
      </c>
      <c r="D2292" s="907" t="s">
        <v>1978</v>
      </c>
      <c r="E2292" s="700" t="s">
        <v>1915</v>
      </c>
      <c r="F2292" s="679">
        <v>1150</v>
      </c>
      <c r="G2292" s="665" t="s">
        <v>3166</v>
      </c>
      <c r="H2292" s="660"/>
      <c r="I2292" s="660">
        <v>2000</v>
      </c>
      <c r="J2292" s="1494" t="s">
        <v>1134</v>
      </c>
      <c r="K2292" s="661"/>
      <c r="L2292" s="660"/>
      <c r="M2292" s="676"/>
      <c r="N2292" s="305"/>
    </row>
    <row r="2293" spans="1:14" ht="20.399999999999999">
      <c r="A2293" s="603"/>
      <c r="B2293" s="3130" t="s">
        <v>692</v>
      </c>
      <c r="C2293" s="663" t="s">
        <v>366</v>
      </c>
      <c r="D2293" s="907" t="s">
        <v>1978</v>
      </c>
      <c r="E2293" s="700" t="s">
        <v>1915</v>
      </c>
      <c r="F2293" s="679">
        <v>1150</v>
      </c>
      <c r="G2293" s="1129" t="s">
        <v>3209</v>
      </c>
      <c r="H2293" s="1130"/>
      <c r="I2293" s="1130">
        <v>2000</v>
      </c>
      <c r="J2293" s="1494" t="s">
        <v>1134</v>
      </c>
      <c r="K2293" s="646"/>
      <c r="L2293" s="1130"/>
      <c r="M2293" s="610"/>
      <c r="N2293" s="305"/>
    </row>
    <row r="2294" spans="1:14">
      <c r="A2294" s="683"/>
      <c r="B2294" s="720" t="s">
        <v>436</v>
      </c>
      <c r="C2294" s="683" t="s">
        <v>427</v>
      </c>
      <c r="D2294" s="906" t="s">
        <v>1978</v>
      </c>
      <c r="E2294" s="720" t="s">
        <v>1915</v>
      </c>
      <c r="F2294" s="685">
        <v>1170</v>
      </c>
      <c r="G2294" s="686" t="s">
        <v>475</v>
      </c>
      <c r="H2294" s="689">
        <v>450</v>
      </c>
      <c r="I2294" s="689"/>
      <c r="J2294" s="1494">
        <v>105</v>
      </c>
      <c r="K2294" s="690"/>
      <c r="L2294" s="689">
        <v>450</v>
      </c>
      <c r="M2294" s="689"/>
      <c r="N2294" s="305"/>
    </row>
    <row r="2295" spans="1:14" ht="20.399999999999999">
      <c r="A2295" s="663"/>
      <c r="B2295" s="700" t="s">
        <v>436</v>
      </c>
      <c r="C2295" s="663" t="s">
        <v>427</v>
      </c>
      <c r="D2295" s="907" t="s">
        <v>1978</v>
      </c>
      <c r="E2295" s="700" t="s">
        <v>1915</v>
      </c>
      <c r="F2295" s="679">
        <v>1170</v>
      </c>
      <c r="G2295" s="675" t="s">
        <v>1444</v>
      </c>
      <c r="H2295" s="660"/>
      <c r="I2295" s="660">
        <v>450</v>
      </c>
      <c r="J2295" s="1494" t="s">
        <v>1134</v>
      </c>
      <c r="K2295" s="661"/>
      <c r="L2295" s="660"/>
      <c r="M2295" s="660">
        <v>450</v>
      </c>
      <c r="N2295" s="176" t="s">
        <v>3784</v>
      </c>
    </row>
    <row r="2296" spans="1:14" ht="40.799999999999997">
      <c r="A2296" s="683"/>
      <c r="B2296" s="3129" t="s">
        <v>326</v>
      </c>
      <c r="C2296" s="683" t="s">
        <v>321</v>
      </c>
      <c r="D2296" s="906" t="s">
        <v>1978</v>
      </c>
      <c r="E2296" s="1406" t="s">
        <v>1915</v>
      </c>
      <c r="F2296" s="685">
        <v>1210</v>
      </c>
      <c r="G2296" s="686" t="s">
        <v>513</v>
      </c>
      <c r="H2296" s="722">
        <v>3610</v>
      </c>
      <c r="I2296" s="689"/>
      <c r="J2296" s="1494">
        <v>52771</v>
      </c>
      <c r="K2296" s="690"/>
      <c r="L2296" s="3112">
        <v>2907.004774658144</v>
      </c>
      <c r="M2296" s="1962"/>
      <c r="N2296" s="359" t="s">
        <v>3764</v>
      </c>
    </row>
    <row r="2297" spans="1:14">
      <c r="A2297" s="908"/>
      <c r="B2297" s="3148" t="s">
        <v>326</v>
      </c>
      <c r="C2297" s="908" t="s">
        <v>321</v>
      </c>
      <c r="D2297" s="909" t="s">
        <v>1978</v>
      </c>
      <c r="E2297" s="1416" t="s">
        <v>1915</v>
      </c>
      <c r="F2297" s="862">
        <v>1210</v>
      </c>
      <c r="G2297" s="910" t="s">
        <v>512</v>
      </c>
      <c r="H2297" s="911"/>
      <c r="I2297" s="912">
        <v>3610</v>
      </c>
      <c r="J2297" s="1494" t="s">
        <v>1134</v>
      </c>
      <c r="K2297" s="690"/>
      <c r="L2297" s="3113"/>
      <c r="M2297" s="1681">
        <v>2907.004774658144</v>
      </c>
      <c r="N2297" s="201" t="s">
        <v>3117</v>
      </c>
    </row>
    <row r="2298" spans="1:14">
      <c r="A2298" s="683"/>
      <c r="B2298" s="720" t="s">
        <v>436</v>
      </c>
      <c r="C2298" s="683" t="s">
        <v>427</v>
      </c>
      <c r="D2298" s="906" t="s">
        <v>1978</v>
      </c>
      <c r="E2298" s="1406" t="s">
        <v>1915</v>
      </c>
      <c r="F2298" s="1698">
        <v>1210</v>
      </c>
      <c r="G2298" s="1691" t="s">
        <v>113</v>
      </c>
      <c r="H2298" s="1692">
        <v>73084.872630923943</v>
      </c>
      <c r="I2298" s="1692"/>
      <c r="J2298" s="1684"/>
      <c r="K2298" s="1694"/>
      <c r="L2298" s="1692">
        <v>73884.351200814068</v>
      </c>
      <c r="M2298" s="1692"/>
      <c r="N2298" s="7"/>
    </row>
    <row r="2299" spans="1:14" ht="12" customHeight="1">
      <c r="A2299" s="908"/>
      <c r="B2299" s="1846" t="s">
        <v>436</v>
      </c>
      <c r="C2299" s="908" t="s">
        <v>427</v>
      </c>
      <c r="D2299" s="909" t="s">
        <v>1978</v>
      </c>
      <c r="E2299" s="1416" t="s">
        <v>1915</v>
      </c>
      <c r="F2299" s="2485">
        <v>1210</v>
      </c>
      <c r="G2299" s="1803" t="s">
        <v>436</v>
      </c>
      <c r="H2299" s="2486"/>
      <c r="I2299" s="2487">
        <v>73084.872630923943</v>
      </c>
      <c r="J2299" s="1684" t="s">
        <v>1134</v>
      </c>
      <c r="K2299" s="1694"/>
      <c r="L2299" s="2486"/>
      <c r="M2299" s="2487">
        <v>73884.351200814068</v>
      </c>
      <c r="N2299" s="7"/>
    </row>
    <row r="2300" spans="1:14">
      <c r="A2300" s="683"/>
      <c r="B2300" s="720" t="s">
        <v>436</v>
      </c>
      <c r="C2300" s="683" t="s">
        <v>427</v>
      </c>
      <c r="D2300" s="906" t="s">
        <v>1978</v>
      </c>
      <c r="E2300" s="1406" t="s">
        <v>1915</v>
      </c>
      <c r="F2300" s="1698">
        <v>1221</v>
      </c>
      <c r="G2300" s="1691" t="s">
        <v>246</v>
      </c>
      <c r="H2300" s="1692">
        <v>12288.351036676</v>
      </c>
      <c r="I2300" s="1692"/>
      <c r="J2300" s="1684">
        <v>11136</v>
      </c>
      <c r="K2300" s="1694"/>
      <c r="L2300" s="1692">
        <v>12628.336577786007</v>
      </c>
      <c r="M2300" s="1692"/>
      <c r="N2300" s="7"/>
    </row>
    <row r="2301" spans="1:14">
      <c r="A2301" s="908"/>
      <c r="B2301" s="1846" t="s">
        <v>436</v>
      </c>
      <c r="C2301" s="908" t="s">
        <v>427</v>
      </c>
      <c r="D2301" s="909" t="s">
        <v>1978</v>
      </c>
      <c r="E2301" s="1416" t="s">
        <v>1915</v>
      </c>
      <c r="F2301" s="2485">
        <v>1221</v>
      </c>
      <c r="G2301" s="1803" t="s">
        <v>436</v>
      </c>
      <c r="H2301" s="2486"/>
      <c r="I2301" s="2487">
        <v>12288.351036676</v>
      </c>
      <c r="J2301" s="1684" t="s">
        <v>1134</v>
      </c>
      <c r="K2301" s="1694"/>
      <c r="L2301" s="2486"/>
      <c r="M2301" s="2487">
        <v>12628.336577786007</v>
      </c>
      <c r="N2301" s="7"/>
    </row>
    <row r="2302" spans="1:14" ht="20.399999999999999">
      <c r="A2302" s="683"/>
      <c r="B2302" s="720" t="s">
        <v>436</v>
      </c>
      <c r="C2302" s="683" t="s">
        <v>427</v>
      </c>
      <c r="D2302" s="719" t="s">
        <v>1978</v>
      </c>
      <c r="E2302" s="1406" t="s">
        <v>1915</v>
      </c>
      <c r="F2302" s="1698">
        <v>1227</v>
      </c>
      <c r="G2302" s="1691" t="s">
        <v>781</v>
      </c>
      <c r="H2302" s="1692">
        <v>0</v>
      </c>
      <c r="I2302" s="1692"/>
      <c r="J2302" s="1684" t="s">
        <v>1134</v>
      </c>
      <c r="K2302" s="1694"/>
      <c r="L2302" s="1692">
        <v>0</v>
      </c>
      <c r="M2302" s="1692"/>
      <c r="N2302" s="7"/>
    </row>
    <row r="2303" spans="1:14" ht="30.6">
      <c r="A2303" s="663"/>
      <c r="B2303" s="700" t="s">
        <v>436</v>
      </c>
      <c r="C2303" s="663" t="s">
        <v>427</v>
      </c>
      <c r="D2303" s="678" t="s">
        <v>1978</v>
      </c>
      <c r="E2303" s="1407" t="s">
        <v>1915</v>
      </c>
      <c r="F2303" s="1413">
        <v>1227</v>
      </c>
      <c r="G2303" s="1803" t="s">
        <v>1026</v>
      </c>
      <c r="H2303" s="1822"/>
      <c r="I2303" s="1822"/>
      <c r="J2303" s="1684" t="s">
        <v>1134</v>
      </c>
      <c r="K2303" s="1823"/>
      <c r="L2303" s="1822"/>
      <c r="M2303" s="1822"/>
      <c r="N2303" s="7"/>
    </row>
    <row r="2304" spans="1:14">
      <c r="A2304" s="683"/>
      <c r="B2304" s="720" t="s">
        <v>772</v>
      </c>
      <c r="C2304" s="683" t="s">
        <v>427</v>
      </c>
      <c r="D2304" s="906" t="s">
        <v>1978</v>
      </c>
      <c r="E2304" s="720" t="s">
        <v>1915</v>
      </c>
      <c r="F2304" s="685">
        <v>1228</v>
      </c>
      <c r="G2304" s="686" t="s">
        <v>120</v>
      </c>
      <c r="H2304" s="689">
        <v>3600</v>
      </c>
      <c r="I2304" s="689"/>
      <c r="J2304" s="1494">
        <v>800</v>
      </c>
      <c r="K2304" s="690"/>
      <c r="L2304" s="689">
        <v>5100</v>
      </c>
      <c r="M2304" s="689"/>
      <c r="N2304" s="7"/>
    </row>
    <row r="2305" spans="1:14">
      <c r="A2305" s="663"/>
      <c r="B2305" s="700" t="s">
        <v>772</v>
      </c>
      <c r="C2305" s="663" t="s">
        <v>427</v>
      </c>
      <c r="D2305" s="907" t="s">
        <v>1978</v>
      </c>
      <c r="E2305" s="700" t="s">
        <v>1915</v>
      </c>
      <c r="F2305" s="679">
        <v>1228</v>
      </c>
      <c r="G2305" s="1671" t="s">
        <v>247</v>
      </c>
      <c r="H2305" s="660"/>
      <c r="I2305" s="660">
        <v>600</v>
      </c>
      <c r="J2305" s="1494" t="s">
        <v>1134</v>
      </c>
      <c r="K2305" s="661"/>
      <c r="L2305" s="660"/>
      <c r="M2305" s="660">
        <v>600</v>
      </c>
      <c r="N2305" s="7"/>
    </row>
    <row r="2306" spans="1:14" s="386" customFormat="1" ht="20.399999999999999">
      <c r="A2306" s="663"/>
      <c r="B2306" s="700" t="s">
        <v>772</v>
      </c>
      <c r="C2306" s="663" t="s">
        <v>427</v>
      </c>
      <c r="D2306" s="907" t="s">
        <v>1978</v>
      </c>
      <c r="E2306" s="700" t="s">
        <v>1915</v>
      </c>
      <c r="F2306" s="679">
        <v>1228</v>
      </c>
      <c r="G2306" s="1671" t="s">
        <v>424</v>
      </c>
      <c r="H2306" s="666"/>
      <c r="I2306" s="660">
        <v>100</v>
      </c>
      <c r="J2306" s="1494" t="s">
        <v>1134</v>
      </c>
      <c r="K2306" s="661"/>
      <c r="L2306" s="666"/>
      <c r="M2306" s="660">
        <v>100</v>
      </c>
      <c r="N2306" s="7"/>
    </row>
    <row r="2307" spans="1:14" s="386" customFormat="1" ht="30.6">
      <c r="A2307" s="908"/>
      <c r="B2307" s="700" t="s">
        <v>772</v>
      </c>
      <c r="C2307" s="663" t="s">
        <v>427</v>
      </c>
      <c r="D2307" s="909" t="s">
        <v>1978</v>
      </c>
      <c r="E2307" s="1846" t="s">
        <v>1915</v>
      </c>
      <c r="F2307" s="679">
        <v>1228</v>
      </c>
      <c r="G2307" s="1796" t="s">
        <v>3757</v>
      </c>
      <c r="H2307" s="915"/>
      <c r="I2307" s="912">
        <v>2300</v>
      </c>
      <c r="J2307" s="1494" t="s">
        <v>1134</v>
      </c>
      <c r="K2307" s="690"/>
      <c r="L2307" s="911"/>
      <c r="M2307" s="911">
        <v>2300</v>
      </c>
      <c r="N2307" s="305"/>
    </row>
    <row r="2308" spans="1:14" s="386" customFormat="1" ht="20.399999999999999">
      <c r="A2308" s="663"/>
      <c r="B2308" s="700" t="s">
        <v>772</v>
      </c>
      <c r="C2308" s="663" t="s">
        <v>427</v>
      </c>
      <c r="D2308" s="909" t="s">
        <v>1978</v>
      </c>
      <c r="E2308" s="1846" t="s">
        <v>1915</v>
      </c>
      <c r="F2308" s="679">
        <v>1228</v>
      </c>
      <c r="G2308" s="1733" t="s">
        <v>2724</v>
      </c>
      <c r="H2308" s="1130"/>
      <c r="I2308" s="1130">
        <v>600</v>
      </c>
      <c r="J2308" s="1494" t="s">
        <v>1134</v>
      </c>
      <c r="K2308" s="646"/>
      <c r="L2308" s="1130"/>
      <c r="M2308" s="1130">
        <v>2100</v>
      </c>
      <c r="N2308" s="305"/>
    </row>
    <row r="2309" spans="1:14" s="386" customFormat="1" ht="12" customHeight="1">
      <c r="A2309" s="683"/>
      <c r="B2309" s="720" t="s">
        <v>772</v>
      </c>
      <c r="C2309" s="683" t="s">
        <v>320</v>
      </c>
      <c r="D2309" s="906" t="s">
        <v>1978</v>
      </c>
      <c r="E2309" s="720" t="s">
        <v>1915</v>
      </c>
      <c r="F2309" s="685">
        <v>2111</v>
      </c>
      <c r="G2309" s="686" t="s">
        <v>602</v>
      </c>
      <c r="H2309" s="689">
        <v>240</v>
      </c>
      <c r="I2309" s="689"/>
      <c r="J2309" s="1494">
        <v>0</v>
      </c>
      <c r="K2309" s="690"/>
      <c r="L2309" s="689">
        <v>1000</v>
      </c>
      <c r="M2309" s="689"/>
      <c r="N2309" s="305"/>
    </row>
    <row r="2310" spans="1:14">
      <c r="A2310" s="663"/>
      <c r="B2310" s="700" t="s">
        <v>772</v>
      </c>
      <c r="C2310" s="663" t="s">
        <v>320</v>
      </c>
      <c r="D2310" s="907" t="s">
        <v>1978</v>
      </c>
      <c r="E2310" s="700" t="s">
        <v>1915</v>
      </c>
      <c r="F2310" s="679">
        <v>2111</v>
      </c>
      <c r="G2310" s="665"/>
      <c r="H2310" s="666"/>
      <c r="I2310" s="660">
        <v>500</v>
      </c>
      <c r="J2310" s="1494" t="s">
        <v>1134</v>
      </c>
      <c r="K2310" s="661"/>
      <c r="L2310" s="666"/>
      <c r="M2310" s="660">
        <v>1000</v>
      </c>
      <c r="N2310" s="305"/>
    </row>
    <row r="2311" spans="1:14" ht="20.399999999999999">
      <c r="A2311" s="603"/>
      <c r="B2311" s="1119" t="s">
        <v>772</v>
      </c>
      <c r="C2311" s="603" t="s">
        <v>320</v>
      </c>
      <c r="D2311" s="1458" t="s">
        <v>1978</v>
      </c>
      <c r="E2311" s="1119" t="s">
        <v>1915</v>
      </c>
      <c r="F2311" s="604">
        <v>2111</v>
      </c>
      <c r="G2311" s="1129" t="s">
        <v>3182</v>
      </c>
      <c r="H2311" s="1131"/>
      <c r="I2311" s="1130">
        <v>-260</v>
      </c>
      <c r="J2311" s="1494" t="s">
        <v>1134</v>
      </c>
      <c r="K2311" s="646"/>
      <c r="L2311" s="1131"/>
      <c r="M2311" s="1130"/>
      <c r="N2311" s="305"/>
    </row>
    <row r="2312" spans="1:14" ht="20.399999999999999">
      <c r="A2312" s="683"/>
      <c r="B2312" s="720" t="s">
        <v>772</v>
      </c>
      <c r="C2312" s="683" t="s">
        <v>320</v>
      </c>
      <c r="D2312" s="906" t="s">
        <v>1978</v>
      </c>
      <c r="E2312" s="720" t="s">
        <v>1915</v>
      </c>
      <c r="F2312" s="685">
        <v>2112</v>
      </c>
      <c r="G2312" s="686" t="s">
        <v>603</v>
      </c>
      <c r="H2312" s="689">
        <v>235</v>
      </c>
      <c r="I2312" s="689"/>
      <c r="J2312" s="1494">
        <v>0</v>
      </c>
      <c r="K2312" s="690"/>
      <c r="L2312" s="689">
        <v>1000</v>
      </c>
      <c r="M2312" s="689"/>
      <c r="N2312" s="305"/>
    </row>
    <row r="2313" spans="1:14">
      <c r="A2313" s="663"/>
      <c r="B2313" s="700" t="s">
        <v>772</v>
      </c>
      <c r="C2313" s="663" t="s">
        <v>320</v>
      </c>
      <c r="D2313" s="907" t="s">
        <v>1978</v>
      </c>
      <c r="E2313" s="700" t="s">
        <v>1915</v>
      </c>
      <c r="F2313" s="679">
        <v>2112</v>
      </c>
      <c r="G2313" s="665" t="s">
        <v>605</v>
      </c>
      <c r="H2313" s="666"/>
      <c r="I2313" s="660">
        <v>500</v>
      </c>
      <c r="J2313" s="1494" t="s">
        <v>1134</v>
      </c>
      <c r="K2313" s="661"/>
      <c r="L2313" s="666"/>
      <c r="M2313" s="660">
        <v>1000</v>
      </c>
      <c r="N2313" s="305"/>
    </row>
    <row r="2314" spans="1:14" ht="20.399999999999999">
      <c r="A2314" s="603"/>
      <c r="B2314" s="1119" t="s">
        <v>772</v>
      </c>
      <c r="C2314" s="603" t="s">
        <v>320</v>
      </c>
      <c r="D2314" s="1458" t="s">
        <v>1978</v>
      </c>
      <c r="E2314" s="1119" t="s">
        <v>1915</v>
      </c>
      <c r="F2314" s="604">
        <v>2112</v>
      </c>
      <c r="G2314" s="1129" t="s">
        <v>3181</v>
      </c>
      <c r="H2314" s="1131"/>
      <c r="I2314" s="1130">
        <v>-265</v>
      </c>
      <c r="J2314" s="1494" t="s">
        <v>1134</v>
      </c>
      <c r="K2314" s="646"/>
      <c r="L2314" s="1131"/>
      <c r="M2314" s="1130"/>
      <c r="N2314" s="305"/>
    </row>
    <row r="2315" spans="1:14">
      <c r="A2315" s="683"/>
      <c r="B2315" s="720" t="s">
        <v>772</v>
      </c>
      <c r="C2315" s="683" t="s">
        <v>320</v>
      </c>
      <c r="D2315" s="906" t="s">
        <v>1978</v>
      </c>
      <c r="E2315" s="720" t="s">
        <v>1915</v>
      </c>
      <c r="F2315" s="685">
        <v>2121</v>
      </c>
      <c r="G2315" s="686" t="s">
        <v>596</v>
      </c>
      <c r="H2315" s="689">
        <v>525</v>
      </c>
      <c r="I2315" s="689"/>
      <c r="J2315" s="1494">
        <v>525</v>
      </c>
      <c r="K2315" s="690"/>
      <c r="L2315" s="689">
        <v>0</v>
      </c>
      <c r="M2315" s="689"/>
      <c r="N2315" s="305"/>
    </row>
    <row r="2316" spans="1:14" ht="20.399999999999999">
      <c r="A2316" s="603"/>
      <c r="B2316" s="700" t="s">
        <v>772</v>
      </c>
      <c r="C2316" s="663" t="s">
        <v>320</v>
      </c>
      <c r="D2316" s="907" t="s">
        <v>1978</v>
      </c>
      <c r="E2316" s="700" t="s">
        <v>1915</v>
      </c>
      <c r="F2316" s="679">
        <v>2121</v>
      </c>
      <c r="G2316" s="1129" t="s">
        <v>3182</v>
      </c>
      <c r="H2316" s="1131"/>
      <c r="I2316" s="1130">
        <v>260</v>
      </c>
      <c r="J2316" s="1494" t="s">
        <v>1134</v>
      </c>
      <c r="K2316" s="646"/>
      <c r="L2316" s="1131"/>
      <c r="M2316" s="1130"/>
      <c r="N2316" s="305"/>
    </row>
    <row r="2317" spans="1:14" ht="20.399999999999999">
      <c r="A2317" s="663"/>
      <c r="B2317" s="700" t="s">
        <v>772</v>
      </c>
      <c r="C2317" s="663" t="s">
        <v>320</v>
      </c>
      <c r="D2317" s="907" t="s">
        <v>1978</v>
      </c>
      <c r="E2317" s="700" t="s">
        <v>1915</v>
      </c>
      <c r="F2317" s="679">
        <v>2121</v>
      </c>
      <c r="G2317" s="1129" t="s">
        <v>3181</v>
      </c>
      <c r="H2317" s="666"/>
      <c r="I2317" s="660">
        <v>265</v>
      </c>
      <c r="J2317" s="1494" t="s">
        <v>1134</v>
      </c>
      <c r="K2317" s="661"/>
      <c r="L2317" s="666"/>
      <c r="M2317" s="660"/>
      <c r="N2317" s="305"/>
    </row>
    <row r="2318" spans="1:14" ht="22.5" customHeight="1">
      <c r="A2318" s="683"/>
      <c r="B2318" s="720" t="s">
        <v>772</v>
      </c>
      <c r="C2318" s="683" t="s">
        <v>320</v>
      </c>
      <c r="D2318" s="906" t="s">
        <v>1978</v>
      </c>
      <c r="E2318" s="720" t="s">
        <v>1915</v>
      </c>
      <c r="F2318" s="685">
        <v>2122</v>
      </c>
      <c r="G2318" s="686" t="s">
        <v>604</v>
      </c>
      <c r="H2318" s="689">
        <v>0</v>
      </c>
      <c r="I2318" s="689"/>
      <c r="J2318" s="1494" t="s">
        <v>1134</v>
      </c>
      <c r="K2318" s="690"/>
      <c r="L2318" s="689">
        <v>0</v>
      </c>
      <c r="M2318" s="689"/>
      <c r="N2318" s="305"/>
    </row>
    <row r="2319" spans="1:14">
      <c r="A2319" s="663"/>
      <c r="B2319" s="700" t="s">
        <v>772</v>
      </c>
      <c r="C2319" s="663" t="s">
        <v>320</v>
      </c>
      <c r="D2319" s="907" t="s">
        <v>1978</v>
      </c>
      <c r="E2319" s="700" t="s">
        <v>1915</v>
      </c>
      <c r="F2319" s="679">
        <v>2122</v>
      </c>
      <c r="G2319" s="665"/>
      <c r="H2319" s="666"/>
      <c r="I2319" s="660"/>
      <c r="J2319" s="1494" t="s">
        <v>1134</v>
      </c>
      <c r="K2319" s="661"/>
      <c r="L2319" s="666"/>
      <c r="M2319" s="660"/>
      <c r="N2319" s="305"/>
    </row>
    <row r="2320" spans="1:14">
      <c r="A2320" s="683"/>
      <c r="B2320" s="720" t="s">
        <v>772</v>
      </c>
      <c r="C2320" s="683" t="s">
        <v>322</v>
      </c>
      <c r="D2320" s="906" t="s">
        <v>1978</v>
      </c>
      <c r="E2320" s="720" t="s">
        <v>1915</v>
      </c>
      <c r="F2320" s="685">
        <v>2210</v>
      </c>
      <c r="G2320" s="686" t="s">
        <v>572</v>
      </c>
      <c r="H2320" s="689">
        <v>250</v>
      </c>
      <c r="I2320" s="689"/>
      <c r="J2320" s="1494">
        <v>193</v>
      </c>
      <c r="K2320" s="690"/>
      <c r="L2320" s="689">
        <v>250</v>
      </c>
      <c r="M2320" s="689"/>
      <c r="N2320" s="305"/>
    </row>
    <row r="2321" spans="1:14">
      <c r="A2321" s="663"/>
      <c r="B2321" s="700" t="s">
        <v>772</v>
      </c>
      <c r="C2321" s="663" t="s">
        <v>322</v>
      </c>
      <c r="D2321" s="907" t="s">
        <v>1978</v>
      </c>
      <c r="E2321" s="700" t="s">
        <v>1915</v>
      </c>
      <c r="F2321" s="679">
        <v>2210</v>
      </c>
      <c r="G2321" s="665" t="s">
        <v>1446</v>
      </c>
      <c r="H2321" s="666"/>
      <c r="I2321" s="660">
        <v>200</v>
      </c>
      <c r="J2321" s="1494" t="s">
        <v>1134</v>
      </c>
      <c r="K2321" s="661"/>
      <c r="L2321" s="666"/>
      <c r="M2321" s="660">
        <v>200</v>
      </c>
      <c r="N2321" s="305"/>
    </row>
    <row r="2322" spans="1:14">
      <c r="A2322" s="663"/>
      <c r="B2322" s="700" t="s">
        <v>772</v>
      </c>
      <c r="C2322" s="663" t="s">
        <v>322</v>
      </c>
      <c r="D2322" s="907" t="s">
        <v>1978</v>
      </c>
      <c r="E2322" s="700" t="s">
        <v>1915</v>
      </c>
      <c r="F2322" s="679">
        <v>2210</v>
      </c>
      <c r="G2322" s="665" t="s">
        <v>606</v>
      </c>
      <c r="H2322" s="666"/>
      <c r="I2322" s="660">
        <v>50</v>
      </c>
      <c r="J2322" s="1494" t="s">
        <v>1134</v>
      </c>
      <c r="K2322" s="661"/>
      <c r="L2322" s="666"/>
      <c r="M2322" s="660">
        <v>50</v>
      </c>
      <c r="N2322" s="305"/>
    </row>
    <row r="2323" spans="1:14" ht="22.5" customHeight="1">
      <c r="A2323" s="683"/>
      <c r="B2323" s="720" t="s">
        <v>772</v>
      </c>
      <c r="C2323" s="683" t="s">
        <v>320</v>
      </c>
      <c r="D2323" s="906" t="s">
        <v>1978</v>
      </c>
      <c r="E2323" s="720" t="s">
        <v>1915</v>
      </c>
      <c r="F2323" s="824">
        <v>2231</v>
      </c>
      <c r="G2323" s="800" t="s">
        <v>1661</v>
      </c>
      <c r="H2323" s="706">
        <v>0</v>
      </c>
      <c r="I2323" s="706"/>
      <c r="J2323" s="1654" t="s">
        <v>1134</v>
      </c>
      <c r="K2323" s="802"/>
      <c r="L2323" s="706">
        <v>0</v>
      </c>
      <c r="M2323" s="706"/>
      <c r="N2323" s="305"/>
    </row>
    <row r="2324" spans="1:14">
      <c r="A2324" s="663"/>
      <c r="B2324" s="700" t="s">
        <v>772</v>
      </c>
      <c r="C2324" s="663" t="s">
        <v>320</v>
      </c>
      <c r="D2324" s="907" t="s">
        <v>1978</v>
      </c>
      <c r="E2324" s="700" t="s">
        <v>1915</v>
      </c>
      <c r="F2324" s="795">
        <v>2231</v>
      </c>
      <c r="G2324" s="750"/>
      <c r="H2324" s="922"/>
      <c r="I2324" s="701"/>
      <c r="J2324" s="1654" t="s">
        <v>1134</v>
      </c>
      <c r="K2324" s="792"/>
      <c r="L2324" s="922"/>
      <c r="M2324" s="701"/>
      <c r="N2324" s="305"/>
    </row>
    <row r="2325" spans="1:14">
      <c r="A2325" s="683"/>
      <c r="B2325" s="720" t="s">
        <v>772</v>
      </c>
      <c r="C2325" s="683" t="s">
        <v>320</v>
      </c>
      <c r="D2325" s="906" t="s">
        <v>1978</v>
      </c>
      <c r="E2325" s="720" t="s">
        <v>1915</v>
      </c>
      <c r="F2325" s="824">
        <v>2233</v>
      </c>
      <c r="G2325" s="800" t="s">
        <v>216</v>
      </c>
      <c r="H2325" s="706">
        <v>12900</v>
      </c>
      <c r="I2325" s="706"/>
      <c r="J2325" s="1654">
        <v>11505</v>
      </c>
      <c r="K2325" s="802"/>
      <c r="L2325" s="706">
        <v>13900</v>
      </c>
      <c r="M2325" s="706"/>
      <c r="N2325" s="305"/>
    </row>
    <row r="2326" spans="1:14">
      <c r="A2326" s="663"/>
      <c r="B2326" s="700" t="s">
        <v>772</v>
      </c>
      <c r="C2326" s="663" t="s">
        <v>320</v>
      </c>
      <c r="D2326" s="907" t="s">
        <v>1978</v>
      </c>
      <c r="E2326" s="700" t="s">
        <v>1915</v>
      </c>
      <c r="F2326" s="795">
        <v>2233</v>
      </c>
      <c r="G2326" s="1703" t="s">
        <v>249</v>
      </c>
      <c r="H2326" s="922"/>
      <c r="I2326" s="701">
        <v>400</v>
      </c>
      <c r="J2326" s="1654" t="s">
        <v>1134</v>
      </c>
      <c r="K2326" s="792"/>
      <c r="L2326" s="922"/>
      <c r="M2326" s="701">
        <v>400</v>
      </c>
      <c r="N2326" s="305"/>
    </row>
    <row r="2327" spans="1:14">
      <c r="A2327" s="663" t="s">
        <v>608</v>
      </c>
      <c r="B2327" s="700" t="s">
        <v>772</v>
      </c>
      <c r="C2327" s="663" t="s">
        <v>320</v>
      </c>
      <c r="D2327" s="907" t="s">
        <v>1978</v>
      </c>
      <c r="E2327" s="700" t="s">
        <v>1915</v>
      </c>
      <c r="F2327" s="795">
        <v>2233</v>
      </c>
      <c r="G2327" s="1703" t="s">
        <v>818</v>
      </c>
      <c r="H2327" s="922"/>
      <c r="I2327" s="701">
        <v>1500</v>
      </c>
      <c r="J2327" s="1654" t="s">
        <v>1134</v>
      </c>
      <c r="K2327" s="792"/>
      <c r="L2327" s="922"/>
      <c r="M2327" s="701">
        <v>1500</v>
      </c>
      <c r="N2327" s="305"/>
    </row>
    <row r="2328" spans="1:14" ht="12" customHeight="1">
      <c r="A2328" s="663"/>
      <c r="B2328" s="700" t="s">
        <v>772</v>
      </c>
      <c r="C2328" s="663" t="s">
        <v>320</v>
      </c>
      <c r="D2328" s="907" t="s">
        <v>1978</v>
      </c>
      <c r="E2328" s="700" t="s">
        <v>1915</v>
      </c>
      <c r="F2328" s="795">
        <v>2233</v>
      </c>
      <c r="G2328" s="1703" t="s">
        <v>819</v>
      </c>
      <c r="H2328" s="922"/>
      <c r="I2328" s="701">
        <v>1000</v>
      </c>
      <c r="J2328" s="1654" t="s">
        <v>1134</v>
      </c>
      <c r="K2328" s="792"/>
      <c r="L2328" s="922"/>
      <c r="M2328" s="701">
        <v>1000</v>
      </c>
      <c r="N2328" s="305" t="s">
        <v>3777</v>
      </c>
    </row>
    <row r="2329" spans="1:14" ht="61.2">
      <c r="A2329" s="663"/>
      <c r="B2329" s="700" t="s">
        <v>772</v>
      </c>
      <c r="C2329" s="700" t="s">
        <v>320</v>
      </c>
      <c r="D2329" s="1847" t="s">
        <v>1978</v>
      </c>
      <c r="E2329" s="700" t="s">
        <v>1915</v>
      </c>
      <c r="F2329" s="795">
        <v>2233</v>
      </c>
      <c r="G2329" s="1703" t="s">
        <v>607</v>
      </c>
      <c r="H2329" s="922"/>
      <c r="I2329" s="701">
        <v>10000</v>
      </c>
      <c r="J2329" s="1654" t="s">
        <v>1134</v>
      </c>
      <c r="K2329" s="792"/>
      <c r="L2329" s="922"/>
      <c r="M2329" s="701">
        <v>11000</v>
      </c>
      <c r="N2329" s="305"/>
    </row>
    <row r="2330" spans="1:14" ht="11.4" customHeight="1">
      <c r="A2330" s="683"/>
      <c r="B2330" s="720" t="s">
        <v>772</v>
      </c>
      <c r="C2330" s="720" t="s">
        <v>320</v>
      </c>
      <c r="D2330" s="1848" t="s">
        <v>1978</v>
      </c>
      <c r="E2330" s="720" t="s">
        <v>1915</v>
      </c>
      <c r="F2330" s="824">
        <v>2234</v>
      </c>
      <c r="G2330" s="800" t="s">
        <v>120</v>
      </c>
      <c r="H2330" s="706">
        <v>1120</v>
      </c>
      <c r="I2330" s="706"/>
      <c r="J2330" s="1654">
        <v>0</v>
      </c>
      <c r="K2330" s="802"/>
      <c r="L2330" s="706">
        <v>250</v>
      </c>
      <c r="M2330" s="706"/>
      <c r="N2330" s="305" t="s">
        <v>3779</v>
      </c>
    </row>
    <row r="2331" spans="1:14">
      <c r="A2331" s="663"/>
      <c r="B2331" s="700" t="s">
        <v>772</v>
      </c>
      <c r="C2331" s="700" t="s">
        <v>320</v>
      </c>
      <c r="D2331" s="1847" t="s">
        <v>1978</v>
      </c>
      <c r="E2331" s="700" t="s">
        <v>1915</v>
      </c>
      <c r="F2331" s="795">
        <v>2234</v>
      </c>
      <c r="G2331" s="750" t="s">
        <v>482</v>
      </c>
      <c r="H2331" s="922"/>
      <c r="I2331" s="701">
        <v>1120</v>
      </c>
      <c r="J2331" s="1654" t="s">
        <v>1134</v>
      </c>
      <c r="K2331" s="792"/>
      <c r="L2331" s="701"/>
      <c r="M2331" s="701">
        <v>250</v>
      </c>
      <c r="N2331" s="305"/>
    </row>
    <row r="2332" spans="1:14">
      <c r="A2332" s="683"/>
      <c r="B2332" s="720" t="s">
        <v>772</v>
      </c>
      <c r="C2332" s="720" t="s">
        <v>320</v>
      </c>
      <c r="D2332" s="1848" t="s">
        <v>1978</v>
      </c>
      <c r="E2332" s="720" t="s">
        <v>1915</v>
      </c>
      <c r="F2332" s="824">
        <v>2235</v>
      </c>
      <c r="G2332" s="800" t="s">
        <v>1139</v>
      </c>
      <c r="H2332" s="706">
        <v>400</v>
      </c>
      <c r="I2332" s="706"/>
      <c r="J2332" s="1654">
        <v>0</v>
      </c>
      <c r="K2332" s="802"/>
      <c r="L2332" s="706">
        <v>400</v>
      </c>
      <c r="M2332" s="706"/>
      <c r="N2332" s="305"/>
    </row>
    <row r="2333" spans="1:14">
      <c r="A2333" s="663"/>
      <c r="B2333" s="700" t="s">
        <v>772</v>
      </c>
      <c r="C2333" s="700" t="s">
        <v>322</v>
      </c>
      <c r="D2333" s="1847" t="s">
        <v>1978</v>
      </c>
      <c r="E2333" s="700" t="s">
        <v>1915</v>
      </c>
      <c r="F2333" s="795">
        <v>2235</v>
      </c>
      <c r="G2333" s="750" t="s">
        <v>253</v>
      </c>
      <c r="H2333" s="922"/>
      <c r="I2333" s="701">
        <v>400</v>
      </c>
      <c r="J2333" s="1654" t="s">
        <v>1134</v>
      </c>
      <c r="K2333" s="792"/>
      <c r="L2333" s="922"/>
      <c r="M2333" s="701">
        <v>400</v>
      </c>
      <c r="N2333" s="305" t="s">
        <v>3780</v>
      </c>
    </row>
    <row r="2334" spans="1:14">
      <c r="A2334" s="683"/>
      <c r="B2334" s="720" t="s">
        <v>772</v>
      </c>
      <c r="C2334" s="683" t="s">
        <v>322</v>
      </c>
      <c r="D2334" s="906" t="s">
        <v>1978</v>
      </c>
      <c r="E2334" s="720" t="s">
        <v>1915</v>
      </c>
      <c r="F2334" s="824">
        <v>2239</v>
      </c>
      <c r="G2334" s="800" t="s">
        <v>144</v>
      </c>
      <c r="H2334" s="706">
        <v>26200</v>
      </c>
      <c r="I2334" s="706"/>
      <c r="J2334" s="1654"/>
      <c r="K2334" s="802"/>
      <c r="L2334" s="706">
        <v>27200</v>
      </c>
      <c r="M2334" s="706"/>
      <c r="N2334" s="305"/>
    </row>
    <row r="2335" spans="1:14" ht="51">
      <c r="A2335" s="663" t="s">
        <v>542</v>
      </c>
      <c r="B2335" s="700" t="s">
        <v>772</v>
      </c>
      <c r="C2335" s="663" t="s">
        <v>322</v>
      </c>
      <c r="D2335" s="907" t="s">
        <v>1978</v>
      </c>
      <c r="E2335" s="700" t="s">
        <v>1915</v>
      </c>
      <c r="F2335" s="795">
        <v>2239</v>
      </c>
      <c r="G2335" s="750" t="s">
        <v>541</v>
      </c>
      <c r="H2335" s="922"/>
      <c r="I2335" s="701">
        <v>3700</v>
      </c>
      <c r="J2335" s="1654"/>
      <c r="K2335" s="792"/>
      <c r="L2335" s="922"/>
      <c r="M2335" s="701">
        <v>3700</v>
      </c>
      <c r="N2335" s="305"/>
    </row>
    <row r="2336" spans="1:14">
      <c r="A2336" s="663"/>
      <c r="B2336" s="700" t="s">
        <v>772</v>
      </c>
      <c r="C2336" s="663" t="s">
        <v>322</v>
      </c>
      <c r="D2336" s="907" t="s">
        <v>1978</v>
      </c>
      <c r="E2336" s="700" t="s">
        <v>1915</v>
      </c>
      <c r="F2336" s="795">
        <v>2239</v>
      </c>
      <c r="G2336" s="750" t="s">
        <v>665</v>
      </c>
      <c r="H2336" s="922"/>
      <c r="I2336" s="701">
        <v>0</v>
      </c>
      <c r="J2336" s="1654">
        <v>278</v>
      </c>
      <c r="K2336" s="792"/>
      <c r="L2336" s="922"/>
      <c r="M2336" s="701">
        <v>0</v>
      </c>
      <c r="N2336" s="7"/>
    </row>
    <row r="2337" spans="1:14">
      <c r="A2337" s="663" t="s">
        <v>542</v>
      </c>
      <c r="B2337" s="700" t="s">
        <v>772</v>
      </c>
      <c r="C2337" s="663" t="s">
        <v>322</v>
      </c>
      <c r="D2337" s="907" t="s">
        <v>1978</v>
      </c>
      <c r="E2337" s="700" t="s">
        <v>1915</v>
      </c>
      <c r="F2337" s="795">
        <v>2239</v>
      </c>
      <c r="G2337" s="1703" t="s">
        <v>426</v>
      </c>
      <c r="H2337" s="922"/>
      <c r="I2337" s="701">
        <v>2000</v>
      </c>
      <c r="J2337" s="1654"/>
      <c r="K2337" s="792"/>
      <c r="L2337" s="922"/>
      <c r="M2337" s="1672">
        <v>2000</v>
      </c>
      <c r="N2337" s="7"/>
    </row>
    <row r="2338" spans="1:14" ht="12" customHeight="1">
      <c r="A2338" s="663"/>
      <c r="B2338" s="700" t="s">
        <v>772</v>
      </c>
      <c r="C2338" s="663" t="s">
        <v>322</v>
      </c>
      <c r="D2338" s="907" t="s">
        <v>1978</v>
      </c>
      <c r="E2338" s="700" t="s">
        <v>1915</v>
      </c>
      <c r="F2338" s="795">
        <v>2239</v>
      </c>
      <c r="G2338" s="1703" t="s">
        <v>543</v>
      </c>
      <c r="H2338" s="922"/>
      <c r="I2338" s="701">
        <v>600</v>
      </c>
      <c r="J2338" s="1654"/>
      <c r="K2338" s="792"/>
      <c r="L2338" s="922"/>
      <c r="M2338" s="1672">
        <v>600</v>
      </c>
      <c r="N2338" s="305"/>
    </row>
    <row r="2339" spans="1:14">
      <c r="A2339" s="663" t="s">
        <v>547</v>
      </c>
      <c r="B2339" s="700" t="s">
        <v>772</v>
      </c>
      <c r="C2339" s="663" t="s">
        <v>366</v>
      </c>
      <c r="D2339" s="907" t="s">
        <v>1978</v>
      </c>
      <c r="E2339" s="700" t="s">
        <v>1915</v>
      </c>
      <c r="F2339" s="795">
        <v>2239</v>
      </c>
      <c r="G2339" s="1703" t="s">
        <v>485</v>
      </c>
      <c r="H2339" s="922"/>
      <c r="I2339" s="701">
        <v>1500</v>
      </c>
      <c r="J2339" s="1654"/>
      <c r="K2339" s="792"/>
      <c r="L2339" s="922"/>
      <c r="M2339" s="1672">
        <v>1500</v>
      </c>
      <c r="N2339" s="305"/>
    </row>
    <row r="2340" spans="1:14" ht="30.6">
      <c r="A2340" s="663" t="s">
        <v>484</v>
      </c>
      <c r="B2340" s="700" t="s">
        <v>772</v>
      </c>
      <c r="C2340" s="663" t="s">
        <v>366</v>
      </c>
      <c r="D2340" s="907" t="s">
        <v>1978</v>
      </c>
      <c r="E2340" s="700" t="s">
        <v>1915</v>
      </c>
      <c r="F2340" s="795">
        <v>2239</v>
      </c>
      <c r="G2340" s="1703" t="s">
        <v>666</v>
      </c>
      <c r="H2340" s="922"/>
      <c r="I2340" s="701">
        <v>600</v>
      </c>
      <c r="J2340" s="1654"/>
      <c r="K2340" s="792"/>
      <c r="L2340" s="922"/>
      <c r="M2340" s="1672">
        <v>600</v>
      </c>
      <c r="N2340" s="381" t="s">
        <v>2164</v>
      </c>
    </row>
    <row r="2341" spans="1:14">
      <c r="A2341" s="663"/>
      <c r="B2341" s="700" t="s">
        <v>772</v>
      </c>
      <c r="C2341" s="663" t="s">
        <v>366</v>
      </c>
      <c r="D2341" s="907" t="s">
        <v>1978</v>
      </c>
      <c r="E2341" s="700" t="s">
        <v>1915</v>
      </c>
      <c r="F2341" s="795">
        <v>2239</v>
      </c>
      <c r="G2341" s="1703" t="s">
        <v>548</v>
      </c>
      <c r="H2341" s="922"/>
      <c r="I2341" s="701">
        <v>6000</v>
      </c>
      <c r="J2341" s="1654">
        <v>2567</v>
      </c>
      <c r="K2341" s="792"/>
      <c r="L2341" s="922"/>
      <c r="M2341" s="1672">
        <v>7000</v>
      </c>
      <c r="N2341" s="305"/>
    </row>
    <row r="2342" spans="1:14">
      <c r="A2342" s="663" t="s">
        <v>550</v>
      </c>
      <c r="B2342" s="700" t="s">
        <v>772</v>
      </c>
      <c r="C2342" s="663" t="s">
        <v>366</v>
      </c>
      <c r="D2342" s="907" t="s">
        <v>1978</v>
      </c>
      <c r="E2342" s="1849" t="s">
        <v>1915</v>
      </c>
      <c r="F2342" s="1850">
        <v>2239</v>
      </c>
      <c r="G2342" s="1703" t="s">
        <v>1223</v>
      </c>
      <c r="H2342" s="922"/>
      <c r="I2342" s="701">
        <v>1000</v>
      </c>
      <c r="J2342" s="1654"/>
      <c r="K2342" s="792"/>
      <c r="L2342" s="922"/>
      <c r="M2342" s="1672">
        <v>1000</v>
      </c>
      <c r="N2342" s="305"/>
    </row>
    <row r="2343" spans="1:14" ht="40.799999999999997">
      <c r="A2343" s="663" t="s">
        <v>484</v>
      </c>
      <c r="B2343" s="700" t="s">
        <v>772</v>
      </c>
      <c r="C2343" s="663" t="s">
        <v>322</v>
      </c>
      <c r="D2343" s="907" t="s">
        <v>1978</v>
      </c>
      <c r="E2343" s="700" t="s">
        <v>1915</v>
      </c>
      <c r="F2343" s="795">
        <v>2239</v>
      </c>
      <c r="G2343" s="1703" t="s">
        <v>3763</v>
      </c>
      <c r="H2343" s="922"/>
      <c r="I2343" s="701">
        <v>10000</v>
      </c>
      <c r="J2343" s="1654" t="s">
        <v>1134</v>
      </c>
      <c r="K2343" s="792"/>
      <c r="L2343" s="922"/>
      <c r="M2343" s="1672">
        <v>10000</v>
      </c>
      <c r="N2343" s="305"/>
    </row>
    <row r="2344" spans="1:14" ht="40.799999999999997">
      <c r="A2344" s="663"/>
      <c r="B2344" s="700" t="s">
        <v>772</v>
      </c>
      <c r="C2344" s="663" t="s">
        <v>322</v>
      </c>
      <c r="D2344" s="907" t="s">
        <v>1978</v>
      </c>
      <c r="E2344" s="700" t="s">
        <v>1915</v>
      </c>
      <c r="F2344" s="795">
        <v>2239</v>
      </c>
      <c r="G2344" s="750" t="s">
        <v>1447</v>
      </c>
      <c r="H2344" s="922"/>
      <c r="I2344" s="701">
        <v>500</v>
      </c>
      <c r="J2344" s="1654" t="s">
        <v>1134</v>
      </c>
      <c r="K2344" s="792"/>
      <c r="L2344" s="922"/>
      <c r="M2344" s="701">
        <v>500</v>
      </c>
      <c r="N2344" s="305"/>
    </row>
    <row r="2345" spans="1:14" ht="20.399999999999999">
      <c r="A2345" s="663"/>
      <c r="B2345" s="700" t="s">
        <v>772</v>
      </c>
      <c r="C2345" s="663" t="s">
        <v>322</v>
      </c>
      <c r="D2345" s="907" t="s">
        <v>1978</v>
      </c>
      <c r="E2345" s="700" t="s">
        <v>1915</v>
      </c>
      <c r="F2345" s="795">
        <v>2239</v>
      </c>
      <c r="G2345" s="750" t="s">
        <v>440</v>
      </c>
      <c r="H2345" s="922"/>
      <c r="I2345" s="701">
        <v>300</v>
      </c>
      <c r="J2345" s="1654" t="s">
        <v>1134</v>
      </c>
      <c r="K2345" s="792"/>
      <c r="L2345" s="922"/>
      <c r="M2345" s="701">
        <v>300</v>
      </c>
      <c r="N2345" s="305"/>
    </row>
    <row r="2346" spans="1:14" ht="20.399999999999999">
      <c r="A2346" s="683" t="s">
        <v>610</v>
      </c>
      <c r="B2346" s="3129" t="s">
        <v>692</v>
      </c>
      <c r="C2346" s="683" t="s">
        <v>366</v>
      </c>
      <c r="D2346" s="906" t="s">
        <v>1978</v>
      </c>
      <c r="E2346" s="720" t="s">
        <v>1915</v>
      </c>
      <c r="F2346" s="694">
        <v>2239</v>
      </c>
      <c r="G2346" s="686" t="s">
        <v>252</v>
      </c>
      <c r="H2346" s="851">
        <v>163325</v>
      </c>
      <c r="I2346" s="689"/>
      <c r="J2346" s="1494">
        <v>189402</v>
      </c>
      <c r="K2346" s="690"/>
      <c r="L2346" s="689">
        <v>170000</v>
      </c>
      <c r="M2346" s="689"/>
      <c r="N2346" s="305"/>
    </row>
    <row r="2347" spans="1:14" ht="20.399999999999999">
      <c r="A2347" s="663" t="s">
        <v>545</v>
      </c>
      <c r="B2347" s="3130" t="s">
        <v>692</v>
      </c>
      <c r="C2347" s="663" t="s">
        <v>366</v>
      </c>
      <c r="D2347" s="907" t="s">
        <v>1978</v>
      </c>
      <c r="E2347" s="700" t="s">
        <v>1915</v>
      </c>
      <c r="F2347" s="679">
        <v>2239</v>
      </c>
      <c r="G2347" s="1671" t="s">
        <v>1304</v>
      </c>
      <c r="H2347" s="660"/>
      <c r="I2347" s="660">
        <v>140000</v>
      </c>
      <c r="J2347" s="1494" t="s">
        <v>1134</v>
      </c>
      <c r="K2347" s="661"/>
      <c r="L2347" s="660"/>
      <c r="M2347" s="3232">
        <v>150000</v>
      </c>
      <c r="N2347" s="305"/>
    </row>
    <row r="2348" spans="1:14" ht="20.399999999999999">
      <c r="A2348" s="663" t="s">
        <v>545</v>
      </c>
      <c r="B2348" s="3130" t="s">
        <v>692</v>
      </c>
      <c r="C2348" s="663" t="s">
        <v>366</v>
      </c>
      <c r="D2348" s="907" t="s">
        <v>1978</v>
      </c>
      <c r="E2348" s="700" t="s">
        <v>1915</v>
      </c>
      <c r="F2348" s="679">
        <v>2239</v>
      </c>
      <c r="G2348" s="1671" t="s">
        <v>2920</v>
      </c>
      <c r="H2348" s="660"/>
      <c r="I2348" s="660">
        <v>20000</v>
      </c>
      <c r="J2348" s="1494" t="s">
        <v>1134</v>
      </c>
      <c r="K2348" s="661"/>
      <c r="L2348" s="660"/>
      <c r="M2348" s="1757">
        <v>20000</v>
      </c>
      <c r="N2348" s="305"/>
    </row>
    <row r="2349" spans="1:14" ht="20.399999999999999">
      <c r="A2349" s="663" t="s">
        <v>545</v>
      </c>
      <c r="B2349" s="3130" t="s">
        <v>692</v>
      </c>
      <c r="C2349" s="663" t="s">
        <v>366</v>
      </c>
      <c r="D2349" s="907" t="s">
        <v>1978</v>
      </c>
      <c r="E2349" s="700" t="s">
        <v>1915</v>
      </c>
      <c r="F2349" s="679">
        <v>2239</v>
      </c>
      <c r="G2349" s="665" t="s">
        <v>2920</v>
      </c>
      <c r="H2349" s="1260"/>
      <c r="I2349" s="1260">
        <v>20000</v>
      </c>
      <c r="J2349" s="1494" t="s">
        <v>1134</v>
      </c>
      <c r="K2349" s="1267"/>
      <c r="L2349" s="1260"/>
      <c r="M2349" s="1298"/>
      <c r="N2349" s="305"/>
    </row>
    <row r="2350" spans="1:14" ht="20.399999999999999">
      <c r="A2350" s="663" t="s">
        <v>545</v>
      </c>
      <c r="B2350" s="3130" t="s">
        <v>692</v>
      </c>
      <c r="C2350" s="663" t="s">
        <v>366</v>
      </c>
      <c r="D2350" s="907" t="s">
        <v>1978</v>
      </c>
      <c r="E2350" s="700" t="s">
        <v>1915</v>
      </c>
      <c r="F2350" s="679">
        <v>2239</v>
      </c>
      <c r="G2350" s="1264" t="s">
        <v>3119</v>
      </c>
      <c r="H2350" s="1260"/>
      <c r="I2350" s="1260">
        <v>-2000</v>
      </c>
      <c r="J2350" s="1494" t="s">
        <v>1134</v>
      </c>
      <c r="K2350" s="1267"/>
      <c r="L2350" s="1260"/>
      <c r="M2350" s="1298"/>
      <c r="N2350" s="305"/>
    </row>
    <row r="2351" spans="1:14" ht="20.399999999999999">
      <c r="A2351" s="663" t="s">
        <v>545</v>
      </c>
      <c r="B2351" s="3130" t="s">
        <v>692</v>
      </c>
      <c r="C2351" s="663" t="s">
        <v>366</v>
      </c>
      <c r="D2351" s="907" t="s">
        <v>1978</v>
      </c>
      <c r="E2351" s="700" t="s">
        <v>1915</v>
      </c>
      <c r="F2351" s="679">
        <v>2239</v>
      </c>
      <c r="G2351" s="665" t="s">
        <v>3102</v>
      </c>
      <c r="H2351" s="660"/>
      <c r="I2351" s="660">
        <v>-3000</v>
      </c>
      <c r="J2351" s="1494" t="s">
        <v>1134</v>
      </c>
      <c r="K2351" s="661"/>
      <c r="L2351" s="660"/>
      <c r="M2351" s="676"/>
      <c r="N2351" s="305"/>
    </row>
    <row r="2352" spans="1:14" ht="20.399999999999999">
      <c r="A2352" s="663" t="s">
        <v>545</v>
      </c>
      <c r="B2352" s="3130" t="s">
        <v>692</v>
      </c>
      <c r="C2352" s="663" t="s">
        <v>366</v>
      </c>
      <c r="D2352" s="907" t="s">
        <v>1978</v>
      </c>
      <c r="E2352" s="700" t="s">
        <v>1915</v>
      </c>
      <c r="F2352" s="679">
        <v>2239</v>
      </c>
      <c r="G2352" s="665" t="s">
        <v>3166</v>
      </c>
      <c r="H2352" s="660"/>
      <c r="I2352" s="660">
        <v>-2000</v>
      </c>
      <c r="J2352" s="1494" t="s">
        <v>1134</v>
      </c>
      <c r="K2352" s="661"/>
      <c r="L2352" s="660"/>
      <c r="M2352" s="676"/>
      <c r="N2352" s="305"/>
    </row>
    <row r="2353" spans="1:17" ht="30.6">
      <c r="A2353" s="663" t="s">
        <v>545</v>
      </c>
      <c r="B2353" s="3130" t="s">
        <v>692</v>
      </c>
      <c r="C2353" s="663" t="s">
        <v>366</v>
      </c>
      <c r="D2353" s="907" t="s">
        <v>1978</v>
      </c>
      <c r="E2353" s="700" t="s">
        <v>1915</v>
      </c>
      <c r="F2353" s="679">
        <v>2239</v>
      </c>
      <c r="G2353" s="1129" t="s">
        <v>3183</v>
      </c>
      <c r="H2353" s="660"/>
      <c r="I2353" s="660">
        <v>-242</v>
      </c>
      <c r="J2353" s="1494" t="s">
        <v>1134</v>
      </c>
      <c r="K2353" s="661"/>
      <c r="L2353" s="660"/>
      <c r="M2353" s="676"/>
      <c r="N2353" s="305"/>
    </row>
    <row r="2354" spans="1:17" ht="20.399999999999999">
      <c r="A2354" s="603"/>
      <c r="B2354" s="3130" t="s">
        <v>692</v>
      </c>
      <c r="C2354" s="663" t="s">
        <v>366</v>
      </c>
      <c r="D2354" s="907" t="s">
        <v>1978</v>
      </c>
      <c r="E2354" s="700" t="s">
        <v>1915</v>
      </c>
      <c r="F2354" s="679">
        <v>2239</v>
      </c>
      <c r="G2354" s="1129" t="s">
        <v>3209</v>
      </c>
      <c r="H2354" s="1130"/>
      <c r="I2354" s="1130">
        <v>-2000</v>
      </c>
      <c r="J2354" s="1494" t="s">
        <v>1134</v>
      </c>
      <c r="K2354" s="646"/>
      <c r="L2354" s="1130"/>
      <c r="M2354" s="610"/>
      <c r="N2354" s="305"/>
    </row>
    <row r="2355" spans="1:17" ht="20.399999999999999">
      <c r="A2355" s="603"/>
      <c r="B2355" s="3130" t="s">
        <v>692</v>
      </c>
      <c r="C2355" s="663" t="s">
        <v>366</v>
      </c>
      <c r="D2355" s="907" t="s">
        <v>1978</v>
      </c>
      <c r="E2355" s="700" t="s">
        <v>1915</v>
      </c>
      <c r="F2355" s="679">
        <v>2239</v>
      </c>
      <c r="G2355" s="1129" t="s">
        <v>3210</v>
      </c>
      <c r="H2355" s="1130"/>
      <c r="I2355" s="1130">
        <v>-2000</v>
      </c>
      <c r="J2355" s="1494" t="s">
        <v>1134</v>
      </c>
      <c r="K2355" s="646"/>
      <c r="L2355" s="1130"/>
      <c r="M2355" s="610"/>
      <c r="N2355" s="305"/>
    </row>
    <row r="2356" spans="1:17" ht="30.6">
      <c r="A2356" s="603"/>
      <c r="B2356" s="3130" t="s">
        <v>692</v>
      </c>
      <c r="C2356" s="663" t="s">
        <v>366</v>
      </c>
      <c r="D2356" s="907" t="s">
        <v>1978</v>
      </c>
      <c r="E2356" s="700" t="s">
        <v>1915</v>
      </c>
      <c r="F2356" s="679">
        <v>2239</v>
      </c>
      <c r="G2356" s="1129" t="s">
        <v>3287</v>
      </c>
      <c r="H2356" s="1130"/>
      <c r="I2356" s="1130">
        <v>-2637</v>
      </c>
      <c r="J2356" s="1494" t="s">
        <v>1134</v>
      </c>
      <c r="K2356" s="646"/>
      <c r="L2356" s="1130"/>
      <c r="M2356" s="610"/>
      <c r="N2356" s="305"/>
    </row>
    <row r="2357" spans="1:17" ht="40.799999999999997">
      <c r="A2357" s="603"/>
      <c r="B2357" s="3130" t="s">
        <v>692</v>
      </c>
      <c r="C2357" s="663" t="s">
        <v>366</v>
      </c>
      <c r="D2357" s="907" t="s">
        <v>1978</v>
      </c>
      <c r="E2357" s="700" t="s">
        <v>1915</v>
      </c>
      <c r="F2357" s="679">
        <v>2239</v>
      </c>
      <c r="G2357" s="1129" t="s">
        <v>3288</v>
      </c>
      <c r="H2357" s="1130"/>
      <c r="I2357" s="1130">
        <v>-2796</v>
      </c>
      <c r="J2357" s="1494" t="s">
        <v>1134</v>
      </c>
      <c r="K2357" s="646"/>
      <c r="L2357" s="1130"/>
      <c r="M2357" s="610"/>
      <c r="N2357" s="305"/>
    </row>
    <row r="2358" spans="1:17" ht="20.399999999999999">
      <c r="A2358" s="916" t="s">
        <v>483</v>
      </c>
      <c r="B2358" s="3149" t="s">
        <v>692</v>
      </c>
      <c r="C2358" s="917" t="s">
        <v>366</v>
      </c>
      <c r="D2358" s="918" t="s">
        <v>1978</v>
      </c>
      <c r="E2358" s="1851" t="s">
        <v>1915</v>
      </c>
      <c r="F2358" s="1852">
        <v>2239</v>
      </c>
      <c r="G2358" s="1853" t="s">
        <v>3771</v>
      </c>
      <c r="H2358" s="1854">
        <v>70000</v>
      </c>
      <c r="I2358" s="1854"/>
      <c r="J2358" s="1654"/>
      <c r="K2358" s="1855"/>
      <c r="L2358" s="1854">
        <v>72000</v>
      </c>
      <c r="M2358" s="1854"/>
      <c r="N2358" s="305"/>
    </row>
    <row r="2359" spans="1:17">
      <c r="A2359" s="663" t="s">
        <v>546</v>
      </c>
      <c r="B2359" s="3130" t="s">
        <v>692</v>
      </c>
      <c r="C2359" s="663" t="s">
        <v>366</v>
      </c>
      <c r="D2359" s="907" t="s">
        <v>1978</v>
      </c>
      <c r="E2359" s="700" t="s">
        <v>1915</v>
      </c>
      <c r="F2359" s="795">
        <v>2239</v>
      </c>
      <c r="G2359" s="1703" t="s">
        <v>3765</v>
      </c>
      <c r="H2359" s="1672"/>
      <c r="I2359" s="1672">
        <v>5000</v>
      </c>
      <c r="J2359" s="1672"/>
      <c r="K2359" s="1688"/>
      <c r="L2359" s="1672"/>
      <c r="M2359" s="1856">
        <v>6000</v>
      </c>
      <c r="N2359" s="305"/>
    </row>
    <row r="2360" spans="1:17" ht="20.399999999999999">
      <c r="A2360" s="663" t="s">
        <v>546</v>
      </c>
      <c r="B2360" s="3130" t="s">
        <v>692</v>
      </c>
      <c r="C2360" s="663" t="s">
        <v>366</v>
      </c>
      <c r="D2360" s="907" t="s">
        <v>1978</v>
      </c>
      <c r="E2360" s="700" t="s">
        <v>1915</v>
      </c>
      <c r="F2360" s="795">
        <v>2239</v>
      </c>
      <c r="G2360" s="1703" t="s">
        <v>3766</v>
      </c>
      <c r="H2360" s="1672"/>
      <c r="I2360" s="1672">
        <v>3000</v>
      </c>
      <c r="J2360" s="1672"/>
      <c r="K2360" s="1688"/>
      <c r="L2360" s="1672"/>
      <c r="M2360" s="1856">
        <v>4000</v>
      </c>
      <c r="N2360" s="305"/>
    </row>
    <row r="2361" spans="1:17">
      <c r="A2361" s="663" t="s">
        <v>546</v>
      </c>
      <c r="B2361" s="3130" t="s">
        <v>692</v>
      </c>
      <c r="C2361" s="663" t="s">
        <v>366</v>
      </c>
      <c r="D2361" s="907" t="s">
        <v>1978</v>
      </c>
      <c r="E2361" s="700" t="s">
        <v>1915</v>
      </c>
      <c r="F2361" s="795">
        <v>2239</v>
      </c>
      <c r="G2361" s="1703" t="s">
        <v>3767</v>
      </c>
      <c r="H2361" s="1672"/>
      <c r="I2361" s="1672">
        <v>15000</v>
      </c>
      <c r="J2361" s="1672"/>
      <c r="K2361" s="1688"/>
      <c r="L2361" s="1672"/>
      <c r="M2361" s="1856">
        <v>15000</v>
      </c>
      <c r="N2361" s="305"/>
    </row>
    <row r="2362" spans="1:17" ht="20.399999999999999">
      <c r="A2362" s="663" t="s">
        <v>546</v>
      </c>
      <c r="B2362" s="3130" t="s">
        <v>692</v>
      </c>
      <c r="C2362" s="663" t="s">
        <v>366</v>
      </c>
      <c r="D2362" s="907" t="s">
        <v>1978</v>
      </c>
      <c r="E2362" s="700" t="s">
        <v>1915</v>
      </c>
      <c r="F2362" s="795">
        <v>2239</v>
      </c>
      <c r="G2362" s="1703" t="s">
        <v>3768</v>
      </c>
      <c r="H2362" s="1672"/>
      <c r="I2362" s="1672">
        <v>13000</v>
      </c>
      <c r="J2362" s="1672"/>
      <c r="K2362" s="1688"/>
      <c r="L2362" s="1672"/>
      <c r="M2362" s="1856">
        <v>13000</v>
      </c>
      <c r="N2362" s="305"/>
      <c r="O2362" s="4"/>
      <c r="P2362" s="4"/>
      <c r="Q2362" s="4"/>
    </row>
    <row r="2363" spans="1:17" ht="20.399999999999999">
      <c r="A2363" s="663" t="s">
        <v>546</v>
      </c>
      <c r="B2363" s="3130" t="s">
        <v>692</v>
      </c>
      <c r="C2363" s="663" t="s">
        <v>366</v>
      </c>
      <c r="D2363" s="907" t="s">
        <v>1978</v>
      </c>
      <c r="E2363" s="700" t="s">
        <v>1915</v>
      </c>
      <c r="F2363" s="795">
        <v>2239</v>
      </c>
      <c r="G2363" s="1703" t="s">
        <v>3768</v>
      </c>
      <c r="H2363" s="1672"/>
      <c r="I2363" s="1672">
        <v>13000</v>
      </c>
      <c r="J2363" s="1672"/>
      <c r="K2363" s="1688"/>
      <c r="L2363" s="1672"/>
      <c r="M2363" s="1856">
        <v>13000</v>
      </c>
      <c r="N2363" s="305"/>
      <c r="O2363" s="187"/>
      <c r="P2363" s="187"/>
      <c r="Q2363" s="187"/>
    </row>
    <row r="2364" spans="1:17" ht="20.399999999999999">
      <c r="A2364" s="663" t="s">
        <v>546</v>
      </c>
      <c r="B2364" s="3130" t="s">
        <v>692</v>
      </c>
      <c r="C2364" s="663" t="s">
        <v>366</v>
      </c>
      <c r="D2364" s="907" t="s">
        <v>1978</v>
      </c>
      <c r="E2364" s="700" t="s">
        <v>1915</v>
      </c>
      <c r="F2364" s="795">
        <v>2239</v>
      </c>
      <c r="G2364" s="1703" t="s">
        <v>3769</v>
      </c>
      <c r="H2364" s="1672"/>
      <c r="I2364" s="1672">
        <v>15000</v>
      </c>
      <c r="J2364" s="1672"/>
      <c r="K2364" s="1688"/>
      <c r="L2364" s="1672"/>
      <c r="M2364" s="1856">
        <v>15000</v>
      </c>
      <c r="N2364" s="305"/>
      <c r="O2364" s="187"/>
      <c r="P2364" s="187"/>
      <c r="Q2364" s="187"/>
    </row>
    <row r="2365" spans="1:17">
      <c r="A2365" s="663" t="s">
        <v>546</v>
      </c>
      <c r="B2365" s="3130" t="s">
        <v>692</v>
      </c>
      <c r="C2365" s="663" t="s">
        <v>366</v>
      </c>
      <c r="D2365" s="907" t="s">
        <v>1978</v>
      </c>
      <c r="E2365" s="700" t="s">
        <v>1915</v>
      </c>
      <c r="F2365" s="795">
        <v>2239</v>
      </c>
      <c r="G2365" s="1703" t="s">
        <v>3770</v>
      </c>
      <c r="H2365" s="1672"/>
      <c r="I2365" s="1672">
        <v>6000</v>
      </c>
      <c r="J2365" s="1672"/>
      <c r="K2365" s="1688"/>
      <c r="L2365" s="1672"/>
      <c r="M2365" s="1856">
        <v>6000</v>
      </c>
      <c r="N2365" s="305"/>
      <c r="O2365" s="187"/>
      <c r="P2365" s="187"/>
      <c r="Q2365" s="187"/>
    </row>
    <row r="2366" spans="1:17">
      <c r="A2366" s="917"/>
      <c r="B2366" s="3149" t="s">
        <v>692</v>
      </c>
      <c r="C2366" s="917" t="s">
        <v>366</v>
      </c>
      <c r="D2366" s="918" t="s">
        <v>1978</v>
      </c>
      <c r="E2366" s="1851" t="s">
        <v>1915</v>
      </c>
      <c r="F2366" s="1852">
        <v>2239</v>
      </c>
      <c r="G2366" s="1853" t="s">
        <v>551</v>
      </c>
      <c r="H2366" s="1854">
        <v>8750</v>
      </c>
      <c r="I2366" s="1854"/>
      <c r="J2366" s="1654"/>
      <c r="K2366" s="1855"/>
      <c r="L2366" s="1854">
        <v>10300</v>
      </c>
      <c r="M2366" s="1854"/>
      <c r="N2366" s="305"/>
      <c r="O2366" s="4"/>
      <c r="P2366" s="4"/>
      <c r="Q2366" s="4"/>
    </row>
    <row r="2367" spans="1:17" ht="20.399999999999999">
      <c r="A2367" s="1858" t="s">
        <v>549</v>
      </c>
      <c r="B2367" s="3140" t="s">
        <v>692</v>
      </c>
      <c r="C2367" s="1858" t="s">
        <v>366</v>
      </c>
      <c r="D2367" s="1859" t="s">
        <v>1978</v>
      </c>
      <c r="E2367" s="1724" t="s">
        <v>1915</v>
      </c>
      <c r="F2367" s="1742">
        <v>2239</v>
      </c>
      <c r="G2367" s="1703" t="s">
        <v>2780</v>
      </c>
      <c r="H2367" s="1672"/>
      <c r="I2367" s="1672">
        <v>3000</v>
      </c>
      <c r="J2367" s="1672"/>
      <c r="K2367" s="1688"/>
      <c r="L2367" s="1672"/>
      <c r="M2367" s="1856"/>
      <c r="N2367" s="305"/>
      <c r="O2367" s="187"/>
      <c r="P2367" s="187"/>
      <c r="Q2367" s="187"/>
    </row>
    <row r="2368" spans="1:17" ht="20.399999999999999">
      <c r="A2368" s="1858" t="s">
        <v>549</v>
      </c>
      <c r="B2368" s="3140" t="s">
        <v>692</v>
      </c>
      <c r="C2368" s="1858" t="s">
        <v>366</v>
      </c>
      <c r="D2368" s="1859" t="s">
        <v>1978</v>
      </c>
      <c r="E2368" s="1724" t="s">
        <v>1915</v>
      </c>
      <c r="F2368" s="1742">
        <v>2239</v>
      </c>
      <c r="G2368" s="1703" t="s">
        <v>2781</v>
      </c>
      <c r="H2368" s="1672"/>
      <c r="I2368" s="1672">
        <v>1000</v>
      </c>
      <c r="J2368" s="1672"/>
      <c r="K2368" s="1688"/>
      <c r="L2368" s="1672"/>
      <c r="M2368" s="1856"/>
      <c r="N2368" s="305"/>
      <c r="O2368" s="4"/>
      <c r="P2368" s="4"/>
      <c r="Q2368" s="4"/>
    </row>
    <row r="2369" spans="1:17">
      <c r="A2369" s="1858" t="s">
        <v>549</v>
      </c>
      <c r="B2369" s="3140" t="s">
        <v>692</v>
      </c>
      <c r="C2369" s="1858" t="s">
        <v>366</v>
      </c>
      <c r="D2369" s="1859" t="s">
        <v>1978</v>
      </c>
      <c r="E2369" s="1724" t="s">
        <v>1915</v>
      </c>
      <c r="F2369" s="1742">
        <v>2239</v>
      </c>
      <c r="G2369" s="1703" t="s">
        <v>2782</v>
      </c>
      <c r="H2369" s="1672"/>
      <c r="I2369" s="1672">
        <v>200</v>
      </c>
      <c r="J2369" s="1672"/>
      <c r="K2369" s="1688"/>
      <c r="L2369" s="1672"/>
      <c r="M2369" s="1856"/>
      <c r="N2369" s="305"/>
      <c r="O2369" s="187"/>
      <c r="P2369" s="187"/>
      <c r="Q2369" s="187"/>
    </row>
    <row r="2370" spans="1:17" ht="30.6" customHeight="1">
      <c r="A2370" s="1858" t="s">
        <v>549</v>
      </c>
      <c r="B2370" s="3140" t="s">
        <v>692</v>
      </c>
      <c r="C2370" s="1858" t="s">
        <v>366</v>
      </c>
      <c r="D2370" s="1859" t="s">
        <v>1978</v>
      </c>
      <c r="E2370" s="1724" t="s">
        <v>1915</v>
      </c>
      <c r="F2370" s="1742">
        <v>2239</v>
      </c>
      <c r="G2370" s="1703" t="s">
        <v>2783</v>
      </c>
      <c r="H2370" s="1672"/>
      <c r="I2370" s="1672">
        <v>300</v>
      </c>
      <c r="J2370" s="1672"/>
      <c r="K2370" s="1688"/>
      <c r="L2370" s="1672"/>
      <c r="M2370" s="1856"/>
      <c r="N2370" s="305"/>
      <c r="O2370" s="187"/>
      <c r="P2370" s="187"/>
      <c r="Q2370" s="187"/>
    </row>
    <row r="2371" spans="1:17">
      <c r="A2371" s="1858" t="s">
        <v>549</v>
      </c>
      <c r="B2371" s="3140" t="s">
        <v>692</v>
      </c>
      <c r="C2371" s="1858" t="s">
        <v>366</v>
      </c>
      <c r="D2371" s="1859" t="s">
        <v>1978</v>
      </c>
      <c r="E2371" s="1724" t="s">
        <v>1915</v>
      </c>
      <c r="F2371" s="1742">
        <v>2239</v>
      </c>
      <c r="G2371" s="1703" t="s">
        <v>2785</v>
      </c>
      <c r="H2371" s="1672"/>
      <c r="I2371" s="1672">
        <v>750</v>
      </c>
      <c r="J2371" s="1672"/>
      <c r="K2371" s="1688"/>
      <c r="L2371" s="1672"/>
      <c r="M2371" s="1856"/>
      <c r="N2371" s="381" t="s">
        <v>3785</v>
      </c>
      <c r="O2371" s="4"/>
      <c r="P2371" s="4"/>
      <c r="Q2371" s="4"/>
    </row>
    <row r="2372" spans="1:17" ht="20.399999999999999">
      <c r="A2372" s="1858" t="s">
        <v>549</v>
      </c>
      <c r="B2372" s="3140" t="s">
        <v>692</v>
      </c>
      <c r="C2372" s="1858" t="s">
        <v>366</v>
      </c>
      <c r="D2372" s="1859" t="s">
        <v>1978</v>
      </c>
      <c r="E2372" s="1724" t="s">
        <v>1915</v>
      </c>
      <c r="F2372" s="1742">
        <v>2239</v>
      </c>
      <c r="G2372" s="1703" t="s">
        <v>2786</v>
      </c>
      <c r="H2372" s="1672"/>
      <c r="I2372" s="1672">
        <v>900</v>
      </c>
      <c r="J2372" s="1672"/>
      <c r="K2372" s="1688"/>
      <c r="L2372" s="1672"/>
      <c r="M2372" s="1856"/>
      <c r="N2372" s="381"/>
      <c r="O2372" s="187"/>
      <c r="P2372" s="187"/>
      <c r="Q2372" s="187"/>
    </row>
    <row r="2373" spans="1:17" ht="20.399999999999999">
      <c r="A2373" s="1670" t="s">
        <v>549</v>
      </c>
      <c r="B2373" s="3140" t="s">
        <v>692</v>
      </c>
      <c r="C2373" s="1670" t="s">
        <v>366</v>
      </c>
      <c r="D2373" s="1863" t="s">
        <v>1978</v>
      </c>
      <c r="E2373" s="1724" t="s">
        <v>1915</v>
      </c>
      <c r="F2373" s="1742">
        <v>2239</v>
      </c>
      <c r="G2373" s="1703" t="s">
        <v>3772</v>
      </c>
      <c r="H2373" s="1672"/>
      <c r="I2373" s="1672">
        <v>300</v>
      </c>
      <c r="J2373" s="1672"/>
      <c r="K2373" s="1688"/>
      <c r="L2373" s="1672"/>
      <c r="M2373" s="1856">
        <v>400</v>
      </c>
      <c r="N2373" s="381"/>
      <c r="O2373" s="187"/>
      <c r="P2373" s="187"/>
      <c r="Q2373" s="187"/>
    </row>
    <row r="2374" spans="1:17">
      <c r="A2374" s="1670" t="s">
        <v>549</v>
      </c>
      <c r="B2374" s="3140" t="s">
        <v>692</v>
      </c>
      <c r="C2374" s="1670" t="s">
        <v>366</v>
      </c>
      <c r="D2374" s="1863" t="s">
        <v>1978</v>
      </c>
      <c r="E2374" s="1724" t="s">
        <v>1915</v>
      </c>
      <c r="F2374" s="1742">
        <v>2239</v>
      </c>
      <c r="G2374" s="1703" t="s">
        <v>2784</v>
      </c>
      <c r="H2374" s="1672"/>
      <c r="I2374" s="1672">
        <v>300</v>
      </c>
      <c r="J2374" s="1672"/>
      <c r="K2374" s="1688"/>
      <c r="L2374" s="1672"/>
      <c r="M2374" s="1856">
        <v>300</v>
      </c>
      <c r="N2374" s="381"/>
      <c r="O2374" s="4"/>
      <c r="P2374" s="4"/>
      <c r="Q2374" s="4"/>
    </row>
    <row r="2375" spans="1:17">
      <c r="A2375" s="1670" t="s">
        <v>549</v>
      </c>
      <c r="B2375" s="3140" t="s">
        <v>692</v>
      </c>
      <c r="C2375" s="1670" t="s">
        <v>366</v>
      </c>
      <c r="D2375" s="1863" t="s">
        <v>1978</v>
      </c>
      <c r="E2375" s="1724" t="s">
        <v>1915</v>
      </c>
      <c r="F2375" s="1742">
        <v>2239</v>
      </c>
      <c r="G2375" s="2605" t="s">
        <v>4890</v>
      </c>
      <c r="H2375" s="2615"/>
      <c r="I2375" s="2615"/>
      <c r="J2375" s="2615"/>
      <c r="K2375" s="2622"/>
      <c r="L2375" s="2615"/>
      <c r="M2375" s="2777">
        <v>400</v>
      </c>
      <c r="N2375" s="305"/>
      <c r="O2375" s="4"/>
      <c r="P2375" s="4"/>
      <c r="Q2375" s="4"/>
    </row>
    <row r="2376" spans="1:17" ht="20.399999999999999">
      <c r="A2376" s="1670" t="s">
        <v>549</v>
      </c>
      <c r="B2376" s="3140" t="s">
        <v>692</v>
      </c>
      <c r="C2376" s="1670" t="s">
        <v>366</v>
      </c>
      <c r="D2376" s="1863" t="s">
        <v>1978</v>
      </c>
      <c r="E2376" s="1724" t="s">
        <v>1915</v>
      </c>
      <c r="F2376" s="1742">
        <v>2239</v>
      </c>
      <c r="G2376" s="1703" t="s">
        <v>3773</v>
      </c>
      <c r="H2376" s="1672"/>
      <c r="I2376" s="1672"/>
      <c r="J2376" s="1672"/>
      <c r="K2376" s="1688"/>
      <c r="L2376" s="1672"/>
      <c r="M2376" s="2778">
        <v>500</v>
      </c>
      <c r="N2376" s="305"/>
    </row>
    <row r="2377" spans="1:17" ht="30.6" customHeight="1">
      <c r="A2377" s="1670" t="s">
        <v>549</v>
      </c>
      <c r="B2377" s="3140" t="s">
        <v>692</v>
      </c>
      <c r="C2377" s="1670" t="s">
        <v>366</v>
      </c>
      <c r="D2377" s="1863" t="s">
        <v>1978</v>
      </c>
      <c r="E2377" s="1724" t="s">
        <v>1915</v>
      </c>
      <c r="F2377" s="1742">
        <v>2239</v>
      </c>
      <c r="G2377" s="1703" t="s">
        <v>3774</v>
      </c>
      <c r="H2377" s="1672"/>
      <c r="I2377" s="1672"/>
      <c r="J2377" s="1672"/>
      <c r="K2377" s="1688"/>
      <c r="L2377" s="1672"/>
      <c r="M2377" s="2778">
        <v>1000</v>
      </c>
      <c r="N2377" s="305"/>
      <c r="O2377" s="4"/>
      <c r="P2377" s="4"/>
      <c r="Q2377" s="4"/>
    </row>
    <row r="2378" spans="1:17" ht="30.6">
      <c r="A2378" s="1670" t="s">
        <v>549</v>
      </c>
      <c r="B2378" s="3140" t="s">
        <v>692</v>
      </c>
      <c r="C2378" s="1670" t="s">
        <v>366</v>
      </c>
      <c r="D2378" s="1863" t="s">
        <v>1978</v>
      </c>
      <c r="E2378" s="1724" t="s">
        <v>1915</v>
      </c>
      <c r="F2378" s="1742">
        <v>2239</v>
      </c>
      <c r="G2378" s="1703" t="s">
        <v>3775</v>
      </c>
      <c r="H2378" s="1672"/>
      <c r="I2378" s="1672"/>
      <c r="J2378" s="1672"/>
      <c r="K2378" s="1688"/>
      <c r="L2378" s="1672"/>
      <c r="M2378" s="2778">
        <v>2500</v>
      </c>
      <c r="N2378" s="305"/>
      <c r="O2378" s="4"/>
      <c r="P2378" s="4"/>
      <c r="Q2378" s="4"/>
    </row>
    <row r="2379" spans="1:17" ht="20.399999999999999">
      <c r="A2379" s="1670" t="s">
        <v>549</v>
      </c>
      <c r="B2379" s="3140" t="s">
        <v>692</v>
      </c>
      <c r="C2379" s="1670" t="s">
        <v>366</v>
      </c>
      <c r="D2379" s="1863" t="s">
        <v>1978</v>
      </c>
      <c r="E2379" s="1724" t="s">
        <v>1915</v>
      </c>
      <c r="F2379" s="1742">
        <v>2239</v>
      </c>
      <c r="G2379" s="1703" t="s">
        <v>3776</v>
      </c>
      <c r="H2379" s="1672"/>
      <c r="I2379" s="1672"/>
      <c r="J2379" s="1672"/>
      <c r="K2379" s="1688"/>
      <c r="L2379" s="1672"/>
      <c r="M2379" s="2778">
        <v>3000</v>
      </c>
      <c r="N2379" s="305"/>
      <c r="O2379" s="4"/>
      <c r="P2379" s="4"/>
      <c r="Q2379" s="4"/>
    </row>
    <row r="2380" spans="1:17">
      <c r="A2380" s="1669" t="s">
        <v>549</v>
      </c>
      <c r="B2380" s="3140" t="s">
        <v>692</v>
      </c>
      <c r="C2380" s="1669" t="s">
        <v>366</v>
      </c>
      <c r="D2380" s="1857" t="s">
        <v>1978</v>
      </c>
      <c r="E2380" s="1724" t="s">
        <v>1915</v>
      </c>
      <c r="F2380" s="1742">
        <v>2239</v>
      </c>
      <c r="G2380" s="1703" t="s">
        <v>2787</v>
      </c>
      <c r="H2380" s="1672"/>
      <c r="I2380" s="1672">
        <v>200</v>
      </c>
      <c r="J2380" s="1672"/>
      <c r="K2380" s="1688"/>
      <c r="L2380" s="1672"/>
      <c r="M2380" s="1856">
        <v>200</v>
      </c>
      <c r="N2380" s="305"/>
      <c r="O2380" s="187"/>
      <c r="P2380" s="187"/>
      <c r="Q2380" s="187"/>
    </row>
    <row r="2381" spans="1:17">
      <c r="A2381" s="1669" t="s">
        <v>549</v>
      </c>
      <c r="B2381" s="3140" t="s">
        <v>692</v>
      </c>
      <c r="C2381" s="1669" t="s">
        <v>366</v>
      </c>
      <c r="D2381" s="1857" t="s">
        <v>1978</v>
      </c>
      <c r="E2381" s="1724" t="s">
        <v>1915</v>
      </c>
      <c r="F2381" s="1742">
        <v>2239</v>
      </c>
      <c r="G2381" s="1703" t="s">
        <v>3778</v>
      </c>
      <c r="H2381" s="1672"/>
      <c r="I2381" s="1672">
        <v>1800</v>
      </c>
      <c r="J2381" s="1672"/>
      <c r="K2381" s="1688"/>
      <c r="L2381" s="1672"/>
      <c r="M2381" s="2778">
        <v>2000</v>
      </c>
      <c r="N2381" s="305"/>
      <c r="O2381" s="187"/>
      <c r="P2381" s="187"/>
      <c r="Q2381" s="187"/>
    </row>
    <row r="2382" spans="1:17" ht="20.399999999999999">
      <c r="A2382" s="917"/>
      <c r="B2382" s="3149" t="s">
        <v>692</v>
      </c>
      <c r="C2382" s="917" t="s">
        <v>366</v>
      </c>
      <c r="D2382" s="918" t="s">
        <v>1978</v>
      </c>
      <c r="E2382" s="1851" t="s">
        <v>1915</v>
      </c>
      <c r="F2382" s="1852">
        <v>2239</v>
      </c>
      <c r="G2382" s="1853" t="s">
        <v>1121</v>
      </c>
      <c r="H2382" s="1854">
        <v>4500</v>
      </c>
      <c r="I2382" s="1854"/>
      <c r="J2382" s="1654"/>
      <c r="K2382" s="1855"/>
      <c r="L2382" s="1854">
        <v>11500</v>
      </c>
      <c r="M2382" s="1854"/>
      <c r="N2382" s="305"/>
      <c r="O2382" s="4"/>
      <c r="P2382" s="4"/>
      <c r="Q2382" s="4"/>
    </row>
    <row r="2383" spans="1:17">
      <c r="A2383" s="663" t="s">
        <v>550</v>
      </c>
      <c r="B2383" s="3130" t="s">
        <v>692</v>
      </c>
      <c r="C2383" s="663" t="s">
        <v>366</v>
      </c>
      <c r="D2383" s="907" t="s">
        <v>1978</v>
      </c>
      <c r="E2383" s="700" t="s">
        <v>1915</v>
      </c>
      <c r="F2383" s="795">
        <v>2239</v>
      </c>
      <c r="G2383" s="750" t="s">
        <v>1122</v>
      </c>
      <c r="H2383" s="701"/>
      <c r="I2383" s="701">
        <v>5000</v>
      </c>
      <c r="J2383" s="1654" t="s">
        <v>1134</v>
      </c>
      <c r="K2383" s="792"/>
      <c r="L2383" s="701"/>
      <c r="M2383" s="1856">
        <v>10000</v>
      </c>
      <c r="N2383" s="305"/>
      <c r="O2383" s="4"/>
      <c r="P2383" s="4"/>
      <c r="Q2383" s="4"/>
    </row>
    <row r="2384" spans="1:17" ht="20.399999999999999">
      <c r="A2384" s="603"/>
      <c r="B2384" s="3130" t="s">
        <v>692</v>
      </c>
      <c r="C2384" s="663" t="s">
        <v>366</v>
      </c>
      <c r="D2384" s="907" t="s">
        <v>1978</v>
      </c>
      <c r="E2384" s="700" t="s">
        <v>1915</v>
      </c>
      <c r="F2384" s="795">
        <v>2239</v>
      </c>
      <c r="G2384" s="1153" t="s">
        <v>3103</v>
      </c>
      <c r="H2384" s="1165"/>
      <c r="I2384" s="1165">
        <v>-1000</v>
      </c>
      <c r="J2384" s="1654" t="s">
        <v>1134</v>
      </c>
      <c r="K2384" s="1439"/>
      <c r="L2384" s="1165"/>
      <c r="M2384" s="1456"/>
      <c r="N2384" s="305"/>
    </row>
    <row r="2385" spans="1:17" ht="20.399999999999999">
      <c r="A2385" s="603"/>
      <c r="B2385" s="3130" t="s">
        <v>692</v>
      </c>
      <c r="C2385" s="663" t="s">
        <v>366</v>
      </c>
      <c r="D2385" s="907" t="s">
        <v>1978</v>
      </c>
      <c r="E2385" s="700" t="s">
        <v>1915</v>
      </c>
      <c r="F2385" s="795">
        <v>2239</v>
      </c>
      <c r="G2385" s="1153" t="s">
        <v>3118</v>
      </c>
      <c r="H2385" s="1165"/>
      <c r="I2385" s="1165">
        <v>-1000</v>
      </c>
      <c r="J2385" s="1654" t="s">
        <v>1134</v>
      </c>
      <c r="K2385" s="1439"/>
      <c r="L2385" s="1165"/>
      <c r="M2385" s="1456"/>
      <c r="N2385" s="305"/>
    </row>
    <row r="2386" spans="1:17">
      <c r="A2386" s="603"/>
      <c r="B2386" s="3130" t="s">
        <v>692</v>
      </c>
      <c r="C2386" s="663" t="s">
        <v>366</v>
      </c>
      <c r="D2386" s="907" t="s">
        <v>1978</v>
      </c>
      <c r="E2386" s="700" t="s">
        <v>1915</v>
      </c>
      <c r="F2386" s="795">
        <v>2239</v>
      </c>
      <c r="G2386" s="1703" t="s">
        <v>1703</v>
      </c>
      <c r="H2386" s="1672"/>
      <c r="I2386" s="1672">
        <v>1500</v>
      </c>
      <c r="J2386" s="1672"/>
      <c r="K2386" s="1688"/>
      <c r="L2386" s="1672"/>
      <c r="M2386" s="1856">
        <v>1500</v>
      </c>
      <c r="N2386" s="305"/>
      <c r="O2386" s="4"/>
      <c r="P2386" s="4"/>
      <c r="Q2386" s="4"/>
    </row>
    <row r="2387" spans="1:17">
      <c r="A2387" s="1575" t="s">
        <v>544</v>
      </c>
      <c r="B2387" s="1586" t="s">
        <v>772</v>
      </c>
      <c r="C2387" s="1575" t="s">
        <v>320</v>
      </c>
      <c r="D2387" s="1618" t="s">
        <v>1978</v>
      </c>
      <c r="E2387" s="1586" t="s">
        <v>1915</v>
      </c>
      <c r="F2387" s="1577">
        <v>2241</v>
      </c>
      <c r="G2387" s="1578" t="s">
        <v>1303</v>
      </c>
      <c r="H2387" s="1587">
        <v>1425</v>
      </c>
      <c r="I2387" s="1587"/>
      <c r="J2387" s="1587">
        <v>1425</v>
      </c>
      <c r="K2387" s="1595"/>
      <c r="L2387" s="1592">
        <v>0</v>
      </c>
      <c r="M2387" s="1592"/>
      <c r="N2387" s="305"/>
    </row>
    <row r="2388" spans="1:17" ht="20.399999999999999">
      <c r="A2388" s="1495"/>
      <c r="B2388" s="1590" t="s">
        <v>772</v>
      </c>
      <c r="C2388" s="1495" t="s">
        <v>320</v>
      </c>
      <c r="D2388" s="1617" t="s">
        <v>1978</v>
      </c>
      <c r="E2388" s="1590" t="s">
        <v>1915</v>
      </c>
      <c r="F2388" s="1574">
        <v>2241</v>
      </c>
      <c r="G2388" s="1548" t="s">
        <v>3398</v>
      </c>
      <c r="H2388" s="1619"/>
      <c r="I2388" s="1549">
        <v>1425</v>
      </c>
      <c r="J2388" s="1549"/>
      <c r="K2388" s="1558"/>
      <c r="L2388" s="1620"/>
      <c r="M2388" s="1552"/>
      <c r="N2388" s="305"/>
      <c r="O2388" s="4"/>
      <c r="P2388" s="4"/>
      <c r="Q2388" s="4"/>
    </row>
    <row r="2389" spans="1:17">
      <c r="A2389" s="683" t="s">
        <v>544</v>
      </c>
      <c r="B2389" s="720" t="s">
        <v>772</v>
      </c>
      <c r="C2389" s="683" t="s">
        <v>320</v>
      </c>
      <c r="D2389" s="906" t="s">
        <v>1978</v>
      </c>
      <c r="E2389" s="720" t="s">
        <v>1915</v>
      </c>
      <c r="F2389" s="824">
        <v>2243</v>
      </c>
      <c r="G2389" s="800" t="s">
        <v>159</v>
      </c>
      <c r="H2389" s="706">
        <v>5775</v>
      </c>
      <c r="I2389" s="706"/>
      <c r="J2389" s="1654">
        <v>1785</v>
      </c>
      <c r="K2389" s="802"/>
      <c r="L2389" s="706">
        <v>7200</v>
      </c>
      <c r="M2389" s="706"/>
      <c r="N2389" s="305"/>
    </row>
    <row r="2390" spans="1:17" ht="20.399999999999999">
      <c r="A2390" s="663"/>
      <c r="B2390" s="700" t="s">
        <v>772</v>
      </c>
      <c r="C2390" s="663" t="s">
        <v>320</v>
      </c>
      <c r="D2390" s="907" t="s">
        <v>1978</v>
      </c>
      <c r="E2390" s="700" t="s">
        <v>1915</v>
      </c>
      <c r="F2390" s="795">
        <v>2243</v>
      </c>
      <c r="G2390" s="1703" t="s">
        <v>250</v>
      </c>
      <c r="H2390" s="1866"/>
      <c r="I2390" s="1672">
        <v>600</v>
      </c>
      <c r="J2390" s="1672"/>
      <c r="K2390" s="1688"/>
      <c r="L2390" s="1866"/>
      <c r="M2390" s="1672">
        <v>600</v>
      </c>
      <c r="N2390" s="305"/>
    </row>
    <row r="2391" spans="1:17" ht="20.399999999999999">
      <c r="A2391" s="663"/>
      <c r="B2391" s="700" t="s">
        <v>772</v>
      </c>
      <c r="C2391" s="663" t="s">
        <v>320</v>
      </c>
      <c r="D2391" s="907" t="s">
        <v>1978</v>
      </c>
      <c r="E2391" s="700" t="s">
        <v>1915</v>
      </c>
      <c r="F2391" s="795">
        <v>2243</v>
      </c>
      <c r="G2391" s="1703" t="s">
        <v>1448</v>
      </c>
      <c r="H2391" s="1866"/>
      <c r="I2391" s="1672">
        <v>4000</v>
      </c>
      <c r="J2391" s="1672"/>
      <c r="K2391" s="1688"/>
      <c r="L2391" s="1866"/>
      <c r="M2391" s="1672">
        <v>4000</v>
      </c>
      <c r="N2391" s="305"/>
    </row>
    <row r="2392" spans="1:17" ht="20.399999999999999">
      <c r="A2392" s="663"/>
      <c r="B2392" s="700" t="s">
        <v>772</v>
      </c>
      <c r="C2392" s="663" t="s">
        <v>320</v>
      </c>
      <c r="D2392" s="907" t="s">
        <v>1978</v>
      </c>
      <c r="E2392" s="700" t="s">
        <v>1915</v>
      </c>
      <c r="F2392" s="795">
        <v>2243</v>
      </c>
      <c r="G2392" s="1703" t="s">
        <v>3781</v>
      </c>
      <c r="H2392" s="1866"/>
      <c r="I2392" s="1672">
        <v>800</v>
      </c>
      <c r="J2392" s="1672"/>
      <c r="K2392" s="1688"/>
      <c r="L2392" s="1866"/>
      <c r="M2392" s="1672">
        <v>800</v>
      </c>
      <c r="N2392" s="381"/>
    </row>
    <row r="2393" spans="1:17" ht="30.6" customHeight="1">
      <c r="A2393" s="663"/>
      <c r="B2393" s="700" t="s">
        <v>772</v>
      </c>
      <c r="C2393" s="663" t="s">
        <v>320</v>
      </c>
      <c r="D2393" s="907" t="s">
        <v>1978</v>
      </c>
      <c r="E2393" s="700" t="s">
        <v>1915</v>
      </c>
      <c r="F2393" s="795">
        <v>2243</v>
      </c>
      <c r="G2393" s="1703" t="s">
        <v>251</v>
      </c>
      <c r="H2393" s="1866"/>
      <c r="I2393" s="1672">
        <v>500</v>
      </c>
      <c r="J2393" s="1672"/>
      <c r="K2393" s="1688"/>
      <c r="L2393" s="1866"/>
      <c r="M2393" s="1672">
        <v>400</v>
      </c>
      <c r="N2393" s="305"/>
    </row>
    <row r="2394" spans="1:17">
      <c r="A2394" s="663"/>
      <c r="B2394" s="700" t="s">
        <v>772</v>
      </c>
      <c r="C2394" s="663" t="s">
        <v>320</v>
      </c>
      <c r="D2394" s="907" t="s">
        <v>1978</v>
      </c>
      <c r="E2394" s="700" t="s">
        <v>1915</v>
      </c>
      <c r="F2394" s="795">
        <v>2243</v>
      </c>
      <c r="G2394" s="1703" t="s">
        <v>3782</v>
      </c>
      <c r="H2394" s="1866"/>
      <c r="I2394" s="1672">
        <v>300</v>
      </c>
      <c r="J2394" s="1672"/>
      <c r="K2394" s="1688"/>
      <c r="L2394" s="1866"/>
      <c r="M2394" s="1672">
        <v>400</v>
      </c>
      <c r="N2394" s="305"/>
    </row>
    <row r="2395" spans="1:17" ht="20.399999999999999">
      <c r="A2395" s="663"/>
      <c r="B2395" s="700" t="s">
        <v>772</v>
      </c>
      <c r="C2395" s="663" t="s">
        <v>320</v>
      </c>
      <c r="D2395" s="907" t="s">
        <v>1978</v>
      </c>
      <c r="E2395" s="700" t="s">
        <v>1915</v>
      </c>
      <c r="F2395" s="795">
        <v>2243</v>
      </c>
      <c r="G2395" s="1703" t="s">
        <v>3783</v>
      </c>
      <c r="H2395" s="1866"/>
      <c r="I2395" s="1672">
        <v>1000</v>
      </c>
      <c r="J2395" s="1672"/>
      <c r="K2395" s="1688"/>
      <c r="L2395" s="1866"/>
      <c r="M2395" s="1672">
        <v>1000</v>
      </c>
      <c r="N2395" s="305"/>
    </row>
    <row r="2396" spans="1:17" ht="20.399999999999999">
      <c r="A2396" s="1495"/>
      <c r="B2396" s="1590" t="s">
        <v>772</v>
      </c>
      <c r="C2396" s="1495" t="s">
        <v>320</v>
      </c>
      <c r="D2396" s="1617" t="s">
        <v>1978</v>
      </c>
      <c r="E2396" s="1590" t="s">
        <v>1915</v>
      </c>
      <c r="F2396" s="795">
        <v>2243</v>
      </c>
      <c r="G2396" s="1569" t="s">
        <v>3398</v>
      </c>
      <c r="H2396" s="1623"/>
      <c r="I2396" s="1557">
        <v>-1425</v>
      </c>
      <c r="J2396" s="1557"/>
      <c r="K2396" s="1563"/>
      <c r="L2396" s="1623"/>
      <c r="M2396" s="1557"/>
      <c r="N2396" s="305"/>
    </row>
    <row r="2397" spans="1:17">
      <c r="A2397" s="683"/>
      <c r="B2397" s="720" t="s">
        <v>772</v>
      </c>
      <c r="C2397" s="683" t="s">
        <v>322</v>
      </c>
      <c r="D2397" s="906" t="s">
        <v>1978</v>
      </c>
      <c r="E2397" s="720" t="s">
        <v>1915</v>
      </c>
      <c r="F2397" s="824">
        <v>2247</v>
      </c>
      <c r="G2397" s="800" t="s">
        <v>161</v>
      </c>
      <c r="H2397" s="706">
        <v>1600</v>
      </c>
      <c r="I2397" s="706"/>
      <c r="J2397" s="1654">
        <v>1637</v>
      </c>
      <c r="K2397" s="802"/>
      <c r="L2397" s="706">
        <v>1600</v>
      </c>
      <c r="M2397" s="706"/>
      <c r="N2397" s="305"/>
      <c r="O2397" s="4"/>
      <c r="P2397" s="4"/>
      <c r="Q2397" s="4"/>
    </row>
    <row r="2398" spans="1:17">
      <c r="A2398" s="663"/>
      <c r="B2398" s="700" t="s">
        <v>772</v>
      </c>
      <c r="C2398" s="663" t="s">
        <v>322</v>
      </c>
      <c r="D2398" s="907" t="s">
        <v>1978</v>
      </c>
      <c r="E2398" s="700" t="s">
        <v>1915</v>
      </c>
      <c r="F2398" s="795">
        <v>2247</v>
      </c>
      <c r="G2398" s="750" t="s">
        <v>1445</v>
      </c>
      <c r="H2398" s="922"/>
      <c r="I2398" s="701">
        <v>1600</v>
      </c>
      <c r="J2398" s="1654" t="s">
        <v>1134</v>
      </c>
      <c r="K2398" s="792"/>
      <c r="L2398" s="922"/>
      <c r="M2398" s="701">
        <v>1600</v>
      </c>
      <c r="N2398" s="305"/>
    </row>
    <row r="2399" spans="1:17">
      <c r="A2399" s="908"/>
      <c r="B2399" s="700" t="s">
        <v>772</v>
      </c>
      <c r="C2399" s="663" t="s">
        <v>322</v>
      </c>
      <c r="D2399" s="907" t="s">
        <v>1978</v>
      </c>
      <c r="E2399" s="700" t="s">
        <v>1915</v>
      </c>
      <c r="F2399" s="795">
        <v>2247</v>
      </c>
      <c r="G2399" s="812"/>
      <c r="H2399" s="1867"/>
      <c r="I2399" s="708"/>
      <c r="J2399" s="1654" t="s">
        <v>1134</v>
      </c>
      <c r="K2399" s="802"/>
      <c r="L2399" s="921"/>
      <c r="M2399" s="921"/>
      <c r="N2399" s="1878" t="s">
        <v>3788</v>
      </c>
    </row>
    <row r="2400" spans="1:17" ht="30.6" customHeight="1">
      <c r="A2400" s="683"/>
      <c r="B2400" s="720" t="s">
        <v>772</v>
      </c>
      <c r="C2400" s="683" t="s">
        <v>322</v>
      </c>
      <c r="D2400" s="906" t="s">
        <v>1978</v>
      </c>
      <c r="E2400" s="720" t="s">
        <v>1915</v>
      </c>
      <c r="F2400" s="824">
        <v>2249</v>
      </c>
      <c r="G2400" s="800" t="s">
        <v>282</v>
      </c>
      <c r="H2400" s="706">
        <v>600</v>
      </c>
      <c r="I2400" s="706"/>
      <c r="J2400" s="1654">
        <v>1637</v>
      </c>
      <c r="K2400" s="802"/>
      <c r="L2400" s="706">
        <v>1500</v>
      </c>
      <c r="M2400" s="706"/>
      <c r="N2400" s="1878"/>
    </row>
    <row r="2401" spans="1:17">
      <c r="A2401" s="663"/>
      <c r="B2401" s="700" t="s">
        <v>772</v>
      </c>
      <c r="C2401" s="663" t="s">
        <v>322</v>
      </c>
      <c r="D2401" s="907" t="s">
        <v>1978</v>
      </c>
      <c r="E2401" s="700" t="s">
        <v>1915</v>
      </c>
      <c r="F2401" s="795">
        <v>2249</v>
      </c>
      <c r="G2401" s="750" t="s">
        <v>665</v>
      </c>
      <c r="H2401" s="922"/>
      <c r="I2401" s="701">
        <v>600</v>
      </c>
      <c r="J2401" s="1654">
        <v>278</v>
      </c>
      <c r="K2401" s="792"/>
      <c r="L2401" s="922"/>
      <c r="M2401" s="701">
        <v>1500</v>
      </c>
      <c r="N2401" s="1878"/>
    </row>
    <row r="2402" spans="1:17">
      <c r="A2402" s="683"/>
      <c r="B2402" s="720" t="s">
        <v>772</v>
      </c>
      <c r="C2402" s="683" t="s">
        <v>322</v>
      </c>
      <c r="D2402" s="906" t="s">
        <v>1978</v>
      </c>
      <c r="E2402" s="720" t="s">
        <v>1915</v>
      </c>
      <c r="F2402" s="685">
        <v>2250</v>
      </c>
      <c r="G2402" s="686" t="s">
        <v>778</v>
      </c>
      <c r="H2402" s="689">
        <v>300</v>
      </c>
      <c r="I2402" s="689"/>
      <c r="J2402" s="1494">
        <v>899</v>
      </c>
      <c r="K2402" s="690"/>
      <c r="L2402" s="706">
        <v>300</v>
      </c>
      <c r="M2402" s="706"/>
      <c r="N2402" s="305" t="s">
        <v>3792</v>
      </c>
    </row>
    <row r="2403" spans="1:17">
      <c r="A2403" s="663"/>
      <c r="B2403" s="700" t="s">
        <v>772</v>
      </c>
      <c r="C2403" s="663" t="s">
        <v>322</v>
      </c>
      <c r="D2403" s="907" t="s">
        <v>1978</v>
      </c>
      <c r="E2403" s="700" t="s">
        <v>1915</v>
      </c>
      <c r="F2403" s="679">
        <v>2250</v>
      </c>
      <c r="G2403" s="1868" t="s">
        <v>489</v>
      </c>
      <c r="H2403" s="1865"/>
      <c r="I2403" s="1676">
        <v>0</v>
      </c>
      <c r="J2403" s="1676"/>
      <c r="K2403" s="1674"/>
      <c r="L2403" s="1866"/>
      <c r="M2403" s="1672"/>
      <c r="N2403" s="305"/>
    </row>
    <row r="2404" spans="1:17">
      <c r="A2404" s="663"/>
      <c r="B2404" s="700" t="s">
        <v>772</v>
      </c>
      <c r="C2404" s="663" t="s">
        <v>322</v>
      </c>
      <c r="D2404" s="907" t="s">
        <v>1978</v>
      </c>
      <c r="E2404" s="700" t="s">
        <v>1915</v>
      </c>
      <c r="F2404" s="679">
        <v>2250</v>
      </c>
      <c r="G2404" s="1868" t="s">
        <v>137</v>
      </c>
      <c r="H2404" s="1865"/>
      <c r="I2404" s="1776">
        <v>0</v>
      </c>
      <c r="J2404" s="1676"/>
      <c r="K2404" s="1674"/>
      <c r="L2404" s="1866"/>
      <c r="M2404" s="1672"/>
      <c r="N2404" s="305"/>
    </row>
    <row r="2405" spans="1:17">
      <c r="A2405" s="663"/>
      <c r="B2405" s="700" t="s">
        <v>772</v>
      </c>
      <c r="C2405" s="663" t="s">
        <v>322</v>
      </c>
      <c r="D2405" s="907" t="s">
        <v>1978</v>
      </c>
      <c r="E2405" s="700" t="s">
        <v>1915</v>
      </c>
      <c r="F2405" s="679">
        <v>2250</v>
      </c>
      <c r="G2405" s="1699" t="s">
        <v>425</v>
      </c>
      <c r="H2405" s="1869"/>
      <c r="I2405" s="1700">
        <v>300</v>
      </c>
      <c r="J2405" s="1700"/>
      <c r="K2405" s="1702"/>
      <c r="L2405" s="1866"/>
      <c r="M2405" s="1672">
        <v>300</v>
      </c>
      <c r="N2405" s="305"/>
    </row>
    <row r="2406" spans="1:17">
      <c r="A2406" s="683"/>
      <c r="B2406" s="720" t="s">
        <v>772</v>
      </c>
      <c r="C2406" s="683" t="s">
        <v>322</v>
      </c>
      <c r="D2406" s="906" t="s">
        <v>1978</v>
      </c>
      <c r="E2406" s="720" t="s">
        <v>1915</v>
      </c>
      <c r="F2406" s="824">
        <v>2264</v>
      </c>
      <c r="G2406" s="800" t="s">
        <v>125</v>
      </c>
      <c r="H2406" s="706">
        <v>3900</v>
      </c>
      <c r="I2406" s="706"/>
      <c r="J2406" s="1654"/>
      <c r="K2406" s="802"/>
      <c r="L2406" s="706">
        <v>3900</v>
      </c>
      <c r="M2406" s="706"/>
      <c r="N2406" s="305"/>
      <c r="O2406" s="4"/>
      <c r="P2406" s="4"/>
      <c r="Q2406" s="4"/>
    </row>
    <row r="2407" spans="1:17" ht="20.399999999999999">
      <c r="A2407" s="663"/>
      <c r="B2407" s="700" t="s">
        <v>772</v>
      </c>
      <c r="C2407" s="663" t="s">
        <v>322</v>
      </c>
      <c r="D2407" s="907" t="s">
        <v>1978</v>
      </c>
      <c r="E2407" s="700" t="s">
        <v>1915</v>
      </c>
      <c r="F2407" s="795">
        <v>2264</v>
      </c>
      <c r="G2407" s="1703" t="s">
        <v>439</v>
      </c>
      <c r="H2407" s="1866"/>
      <c r="I2407" s="1672">
        <v>2500</v>
      </c>
      <c r="J2407" s="1672"/>
      <c r="K2407" s="1688"/>
      <c r="L2407" s="1866"/>
      <c r="M2407" s="1672">
        <v>2500</v>
      </c>
      <c r="N2407" s="305"/>
      <c r="O2407" s="4"/>
      <c r="P2407" s="4"/>
      <c r="Q2407" s="4"/>
    </row>
    <row r="2408" spans="1:17" ht="30.6">
      <c r="A2408" s="663"/>
      <c r="B2408" s="700" t="s">
        <v>772</v>
      </c>
      <c r="C2408" s="663" t="s">
        <v>322</v>
      </c>
      <c r="D2408" s="907" t="s">
        <v>1978</v>
      </c>
      <c r="E2408" s="700" t="s">
        <v>1915</v>
      </c>
      <c r="F2408" s="795">
        <v>2264</v>
      </c>
      <c r="G2408" s="1703" t="s">
        <v>609</v>
      </c>
      <c r="H2408" s="1866"/>
      <c r="I2408" s="1672">
        <v>500</v>
      </c>
      <c r="J2408" s="1672"/>
      <c r="K2408" s="1688"/>
      <c r="L2408" s="1866"/>
      <c r="M2408" s="1672">
        <v>500</v>
      </c>
      <c r="N2408" s="305" t="s">
        <v>3793</v>
      </c>
      <c r="O2408" s="4"/>
      <c r="P2408" s="4"/>
      <c r="Q2408" s="4"/>
    </row>
    <row r="2409" spans="1:17">
      <c r="A2409" s="663"/>
      <c r="B2409" s="700" t="s">
        <v>772</v>
      </c>
      <c r="C2409" s="663" t="s">
        <v>322</v>
      </c>
      <c r="D2409" s="907" t="s">
        <v>1978</v>
      </c>
      <c r="E2409" s="700" t="s">
        <v>1915</v>
      </c>
      <c r="F2409" s="795">
        <v>2264</v>
      </c>
      <c r="G2409" s="1703" t="s">
        <v>743</v>
      </c>
      <c r="H2409" s="1866"/>
      <c r="I2409" s="1672">
        <v>900</v>
      </c>
      <c r="J2409" s="1672"/>
      <c r="K2409" s="1688"/>
      <c r="L2409" s="1866"/>
      <c r="M2409" s="1672">
        <v>900</v>
      </c>
      <c r="N2409" s="305"/>
      <c r="O2409" s="4"/>
      <c r="P2409" s="4"/>
      <c r="Q2409" s="4"/>
    </row>
    <row r="2410" spans="1:17">
      <c r="A2410" s="683"/>
      <c r="B2410" s="3129" t="s">
        <v>692</v>
      </c>
      <c r="C2410" s="683" t="s">
        <v>366</v>
      </c>
      <c r="D2410" s="906" t="s">
        <v>1978</v>
      </c>
      <c r="E2410" s="720" t="s">
        <v>1915</v>
      </c>
      <c r="F2410" s="824">
        <v>2264</v>
      </c>
      <c r="G2410" s="800" t="s">
        <v>125</v>
      </c>
      <c r="H2410" s="706">
        <v>8433</v>
      </c>
      <c r="I2410" s="706"/>
      <c r="J2410" s="1654">
        <v>9900</v>
      </c>
      <c r="K2410" s="802"/>
      <c r="L2410" s="706">
        <v>0</v>
      </c>
      <c r="M2410" s="706"/>
      <c r="N2410" s="305" t="s">
        <v>3793</v>
      </c>
      <c r="O2410" s="4"/>
      <c r="P2410" s="4"/>
      <c r="Q2410" s="4"/>
    </row>
    <row r="2411" spans="1:17" ht="20.399999999999999">
      <c r="A2411" s="663" t="s">
        <v>545</v>
      </c>
      <c r="B2411" s="3130" t="s">
        <v>692</v>
      </c>
      <c r="C2411" s="663" t="s">
        <v>366</v>
      </c>
      <c r="D2411" s="907" t="s">
        <v>1978</v>
      </c>
      <c r="E2411" s="700" t="s">
        <v>1915</v>
      </c>
      <c r="F2411" s="795">
        <v>2264</v>
      </c>
      <c r="G2411" s="750" t="s">
        <v>3102</v>
      </c>
      <c r="H2411" s="701"/>
      <c r="I2411" s="701">
        <v>3000</v>
      </c>
      <c r="J2411" s="1654" t="s">
        <v>1134</v>
      </c>
      <c r="K2411" s="792"/>
      <c r="L2411" s="701"/>
      <c r="M2411" s="714"/>
      <c r="N2411" s="305"/>
      <c r="O2411" s="4"/>
      <c r="P2411" s="4"/>
      <c r="Q2411" s="4"/>
    </row>
    <row r="2412" spans="1:17" ht="81.599999999999994">
      <c r="A2412" s="603"/>
      <c r="B2412" s="3130" t="s">
        <v>692</v>
      </c>
      <c r="C2412" s="663" t="s">
        <v>366</v>
      </c>
      <c r="D2412" s="907" t="s">
        <v>1978</v>
      </c>
      <c r="E2412" s="700" t="s">
        <v>1915</v>
      </c>
      <c r="F2412" s="795">
        <v>2264</v>
      </c>
      <c r="G2412" s="1153" t="s">
        <v>3287</v>
      </c>
      <c r="H2412" s="1165"/>
      <c r="I2412" s="1165">
        <v>2637</v>
      </c>
      <c r="J2412" s="1654" t="s">
        <v>1134</v>
      </c>
      <c r="K2412" s="1439"/>
      <c r="L2412" s="1165"/>
      <c r="M2412" s="1456"/>
      <c r="N2412" s="381" t="s">
        <v>3794</v>
      </c>
    </row>
    <row r="2413" spans="1:17" ht="40.799999999999997">
      <c r="A2413" s="603"/>
      <c r="B2413" s="3130" t="s">
        <v>692</v>
      </c>
      <c r="C2413" s="663" t="s">
        <v>366</v>
      </c>
      <c r="D2413" s="907" t="s">
        <v>1978</v>
      </c>
      <c r="E2413" s="700" t="s">
        <v>1915</v>
      </c>
      <c r="F2413" s="795">
        <v>2264</v>
      </c>
      <c r="G2413" s="1153" t="s">
        <v>3288</v>
      </c>
      <c r="H2413" s="1165"/>
      <c r="I2413" s="1165">
        <v>2796</v>
      </c>
      <c r="J2413" s="1654" t="s">
        <v>1134</v>
      </c>
      <c r="K2413" s="1439"/>
      <c r="L2413" s="1165"/>
      <c r="M2413" s="1456"/>
      <c r="N2413" s="305"/>
    </row>
    <row r="2414" spans="1:17">
      <c r="A2414" s="683"/>
      <c r="B2414" s="3129" t="s">
        <v>692</v>
      </c>
      <c r="C2414" s="683" t="s">
        <v>366</v>
      </c>
      <c r="D2414" s="906" t="s">
        <v>1978</v>
      </c>
      <c r="E2414" s="720" t="s">
        <v>1915</v>
      </c>
      <c r="F2414" s="824">
        <v>2269</v>
      </c>
      <c r="G2414" s="800" t="s">
        <v>1886</v>
      </c>
      <c r="H2414" s="706">
        <v>242</v>
      </c>
      <c r="I2414" s="706"/>
      <c r="J2414" s="1654">
        <v>242</v>
      </c>
      <c r="K2414" s="802"/>
      <c r="L2414" s="706">
        <v>0</v>
      </c>
      <c r="M2414" s="706"/>
      <c r="N2414" s="305"/>
    </row>
    <row r="2415" spans="1:17" ht="30.6">
      <c r="A2415" s="663" t="s">
        <v>545</v>
      </c>
      <c r="B2415" s="3130" t="s">
        <v>692</v>
      </c>
      <c r="C2415" s="663" t="s">
        <v>366</v>
      </c>
      <c r="D2415" s="907" t="s">
        <v>1978</v>
      </c>
      <c r="E2415" s="700" t="s">
        <v>1915</v>
      </c>
      <c r="F2415" s="795">
        <v>2269</v>
      </c>
      <c r="G2415" s="1153" t="s">
        <v>3183</v>
      </c>
      <c r="H2415" s="701"/>
      <c r="I2415" s="701">
        <v>242</v>
      </c>
      <c r="J2415" s="1654" t="s">
        <v>1134</v>
      </c>
      <c r="K2415" s="792"/>
      <c r="L2415" s="701"/>
      <c r="M2415" s="714"/>
      <c r="N2415" s="305"/>
      <c r="O2415" s="4"/>
      <c r="P2415" s="4"/>
      <c r="Q2415" s="4"/>
    </row>
    <row r="2416" spans="1:17">
      <c r="A2416" s="683"/>
      <c r="B2416" s="720" t="s">
        <v>772</v>
      </c>
      <c r="C2416" s="683" t="s">
        <v>320</v>
      </c>
      <c r="D2416" s="906" t="s">
        <v>1978</v>
      </c>
      <c r="E2416" s="720" t="s">
        <v>1915</v>
      </c>
      <c r="F2416" s="824">
        <v>2311</v>
      </c>
      <c r="G2416" s="800" t="s">
        <v>129</v>
      </c>
      <c r="H2416" s="706">
        <v>1500</v>
      </c>
      <c r="I2416" s="706"/>
      <c r="J2416" s="1654">
        <v>146.63</v>
      </c>
      <c r="K2416" s="802"/>
      <c r="L2416" s="706">
        <v>1500</v>
      </c>
      <c r="M2416" s="706"/>
      <c r="N2416" s="305"/>
      <c r="O2416" s="4"/>
      <c r="P2416" s="4"/>
      <c r="Q2416" s="4"/>
    </row>
    <row r="2417" spans="1:17" ht="30.6">
      <c r="A2417" s="663"/>
      <c r="B2417" s="700" t="s">
        <v>772</v>
      </c>
      <c r="C2417" s="663" t="s">
        <v>320</v>
      </c>
      <c r="D2417" s="907" t="s">
        <v>1978</v>
      </c>
      <c r="E2417" s="700" t="s">
        <v>1915</v>
      </c>
      <c r="F2417" s="795">
        <v>2311</v>
      </c>
      <c r="G2417" s="1703" t="s">
        <v>255</v>
      </c>
      <c r="H2417" s="1866"/>
      <c r="I2417" s="1672">
        <v>200</v>
      </c>
      <c r="J2417" s="1672"/>
      <c r="K2417" s="1688"/>
      <c r="L2417" s="1866"/>
      <c r="M2417" s="1672">
        <v>200</v>
      </c>
      <c r="N2417" s="305"/>
      <c r="O2417" s="4"/>
      <c r="P2417" s="4"/>
      <c r="Q2417" s="4"/>
    </row>
    <row r="2418" spans="1:17">
      <c r="A2418" s="663"/>
      <c r="B2418" s="700" t="s">
        <v>772</v>
      </c>
      <c r="C2418" s="663" t="s">
        <v>320</v>
      </c>
      <c r="D2418" s="907" t="s">
        <v>1978</v>
      </c>
      <c r="E2418" s="700" t="s">
        <v>1915</v>
      </c>
      <c r="F2418" s="795">
        <v>2311</v>
      </c>
      <c r="G2418" s="1703" t="s">
        <v>243</v>
      </c>
      <c r="H2418" s="1866"/>
      <c r="I2418" s="1672">
        <v>200</v>
      </c>
      <c r="J2418" s="1672"/>
      <c r="K2418" s="1688"/>
      <c r="L2418" s="1866"/>
      <c r="M2418" s="1672">
        <v>200</v>
      </c>
      <c r="N2418" s="305"/>
      <c r="O2418" s="4"/>
      <c r="P2418" s="4"/>
      <c r="Q2418" s="4"/>
    </row>
    <row r="2419" spans="1:17" ht="20.399999999999999">
      <c r="A2419" s="663"/>
      <c r="B2419" s="700" t="s">
        <v>772</v>
      </c>
      <c r="C2419" s="663" t="s">
        <v>320</v>
      </c>
      <c r="D2419" s="907" t="s">
        <v>1978</v>
      </c>
      <c r="E2419" s="700" t="s">
        <v>1915</v>
      </c>
      <c r="F2419" s="795">
        <v>2311</v>
      </c>
      <c r="G2419" s="1703" t="s">
        <v>361</v>
      </c>
      <c r="H2419" s="1866"/>
      <c r="I2419" s="1672">
        <v>100</v>
      </c>
      <c r="J2419" s="1672"/>
      <c r="K2419" s="1688"/>
      <c r="L2419" s="1866"/>
      <c r="M2419" s="1672">
        <v>100</v>
      </c>
      <c r="N2419" s="381" t="s">
        <v>3799</v>
      </c>
      <c r="O2419" s="4"/>
      <c r="P2419" s="4"/>
      <c r="Q2419" s="4"/>
    </row>
    <row r="2420" spans="1:17" ht="20.399999999999999">
      <c r="A2420" s="663" t="s">
        <v>484</v>
      </c>
      <c r="B2420" s="700" t="s">
        <v>772</v>
      </c>
      <c r="C2420" s="663" t="s">
        <v>320</v>
      </c>
      <c r="D2420" s="907" t="s">
        <v>1978</v>
      </c>
      <c r="E2420" s="700" t="s">
        <v>1915</v>
      </c>
      <c r="F2420" s="795">
        <v>2311</v>
      </c>
      <c r="G2420" s="1703" t="s">
        <v>441</v>
      </c>
      <c r="H2420" s="1866"/>
      <c r="I2420" s="1672">
        <v>200</v>
      </c>
      <c r="J2420" s="1672"/>
      <c r="K2420" s="1688"/>
      <c r="L2420" s="1866"/>
      <c r="M2420" s="1672">
        <v>200</v>
      </c>
      <c r="N2420" s="7"/>
      <c r="O2420" s="4"/>
      <c r="P2420" s="4"/>
      <c r="Q2420" s="4"/>
    </row>
    <row r="2421" spans="1:17" ht="20.399999999999999">
      <c r="A2421" s="663"/>
      <c r="B2421" s="700" t="s">
        <v>772</v>
      </c>
      <c r="C2421" s="663" t="s">
        <v>320</v>
      </c>
      <c r="D2421" s="907" t="s">
        <v>1978</v>
      </c>
      <c r="E2421" s="700" t="s">
        <v>1915</v>
      </c>
      <c r="F2421" s="795">
        <v>2311</v>
      </c>
      <c r="G2421" s="1703" t="s">
        <v>256</v>
      </c>
      <c r="H2421" s="1866"/>
      <c r="I2421" s="1672">
        <v>600</v>
      </c>
      <c r="J2421" s="1672"/>
      <c r="K2421" s="1688"/>
      <c r="L2421" s="1866"/>
      <c r="M2421" s="1672">
        <v>600</v>
      </c>
      <c r="N2421" s="381"/>
      <c r="O2421" s="4"/>
      <c r="P2421" s="4"/>
      <c r="Q2421" s="4"/>
    </row>
    <row r="2422" spans="1:17">
      <c r="A2422" s="663" t="s">
        <v>490</v>
      </c>
      <c r="B2422" s="700" t="s">
        <v>772</v>
      </c>
      <c r="C2422" s="663" t="s">
        <v>320</v>
      </c>
      <c r="D2422" s="907" t="s">
        <v>1978</v>
      </c>
      <c r="E2422" s="700" t="s">
        <v>1915</v>
      </c>
      <c r="F2422" s="795">
        <v>2311</v>
      </c>
      <c r="G2422" s="1703" t="s">
        <v>442</v>
      </c>
      <c r="H2422" s="1866"/>
      <c r="I2422" s="1672">
        <v>200</v>
      </c>
      <c r="J2422" s="1672"/>
      <c r="K2422" s="1688"/>
      <c r="L2422" s="1866"/>
      <c r="M2422" s="1672">
        <v>200</v>
      </c>
      <c r="N2422" s="305"/>
      <c r="O2422" s="4"/>
      <c r="P2422" s="4"/>
      <c r="Q2422" s="4"/>
    </row>
    <row r="2423" spans="1:17">
      <c r="A2423" s="683"/>
      <c r="B2423" s="720" t="s">
        <v>772</v>
      </c>
      <c r="C2423" s="683" t="s">
        <v>320</v>
      </c>
      <c r="D2423" s="906" t="s">
        <v>1978</v>
      </c>
      <c r="E2423" s="720" t="s">
        <v>1915</v>
      </c>
      <c r="F2423" s="824">
        <v>2312</v>
      </c>
      <c r="G2423" s="800" t="s">
        <v>207</v>
      </c>
      <c r="H2423" s="706">
        <v>5720</v>
      </c>
      <c r="I2423" s="706"/>
      <c r="J2423" s="1654">
        <v>3351</v>
      </c>
      <c r="K2423" s="802"/>
      <c r="L2423" s="706">
        <v>4000</v>
      </c>
      <c r="M2423" s="706"/>
      <c r="N2423" s="381"/>
      <c r="O2423" s="187"/>
      <c r="P2423" s="187"/>
      <c r="Q2423" s="187"/>
    </row>
    <row r="2424" spans="1:17">
      <c r="A2424" s="663" t="s">
        <v>490</v>
      </c>
      <c r="B2424" s="700" t="s">
        <v>772</v>
      </c>
      <c r="C2424" s="663" t="s">
        <v>324</v>
      </c>
      <c r="D2424" s="907" t="s">
        <v>1978</v>
      </c>
      <c r="E2424" s="700" t="s">
        <v>1915</v>
      </c>
      <c r="F2424" s="795">
        <v>2312</v>
      </c>
      <c r="G2424" s="750" t="s">
        <v>2165</v>
      </c>
      <c r="H2424" s="701"/>
      <c r="I2424" s="701">
        <v>2000</v>
      </c>
      <c r="J2424" s="1654"/>
      <c r="K2424" s="792"/>
      <c r="L2424" s="701"/>
      <c r="M2424" s="701">
        <v>4000</v>
      </c>
      <c r="N2424" s="305"/>
      <c r="O2424" s="187"/>
      <c r="P2424" s="187"/>
      <c r="Q2424" s="187"/>
    </row>
    <row r="2425" spans="1:17">
      <c r="A2425" s="663"/>
      <c r="B2425" s="700" t="s">
        <v>772</v>
      </c>
      <c r="C2425" s="663" t="s">
        <v>324</v>
      </c>
      <c r="D2425" s="907" t="s">
        <v>1978</v>
      </c>
      <c r="E2425" s="700" t="s">
        <v>1915</v>
      </c>
      <c r="F2425" s="795">
        <v>2312</v>
      </c>
      <c r="G2425" s="750" t="s">
        <v>2166</v>
      </c>
      <c r="H2425" s="701"/>
      <c r="I2425" s="701">
        <v>160</v>
      </c>
      <c r="J2425" s="1654" t="s">
        <v>1134</v>
      </c>
      <c r="K2425" s="792"/>
      <c r="L2425" s="701"/>
      <c r="M2425" s="701"/>
      <c r="N2425" s="381"/>
      <c r="O2425" s="187"/>
      <c r="P2425" s="187"/>
      <c r="Q2425" s="187"/>
    </row>
    <row r="2426" spans="1:17" ht="20.399999999999999">
      <c r="A2426" s="663"/>
      <c r="B2426" s="700" t="s">
        <v>772</v>
      </c>
      <c r="C2426" s="663" t="s">
        <v>324</v>
      </c>
      <c r="D2426" s="907" t="s">
        <v>1978</v>
      </c>
      <c r="E2426" s="700" t="s">
        <v>1915</v>
      </c>
      <c r="F2426" s="795">
        <v>2312</v>
      </c>
      <c r="G2426" s="750" t="s">
        <v>3300</v>
      </c>
      <c r="H2426" s="701"/>
      <c r="I2426" s="701">
        <v>560</v>
      </c>
      <c r="J2426" s="1654" t="s">
        <v>1134</v>
      </c>
      <c r="K2426" s="792"/>
      <c r="L2426" s="701"/>
      <c r="M2426" s="701"/>
      <c r="N2426" s="381"/>
      <c r="O2426" s="187"/>
      <c r="P2426" s="187"/>
      <c r="Q2426" s="187"/>
    </row>
    <row r="2427" spans="1:17" ht="11.4" customHeight="1">
      <c r="A2427" s="603"/>
      <c r="B2427" s="700" t="s">
        <v>772</v>
      </c>
      <c r="C2427" s="663" t="s">
        <v>324</v>
      </c>
      <c r="D2427" s="907" t="s">
        <v>1978</v>
      </c>
      <c r="E2427" s="700" t="s">
        <v>1915</v>
      </c>
      <c r="F2427" s="795">
        <v>2312</v>
      </c>
      <c r="G2427" s="1153" t="s">
        <v>3301</v>
      </c>
      <c r="H2427" s="1165"/>
      <c r="I2427" s="1165">
        <v>1500</v>
      </c>
      <c r="J2427" s="1654" t="s">
        <v>1134</v>
      </c>
      <c r="K2427" s="1439"/>
      <c r="L2427" s="1165"/>
      <c r="M2427" s="1165"/>
      <c r="N2427" s="381"/>
      <c r="O2427" s="187"/>
      <c r="P2427" s="187"/>
      <c r="Q2427" s="187"/>
    </row>
    <row r="2428" spans="1:17" ht="30.6">
      <c r="A2428" s="603"/>
      <c r="B2428" s="700" t="s">
        <v>772</v>
      </c>
      <c r="C2428" s="663" t="s">
        <v>324</v>
      </c>
      <c r="D2428" s="907" t="s">
        <v>1978</v>
      </c>
      <c r="E2428" s="700" t="s">
        <v>1915</v>
      </c>
      <c r="F2428" s="795">
        <v>2312</v>
      </c>
      <c r="G2428" s="750" t="s">
        <v>3302</v>
      </c>
      <c r="H2428" s="922"/>
      <c r="I2428" s="701">
        <v>1500</v>
      </c>
      <c r="J2428" s="1654" t="s">
        <v>1134</v>
      </c>
      <c r="K2428" s="792"/>
      <c r="L2428" s="922"/>
      <c r="M2428" s="701"/>
      <c r="N2428" s="381"/>
      <c r="O2428" s="187"/>
      <c r="P2428" s="187"/>
      <c r="Q2428" s="187"/>
    </row>
    <row r="2429" spans="1:17">
      <c r="A2429" s="683"/>
      <c r="B2429" s="3129" t="s">
        <v>773</v>
      </c>
      <c r="C2429" s="683" t="s">
        <v>320</v>
      </c>
      <c r="D2429" s="906" t="s">
        <v>1978</v>
      </c>
      <c r="E2429" s="720" t="s">
        <v>1915</v>
      </c>
      <c r="F2429" s="824">
        <v>2312</v>
      </c>
      <c r="G2429" s="800" t="s">
        <v>207</v>
      </c>
      <c r="H2429" s="706">
        <v>5803</v>
      </c>
      <c r="I2429" s="706"/>
      <c r="J2429" s="1654">
        <v>5803</v>
      </c>
      <c r="K2429" s="802"/>
      <c r="L2429" s="706">
        <v>0</v>
      </c>
      <c r="M2429" s="706"/>
      <c r="N2429" s="305"/>
      <c r="O2429" s="187"/>
      <c r="P2429" s="187"/>
      <c r="Q2429" s="187"/>
    </row>
    <row r="2430" spans="1:17" ht="40.799999999999997">
      <c r="A2430" s="663"/>
      <c r="B2430" s="3130" t="s">
        <v>773</v>
      </c>
      <c r="C2430" s="663" t="s">
        <v>340</v>
      </c>
      <c r="D2430" s="907" t="s">
        <v>1978</v>
      </c>
      <c r="E2430" s="700" t="s">
        <v>1915</v>
      </c>
      <c r="F2430" s="795">
        <v>2312</v>
      </c>
      <c r="G2430" s="750" t="s">
        <v>3289</v>
      </c>
      <c r="H2430" s="701"/>
      <c r="I2430" s="701">
        <v>5803</v>
      </c>
      <c r="J2430" s="1654" t="s">
        <v>1134</v>
      </c>
      <c r="K2430" s="792"/>
      <c r="L2430" s="701"/>
      <c r="M2430" s="714"/>
      <c r="N2430" s="305"/>
      <c r="O2430" s="187"/>
      <c r="P2430" s="187"/>
      <c r="Q2430" s="187"/>
    </row>
    <row r="2431" spans="1:17" ht="20.399999999999999">
      <c r="A2431" s="720"/>
      <c r="B2431" s="720" t="s">
        <v>772</v>
      </c>
      <c r="C2431" s="720" t="s">
        <v>320</v>
      </c>
      <c r="D2431" s="1848" t="s">
        <v>1978</v>
      </c>
      <c r="E2431" s="720" t="s">
        <v>1915</v>
      </c>
      <c r="F2431" s="824">
        <v>2314</v>
      </c>
      <c r="G2431" s="800" t="s">
        <v>1143</v>
      </c>
      <c r="H2431" s="706">
        <v>9800</v>
      </c>
      <c r="I2431" s="706"/>
      <c r="J2431" s="1654">
        <v>3356</v>
      </c>
      <c r="K2431" s="802"/>
      <c r="L2431" s="706">
        <v>9800</v>
      </c>
      <c r="M2431" s="706"/>
      <c r="N2431" s="305"/>
      <c r="O2431" s="187"/>
      <c r="P2431" s="187"/>
      <c r="Q2431" s="187"/>
    </row>
    <row r="2432" spans="1:17" ht="51">
      <c r="A2432" s="700" t="s">
        <v>549</v>
      </c>
      <c r="B2432" s="700" t="s">
        <v>772</v>
      </c>
      <c r="C2432" s="700" t="s">
        <v>320</v>
      </c>
      <c r="D2432" s="1847" t="s">
        <v>1978</v>
      </c>
      <c r="E2432" s="700" t="s">
        <v>1915</v>
      </c>
      <c r="F2432" s="795">
        <v>2314</v>
      </c>
      <c r="G2432" s="1703" t="s">
        <v>668</v>
      </c>
      <c r="H2432" s="1866"/>
      <c r="I2432" s="1672">
        <v>1600</v>
      </c>
      <c r="J2432" s="1672"/>
      <c r="K2432" s="1688"/>
      <c r="L2432" s="1866"/>
      <c r="M2432" s="1672">
        <v>1600</v>
      </c>
      <c r="N2432" s="381" t="s">
        <v>3801</v>
      </c>
      <c r="O2432" s="4"/>
      <c r="P2432" s="4"/>
      <c r="Q2432" s="4"/>
    </row>
    <row r="2433" spans="1:17" ht="30.6">
      <c r="A2433" s="700"/>
      <c r="B2433" s="700" t="s">
        <v>772</v>
      </c>
      <c r="C2433" s="700" t="s">
        <v>320</v>
      </c>
      <c r="D2433" s="1847" t="s">
        <v>1978</v>
      </c>
      <c r="E2433" s="700" t="s">
        <v>1915</v>
      </c>
      <c r="F2433" s="795">
        <v>2314</v>
      </c>
      <c r="G2433" s="1703" t="s">
        <v>254</v>
      </c>
      <c r="H2433" s="1866"/>
      <c r="I2433" s="1672">
        <v>6700</v>
      </c>
      <c r="J2433" s="1672"/>
      <c r="K2433" s="1688"/>
      <c r="L2433" s="1866"/>
      <c r="M2433" s="1672">
        <v>6700</v>
      </c>
      <c r="N2433" s="305"/>
      <c r="O2433" s="4"/>
      <c r="P2433" s="4"/>
      <c r="Q2433" s="4"/>
    </row>
    <row r="2434" spans="1:17">
      <c r="A2434" s="700" t="s">
        <v>484</v>
      </c>
      <c r="B2434" s="700" t="s">
        <v>772</v>
      </c>
      <c r="C2434" s="700" t="s">
        <v>320</v>
      </c>
      <c r="D2434" s="1847" t="s">
        <v>1978</v>
      </c>
      <c r="E2434" s="700" t="s">
        <v>1915</v>
      </c>
      <c r="F2434" s="795">
        <v>2314</v>
      </c>
      <c r="G2434" s="1703" t="s">
        <v>258</v>
      </c>
      <c r="H2434" s="1866"/>
      <c r="I2434" s="1672">
        <v>1000</v>
      </c>
      <c r="J2434" s="1672"/>
      <c r="K2434" s="1688"/>
      <c r="L2434" s="1866"/>
      <c r="M2434" s="1672">
        <v>1000</v>
      </c>
      <c r="N2434" s="305"/>
      <c r="O2434" s="4"/>
      <c r="P2434" s="4"/>
      <c r="Q2434" s="4"/>
    </row>
    <row r="2435" spans="1:17" ht="11.4" customHeight="1">
      <c r="A2435" s="700" t="s">
        <v>549</v>
      </c>
      <c r="B2435" s="700" t="s">
        <v>772</v>
      </c>
      <c r="C2435" s="700" t="s">
        <v>320</v>
      </c>
      <c r="D2435" s="1847" t="s">
        <v>1978</v>
      </c>
      <c r="E2435" s="700" t="s">
        <v>1915</v>
      </c>
      <c r="F2435" s="795">
        <v>2314</v>
      </c>
      <c r="G2435" s="1703" t="s">
        <v>552</v>
      </c>
      <c r="H2435" s="1866"/>
      <c r="I2435" s="1672">
        <v>500</v>
      </c>
      <c r="J2435" s="1672"/>
      <c r="K2435" s="1688"/>
      <c r="L2435" s="1866"/>
      <c r="M2435" s="1672">
        <v>500</v>
      </c>
      <c r="N2435" s="305"/>
      <c r="O2435" s="4"/>
      <c r="P2435" s="4"/>
      <c r="Q2435" s="4"/>
    </row>
    <row r="2436" spans="1:17">
      <c r="A2436" s="683"/>
      <c r="B2436" s="720" t="s">
        <v>772</v>
      </c>
      <c r="C2436" s="683" t="s">
        <v>320</v>
      </c>
      <c r="D2436" s="906" t="s">
        <v>1978</v>
      </c>
      <c r="E2436" s="720" t="s">
        <v>1915</v>
      </c>
      <c r="F2436" s="824">
        <v>2322</v>
      </c>
      <c r="G2436" s="800" t="s">
        <v>191</v>
      </c>
      <c r="H2436" s="706">
        <v>0</v>
      </c>
      <c r="I2436" s="706"/>
      <c r="J2436" s="1654" t="s">
        <v>1134</v>
      </c>
      <c r="K2436" s="802"/>
      <c r="L2436" s="706">
        <v>200</v>
      </c>
      <c r="M2436" s="706"/>
      <c r="N2436" s="125"/>
      <c r="O2436" s="4"/>
      <c r="P2436" s="4"/>
      <c r="Q2436" s="4"/>
    </row>
    <row r="2437" spans="1:17">
      <c r="A2437" s="663"/>
      <c r="B2437" s="700" t="s">
        <v>772</v>
      </c>
      <c r="C2437" s="663" t="s">
        <v>320</v>
      </c>
      <c r="D2437" s="907" t="s">
        <v>1978</v>
      </c>
      <c r="E2437" s="700" t="s">
        <v>1915</v>
      </c>
      <c r="F2437" s="795">
        <v>2322</v>
      </c>
      <c r="G2437" s="1703" t="s">
        <v>257</v>
      </c>
      <c r="H2437" s="922"/>
      <c r="I2437" s="701"/>
      <c r="J2437" s="1654" t="s">
        <v>1134</v>
      </c>
      <c r="K2437" s="792"/>
      <c r="L2437" s="922"/>
      <c r="M2437" s="701">
        <v>200</v>
      </c>
      <c r="N2437" s="7" t="s">
        <v>2172</v>
      </c>
      <c r="O2437" s="4"/>
      <c r="P2437" s="4"/>
      <c r="Q2437" s="4"/>
    </row>
    <row r="2438" spans="1:17">
      <c r="A2438" s="683"/>
      <c r="B2438" s="720" t="s">
        <v>772</v>
      </c>
      <c r="C2438" s="683" t="s">
        <v>320</v>
      </c>
      <c r="D2438" s="906" t="s">
        <v>1978</v>
      </c>
      <c r="E2438" s="720" t="s">
        <v>1915</v>
      </c>
      <c r="F2438" s="824">
        <v>2350</v>
      </c>
      <c r="G2438" s="800" t="s">
        <v>133</v>
      </c>
      <c r="H2438" s="706">
        <v>5200</v>
      </c>
      <c r="I2438" s="706"/>
      <c r="J2438" s="1654">
        <v>3115</v>
      </c>
      <c r="K2438" s="802"/>
      <c r="L2438" s="706">
        <v>6700</v>
      </c>
      <c r="M2438" s="706"/>
      <c r="N2438" s="305"/>
      <c r="O2438" s="187"/>
      <c r="P2438" s="187"/>
      <c r="Q2438" s="187"/>
    </row>
    <row r="2439" spans="1:17" ht="30.6">
      <c r="A2439" s="663" t="s">
        <v>487</v>
      </c>
      <c r="B2439" s="700" t="s">
        <v>772</v>
      </c>
      <c r="C2439" s="663" t="s">
        <v>320</v>
      </c>
      <c r="D2439" s="907" t="s">
        <v>1978</v>
      </c>
      <c r="E2439" s="700" t="s">
        <v>1915</v>
      </c>
      <c r="F2439" s="795">
        <v>2350</v>
      </c>
      <c r="G2439" s="1703" t="s">
        <v>443</v>
      </c>
      <c r="H2439" s="1866"/>
      <c r="I2439" s="1672">
        <v>800</v>
      </c>
      <c r="J2439" s="1672"/>
      <c r="K2439" s="1688"/>
      <c r="L2439" s="1866"/>
      <c r="M2439" s="1672">
        <v>800</v>
      </c>
      <c r="N2439" s="305"/>
      <c r="O2439" s="187"/>
      <c r="P2439" s="187"/>
      <c r="Q2439" s="187"/>
    </row>
    <row r="2440" spans="1:17" ht="91.8">
      <c r="A2440" s="663" t="s">
        <v>487</v>
      </c>
      <c r="B2440" s="700" t="s">
        <v>772</v>
      </c>
      <c r="C2440" s="663" t="s">
        <v>320</v>
      </c>
      <c r="D2440" s="907" t="s">
        <v>1978</v>
      </c>
      <c r="E2440" s="700" t="s">
        <v>1915</v>
      </c>
      <c r="F2440" s="795">
        <v>2350</v>
      </c>
      <c r="G2440" s="1703" t="s">
        <v>3786</v>
      </c>
      <c r="H2440" s="1866"/>
      <c r="I2440" s="1672">
        <v>1500</v>
      </c>
      <c r="J2440" s="1672"/>
      <c r="K2440" s="1688"/>
      <c r="L2440" s="1866"/>
      <c r="M2440" s="1672">
        <v>1500</v>
      </c>
      <c r="N2440" s="305"/>
      <c r="O2440" s="4"/>
      <c r="P2440" s="4"/>
      <c r="Q2440" s="4"/>
    </row>
    <row r="2441" spans="1:17">
      <c r="A2441" s="663" t="s">
        <v>487</v>
      </c>
      <c r="B2441" s="700" t="s">
        <v>772</v>
      </c>
      <c r="C2441" s="663" t="s">
        <v>320</v>
      </c>
      <c r="D2441" s="907" t="s">
        <v>1978</v>
      </c>
      <c r="E2441" s="700" t="s">
        <v>1915</v>
      </c>
      <c r="F2441" s="795">
        <v>2350</v>
      </c>
      <c r="G2441" s="1703" t="s">
        <v>667</v>
      </c>
      <c r="H2441" s="1866"/>
      <c r="I2441" s="1672">
        <v>400</v>
      </c>
      <c r="J2441" s="1672"/>
      <c r="K2441" s="1688"/>
      <c r="L2441" s="1866"/>
      <c r="M2441" s="1672">
        <v>400</v>
      </c>
      <c r="N2441" s="305"/>
      <c r="O2441" s="4"/>
      <c r="P2441" s="4"/>
      <c r="Q2441" s="4"/>
    </row>
    <row r="2442" spans="1:17" ht="11.4" customHeight="1">
      <c r="A2442" s="663" t="s">
        <v>487</v>
      </c>
      <c r="B2442" s="700" t="s">
        <v>772</v>
      </c>
      <c r="C2442" s="663" t="s">
        <v>320</v>
      </c>
      <c r="D2442" s="907" t="s">
        <v>1978</v>
      </c>
      <c r="E2442" s="700" t="s">
        <v>1915</v>
      </c>
      <c r="F2442" s="795">
        <v>2350</v>
      </c>
      <c r="G2442" s="1703" t="s">
        <v>486</v>
      </c>
      <c r="H2442" s="1866"/>
      <c r="I2442" s="1672">
        <v>2000</v>
      </c>
      <c r="J2442" s="1672"/>
      <c r="K2442" s="1688"/>
      <c r="L2442" s="1866"/>
      <c r="M2442" s="1672">
        <v>2000</v>
      </c>
      <c r="N2442" s="305"/>
      <c r="O2442" s="4"/>
      <c r="P2442" s="4"/>
      <c r="Q2442" s="4"/>
    </row>
    <row r="2443" spans="1:17" ht="11.4" customHeight="1">
      <c r="A2443" s="663" t="s">
        <v>487</v>
      </c>
      <c r="B2443" s="700" t="s">
        <v>772</v>
      </c>
      <c r="C2443" s="663" t="s">
        <v>320</v>
      </c>
      <c r="D2443" s="907" t="s">
        <v>1978</v>
      </c>
      <c r="E2443" s="700" t="s">
        <v>1915</v>
      </c>
      <c r="F2443" s="795">
        <v>2350</v>
      </c>
      <c r="G2443" s="1703" t="s">
        <v>1449</v>
      </c>
      <c r="H2443" s="1866"/>
      <c r="I2443" s="1672">
        <v>2000</v>
      </c>
      <c r="J2443" s="1672"/>
      <c r="K2443" s="1688"/>
      <c r="L2443" s="1866"/>
      <c r="M2443" s="1672">
        <v>2000</v>
      </c>
      <c r="N2443" s="305"/>
      <c r="O2443" s="4"/>
      <c r="P2443" s="4"/>
      <c r="Q2443" s="4"/>
    </row>
    <row r="2444" spans="1:17" ht="30.6">
      <c r="A2444" s="663" t="s">
        <v>487</v>
      </c>
      <c r="B2444" s="700" t="s">
        <v>772</v>
      </c>
      <c r="C2444" s="663" t="s">
        <v>320</v>
      </c>
      <c r="D2444" s="907" t="s">
        <v>1978</v>
      </c>
      <c r="E2444" s="700" t="s">
        <v>1915</v>
      </c>
      <c r="F2444" s="795">
        <v>2350</v>
      </c>
      <c r="G2444" s="750" t="s">
        <v>3302</v>
      </c>
      <c r="H2444" s="922"/>
      <c r="I2444" s="701">
        <v>-1500</v>
      </c>
      <c r="J2444" s="1654" t="s">
        <v>1134</v>
      </c>
      <c r="K2444" s="792"/>
      <c r="L2444" s="922"/>
      <c r="M2444" s="701"/>
      <c r="N2444" s="305"/>
    </row>
    <row r="2445" spans="1:17">
      <c r="A2445" s="683"/>
      <c r="B2445" s="3136" t="s">
        <v>773</v>
      </c>
      <c r="C2445" s="683" t="s">
        <v>340</v>
      </c>
      <c r="D2445" s="906" t="s">
        <v>1978</v>
      </c>
      <c r="E2445" s="720" t="s">
        <v>1915</v>
      </c>
      <c r="F2445" s="685">
        <v>2361</v>
      </c>
      <c r="G2445" s="746" t="s">
        <v>1434</v>
      </c>
      <c r="H2445" s="689">
        <v>9932</v>
      </c>
      <c r="I2445" s="689"/>
      <c r="J2445" s="1494">
        <v>6286.34</v>
      </c>
      <c r="K2445" s="690"/>
      <c r="L2445" s="706">
        <v>9840</v>
      </c>
      <c r="M2445" s="706"/>
      <c r="N2445" s="305"/>
    </row>
    <row r="2446" spans="1:17">
      <c r="A2446" s="663"/>
      <c r="B2446" s="3140" t="s">
        <v>773</v>
      </c>
      <c r="C2446" s="1858" t="s">
        <v>340</v>
      </c>
      <c r="D2446" s="1859" t="s">
        <v>1978</v>
      </c>
      <c r="E2446" s="1858" t="s">
        <v>1915</v>
      </c>
      <c r="F2446" s="1860">
        <v>2361</v>
      </c>
      <c r="G2446" s="1861" t="s">
        <v>2788</v>
      </c>
      <c r="H2446" s="1862"/>
      <c r="I2446" s="1700">
        <v>1089</v>
      </c>
      <c r="J2446" s="1862"/>
      <c r="K2446" s="1674"/>
      <c r="L2446" s="1672"/>
      <c r="M2446" s="1856"/>
      <c r="N2446" s="305"/>
      <c r="O2446" s="187"/>
      <c r="P2446" s="187"/>
      <c r="Q2446" s="187"/>
    </row>
    <row r="2447" spans="1:17" ht="11.4" customHeight="1">
      <c r="A2447" s="663"/>
      <c r="B2447" s="3140" t="s">
        <v>773</v>
      </c>
      <c r="C2447" s="1858" t="s">
        <v>340</v>
      </c>
      <c r="D2447" s="1859" t="s">
        <v>1978</v>
      </c>
      <c r="E2447" s="1858" t="s">
        <v>1915</v>
      </c>
      <c r="F2447" s="1860">
        <v>2361</v>
      </c>
      <c r="G2447" s="1861" t="s">
        <v>2789</v>
      </c>
      <c r="H2447" s="1862"/>
      <c r="I2447" s="1700">
        <v>870</v>
      </c>
      <c r="J2447" s="1862"/>
      <c r="K2447" s="1674"/>
      <c r="L2447" s="1672"/>
      <c r="M2447" s="1856"/>
      <c r="N2447" s="305"/>
      <c r="O2447" s="4"/>
      <c r="P2447" s="4"/>
      <c r="Q2447" s="4"/>
    </row>
    <row r="2448" spans="1:17" ht="40.799999999999997">
      <c r="A2448" s="663"/>
      <c r="B2448" s="3140" t="s">
        <v>773</v>
      </c>
      <c r="C2448" s="1858" t="s">
        <v>340</v>
      </c>
      <c r="D2448" s="1859" t="s">
        <v>1978</v>
      </c>
      <c r="E2448" s="1858" t="s">
        <v>1915</v>
      </c>
      <c r="F2448" s="1860">
        <v>2361</v>
      </c>
      <c r="G2448" s="1861" t="s">
        <v>2826</v>
      </c>
      <c r="H2448" s="1862"/>
      <c r="I2448" s="1700">
        <v>3073</v>
      </c>
      <c r="J2448" s="1862"/>
      <c r="K2448" s="1674"/>
      <c r="L2448" s="1672"/>
      <c r="M2448" s="1856"/>
      <c r="N2448" s="305"/>
      <c r="O2448" s="187"/>
      <c r="P2448" s="187"/>
      <c r="Q2448" s="187"/>
    </row>
    <row r="2449" spans="1:14">
      <c r="A2449" s="663"/>
      <c r="B2449" s="3140" t="s">
        <v>773</v>
      </c>
      <c r="C2449" s="1858" t="s">
        <v>340</v>
      </c>
      <c r="D2449" s="1859" t="s">
        <v>1978</v>
      </c>
      <c r="E2449" s="1858" t="s">
        <v>1915</v>
      </c>
      <c r="F2449" s="1860">
        <v>2361</v>
      </c>
      <c r="G2449" s="1861" t="s">
        <v>2790</v>
      </c>
      <c r="H2449" s="1862"/>
      <c r="I2449" s="1700">
        <v>2500</v>
      </c>
      <c r="J2449" s="1862"/>
      <c r="K2449" s="1674"/>
      <c r="L2449" s="1672"/>
      <c r="M2449" s="1856"/>
      <c r="N2449" s="305"/>
    </row>
    <row r="2450" spans="1:14" ht="11.4" customHeight="1">
      <c r="A2450" s="663"/>
      <c r="B2450" s="3140" t="s">
        <v>773</v>
      </c>
      <c r="C2450" s="1858" t="s">
        <v>340</v>
      </c>
      <c r="D2450" s="1859" t="s">
        <v>1978</v>
      </c>
      <c r="E2450" s="1858" t="s">
        <v>1915</v>
      </c>
      <c r="F2450" s="1860">
        <v>2361</v>
      </c>
      <c r="G2450" s="1861" t="s">
        <v>2791</v>
      </c>
      <c r="H2450" s="1862"/>
      <c r="I2450" s="1700">
        <v>1200</v>
      </c>
      <c r="J2450" s="1862"/>
      <c r="K2450" s="1674"/>
      <c r="L2450" s="1672"/>
      <c r="M2450" s="1856"/>
      <c r="N2450" s="305"/>
    </row>
    <row r="2451" spans="1:14" ht="20.399999999999999">
      <c r="A2451" s="663"/>
      <c r="B2451" s="3140" t="s">
        <v>773</v>
      </c>
      <c r="C2451" s="1858" t="s">
        <v>340</v>
      </c>
      <c r="D2451" s="1859" t="s">
        <v>1978</v>
      </c>
      <c r="E2451" s="1858" t="s">
        <v>1915</v>
      </c>
      <c r="F2451" s="1860">
        <v>2361</v>
      </c>
      <c r="G2451" s="1861" t="s">
        <v>2792</v>
      </c>
      <c r="H2451" s="1862"/>
      <c r="I2451" s="1700">
        <v>1200</v>
      </c>
      <c r="J2451" s="1862"/>
      <c r="K2451" s="1674"/>
      <c r="L2451" s="1672"/>
      <c r="M2451" s="1856"/>
      <c r="N2451" s="7"/>
    </row>
    <row r="2452" spans="1:14" ht="20.399999999999999">
      <c r="A2452" s="1669"/>
      <c r="B2452" s="3150" t="s">
        <v>773</v>
      </c>
      <c r="C2452" s="1870" t="s">
        <v>340</v>
      </c>
      <c r="D2452" s="1871" t="s">
        <v>1978</v>
      </c>
      <c r="E2452" s="1870" t="s">
        <v>1915</v>
      </c>
      <c r="F2452" s="1872">
        <v>2361</v>
      </c>
      <c r="G2452" s="1699" t="s">
        <v>3787</v>
      </c>
      <c r="H2452" s="1873"/>
      <c r="I2452" s="1873"/>
      <c r="J2452" s="1873"/>
      <c r="K2452" s="1874"/>
      <c r="L2452" s="1876"/>
      <c r="M2452" s="1877">
        <v>7000</v>
      </c>
      <c r="N2452" s="7"/>
    </row>
    <row r="2453" spans="1:14" ht="40.799999999999997">
      <c r="A2453" s="1669"/>
      <c r="B2453" s="3150" t="s">
        <v>773</v>
      </c>
      <c r="C2453" s="1870" t="s">
        <v>340</v>
      </c>
      <c r="D2453" s="1871" t="s">
        <v>1978</v>
      </c>
      <c r="E2453" s="1870" t="s">
        <v>1915</v>
      </c>
      <c r="F2453" s="1872">
        <v>2361</v>
      </c>
      <c r="G2453" s="1699" t="s">
        <v>3789</v>
      </c>
      <c r="H2453" s="1873"/>
      <c r="I2453" s="1873"/>
      <c r="J2453" s="1875"/>
      <c r="K2453" s="1874"/>
      <c r="L2453" s="1876"/>
      <c r="M2453" s="2782">
        <v>0</v>
      </c>
      <c r="N2453" s="7"/>
    </row>
    <row r="2454" spans="1:14" ht="30.6">
      <c r="A2454" s="1669"/>
      <c r="B2454" s="3140" t="s">
        <v>773</v>
      </c>
      <c r="C2454" s="1670" t="s">
        <v>340</v>
      </c>
      <c r="D2454" s="1863" t="s">
        <v>1978</v>
      </c>
      <c r="E2454" s="1670" t="s">
        <v>1915</v>
      </c>
      <c r="F2454" s="1864">
        <v>2361</v>
      </c>
      <c r="G2454" s="1699" t="s">
        <v>3790</v>
      </c>
      <c r="H2454" s="1700"/>
      <c r="I2454" s="1700"/>
      <c r="J2454" s="1700"/>
      <c r="K2454" s="1702"/>
      <c r="L2454" s="1672"/>
      <c r="M2454" s="2778">
        <v>0</v>
      </c>
      <c r="N2454" s="7"/>
    </row>
    <row r="2455" spans="1:14" ht="11.4" customHeight="1">
      <c r="A2455" s="1669"/>
      <c r="B2455" s="3140" t="s">
        <v>773</v>
      </c>
      <c r="C2455" s="1670" t="s">
        <v>340</v>
      </c>
      <c r="D2455" s="1863" t="s">
        <v>1978</v>
      </c>
      <c r="E2455" s="1670" t="s">
        <v>1915</v>
      </c>
      <c r="F2455" s="1864">
        <v>2361</v>
      </c>
      <c r="G2455" s="1699" t="s">
        <v>3791</v>
      </c>
      <c r="H2455" s="1700"/>
      <c r="I2455" s="1700"/>
      <c r="J2455" s="1700"/>
      <c r="K2455" s="1674"/>
      <c r="L2455" s="1672"/>
      <c r="M2455" s="2778">
        <v>0</v>
      </c>
      <c r="N2455" s="7"/>
    </row>
    <row r="2456" spans="1:14" ht="20.399999999999999">
      <c r="A2456" s="2679"/>
      <c r="B2456" s="3140" t="s">
        <v>773</v>
      </c>
      <c r="C2456" s="1670" t="s">
        <v>340</v>
      </c>
      <c r="D2456" s="1863" t="s">
        <v>1978</v>
      </c>
      <c r="E2456" s="1670" t="s">
        <v>1915</v>
      </c>
      <c r="F2456" s="1864">
        <v>2361</v>
      </c>
      <c r="G2456" s="2710" t="s">
        <v>4891</v>
      </c>
      <c r="H2456" s="2711"/>
      <c r="I2456" s="2711"/>
      <c r="J2456" s="2711"/>
      <c r="K2456" s="2608"/>
      <c r="L2456" s="2615"/>
      <c r="M2456" s="2777">
        <v>2840</v>
      </c>
      <c r="N2456" s="305"/>
    </row>
    <row r="2457" spans="1:14" ht="11.4" customHeight="1">
      <c r="A2457" s="683"/>
      <c r="B2457" s="720" t="s">
        <v>772</v>
      </c>
      <c r="C2457" s="683" t="s">
        <v>324</v>
      </c>
      <c r="D2457" s="906" t="s">
        <v>1978</v>
      </c>
      <c r="E2457" s="720" t="s">
        <v>1915</v>
      </c>
      <c r="F2457" s="824">
        <v>2512</v>
      </c>
      <c r="G2457" s="800" t="s">
        <v>779</v>
      </c>
      <c r="H2457" s="706">
        <v>6000</v>
      </c>
      <c r="I2457" s="706"/>
      <c r="J2457" s="1654">
        <v>6257</v>
      </c>
      <c r="K2457" s="802"/>
      <c r="L2457" s="706">
        <v>8000</v>
      </c>
      <c r="M2457" s="706"/>
      <c r="N2457" s="305"/>
    </row>
    <row r="2458" spans="1:14" ht="20.399999999999999">
      <c r="A2458" s="663"/>
      <c r="B2458" s="700" t="s">
        <v>772</v>
      </c>
      <c r="C2458" s="663" t="s">
        <v>366</v>
      </c>
      <c r="D2458" s="907" t="s">
        <v>1978</v>
      </c>
      <c r="E2458" s="700" t="s">
        <v>1915</v>
      </c>
      <c r="F2458" s="795">
        <v>2512</v>
      </c>
      <c r="G2458" s="750" t="s">
        <v>3105</v>
      </c>
      <c r="H2458" s="922"/>
      <c r="I2458" s="701">
        <v>2000</v>
      </c>
      <c r="J2458" s="1654" t="s">
        <v>1134</v>
      </c>
      <c r="K2458" s="792"/>
      <c r="L2458" s="922"/>
      <c r="M2458" s="701">
        <v>8000</v>
      </c>
      <c r="N2458" s="305"/>
    </row>
    <row r="2459" spans="1:14" ht="20.399999999999999">
      <c r="A2459" s="663"/>
      <c r="B2459" s="700" t="s">
        <v>772</v>
      </c>
      <c r="C2459" s="663" t="s">
        <v>366</v>
      </c>
      <c r="D2459" s="907" t="s">
        <v>1978</v>
      </c>
      <c r="E2459" s="700" t="s">
        <v>1915</v>
      </c>
      <c r="F2459" s="795">
        <v>2512</v>
      </c>
      <c r="G2459" s="1330" t="s">
        <v>3119</v>
      </c>
      <c r="H2459" s="1265"/>
      <c r="I2459" s="1265">
        <v>2000</v>
      </c>
      <c r="J2459" s="1654" t="s">
        <v>1134</v>
      </c>
      <c r="K2459" s="1329"/>
      <c r="L2459" s="1265"/>
      <c r="M2459" s="1381"/>
      <c r="N2459" s="125"/>
    </row>
    <row r="2460" spans="1:14" ht="20.399999999999999">
      <c r="A2460" s="603"/>
      <c r="B2460" s="700" t="s">
        <v>772</v>
      </c>
      <c r="C2460" s="663" t="s">
        <v>366</v>
      </c>
      <c r="D2460" s="907" t="s">
        <v>1978</v>
      </c>
      <c r="E2460" s="700" t="s">
        <v>1915</v>
      </c>
      <c r="F2460" s="795">
        <v>2512</v>
      </c>
      <c r="G2460" s="1153" t="s">
        <v>3210</v>
      </c>
      <c r="H2460" s="1165"/>
      <c r="I2460" s="1165">
        <v>2000</v>
      </c>
      <c r="J2460" s="1654" t="s">
        <v>1134</v>
      </c>
      <c r="K2460" s="1439"/>
      <c r="L2460" s="1165"/>
      <c r="M2460" s="1456"/>
      <c r="N2460" s="125" t="s">
        <v>2173</v>
      </c>
    </row>
    <row r="2461" spans="1:14">
      <c r="A2461" s="683"/>
      <c r="B2461" s="3129" t="s">
        <v>692</v>
      </c>
      <c r="C2461" s="683" t="s">
        <v>366</v>
      </c>
      <c r="D2461" s="906" t="s">
        <v>1978</v>
      </c>
      <c r="E2461" s="720" t="s">
        <v>1915</v>
      </c>
      <c r="F2461" s="824">
        <v>3262</v>
      </c>
      <c r="G2461" s="800" t="s">
        <v>446</v>
      </c>
      <c r="H2461" s="706">
        <v>1000</v>
      </c>
      <c r="I2461" s="706"/>
      <c r="J2461" s="1654">
        <v>500</v>
      </c>
      <c r="K2461" s="802"/>
      <c r="L2461" s="706">
        <v>0</v>
      </c>
      <c r="M2461" s="706"/>
      <c r="N2461" s="305"/>
    </row>
    <row r="2462" spans="1:14" ht="20.399999999999999">
      <c r="A2462" s="663" t="s">
        <v>550</v>
      </c>
      <c r="B2462" s="3130" t="s">
        <v>692</v>
      </c>
      <c r="C2462" s="663" t="s">
        <v>366</v>
      </c>
      <c r="D2462" s="907" t="s">
        <v>1978</v>
      </c>
      <c r="E2462" s="700" t="s">
        <v>1915</v>
      </c>
      <c r="F2462" s="795">
        <v>3262</v>
      </c>
      <c r="G2462" s="750" t="s">
        <v>3118</v>
      </c>
      <c r="H2462" s="701"/>
      <c r="I2462" s="701">
        <v>1000</v>
      </c>
      <c r="J2462" s="1654" t="s">
        <v>1134</v>
      </c>
      <c r="K2462" s="792"/>
      <c r="L2462" s="701"/>
      <c r="M2462" s="714"/>
      <c r="N2462" s="305"/>
    </row>
    <row r="2463" spans="1:14" ht="20.399999999999999">
      <c r="A2463" s="683"/>
      <c r="B2463" s="3129" t="s">
        <v>692</v>
      </c>
      <c r="C2463" s="683" t="s">
        <v>366</v>
      </c>
      <c r="D2463" s="906" t="s">
        <v>1978</v>
      </c>
      <c r="E2463" s="720" t="s">
        <v>1915</v>
      </c>
      <c r="F2463" s="824">
        <v>3263</v>
      </c>
      <c r="G2463" s="800" t="s">
        <v>187</v>
      </c>
      <c r="H2463" s="706">
        <v>1000</v>
      </c>
      <c r="I2463" s="706"/>
      <c r="J2463" s="1654">
        <v>1000</v>
      </c>
      <c r="K2463" s="802"/>
      <c r="L2463" s="706">
        <v>0</v>
      </c>
      <c r="M2463" s="706"/>
      <c r="N2463" s="305"/>
    </row>
    <row r="2464" spans="1:14" ht="20.399999999999999">
      <c r="A2464" s="663" t="s">
        <v>550</v>
      </c>
      <c r="B2464" s="3130" t="s">
        <v>692</v>
      </c>
      <c r="C2464" s="663" t="s">
        <v>366</v>
      </c>
      <c r="D2464" s="907" t="s">
        <v>1978</v>
      </c>
      <c r="E2464" s="700" t="s">
        <v>1915</v>
      </c>
      <c r="F2464" s="795">
        <v>3263</v>
      </c>
      <c r="G2464" s="750" t="s">
        <v>3103</v>
      </c>
      <c r="H2464" s="701"/>
      <c r="I2464" s="701">
        <v>1000</v>
      </c>
      <c r="J2464" s="1654" t="s">
        <v>1134</v>
      </c>
      <c r="K2464" s="792"/>
      <c r="L2464" s="701"/>
      <c r="M2464" s="714"/>
      <c r="N2464" s="305"/>
    </row>
    <row r="2465" spans="1:17">
      <c r="A2465" s="683"/>
      <c r="B2465" s="720" t="s">
        <v>772</v>
      </c>
      <c r="C2465" s="720" t="s">
        <v>324</v>
      </c>
      <c r="D2465" s="1848" t="s">
        <v>1978</v>
      </c>
      <c r="E2465" s="720" t="s">
        <v>1915</v>
      </c>
      <c r="F2465" s="824">
        <v>5120</v>
      </c>
      <c r="G2465" s="800" t="s">
        <v>137</v>
      </c>
      <c r="H2465" s="706">
        <v>1850</v>
      </c>
      <c r="I2465" s="706"/>
      <c r="J2465" s="1654">
        <v>0</v>
      </c>
      <c r="K2465" s="802"/>
      <c r="L2465" s="706">
        <v>3124</v>
      </c>
      <c r="M2465" s="706"/>
      <c r="N2465" s="305"/>
    </row>
    <row r="2466" spans="1:17">
      <c r="A2466" s="663"/>
      <c r="B2466" s="700" t="s">
        <v>772</v>
      </c>
      <c r="C2466" s="700" t="s">
        <v>324</v>
      </c>
      <c r="D2466" s="1847" t="s">
        <v>1978</v>
      </c>
      <c r="E2466" s="700" t="s">
        <v>1915</v>
      </c>
      <c r="F2466" s="795">
        <v>5120</v>
      </c>
      <c r="G2466" s="750" t="s">
        <v>488</v>
      </c>
      <c r="H2466" s="922"/>
      <c r="I2466" s="701">
        <v>450</v>
      </c>
      <c r="J2466" s="1654" t="s">
        <v>1134</v>
      </c>
      <c r="K2466" s="792"/>
      <c r="L2466" s="922"/>
      <c r="M2466" s="701"/>
      <c r="N2466" s="305"/>
      <c r="O2466" s="187"/>
      <c r="P2466" s="187"/>
      <c r="Q2466" s="187"/>
    </row>
    <row r="2467" spans="1:17">
      <c r="A2467" s="1669"/>
      <c r="B2467" s="700" t="s">
        <v>772</v>
      </c>
      <c r="C2467" s="700" t="s">
        <v>324</v>
      </c>
      <c r="D2467" s="1847" t="s">
        <v>1978</v>
      </c>
      <c r="E2467" s="700" t="s">
        <v>1915</v>
      </c>
      <c r="F2467" s="795">
        <v>5120</v>
      </c>
      <c r="G2467" s="1703" t="s">
        <v>3795</v>
      </c>
      <c r="H2467" s="1866"/>
      <c r="I2467" s="1672">
        <v>900</v>
      </c>
      <c r="J2467" s="1672"/>
      <c r="K2467" s="1688"/>
      <c r="L2467" s="1866"/>
      <c r="M2467" s="1672">
        <v>900</v>
      </c>
      <c r="N2467" s="305"/>
      <c r="O2467" s="187"/>
      <c r="P2467" s="187"/>
      <c r="Q2467" s="187"/>
    </row>
    <row r="2468" spans="1:17">
      <c r="A2468" s="1669"/>
      <c r="B2468" s="700" t="s">
        <v>772</v>
      </c>
      <c r="C2468" s="700" t="s">
        <v>324</v>
      </c>
      <c r="D2468" s="1847" t="s">
        <v>1978</v>
      </c>
      <c r="E2468" s="700" t="s">
        <v>1915</v>
      </c>
      <c r="F2468" s="795">
        <v>5120</v>
      </c>
      <c r="G2468" s="1703" t="s">
        <v>3796</v>
      </c>
      <c r="H2468" s="1866"/>
      <c r="I2468" s="1672"/>
      <c r="J2468" s="1672"/>
      <c r="K2468" s="1688"/>
      <c r="L2468" s="1866"/>
      <c r="M2468" s="1672">
        <v>125</v>
      </c>
      <c r="N2468" s="305"/>
      <c r="O2468" s="187"/>
      <c r="P2468" s="187"/>
      <c r="Q2468" s="187"/>
    </row>
    <row r="2469" spans="1:17" ht="40.799999999999997">
      <c r="A2469" s="1669"/>
      <c r="B2469" s="700" t="s">
        <v>772</v>
      </c>
      <c r="C2469" s="700" t="s">
        <v>324</v>
      </c>
      <c r="D2469" s="1847" t="s">
        <v>1978</v>
      </c>
      <c r="E2469" s="700" t="s">
        <v>1915</v>
      </c>
      <c r="F2469" s="795">
        <v>5120</v>
      </c>
      <c r="G2469" s="1703" t="s">
        <v>3797</v>
      </c>
      <c r="H2469" s="1866"/>
      <c r="I2469" s="1672"/>
      <c r="J2469" s="1672"/>
      <c r="K2469" s="1688"/>
      <c r="L2469" s="1866"/>
      <c r="M2469" s="1672">
        <v>799</v>
      </c>
      <c r="N2469" s="1891" t="s">
        <v>3803</v>
      </c>
      <c r="O2469" s="187"/>
      <c r="P2469" s="187"/>
      <c r="Q2469" s="187"/>
    </row>
    <row r="2470" spans="1:17" ht="20.399999999999999">
      <c r="A2470" s="1669"/>
      <c r="B2470" s="700" t="s">
        <v>772</v>
      </c>
      <c r="C2470" s="700" t="s">
        <v>324</v>
      </c>
      <c r="D2470" s="1847" t="s">
        <v>1978</v>
      </c>
      <c r="E2470" s="700" t="s">
        <v>1915</v>
      </c>
      <c r="F2470" s="795">
        <v>5120</v>
      </c>
      <c r="G2470" s="1703" t="s">
        <v>3798</v>
      </c>
      <c r="H2470" s="1866"/>
      <c r="I2470" s="1672">
        <v>500</v>
      </c>
      <c r="J2470" s="1672"/>
      <c r="K2470" s="1688"/>
      <c r="L2470" s="1866"/>
      <c r="M2470" s="1672">
        <v>1300</v>
      </c>
      <c r="N2470" s="305"/>
      <c r="O2470" s="187"/>
      <c r="P2470" s="187"/>
      <c r="Q2470" s="187"/>
    </row>
    <row r="2471" spans="1:17" ht="30.6">
      <c r="A2471" s="683"/>
      <c r="B2471" s="720" t="s">
        <v>774</v>
      </c>
      <c r="C2471" s="683" t="s">
        <v>324</v>
      </c>
      <c r="D2471" s="906" t="s">
        <v>1978</v>
      </c>
      <c r="E2471" s="720" t="s">
        <v>1915</v>
      </c>
      <c r="F2471" s="824">
        <v>5238</v>
      </c>
      <c r="G2471" s="800" t="s">
        <v>139</v>
      </c>
      <c r="H2471" s="706">
        <v>6440</v>
      </c>
      <c r="I2471" s="706"/>
      <c r="J2471" s="1654">
        <v>6432.59</v>
      </c>
      <c r="K2471" s="802"/>
      <c r="L2471" s="706">
        <v>8000</v>
      </c>
      <c r="M2471" s="706"/>
      <c r="N2471" s="1891" t="s">
        <v>3758</v>
      </c>
      <c r="O2471" s="187"/>
      <c r="P2471" s="187"/>
      <c r="Q2471" s="187"/>
    </row>
    <row r="2472" spans="1:17">
      <c r="A2472" s="663"/>
      <c r="B2472" s="700" t="s">
        <v>774</v>
      </c>
      <c r="C2472" s="663" t="s">
        <v>320</v>
      </c>
      <c r="D2472" s="907" t="s">
        <v>1978</v>
      </c>
      <c r="E2472" s="700" t="s">
        <v>1915</v>
      </c>
      <c r="F2472" s="795">
        <v>5238</v>
      </c>
      <c r="G2472" s="750" t="s">
        <v>4958</v>
      </c>
      <c r="H2472" s="922"/>
      <c r="I2472" s="701">
        <v>2500</v>
      </c>
      <c r="J2472" s="1654" t="s">
        <v>1134</v>
      </c>
      <c r="K2472" s="792"/>
      <c r="L2472" s="922"/>
      <c r="M2472" s="1672">
        <v>6000</v>
      </c>
      <c r="N2472" s="7"/>
      <c r="O2472" s="187"/>
      <c r="P2472" s="187"/>
      <c r="Q2472" s="187"/>
    </row>
    <row r="2473" spans="1:17" ht="20.399999999999999">
      <c r="A2473" s="1669" t="s">
        <v>553</v>
      </c>
      <c r="B2473" s="1724" t="s">
        <v>774</v>
      </c>
      <c r="C2473" s="1669" t="s">
        <v>324</v>
      </c>
      <c r="D2473" s="1857" t="s">
        <v>1978</v>
      </c>
      <c r="E2473" s="1724" t="s">
        <v>1915</v>
      </c>
      <c r="F2473" s="1725">
        <v>5238</v>
      </c>
      <c r="G2473" s="1671" t="s">
        <v>4959</v>
      </c>
      <c r="H2473" s="1865"/>
      <c r="I2473" s="1676"/>
      <c r="J2473" s="1676"/>
      <c r="K2473" s="1674"/>
      <c r="L2473" s="1689"/>
      <c r="M2473" s="1676">
        <v>2000</v>
      </c>
      <c r="N2473" s="7"/>
      <c r="O2473" s="187"/>
      <c r="P2473" s="187"/>
      <c r="Q2473" s="187"/>
    </row>
    <row r="2474" spans="1:17" ht="20.399999999999999">
      <c r="A2474" s="663"/>
      <c r="B2474" s="700" t="s">
        <v>774</v>
      </c>
      <c r="C2474" s="663" t="s">
        <v>320</v>
      </c>
      <c r="D2474" s="907" t="s">
        <v>1978</v>
      </c>
      <c r="E2474" s="700" t="s">
        <v>1915</v>
      </c>
      <c r="F2474" s="795">
        <v>5238</v>
      </c>
      <c r="G2474" s="750" t="s">
        <v>2167</v>
      </c>
      <c r="H2474" s="922"/>
      <c r="I2474" s="701">
        <v>3500</v>
      </c>
      <c r="J2474" s="1654" t="s">
        <v>1134</v>
      </c>
      <c r="K2474" s="792"/>
      <c r="L2474" s="922"/>
      <c r="M2474" s="701"/>
      <c r="N2474" s="7"/>
      <c r="O2474" s="187"/>
      <c r="P2474" s="187"/>
      <c r="Q2474" s="187"/>
    </row>
    <row r="2475" spans="1:17" ht="20.399999999999999">
      <c r="A2475" s="663" t="s">
        <v>553</v>
      </c>
      <c r="B2475" s="700" t="s">
        <v>774</v>
      </c>
      <c r="C2475" s="663" t="s">
        <v>324</v>
      </c>
      <c r="D2475" s="907" t="s">
        <v>1978</v>
      </c>
      <c r="E2475" s="700" t="s">
        <v>1915</v>
      </c>
      <c r="F2475" s="795">
        <v>5238</v>
      </c>
      <c r="G2475" s="750" t="s">
        <v>1450</v>
      </c>
      <c r="H2475" s="922"/>
      <c r="I2475" s="701">
        <v>1000</v>
      </c>
      <c r="J2475" s="1654" t="s">
        <v>1134</v>
      </c>
      <c r="K2475" s="792"/>
      <c r="L2475" s="922"/>
      <c r="M2475" s="701"/>
      <c r="N2475" s="7"/>
      <c r="O2475" s="187"/>
      <c r="P2475" s="187"/>
      <c r="Q2475" s="187"/>
    </row>
    <row r="2476" spans="1:17" ht="20.399999999999999">
      <c r="A2476" s="663" t="s">
        <v>487</v>
      </c>
      <c r="B2476" s="700" t="s">
        <v>774</v>
      </c>
      <c r="C2476" s="663" t="s">
        <v>320</v>
      </c>
      <c r="D2476" s="907" t="s">
        <v>1978</v>
      </c>
      <c r="E2476" s="700" t="s">
        <v>1915</v>
      </c>
      <c r="F2476" s="795">
        <v>5238</v>
      </c>
      <c r="G2476" s="750" t="s">
        <v>3300</v>
      </c>
      <c r="H2476" s="922"/>
      <c r="I2476" s="701">
        <v>-560</v>
      </c>
      <c r="J2476" s="1654" t="s">
        <v>1134</v>
      </c>
      <c r="K2476" s="792"/>
      <c r="L2476" s="922"/>
      <c r="M2476" s="701"/>
      <c r="N2476" s="7"/>
      <c r="O2476" s="187"/>
      <c r="P2476" s="187"/>
      <c r="Q2476" s="187"/>
    </row>
    <row r="2477" spans="1:17">
      <c r="A2477" s="683"/>
      <c r="B2477" s="720" t="s">
        <v>774</v>
      </c>
      <c r="C2477" s="683" t="s">
        <v>324</v>
      </c>
      <c r="D2477" s="906" t="s">
        <v>1978</v>
      </c>
      <c r="E2477" s="720" t="s">
        <v>1915</v>
      </c>
      <c r="F2477" s="824">
        <v>5239</v>
      </c>
      <c r="G2477" s="800" t="s">
        <v>138</v>
      </c>
      <c r="H2477" s="706">
        <v>4790</v>
      </c>
      <c r="I2477" s="706"/>
      <c r="J2477" s="1654">
        <v>4096</v>
      </c>
      <c r="K2477" s="802"/>
      <c r="L2477" s="706">
        <v>11275</v>
      </c>
      <c r="M2477" s="706"/>
      <c r="N2477" s="7"/>
      <c r="O2477" s="187"/>
      <c r="P2477" s="187"/>
      <c r="Q2477" s="187"/>
    </row>
    <row r="2478" spans="1:17">
      <c r="A2478" s="663"/>
      <c r="B2478" s="700" t="s">
        <v>774</v>
      </c>
      <c r="C2478" s="663" t="s">
        <v>324</v>
      </c>
      <c r="D2478" s="907" t="s">
        <v>1978</v>
      </c>
      <c r="E2478" s="700" t="s">
        <v>1915</v>
      </c>
      <c r="F2478" s="1001">
        <v>5239</v>
      </c>
      <c r="G2478" s="750" t="s">
        <v>2168</v>
      </c>
      <c r="H2478" s="701"/>
      <c r="I2478" s="701">
        <v>1800</v>
      </c>
      <c r="J2478" s="1654" t="s">
        <v>1134</v>
      </c>
      <c r="K2478" s="792"/>
      <c r="L2478" s="701"/>
      <c r="M2478" s="701"/>
      <c r="N2478" s="125" t="s">
        <v>3827</v>
      </c>
      <c r="O2478" s="187"/>
      <c r="P2478" s="187"/>
      <c r="Q2478" s="187"/>
    </row>
    <row r="2479" spans="1:17" ht="20.399999999999999">
      <c r="A2479" s="663"/>
      <c r="B2479" s="700" t="s">
        <v>774</v>
      </c>
      <c r="C2479" s="663" t="s">
        <v>324</v>
      </c>
      <c r="D2479" s="907" t="s">
        <v>1978</v>
      </c>
      <c r="E2479" s="700" t="s">
        <v>1915</v>
      </c>
      <c r="F2479" s="1001">
        <v>5239</v>
      </c>
      <c r="G2479" s="750" t="s">
        <v>2169</v>
      </c>
      <c r="H2479" s="701"/>
      <c r="I2479" s="701">
        <v>2990</v>
      </c>
      <c r="J2479" s="1654" t="s">
        <v>1134</v>
      </c>
      <c r="K2479" s="792"/>
      <c r="L2479" s="701"/>
      <c r="M2479" s="701"/>
      <c r="N2479" s="1887"/>
      <c r="O2479" s="187"/>
      <c r="P2479" s="187"/>
      <c r="Q2479" s="187"/>
    </row>
    <row r="2480" spans="1:17">
      <c r="A2480" s="663"/>
      <c r="B2480" s="700" t="s">
        <v>774</v>
      </c>
      <c r="C2480" s="663" t="s">
        <v>324</v>
      </c>
      <c r="D2480" s="907" t="s">
        <v>1978</v>
      </c>
      <c r="E2480" s="700" t="s">
        <v>1915</v>
      </c>
      <c r="F2480" s="1001">
        <v>5239</v>
      </c>
      <c r="G2480" s="750" t="s">
        <v>4892</v>
      </c>
      <c r="H2480" s="701"/>
      <c r="I2480" s="701"/>
      <c r="J2480" s="1654" t="s">
        <v>1134</v>
      </c>
      <c r="K2480" s="792"/>
      <c r="L2480" s="701"/>
      <c r="M2480" s="701">
        <v>2325</v>
      </c>
      <c r="N2480" s="1887"/>
      <c r="O2480" s="4"/>
      <c r="P2480" s="4"/>
      <c r="Q2480" s="4"/>
    </row>
    <row r="2481" spans="1:17" ht="30.6">
      <c r="A2481" s="2679"/>
      <c r="B2481" s="700" t="s">
        <v>774</v>
      </c>
      <c r="C2481" s="663" t="s">
        <v>324</v>
      </c>
      <c r="D2481" s="907" t="s">
        <v>1978</v>
      </c>
      <c r="E2481" s="700" t="s">
        <v>1915</v>
      </c>
      <c r="F2481" s="1001">
        <v>5239</v>
      </c>
      <c r="G2481" s="2605" t="s">
        <v>3802</v>
      </c>
      <c r="H2481" s="2615"/>
      <c r="I2481" s="2615"/>
      <c r="J2481" s="2621"/>
      <c r="K2481" s="2622"/>
      <c r="L2481" s="2615"/>
      <c r="M2481" s="2615">
        <v>2950</v>
      </c>
      <c r="N2481" s="125"/>
      <c r="O2481" s="187"/>
      <c r="P2481" s="187"/>
      <c r="Q2481" s="187"/>
    </row>
    <row r="2482" spans="1:17" ht="20.399999999999999">
      <c r="A2482" s="663"/>
      <c r="B2482" s="700" t="s">
        <v>774</v>
      </c>
      <c r="C2482" s="663" t="s">
        <v>324</v>
      </c>
      <c r="D2482" s="907" t="s">
        <v>1978</v>
      </c>
      <c r="E2482" s="700" t="s">
        <v>1915</v>
      </c>
      <c r="F2482" s="1001">
        <v>5239</v>
      </c>
      <c r="G2482" s="750" t="s">
        <v>3800</v>
      </c>
      <c r="H2482" s="922"/>
      <c r="I2482" s="701"/>
      <c r="J2482" s="1654" t="s">
        <v>1134</v>
      </c>
      <c r="K2482" s="792"/>
      <c r="L2482" s="922"/>
      <c r="M2482" s="701">
        <v>6000</v>
      </c>
      <c r="N2482" s="439" t="s">
        <v>3806</v>
      </c>
      <c r="O2482" s="187"/>
      <c r="P2482" s="187"/>
      <c r="Q2482" s="187"/>
    </row>
    <row r="2483" spans="1:17">
      <c r="A2483" s="683"/>
      <c r="B2483" s="3129" t="s">
        <v>773</v>
      </c>
      <c r="C2483" s="683" t="s">
        <v>340</v>
      </c>
      <c r="D2483" s="906" t="s">
        <v>1978</v>
      </c>
      <c r="E2483" s="720" t="s">
        <v>1915</v>
      </c>
      <c r="F2483" s="824">
        <v>5239</v>
      </c>
      <c r="G2483" s="800" t="s">
        <v>138</v>
      </c>
      <c r="H2483" s="706">
        <v>18500</v>
      </c>
      <c r="I2483" s="706"/>
      <c r="J2483" s="1654">
        <v>13263</v>
      </c>
      <c r="K2483" s="802"/>
      <c r="L2483" s="706">
        <v>0</v>
      </c>
      <c r="M2483" s="706"/>
      <c r="N2483" s="439" t="s">
        <v>3808</v>
      </c>
    </row>
    <row r="2484" spans="1:17" ht="30.6">
      <c r="A2484" s="663"/>
      <c r="B2484" s="3130" t="s">
        <v>773</v>
      </c>
      <c r="C2484" s="663" t="s">
        <v>340</v>
      </c>
      <c r="D2484" s="907" t="s">
        <v>1978</v>
      </c>
      <c r="E2484" s="700" t="s">
        <v>1915</v>
      </c>
      <c r="F2484" s="795">
        <v>5239</v>
      </c>
      <c r="G2484" s="1703" t="s">
        <v>3802</v>
      </c>
      <c r="H2484" s="701"/>
      <c r="I2484" s="701">
        <v>20000</v>
      </c>
      <c r="J2484" s="1654" t="s">
        <v>1134</v>
      </c>
      <c r="K2484" s="792"/>
      <c r="L2484" s="701"/>
      <c r="M2484" s="714"/>
      <c r="N2484" s="1894" t="s">
        <v>3809</v>
      </c>
      <c r="O2484" s="4"/>
    </row>
    <row r="2485" spans="1:17" ht="20.399999999999999">
      <c r="A2485" s="663"/>
      <c r="B2485" s="3130" t="s">
        <v>773</v>
      </c>
      <c r="C2485" s="663" t="s">
        <v>340</v>
      </c>
      <c r="D2485" s="907" t="s">
        <v>1978</v>
      </c>
      <c r="E2485" s="700" t="s">
        <v>1915</v>
      </c>
      <c r="F2485" s="795">
        <v>5239</v>
      </c>
      <c r="G2485" s="750" t="s">
        <v>3301</v>
      </c>
      <c r="H2485" s="701"/>
      <c r="I2485" s="701">
        <v>-1500</v>
      </c>
      <c r="J2485" s="1654" t="s">
        <v>1134</v>
      </c>
      <c r="K2485" s="792"/>
      <c r="L2485" s="701"/>
      <c r="M2485" s="714"/>
      <c r="N2485" s="1887"/>
    </row>
    <row r="2486" spans="1:17" ht="30.6">
      <c r="A2486" s="1669"/>
      <c r="B2486" s="3151" t="s">
        <v>773</v>
      </c>
      <c r="C2486" s="1879" t="s">
        <v>340</v>
      </c>
      <c r="D2486" s="1880" t="s">
        <v>1978</v>
      </c>
      <c r="E2486" s="1881" t="s">
        <v>1915</v>
      </c>
      <c r="F2486" s="1882">
        <v>5239</v>
      </c>
      <c r="G2486" s="1883" t="s">
        <v>3800</v>
      </c>
      <c r="H2486" s="1884"/>
      <c r="I2486" s="1884"/>
      <c r="J2486" s="1884"/>
      <c r="K2486" s="1885"/>
      <c r="L2486" s="1884"/>
      <c r="M2486" s="1886"/>
      <c r="N2486" s="1895" t="s">
        <v>3811</v>
      </c>
      <c r="O2486" s="187"/>
      <c r="P2486" s="187"/>
      <c r="Q2486" s="187"/>
    </row>
    <row r="2487" spans="1:17">
      <c r="A2487" s="683"/>
      <c r="B2487" s="720" t="s">
        <v>436</v>
      </c>
      <c r="C2487" s="683" t="s">
        <v>427</v>
      </c>
      <c r="D2487" s="719" t="s">
        <v>1978</v>
      </c>
      <c r="E2487" s="742" t="s">
        <v>1916</v>
      </c>
      <c r="F2487" s="824">
        <v>1119</v>
      </c>
      <c r="G2487" s="800" t="s">
        <v>109</v>
      </c>
      <c r="H2487" s="706">
        <v>163090.79999999999</v>
      </c>
      <c r="I2487" s="801"/>
      <c r="J2487" s="1654">
        <v>127563</v>
      </c>
      <c r="K2487" s="802"/>
      <c r="L2487" s="706">
        <v>173721.78799999997</v>
      </c>
      <c r="M2487" s="801"/>
      <c r="N2487" s="125"/>
      <c r="O2487" s="187"/>
      <c r="P2487" s="187"/>
      <c r="Q2487" s="187"/>
    </row>
    <row r="2488" spans="1:17">
      <c r="A2488" s="663"/>
      <c r="B2488" s="700" t="s">
        <v>436</v>
      </c>
      <c r="C2488" s="663" t="s">
        <v>427</v>
      </c>
      <c r="D2488" s="678" t="s">
        <v>1978</v>
      </c>
      <c r="E2488" s="700" t="s">
        <v>1916</v>
      </c>
      <c r="F2488" s="795">
        <v>1119</v>
      </c>
      <c r="G2488" s="1889" t="s">
        <v>436</v>
      </c>
      <c r="H2488" s="701"/>
      <c r="I2488" s="701">
        <v>165090.79999999999</v>
      </c>
      <c r="J2488" s="1654" t="s">
        <v>1134</v>
      </c>
      <c r="K2488" s="802"/>
      <c r="L2488" s="701"/>
      <c r="M2488" s="701">
        <v>173721.78799999997</v>
      </c>
      <c r="N2488" s="125"/>
      <c r="O2488" s="187"/>
      <c r="P2488" s="187"/>
      <c r="Q2488" s="187"/>
    </row>
    <row r="2489" spans="1:17" ht="20.399999999999999">
      <c r="A2489" s="663"/>
      <c r="B2489" s="700" t="s">
        <v>436</v>
      </c>
      <c r="C2489" s="663" t="s">
        <v>427</v>
      </c>
      <c r="D2489" s="678" t="s">
        <v>1978</v>
      </c>
      <c r="E2489" s="700" t="s">
        <v>1916</v>
      </c>
      <c r="F2489" s="795">
        <v>1119</v>
      </c>
      <c r="G2489" s="1889" t="s">
        <v>1998</v>
      </c>
      <c r="H2489" s="701"/>
      <c r="I2489" s="701">
        <v>-2000</v>
      </c>
      <c r="J2489" s="1654" t="s">
        <v>1134</v>
      </c>
      <c r="K2489" s="802"/>
      <c r="L2489" s="701"/>
      <c r="M2489" s="701"/>
      <c r="N2489" s="1887"/>
      <c r="O2489" s="187"/>
      <c r="P2489" s="187"/>
      <c r="Q2489" s="187"/>
    </row>
    <row r="2490" spans="1:17">
      <c r="A2490" s="683"/>
      <c r="B2490" s="3129" t="s">
        <v>326</v>
      </c>
      <c r="C2490" s="683" t="s">
        <v>321</v>
      </c>
      <c r="D2490" s="906" t="s">
        <v>1978</v>
      </c>
      <c r="E2490" s="1406" t="s">
        <v>1916</v>
      </c>
      <c r="F2490" s="685">
        <v>1119</v>
      </c>
      <c r="G2490" s="686" t="s">
        <v>109</v>
      </c>
      <c r="H2490" s="920">
        <v>8941</v>
      </c>
      <c r="I2490" s="706"/>
      <c r="J2490" s="1494"/>
      <c r="K2490" s="802"/>
      <c r="L2490" s="3112">
        <v>8898.9982183024513</v>
      </c>
      <c r="M2490" s="1661"/>
      <c r="N2490" s="1887"/>
      <c r="O2490" s="4"/>
    </row>
    <row r="2491" spans="1:17" ht="20.399999999999999">
      <c r="A2491" s="663"/>
      <c r="B2491" s="3130" t="s">
        <v>326</v>
      </c>
      <c r="C2491" s="663" t="s">
        <v>321</v>
      </c>
      <c r="D2491" s="907" t="s">
        <v>1978</v>
      </c>
      <c r="E2491" s="1407" t="s">
        <v>1916</v>
      </c>
      <c r="F2491" s="679">
        <v>1119</v>
      </c>
      <c r="G2491" s="665" t="s">
        <v>244</v>
      </c>
      <c r="H2491" s="701"/>
      <c r="I2491" s="714">
        <v>8941</v>
      </c>
      <c r="J2491" s="1494" t="s">
        <v>1134</v>
      </c>
      <c r="K2491" s="792"/>
      <c r="L2491" s="1662"/>
      <c r="M2491" s="1681">
        <v>8898.9982183024513</v>
      </c>
      <c r="N2491" s="1895" t="s">
        <v>3813</v>
      </c>
    </row>
    <row r="2492" spans="1:17" ht="20.399999999999999">
      <c r="A2492" s="683"/>
      <c r="B2492" s="720" t="s">
        <v>436</v>
      </c>
      <c r="C2492" s="683" t="s">
        <v>427</v>
      </c>
      <c r="D2492" s="719" t="s">
        <v>1978</v>
      </c>
      <c r="E2492" s="720" t="s">
        <v>1916</v>
      </c>
      <c r="F2492" s="824">
        <v>1141</v>
      </c>
      <c r="G2492" s="800" t="s">
        <v>587</v>
      </c>
      <c r="H2492" s="706">
        <v>440</v>
      </c>
      <c r="I2492" s="801"/>
      <c r="J2492" s="1654">
        <v>439</v>
      </c>
      <c r="K2492" s="802"/>
      <c r="L2492" s="801">
        <v>240</v>
      </c>
      <c r="M2492" s="801"/>
      <c r="N2492" s="1895" t="s">
        <v>3815</v>
      </c>
      <c r="O2492" s="4"/>
      <c r="P2492" s="4"/>
      <c r="Q2492" s="4"/>
    </row>
    <row r="2493" spans="1:17">
      <c r="A2493" s="663"/>
      <c r="B2493" s="700" t="s">
        <v>436</v>
      </c>
      <c r="C2493" s="663" t="s">
        <v>427</v>
      </c>
      <c r="D2493" s="907" t="s">
        <v>1978</v>
      </c>
      <c r="E2493" s="700" t="s">
        <v>1916</v>
      </c>
      <c r="F2493" s="795">
        <v>1141</v>
      </c>
      <c r="G2493" s="750"/>
      <c r="H2493" s="701"/>
      <c r="I2493" s="714">
        <v>240</v>
      </c>
      <c r="J2493" s="1654" t="s">
        <v>1134</v>
      </c>
      <c r="K2493" s="792"/>
      <c r="L2493" s="701"/>
      <c r="M2493" s="714">
        <v>240</v>
      </c>
      <c r="N2493" s="125"/>
      <c r="O2493" s="187"/>
      <c r="P2493" s="187"/>
      <c r="Q2493" s="187"/>
    </row>
    <row r="2494" spans="1:17" ht="20.399999999999999">
      <c r="A2494" s="663"/>
      <c r="B2494" s="700" t="s">
        <v>436</v>
      </c>
      <c r="C2494" s="663" t="s">
        <v>427</v>
      </c>
      <c r="D2494" s="907" t="s">
        <v>1978</v>
      </c>
      <c r="E2494" s="700" t="s">
        <v>1916</v>
      </c>
      <c r="F2494" s="795">
        <v>1141</v>
      </c>
      <c r="G2494" s="1889" t="s">
        <v>3399</v>
      </c>
      <c r="H2494" s="701"/>
      <c r="I2494" s="701">
        <v>200</v>
      </c>
      <c r="J2494" s="1654" t="s">
        <v>1134</v>
      </c>
      <c r="K2494" s="802"/>
      <c r="L2494" s="701"/>
      <c r="M2494" s="701"/>
      <c r="N2494" s="1895"/>
      <c r="O2494" s="187"/>
      <c r="P2494" s="187"/>
      <c r="Q2494" s="187"/>
    </row>
    <row r="2495" spans="1:17" ht="20.399999999999999">
      <c r="A2495" s="683"/>
      <c r="B2495" s="720" t="s">
        <v>436</v>
      </c>
      <c r="C2495" s="683" t="s">
        <v>427</v>
      </c>
      <c r="D2495" s="719" t="s">
        <v>1978</v>
      </c>
      <c r="E2495" s="720" t="s">
        <v>1916</v>
      </c>
      <c r="F2495" s="824">
        <v>1142</v>
      </c>
      <c r="G2495" s="800" t="s">
        <v>110</v>
      </c>
      <c r="H2495" s="706">
        <v>6700</v>
      </c>
      <c r="I2495" s="801"/>
      <c r="J2495" s="1654">
        <v>6634</v>
      </c>
      <c r="K2495" s="802"/>
      <c r="L2495" s="801">
        <v>5200</v>
      </c>
      <c r="M2495" s="801"/>
      <c r="N2495" s="1895" t="s">
        <v>3818</v>
      </c>
      <c r="O2495" s="187"/>
      <c r="P2495" s="187"/>
      <c r="Q2495" s="187"/>
    </row>
    <row r="2496" spans="1:17">
      <c r="A2496" s="663"/>
      <c r="B2496" s="700" t="s">
        <v>436</v>
      </c>
      <c r="C2496" s="663" t="s">
        <v>427</v>
      </c>
      <c r="D2496" s="907" t="s">
        <v>1978</v>
      </c>
      <c r="E2496" s="700" t="s">
        <v>1916</v>
      </c>
      <c r="F2496" s="795">
        <v>1142</v>
      </c>
      <c r="G2496" s="750"/>
      <c r="H2496" s="701"/>
      <c r="I2496" s="714">
        <v>5200</v>
      </c>
      <c r="J2496" s="1654" t="s">
        <v>1134</v>
      </c>
      <c r="K2496" s="792"/>
      <c r="L2496" s="701"/>
      <c r="M2496" s="714">
        <v>5200</v>
      </c>
      <c r="N2496" s="1895"/>
      <c r="O2496" s="187"/>
      <c r="P2496" s="187"/>
      <c r="Q2496" s="187"/>
    </row>
    <row r="2497" spans="1:17" ht="20.399999999999999">
      <c r="A2497" s="663"/>
      <c r="B2497" s="700" t="s">
        <v>436</v>
      </c>
      <c r="C2497" s="663" t="s">
        <v>427</v>
      </c>
      <c r="D2497" s="907" t="s">
        <v>1978</v>
      </c>
      <c r="E2497" s="700" t="s">
        <v>1916</v>
      </c>
      <c r="F2497" s="795">
        <v>1142</v>
      </c>
      <c r="G2497" s="750" t="s">
        <v>3400</v>
      </c>
      <c r="H2497" s="701"/>
      <c r="I2497" s="714">
        <v>1500</v>
      </c>
      <c r="J2497" s="1654" t="s">
        <v>1134</v>
      </c>
      <c r="K2497" s="792"/>
      <c r="L2497" s="701"/>
      <c r="M2497" s="714"/>
      <c r="N2497" s="125"/>
      <c r="O2497" s="187"/>
      <c r="P2497" s="187"/>
      <c r="Q2497" s="187"/>
    </row>
    <row r="2498" spans="1:17">
      <c r="A2498" s="683"/>
      <c r="B2498" s="720" t="s">
        <v>436</v>
      </c>
      <c r="C2498" s="683" t="s">
        <v>427</v>
      </c>
      <c r="D2498" s="719" t="s">
        <v>1978</v>
      </c>
      <c r="E2498" s="720" t="s">
        <v>1916</v>
      </c>
      <c r="F2498" s="824">
        <v>1147</v>
      </c>
      <c r="G2498" s="800" t="s">
        <v>111</v>
      </c>
      <c r="H2498" s="706">
        <v>11089.809999999998</v>
      </c>
      <c r="I2498" s="801"/>
      <c r="J2498" s="1654">
        <v>5860</v>
      </c>
      <c r="K2498" s="802"/>
      <c r="L2498" s="801">
        <v>8690.6266499999983</v>
      </c>
      <c r="M2498" s="801"/>
      <c r="N2498" s="125"/>
      <c r="O2498" s="187"/>
      <c r="P2498" s="187"/>
      <c r="Q2498" s="187"/>
    </row>
    <row r="2499" spans="1:17" ht="20.399999999999999">
      <c r="A2499" s="663"/>
      <c r="B2499" s="700" t="s">
        <v>436</v>
      </c>
      <c r="C2499" s="663" t="s">
        <v>427</v>
      </c>
      <c r="D2499" s="678" t="s">
        <v>1978</v>
      </c>
      <c r="E2499" s="700" t="s">
        <v>1916</v>
      </c>
      <c r="F2499" s="795">
        <v>1147</v>
      </c>
      <c r="G2499" s="1889" t="s">
        <v>1048</v>
      </c>
      <c r="H2499" s="701"/>
      <c r="I2499" s="701">
        <v>12789.809999999998</v>
      </c>
      <c r="J2499" s="1654" t="s">
        <v>1134</v>
      </c>
      <c r="K2499" s="802"/>
      <c r="L2499" s="701"/>
      <c r="M2499" s="701">
        <v>8690.6266499999983</v>
      </c>
      <c r="N2499" s="1899" t="s">
        <v>3821</v>
      </c>
      <c r="O2499" s="187"/>
      <c r="P2499" s="187"/>
      <c r="Q2499" s="187"/>
    </row>
    <row r="2500" spans="1:17" ht="20.399999999999999">
      <c r="A2500" s="663"/>
      <c r="B2500" s="700" t="s">
        <v>436</v>
      </c>
      <c r="C2500" s="663" t="s">
        <v>427</v>
      </c>
      <c r="D2500" s="678" t="s">
        <v>1978</v>
      </c>
      <c r="E2500" s="700" t="s">
        <v>1916</v>
      </c>
      <c r="F2500" s="795">
        <v>1147</v>
      </c>
      <c r="G2500" s="1889" t="s">
        <v>3399</v>
      </c>
      <c r="H2500" s="701"/>
      <c r="I2500" s="701">
        <v>-200</v>
      </c>
      <c r="J2500" s="1654" t="s">
        <v>1134</v>
      </c>
      <c r="K2500" s="802"/>
      <c r="L2500" s="701"/>
      <c r="M2500" s="701"/>
      <c r="N2500" s="1895"/>
      <c r="O2500" s="187"/>
      <c r="P2500" s="187"/>
      <c r="Q2500" s="187"/>
    </row>
    <row r="2501" spans="1:17" ht="20.399999999999999">
      <c r="A2501" s="663"/>
      <c r="B2501" s="700" t="s">
        <v>436</v>
      </c>
      <c r="C2501" s="663" t="s">
        <v>427</v>
      </c>
      <c r="D2501" s="678" t="s">
        <v>1978</v>
      </c>
      <c r="E2501" s="700" t="s">
        <v>1916</v>
      </c>
      <c r="F2501" s="795">
        <v>1147</v>
      </c>
      <c r="G2501" s="750" t="s">
        <v>3400</v>
      </c>
      <c r="H2501" s="701"/>
      <c r="I2501" s="701">
        <v>-1500</v>
      </c>
      <c r="J2501" s="1654" t="s">
        <v>1134</v>
      </c>
      <c r="K2501" s="802"/>
      <c r="L2501" s="701"/>
      <c r="M2501" s="701"/>
      <c r="N2501" s="1899"/>
      <c r="O2501" s="187"/>
      <c r="P2501" s="187"/>
      <c r="Q2501" s="187"/>
    </row>
    <row r="2502" spans="1:17" ht="20.399999999999999">
      <c r="A2502" s="683"/>
      <c r="B2502" s="720" t="s">
        <v>436</v>
      </c>
      <c r="C2502" s="683" t="s">
        <v>427</v>
      </c>
      <c r="D2502" s="719" t="s">
        <v>1978</v>
      </c>
      <c r="E2502" s="720" t="s">
        <v>1916</v>
      </c>
      <c r="F2502" s="824">
        <v>1148</v>
      </c>
      <c r="G2502" s="800" t="s">
        <v>112</v>
      </c>
      <c r="H2502" s="706">
        <v>6000</v>
      </c>
      <c r="I2502" s="801"/>
      <c r="J2502" s="1654">
        <v>5817</v>
      </c>
      <c r="K2502" s="802"/>
      <c r="L2502" s="706">
        <v>4000</v>
      </c>
      <c r="M2502" s="801"/>
      <c r="N2502" s="1899" t="s">
        <v>3821</v>
      </c>
      <c r="O2502" s="187"/>
      <c r="P2502" s="187"/>
      <c r="Q2502" s="187"/>
    </row>
    <row r="2503" spans="1:17" ht="20.399999999999999">
      <c r="A2503" s="663"/>
      <c r="B2503" s="700" t="s">
        <v>436</v>
      </c>
      <c r="C2503" s="663" t="s">
        <v>427</v>
      </c>
      <c r="D2503" s="678" t="s">
        <v>1978</v>
      </c>
      <c r="E2503" s="700" t="s">
        <v>1916</v>
      </c>
      <c r="F2503" s="795">
        <v>1148</v>
      </c>
      <c r="G2503" s="1889" t="s">
        <v>1069</v>
      </c>
      <c r="H2503" s="701"/>
      <c r="I2503" s="701">
        <v>4000</v>
      </c>
      <c r="J2503" s="1654" t="s">
        <v>1134</v>
      </c>
      <c r="K2503" s="802"/>
      <c r="L2503" s="701"/>
      <c r="M2503" s="701">
        <v>4000</v>
      </c>
      <c r="N2503" s="125"/>
      <c r="O2503" s="4"/>
      <c r="P2503" s="4"/>
      <c r="Q2503" s="4"/>
    </row>
    <row r="2504" spans="1:17" ht="20.399999999999999">
      <c r="A2504" s="1495"/>
      <c r="B2504" s="1590" t="s">
        <v>436</v>
      </c>
      <c r="C2504" s="1495" t="s">
        <v>427</v>
      </c>
      <c r="D2504" s="1561" t="s">
        <v>1978</v>
      </c>
      <c r="E2504" s="1590" t="s">
        <v>1916</v>
      </c>
      <c r="F2504" s="1562">
        <v>1148</v>
      </c>
      <c r="G2504" s="2488" t="s">
        <v>1998</v>
      </c>
      <c r="H2504" s="1557"/>
      <c r="I2504" s="1557">
        <v>2000</v>
      </c>
      <c r="J2504" s="1557"/>
      <c r="K2504" s="1621"/>
      <c r="L2504" s="1557"/>
      <c r="M2504" s="1557"/>
      <c r="N2504" s="1895" t="s">
        <v>3825</v>
      </c>
      <c r="O2504" s="187"/>
      <c r="P2504" s="187"/>
      <c r="Q2504" s="187"/>
    </row>
    <row r="2505" spans="1:17" ht="20.399999999999999">
      <c r="A2505" s="683"/>
      <c r="B2505" s="3142" t="s">
        <v>692</v>
      </c>
      <c r="C2505" s="683" t="s">
        <v>427</v>
      </c>
      <c r="D2505" s="719" t="s">
        <v>1978</v>
      </c>
      <c r="E2505" s="720" t="s">
        <v>1916</v>
      </c>
      <c r="F2505" s="685">
        <v>1150</v>
      </c>
      <c r="G2505" s="686" t="s">
        <v>401</v>
      </c>
      <c r="H2505" s="706">
        <v>13500</v>
      </c>
      <c r="I2505" s="801"/>
      <c r="J2505" s="1494">
        <v>11899</v>
      </c>
      <c r="K2505" s="802"/>
      <c r="L2505" s="689">
        <v>16000</v>
      </c>
      <c r="M2505" s="799"/>
      <c r="N2505" s="1887"/>
      <c r="O2505" s="187"/>
      <c r="P2505" s="187"/>
      <c r="Q2505" s="187"/>
    </row>
    <row r="2506" spans="1:17">
      <c r="A2506" s="663"/>
      <c r="B2506" s="3130" t="s">
        <v>692</v>
      </c>
      <c r="C2506" s="663" t="s">
        <v>427</v>
      </c>
      <c r="D2506" s="907" t="s">
        <v>1978</v>
      </c>
      <c r="E2506" s="700" t="s">
        <v>1916</v>
      </c>
      <c r="F2506" s="679">
        <v>1150</v>
      </c>
      <c r="G2506" s="665" t="s">
        <v>1255</v>
      </c>
      <c r="H2506" s="701"/>
      <c r="I2506" s="714">
        <v>12000</v>
      </c>
      <c r="J2506" s="1494" t="s">
        <v>1134</v>
      </c>
      <c r="K2506" s="792"/>
      <c r="L2506" s="660"/>
      <c r="M2506" s="1757">
        <v>14500</v>
      </c>
      <c r="N2506" s="1887"/>
      <c r="O2506" s="4"/>
      <c r="P2506" s="4"/>
      <c r="Q2506" s="4"/>
    </row>
    <row r="2507" spans="1:17">
      <c r="A2507" s="908"/>
      <c r="B2507" s="3148" t="s">
        <v>692</v>
      </c>
      <c r="C2507" s="908" t="s">
        <v>320</v>
      </c>
      <c r="D2507" s="909" t="s">
        <v>1978</v>
      </c>
      <c r="E2507" s="1846" t="s">
        <v>1916</v>
      </c>
      <c r="F2507" s="862">
        <v>1150</v>
      </c>
      <c r="G2507" s="910" t="s">
        <v>1078</v>
      </c>
      <c r="H2507" s="921"/>
      <c r="I2507" s="714">
        <v>1500</v>
      </c>
      <c r="J2507" s="1494" t="s">
        <v>1134</v>
      </c>
      <c r="K2507" s="802"/>
      <c r="L2507" s="911"/>
      <c r="M2507" s="1757">
        <v>1500</v>
      </c>
      <c r="N2507" s="125"/>
      <c r="O2507" s="187"/>
      <c r="P2507" s="187"/>
      <c r="Q2507" s="187"/>
    </row>
    <row r="2508" spans="1:17" ht="22.5" customHeight="1">
      <c r="A2508" s="683"/>
      <c r="B2508" s="720" t="s">
        <v>436</v>
      </c>
      <c r="C2508" s="683" t="s">
        <v>427</v>
      </c>
      <c r="D2508" s="719" t="s">
        <v>1978</v>
      </c>
      <c r="E2508" s="720" t="s">
        <v>1916</v>
      </c>
      <c r="F2508" s="685">
        <v>1170</v>
      </c>
      <c r="G2508" s="686" t="s">
        <v>475</v>
      </c>
      <c r="H2508" s="706">
        <v>390</v>
      </c>
      <c r="I2508" s="801"/>
      <c r="J2508" s="1494">
        <v>90</v>
      </c>
      <c r="K2508" s="802"/>
      <c r="L2508" s="689">
        <v>390</v>
      </c>
      <c r="M2508" s="799"/>
      <c r="N2508" s="125"/>
      <c r="O2508" s="187"/>
      <c r="P2508" s="187"/>
      <c r="Q2508" s="187"/>
    </row>
    <row r="2509" spans="1:17" ht="20.399999999999999">
      <c r="A2509" s="663"/>
      <c r="B2509" s="700" t="s">
        <v>436</v>
      </c>
      <c r="C2509" s="663" t="s">
        <v>427</v>
      </c>
      <c r="D2509" s="678" t="s">
        <v>1978</v>
      </c>
      <c r="E2509" s="700" t="s">
        <v>1916</v>
      </c>
      <c r="F2509" s="679">
        <v>1170</v>
      </c>
      <c r="G2509" s="675" t="s">
        <v>1498</v>
      </c>
      <c r="H2509" s="701"/>
      <c r="I2509" s="701">
        <v>390</v>
      </c>
      <c r="J2509" s="1494" t="s">
        <v>1134</v>
      </c>
      <c r="K2509" s="802"/>
      <c r="L2509" s="660"/>
      <c r="M2509" s="660">
        <v>390</v>
      </c>
      <c r="N2509" s="7" t="s">
        <v>3828</v>
      </c>
      <c r="O2509" s="187"/>
      <c r="P2509" s="187"/>
      <c r="Q2509" s="187"/>
    </row>
    <row r="2510" spans="1:17">
      <c r="A2510" s="683"/>
      <c r="B2510" s="720" t="s">
        <v>436</v>
      </c>
      <c r="C2510" s="683" t="s">
        <v>427</v>
      </c>
      <c r="D2510" s="719" t="s">
        <v>1978</v>
      </c>
      <c r="E2510" s="720" t="s">
        <v>1916</v>
      </c>
      <c r="F2510" s="824">
        <v>1210</v>
      </c>
      <c r="G2510" s="800" t="s">
        <v>113</v>
      </c>
      <c r="H2510" s="706">
        <v>44472.292478459996</v>
      </c>
      <c r="I2510" s="801"/>
      <c r="J2510" s="1654">
        <v>34963</v>
      </c>
      <c r="K2510" s="802"/>
      <c r="L2510" s="706">
        <v>46548.805733580157</v>
      </c>
      <c r="M2510" s="801"/>
      <c r="N2510" s="7" t="s">
        <v>3829</v>
      </c>
      <c r="O2510" s="187"/>
      <c r="P2510" s="187"/>
      <c r="Q2510" s="187"/>
    </row>
    <row r="2511" spans="1:17">
      <c r="A2511" s="663"/>
      <c r="B2511" s="700" t="s">
        <v>436</v>
      </c>
      <c r="C2511" s="663" t="s">
        <v>427</v>
      </c>
      <c r="D2511" s="678" t="s">
        <v>1978</v>
      </c>
      <c r="E2511" s="700" t="s">
        <v>1916</v>
      </c>
      <c r="F2511" s="795">
        <v>1210</v>
      </c>
      <c r="G2511" s="1889"/>
      <c r="H2511" s="701"/>
      <c r="I2511" s="701">
        <v>44472.292478459996</v>
      </c>
      <c r="J2511" s="1654" t="s">
        <v>1134</v>
      </c>
      <c r="K2511" s="802"/>
      <c r="L2511" s="701"/>
      <c r="M2511" s="701">
        <v>46548.805733580157</v>
      </c>
      <c r="N2511" s="7"/>
      <c r="O2511" s="187"/>
      <c r="P2511" s="187"/>
      <c r="Q2511" s="187"/>
    </row>
    <row r="2512" spans="1:17">
      <c r="A2512" s="663"/>
      <c r="B2512" s="700" t="s">
        <v>436</v>
      </c>
      <c r="C2512" s="663" t="s">
        <v>427</v>
      </c>
      <c r="D2512" s="678" t="s">
        <v>1978</v>
      </c>
      <c r="E2512" s="700" t="s">
        <v>1916</v>
      </c>
      <c r="F2512" s="795">
        <v>1210</v>
      </c>
      <c r="G2512" s="1889"/>
      <c r="H2512" s="701"/>
      <c r="I2512" s="701"/>
      <c r="J2512" s="1654" t="s">
        <v>1134</v>
      </c>
      <c r="K2512" s="802"/>
      <c r="L2512" s="701"/>
      <c r="M2512" s="701"/>
      <c r="N2512" s="7"/>
      <c r="O2512" s="187"/>
      <c r="P2512" s="187"/>
      <c r="Q2512" s="187"/>
    </row>
    <row r="2513" spans="1:17">
      <c r="A2513" s="683"/>
      <c r="B2513" s="3129" t="s">
        <v>326</v>
      </c>
      <c r="C2513" s="683" t="s">
        <v>321</v>
      </c>
      <c r="D2513" s="906" t="s">
        <v>1978</v>
      </c>
      <c r="E2513" s="1406" t="s">
        <v>1916</v>
      </c>
      <c r="F2513" s="685">
        <v>1210</v>
      </c>
      <c r="G2513" s="686" t="s">
        <v>513</v>
      </c>
      <c r="H2513" s="920">
        <v>2109.1819</v>
      </c>
      <c r="I2513" s="706"/>
      <c r="J2513" s="1494"/>
      <c r="K2513" s="802"/>
      <c r="L2513" s="3112">
        <v>2099.0017816975487</v>
      </c>
      <c r="M2513" s="1661"/>
      <c r="N2513" s="125" t="s">
        <v>4713</v>
      </c>
      <c r="O2513" s="187"/>
      <c r="P2513" s="187"/>
      <c r="Q2513" s="187"/>
    </row>
    <row r="2514" spans="1:17">
      <c r="A2514" s="908"/>
      <c r="B2514" s="3148" t="s">
        <v>326</v>
      </c>
      <c r="C2514" s="908" t="s">
        <v>321</v>
      </c>
      <c r="D2514" s="909" t="s">
        <v>1978</v>
      </c>
      <c r="E2514" s="1416" t="s">
        <v>1916</v>
      </c>
      <c r="F2514" s="862">
        <v>1210</v>
      </c>
      <c r="G2514" s="910" t="s">
        <v>512</v>
      </c>
      <c r="H2514" s="921"/>
      <c r="I2514" s="714">
        <v>2109.1819</v>
      </c>
      <c r="J2514" s="1494" t="s">
        <v>1134</v>
      </c>
      <c r="K2514" s="802"/>
      <c r="L2514" s="3113"/>
      <c r="M2514" s="1681">
        <v>2099.0017816975487</v>
      </c>
      <c r="N2514" s="7"/>
      <c r="O2514" s="187"/>
      <c r="P2514" s="187"/>
      <c r="Q2514" s="187"/>
    </row>
    <row r="2515" spans="1:17">
      <c r="A2515" s="683"/>
      <c r="B2515" s="720" t="s">
        <v>436</v>
      </c>
      <c r="C2515" s="683" t="s">
        <v>427</v>
      </c>
      <c r="D2515" s="719" t="s">
        <v>1978</v>
      </c>
      <c r="E2515" s="720" t="s">
        <v>1916</v>
      </c>
      <c r="F2515" s="824">
        <v>1221</v>
      </c>
      <c r="G2515" s="800" t="s">
        <v>114</v>
      </c>
      <c r="H2515" s="706">
        <v>7554.6650755399996</v>
      </c>
      <c r="I2515" s="801"/>
      <c r="J2515" s="1654">
        <v>6500</v>
      </c>
      <c r="K2515" s="802"/>
      <c r="L2515" s="706">
        <v>7935.2644569048534</v>
      </c>
      <c r="M2515" s="801"/>
      <c r="N2515" s="7"/>
    </row>
    <row r="2516" spans="1:17">
      <c r="A2516" s="663"/>
      <c r="B2516" s="700" t="s">
        <v>436</v>
      </c>
      <c r="C2516" s="663" t="s">
        <v>427</v>
      </c>
      <c r="D2516" s="678" t="s">
        <v>1978</v>
      </c>
      <c r="E2516" s="700" t="s">
        <v>1916</v>
      </c>
      <c r="F2516" s="795">
        <v>1221</v>
      </c>
      <c r="G2516" s="1889"/>
      <c r="H2516" s="701"/>
      <c r="I2516" s="701">
        <v>7554.6650755399996</v>
      </c>
      <c r="J2516" s="1654" t="s">
        <v>1134</v>
      </c>
      <c r="K2516" s="802"/>
      <c r="L2516" s="701"/>
      <c r="M2516" s="701">
        <v>7935.2644569048534</v>
      </c>
      <c r="N2516" s="125"/>
    </row>
    <row r="2517" spans="1:17" ht="20.399999999999999">
      <c r="A2517" s="663"/>
      <c r="B2517" s="700" t="s">
        <v>436</v>
      </c>
      <c r="C2517" s="663" t="s">
        <v>427</v>
      </c>
      <c r="D2517" s="678" t="s">
        <v>1978</v>
      </c>
      <c r="E2517" s="700" t="s">
        <v>1916</v>
      </c>
      <c r="F2517" s="795">
        <v>1221</v>
      </c>
      <c r="G2517" s="1889" t="s">
        <v>1047</v>
      </c>
      <c r="H2517" s="701"/>
      <c r="I2517" s="701"/>
      <c r="J2517" s="1654" t="s">
        <v>1134</v>
      </c>
      <c r="K2517" s="802"/>
      <c r="L2517" s="701"/>
      <c r="M2517" s="701"/>
      <c r="N2517" s="439" t="s">
        <v>3830</v>
      </c>
    </row>
    <row r="2518" spans="1:17" ht="20.399999999999999">
      <c r="A2518" s="683"/>
      <c r="B2518" s="720" t="s">
        <v>436</v>
      </c>
      <c r="C2518" s="683" t="s">
        <v>427</v>
      </c>
      <c r="D2518" s="719" t="s">
        <v>1978</v>
      </c>
      <c r="E2518" s="720" t="s">
        <v>1916</v>
      </c>
      <c r="F2518" s="824">
        <v>1227</v>
      </c>
      <c r="G2518" s="800" t="s">
        <v>781</v>
      </c>
      <c r="H2518" s="706">
        <v>0</v>
      </c>
      <c r="I2518" s="801"/>
      <c r="J2518" s="1654" t="s">
        <v>1134</v>
      </c>
      <c r="K2518" s="802"/>
      <c r="L2518" s="706">
        <v>0</v>
      </c>
      <c r="M2518" s="801"/>
      <c r="N2518" s="7"/>
    </row>
    <row r="2519" spans="1:17">
      <c r="A2519" s="663"/>
      <c r="B2519" s="700" t="s">
        <v>436</v>
      </c>
      <c r="C2519" s="663" t="s">
        <v>427</v>
      </c>
      <c r="D2519" s="678" t="s">
        <v>1978</v>
      </c>
      <c r="E2519" s="700" t="s">
        <v>1916</v>
      </c>
      <c r="F2519" s="795">
        <v>1227</v>
      </c>
      <c r="G2519" s="1889"/>
      <c r="H2519" s="701"/>
      <c r="I2519" s="701"/>
      <c r="J2519" s="1654" t="s">
        <v>1134</v>
      </c>
      <c r="K2519" s="802"/>
      <c r="L2519" s="701"/>
      <c r="M2519" s="701"/>
      <c r="N2519" s="7" t="s">
        <v>3832</v>
      </c>
    </row>
    <row r="2520" spans="1:17">
      <c r="A2520" s="683"/>
      <c r="B2520" s="720" t="s">
        <v>436</v>
      </c>
      <c r="C2520" s="683" t="s">
        <v>427</v>
      </c>
      <c r="D2520" s="719" t="s">
        <v>1978</v>
      </c>
      <c r="E2520" s="720" t="s">
        <v>1916</v>
      </c>
      <c r="F2520" s="824">
        <v>1228</v>
      </c>
      <c r="G2520" s="800" t="s">
        <v>115</v>
      </c>
      <c r="H2520" s="706">
        <v>0</v>
      </c>
      <c r="I2520" s="801"/>
      <c r="J2520" s="1654" t="s">
        <v>1134</v>
      </c>
      <c r="K2520" s="802"/>
      <c r="L2520" s="706">
        <v>0</v>
      </c>
      <c r="M2520" s="801"/>
      <c r="N2520" s="125"/>
    </row>
    <row r="2521" spans="1:17">
      <c r="A2521" s="663"/>
      <c r="B2521" s="700" t="s">
        <v>436</v>
      </c>
      <c r="C2521" s="663" t="s">
        <v>427</v>
      </c>
      <c r="D2521" s="678" t="s">
        <v>1978</v>
      </c>
      <c r="E2521" s="700" t="s">
        <v>1916</v>
      </c>
      <c r="F2521" s="795">
        <v>1228</v>
      </c>
      <c r="G2521" s="1890" t="s">
        <v>2174</v>
      </c>
      <c r="H2521" s="701"/>
      <c r="I2521" s="701"/>
      <c r="J2521" s="1654" t="s">
        <v>1134</v>
      </c>
      <c r="K2521" s="802"/>
      <c r="L2521" s="701"/>
      <c r="M2521" s="701"/>
      <c r="N2521" s="125"/>
    </row>
    <row r="2522" spans="1:17">
      <c r="A2522" s="683"/>
      <c r="B2522" s="720" t="s">
        <v>772</v>
      </c>
      <c r="C2522" s="683" t="s">
        <v>322</v>
      </c>
      <c r="D2522" s="719" t="s">
        <v>1978</v>
      </c>
      <c r="E2522" s="720" t="s">
        <v>1916</v>
      </c>
      <c r="F2522" s="824">
        <v>2111</v>
      </c>
      <c r="G2522" s="800" t="s">
        <v>460</v>
      </c>
      <c r="H2522" s="706">
        <v>300</v>
      </c>
      <c r="I2522" s="801"/>
      <c r="J2522" s="1654">
        <v>192</v>
      </c>
      <c r="K2522" s="802"/>
      <c r="L2522" s="706">
        <v>300</v>
      </c>
      <c r="M2522" s="801"/>
      <c r="N2522" s="7"/>
    </row>
    <row r="2523" spans="1:17" ht="40.799999999999997">
      <c r="A2523" s="663"/>
      <c r="B2523" s="700" t="s">
        <v>772</v>
      </c>
      <c r="C2523" s="663" t="s">
        <v>322</v>
      </c>
      <c r="D2523" s="678" t="s">
        <v>1978</v>
      </c>
      <c r="E2523" s="700" t="s">
        <v>1916</v>
      </c>
      <c r="F2523" s="795">
        <v>2111</v>
      </c>
      <c r="G2523" s="750" t="s">
        <v>3803</v>
      </c>
      <c r="H2523" s="701"/>
      <c r="I2523" s="701">
        <v>300</v>
      </c>
      <c r="J2523" s="1654" t="s">
        <v>1134</v>
      </c>
      <c r="K2523" s="792"/>
      <c r="L2523" s="701"/>
      <c r="M2523" s="1672">
        <v>300</v>
      </c>
      <c r="N2523" s="7"/>
    </row>
    <row r="2524" spans="1:17">
      <c r="A2524" s="683"/>
      <c r="B2524" s="720" t="s">
        <v>772</v>
      </c>
      <c r="C2524" s="683" t="s">
        <v>322</v>
      </c>
      <c r="D2524" s="719" t="s">
        <v>1978</v>
      </c>
      <c r="E2524" s="720" t="s">
        <v>1916</v>
      </c>
      <c r="F2524" s="824">
        <v>2121</v>
      </c>
      <c r="G2524" s="800" t="s">
        <v>1037</v>
      </c>
      <c r="H2524" s="706">
        <v>525</v>
      </c>
      <c r="I2524" s="801"/>
      <c r="J2524" s="1654">
        <v>270</v>
      </c>
      <c r="K2524" s="802"/>
      <c r="L2524" s="706">
        <v>525</v>
      </c>
      <c r="M2524" s="1892"/>
      <c r="N2524" s="439" t="s">
        <v>3833</v>
      </c>
    </row>
    <row r="2525" spans="1:17" ht="30.6">
      <c r="A2525" s="663"/>
      <c r="B2525" s="700" t="s">
        <v>772</v>
      </c>
      <c r="C2525" s="663" t="s">
        <v>322</v>
      </c>
      <c r="D2525" s="678" t="s">
        <v>1978</v>
      </c>
      <c r="E2525" s="700" t="s">
        <v>1916</v>
      </c>
      <c r="F2525" s="795">
        <v>2121</v>
      </c>
      <c r="G2525" s="1889" t="s">
        <v>3758</v>
      </c>
      <c r="H2525" s="701"/>
      <c r="I2525" s="701">
        <v>525</v>
      </c>
      <c r="J2525" s="1654" t="s">
        <v>1134</v>
      </c>
      <c r="K2525" s="802"/>
      <c r="L2525" s="701"/>
      <c r="M2525" s="1672">
        <v>525</v>
      </c>
      <c r="N2525" s="7"/>
    </row>
    <row r="2526" spans="1:17">
      <c r="A2526" s="683"/>
      <c r="B2526" s="720" t="s">
        <v>772</v>
      </c>
      <c r="C2526" s="683" t="s">
        <v>322</v>
      </c>
      <c r="D2526" s="719" t="s">
        <v>1978</v>
      </c>
      <c r="E2526" s="720" t="s">
        <v>1916</v>
      </c>
      <c r="F2526" s="685">
        <v>2210</v>
      </c>
      <c r="G2526" s="686" t="s">
        <v>572</v>
      </c>
      <c r="H2526" s="706">
        <v>150</v>
      </c>
      <c r="I2526" s="801"/>
      <c r="J2526" s="1494">
        <v>97</v>
      </c>
      <c r="K2526" s="802"/>
      <c r="L2526" s="689">
        <v>150</v>
      </c>
      <c r="M2526" s="799"/>
      <c r="N2526" s="7"/>
    </row>
    <row r="2527" spans="1:17">
      <c r="A2527" s="663"/>
      <c r="B2527" s="700" t="s">
        <v>772</v>
      </c>
      <c r="C2527" s="663" t="s">
        <v>322</v>
      </c>
      <c r="D2527" s="678" t="s">
        <v>1978</v>
      </c>
      <c r="E2527" s="700" t="s">
        <v>1916</v>
      </c>
      <c r="F2527" s="679">
        <v>2210</v>
      </c>
      <c r="G2527" s="665"/>
      <c r="H2527" s="701"/>
      <c r="I2527" s="701">
        <v>150</v>
      </c>
      <c r="J2527" s="1494" t="s">
        <v>1134</v>
      </c>
      <c r="K2527" s="792"/>
      <c r="L2527" s="660"/>
      <c r="M2527" s="660">
        <v>150</v>
      </c>
      <c r="N2527" s="7"/>
    </row>
    <row r="2528" spans="1:17" ht="20.399999999999999">
      <c r="A2528" s="683"/>
      <c r="B2528" s="720" t="s">
        <v>772</v>
      </c>
      <c r="C2528" s="683" t="s">
        <v>320</v>
      </c>
      <c r="D2528" s="719" t="s">
        <v>1978</v>
      </c>
      <c r="E2528" s="720" t="s">
        <v>1916</v>
      </c>
      <c r="F2528" s="685">
        <v>2222</v>
      </c>
      <c r="G2528" s="686" t="s">
        <v>153</v>
      </c>
      <c r="H2528" s="706">
        <v>900</v>
      </c>
      <c r="I2528" s="801"/>
      <c r="J2528" s="1494" t="s">
        <v>1134</v>
      </c>
      <c r="K2528" s="802"/>
      <c r="L2528" s="689">
        <v>0</v>
      </c>
      <c r="M2528" s="799"/>
      <c r="N2528" s="359" t="s">
        <v>3835</v>
      </c>
    </row>
    <row r="2529" spans="1:14">
      <c r="A2529" s="663"/>
      <c r="B2529" s="700" t="s">
        <v>772</v>
      </c>
      <c r="C2529" s="663" t="s">
        <v>320</v>
      </c>
      <c r="D2529" s="678" t="s">
        <v>1978</v>
      </c>
      <c r="E2529" s="700" t="s">
        <v>1916</v>
      </c>
      <c r="F2529" s="679">
        <v>2222</v>
      </c>
      <c r="G2529" s="662"/>
      <c r="H2529" s="922"/>
      <c r="I2529" s="701">
        <v>900</v>
      </c>
      <c r="J2529" s="1494" t="s">
        <v>1134</v>
      </c>
      <c r="K2529" s="792"/>
      <c r="L2529" s="666"/>
      <c r="M2529" s="660"/>
      <c r="N2529" s="7"/>
    </row>
    <row r="2530" spans="1:14">
      <c r="A2530" s="683"/>
      <c r="B2530" s="720" t="s">
        <v>772</v>
      </c>
      <c r="C2530" s="683" t="s">
        <v>320</v>
      </c>
      <c r="D2530" s="719" t="s">
        <v>1978</v>
      </c>
      <c r="E2530" s="720" t="s">
        <v>1916</v>
      </c>
      <c r="F2530" s="685">
        <v>2223</v>
      </c>
      <c r="G2530" s="686" t="s">
        <v>154</v>
      </c>
      <c r="H2530" s="706">
        <v>4200</v>
      </c>
      <c r="I2530" s="801"/>
      <c r="J2530" s="1494">
        <v>3008</v>
      </c>
      <c r="K2530" s="802"/>
      <c r="L2530" s="689">
        <v>4200</v>
      </c>
      <c r="M2530" s="799"/>
      <c r="N2530" s="7"/>
    </row>
    <row r="2531" spans="1:14">
      <c r="A2531" s="663"/>
      <c r="B2531" s="700" t="s">
        <v>772</v>
      </c>
      <c r="C2531" s="663" t="s">
        <v>320</v>
      </c>
      <c r="D2531" s="678" t="s">
        <v>1978</v>
      </c>
      <c r="E2531" s="700" t="s">
        <v>1916</v>
      </c>
      <c r="F2531" s="679">
        <v>2223</v>
      </c>
      <c r="G2531" s="662"/>
      <c r="H2531" s="922"/>
      <c r="I2531" s="701">
        <v>4200</v>
      </c>
      <c r="J2531" s="1494" t="s">
        <v>1134</v>
      </c>
      <c r="K2531" s="792"/>
      <c r="L2531" s="666"/>
      <c r="M2531" s="660">
        <v>4200</v>
      </c>
      <c r="N2531" s="7"/>
    </row>
    <row r="2532" spans="1:14">
      <c r="A2532" s="683"/>
      <c r="B2532" s="3129" t="s">
        <v>692</v>
      </c>
      <c r="C2532" s="683" t="s">
        <v>320</v>
      </c>
      <c r="D2532" s="719" t="s">
        <v>1978</v>
      </c>
      <c r="E2532" s="720" t="s">
        <v>1916</v>
      </c>
      <c r="F2532" s="685">
        <v>2231</v>
      </c>
      <c r="G2532" s="686" t="s">
        <v>1661</v>
      </c>
      <c r="H2532" s="706">
        <v>198454</v>
      </c>
      <c r="I2532" s="801"/>
      <c r="J2532" s="1494">
        <v>170027</v>
      </c>
      <c r="K2532" s="802"/>
      <c r="L2532" s="689">
        <v>220500</v>
      </c>
      <c r="M2532" s="799"/>
      <c r="N2532" s="7" t="s">
        <v>3836</v>
      </c>
    </row>
    <row r="2533" spans="1:14" ht="30.6">
      <c r="A2533" s="1669"/>
      <c r="B2533" s="3140" t="s">
        <v>692</v>
      </c>
      <c r="C2533" s="1669" t="s">
        <v>320</v>
      </c>
      <c r="D2533" s="1723" t="s">
        <v>1978</v>
      </c>
      <c r="E2533" s="1669" t="s">
        <v>1916</v>
      </c>
      <c r="F2533" s="1725">
        <v>2231</v>
      </c>
      <c r="G2533" s="662" t="s">
        <v>1077</v>
      </c>
      <c r="H2533" s="922"/>
      <c r="I2533" s="701">
        <v>20000</v>
      </c>
      <c r="J2533" s="1893"/>
      <c r="K2533" s="1706"/>
      <c r="L2533" s="1865"/>
      <c r="M2533" s="1676">
        <v>20000</v>
      </c>
      <c r="N2533" s="7"/>
    </row>
    <row r="2534" spans="1:14">
      <c r="A2534" s="1669"/>
      <c r="B2534" s="3140" t="s">
        <v>692</v>
      </c>
      <c r="C2534" s="1669" t="s">
        <v>320</v>
      </c>
      <c r="D2534" s="1723" t="s">
        <v>1978</v>
      </c>
      <c r="E2534" s="1669" t="s">
        <v>1916</v>
      </c>
      <c r="F2534" s="1725">
        <v>2231</v>
      </c>
      <c r="G2534" s="662" t="s">
        <v>3804</v>
      </c>
      <c r="H2534" s="922"/>
      <c r="I2534" s="701">
        <v>4000</v>
      </c>
      <c r="J2534" s="1893"/>
      <c r="K2534" s="1706"/>
      <c r="L2534" s="1865"/>
      <c r="M2534" s="1676">
        <v>4000</v>
      </c>
      <c r="N2534" s="7"/>
    </row>
    <row r="2535" spans="1:14">
      <c r="A2535" s="1378"/>
      <c r="B2535" s="3140" t="s">
        <v>692</v>
      </c>
      <c r="C2535" s="1669" t="s">
        <v>320</v>
      </c>
      <c r="D2535" s="1723" t="s">
        <v>1978</v>
      </c>
      <c r="E2535" s="1669" t="s">
        <v>1916</v>
      </c>
      <c r="F2535" s="1725">
        <v>2231</v>
      </c>
      <c r="G2535" s="1379" t="s">
        <v>2933</v>
      </c>
      <c r="H2535" s="1380"/>
      <c r="I2535" s="1381">
        <v>10000</v>
      </c>
      <c r="J2535" s="1494" t="s">
        <v>1134</v>
      </c>
      <c r="K2535" s="1259"/>
      <c r="L2535" s="1473"/>
      <c r="M2535" s="1467"/>
      <c r="N2535" s="125" t="s">
        <v>3837</v>
      </c>
    </row>
    <row r="2536" spans="1:14">
      <c r="A2536" s="1669"/>
      <c r="B2536" s="3140" t="s">
        <v>692</v>
      </c>
      <c r="C2536" s="1669" t="s">
        <v>320</v>
      </c>
      <c r="D2536" s="1723" t="s">
        <v>1978</v>
      </c>
      <c r="E2536" s="1669" t="s">
        <v>1916</v>
      </c>
      <c r="F2536" s="1725">
        <v>2231</v>
      </c>
      <c r="G2536" s="662" t="s">
        <v>3805</v>
      </c>
      <c r="H2536" s="922"/>
      <c r="I2536" s="701">
        <v>15000</v>
      </c>
      <c r="J2536" s="1893"/>
      <c r="K2536" s="1706"/>
      <c r="L2536" s="1865"/>
      <c r="M2536" s="1676">
        <v>30000</v>
      </c>
      <c r="N2536" s="177"/>
    </row>
    <row r="2537" spans="1:14">
      <c r="A2537" s="1669"/>
      <c r="B2537" s="3140" t="s">
        <v>692</v>
      </c>
      <c r="C2537" s="1669" t="s">
        <v>320</v>
      </c>
      <c r="D2537" s="1723" t="s">
        <v>1978</v>
      </c>
      <c r="E2537" s="1669" t="s">
        <v>1916</v>
      </c>
      <c r="F2537" s="1725">
        <v>2231</v>
      </c>
      <c r="G2537" s="662" t="s">
        <v>3807</v>
      </c>
      <c r="H2537" s="922"/>
      <c r="I2537" s="701">
        <v>12000</v>
      </c>
      <c r="J2537" s="1893"/>
      <c r="K2537" s="1706"/>
      <c r="L2537" s="1865"/>
      <c r="M2537" s="1676">
        <v>15000</v>
      </c>
      <c r="N2537" s="177"/>
    </row>
    <row r="2538" spans="1:14">
      <c r="A2538" s="1669"/>
      <c r="B2538" s="3140" t="s">
        <v>692</v>
      </c>
      <c r="C2538" s="1669" t="s">
        <v>320</v>
      </c>
      <c r="D2538" s="1723" t="s">
        <v>1978</v>
      </c>
      <c r="E2538" s="1669" t="s">
        <v>1916</v>
      </c>
      <c r="F2538" s="1725">
        <v>2231</v>
      </c>
      <c r="G2538" s="662" t="s">
        <v>987</v>
      </c>
      <c r="H2538" s="922"/>
      <c r="I2538" s="701">
        <v>140000</v>
      </c>
      <c r="J2538" s="1893"/>
      <c r="K2538" s="1706"/>
      <c r="L2538" s="1865"/>
      <c r="M2538" s="3233">
        <v>150000</v>
      </c>
      <c r="N2538" s="177"/>
    </row>
    <row r="2539" spans="1:14">
      <c r="A2539" s="1669"/>
      <c r="B2539" s="3140" t="s">
        <v>692</v>
      </c>
      <c r="C2539" s="1669" t="s">
        <v>320</v>
      </c>
      <c r="D2539" s="1723" t="s">
        <v>1978</v>
      </c>
      <c r="E2539" s="1669" t="s">
        <v>1916</v>
      </c>
      <c r="F2539" s="1725">
        <v>2231</v>
      </c>
      <c r="G2539" s="662" t="s">
        <v>2179</v>
      </c>
      <c r="H2539" s="922"/>
      <c r="I2539" s="701">
        <v>1500</v>
      </c>
      <c r="J2539" s="1893"/>
      <c r="K2539" s="1706"/>
      <c r="L2539" s="1865"/>
      <c r="M2539" s="1676">
        <v>1500</v>
      </c>
      <c r="N2539" s="177"/>
    </row>
    <row r="2540" spans="1:14" ht="20.399999999999999">
      <c r="A2540" s="1669"/>
      <c r="B2540" s="3140" t="s">
        <v>692</v>
      </c>
      <c r="C2540" s="1669" t="s">
        <v>320</v>
      </c>
      <c r="D2540" s="1723" t="s">
        <v>1978</v>
      </c>
      <c r="E2540" s="1669" t="s">
        <v>1916</v>
      </c>
      <c r="F2540" s="1725">
        <v>2231</v>
      </c>
      <c r="G2540" s="662" t="s">
        <v>3810</v>
      </c>
      <c r="H2540" s="922"/>
      <c r="I2540" s="701"/>
      <c r="J2540" s="1893"/>
      <c r="K2540" s="1706"/>
      <c r="L2540" s="1865"/>
      <c r="M2540" s="2751">
        <v>0</v>
      </c>
      <c r="N2540" s="1223"/>
    </row>
    <row r="2541" spans="1:14" ht="30.6">
      <c r="A2541" s="908"/>
      <c r="B2541" s="3140" t="s">
        <v>692</v>
      </c>
      <c r="C2541" s="1669" t="s">
        <v>320</v>
      </c>
      <c r="D2541" s="1723" t="s">
        <v>1978</v>
      </c>
      <c r="E2541" s="1669" t="s">
        <v>1916</v>
      </c>
      <c r="F2541" s="1725">
        <v>2231</v>
      </c>
      <c r="G2541" s="910" t="s">
        <v>3480</v>
      </c>
      <c r="H2541" s="921"/>
      <c r="I2541" s="714">
        <v>-3500</v>
      </c>
      <c r="J2541" s="1494" t="s">
        <v>1134</v>
      </c>
      <c r="K2541" s="802"/>
      <c r="L2541" s="913"/>
      <c r="M2541" s="798"/>
      <c r="N2541" s="177" t="s">
        <v>3848</v>
      </c>
    </row>
    <row r="2542" spans="1:14" ht="20.399999999999999">
      <c r="A2542" s="908"/>
      <c r="B2542" s="3140" t="s">
        <v>692</v>
      </c>
      <c r="C2542" s="1669" t="s">
        <v>320</v>
      </c>
      <c r="D2542" s="1723" t="s">
        <v>1978</v>
      </c>
      <c r="E2542" s="1669" t="s">
        <v>1916</v>
      </c>
      <c r="F2542" s="1725">
        <v>2231</v>
      </c>
      <c r="G2542" s="910" t="s">
        <v>3402</v>
      </c>
      <c r="H2542" s="921"/>
      <c r="I2542" s="714">
        <v>-546</v>
      </c>
      <c r="J2542" s="1494" t="s">
        <v>1134</v>
      </c>
      <c r="K2542" s="802"/>
      <c r="L2542" s="913"/>
      <c r="M2542" s="798"/>
      <c r="N2542" s="1912"/>
    </row>
    <row r="2543" spans="1:14">
      <c r="A2543" s="1759"/>
      <c r="B2543" s="3141" t="s">
        <v>692</v>
      </c>
      <c r="C2543" s="1759" t="s">
        <v>320</v>
      </c>
      <c r="D2543" s="1896" t="s">
        <v>1978</v>
      </c>
      <c r="E2543" s="1759" t="s">
        <v>1916</v>
      </c>
      <c r="F2543" s="1772">
        <v>2231</v>
      </c>
      <c r="G2543" s="1731" t="s">
        <v>551</v>
      </c>
      <c r="H2543" s="706">
        <v>7658</v>
      </c>
      <c r="I2543" s="801"/>
      <c r="J2543" s="1494"/>
      <c r="K2543" s="1897"/>
      <c r="L2543" s="799">
        <v>9200</v>
      </c>
      <c r="M2543" s="799"/>
      <c r="N2543" s="3531"/>
    </row>
    <row r="2544" spans="1:14" ht="20.399999999999999">
      <c r="A2544" s="1669"/>
      <c r="B2544" s="3148" t="s">
        <v>692</v>
      </c>
      <c r="C2544" s="1846" t="s">
        <v>320</v>
      </c>
      <c r="D2544" s="1900" t="s">
        <v>1978</v>
      </c>
      <c r="E2544" s="1846" t="s">
        <v>1916</v>
      </c>
      <c r="F2544" s="1850">
        <v>2231</v>
      </c>
      <c r="G2544" s="1898" t="s">
        <v>2182</v>
      </c>
      <c r="H2544" s="1865"/>
      <c r="I2544" s="1676">
        <v>1500</v>
      </c>
      <c r="J2544" s="1893"/>
      <c r="K2544" s="1706"/>
      <c r="L2544" s="1865"/>
      <c r="M2544" s="2751">
        <v>800</v>
      </c>
      <c r="N2544" s="3531"/>
    </row>
    <row r="2545" spans="1:14">
      <c r="A2545" s="1669"/>
      <c r="B2545" s="3148" t="s">
        <v>692</v>
      </c>
      <c r="C2545" s="1846" t="s">
        <v>320</v>
      </c>
      <c r="D2545" s="1900" t="s">
        <v>1978</v>
      </c>
      <c r="E2545" s="1846" t="s">
        <v>1916</v>
      </c>
      <c r="F2545" s="1850">
        <v>2231</v>
      </c>
      <c r="G2545" s="1898" t="s">
        <v>3812</v>
      </c>
      <c r="H2545" s="1865"/>
      <c r="I2545" s="1676"/>
      <c r="J2545" s="1893"/>
      <c r="K2545" s="1706"/>
      <c r="L2545" s="1865"/>
      <c r="M2545" s="2751">
        <v>1200</v>
      </c>
      <c r="N2545" s="3531"/>
    </row>
    <row r="2546" spans="1:14" ht="20.399999999999999">
      <c r="A2546" s="1669"/>
      <c r="B2546" s="3148" t="s">
        <v>692</v>
      </c>
      <c r="C2546" s="1846" t="s">
        <v>320</v>
      </c>
      <c r="D2546" s="1900" t="s">
        <v>1978</v>
      </c>
      <c r="E2546" s="1846" t="s">
        <v>1916</v>
      </c>
      <c r="F2546" s="1850">
        <v>2231</v>
      </c>
      <c r="G2546" s="1898" t="s">
        <v>3814</v>
      </c>
      <c r="H2546" s="1865"/>
      <c r="I2546" s="1676">
        <v>1000</v>
      </c>
      <c r="J2546" s="1893"/>
      <c r="K2546" s="1706"/>
      <c r="L2546" s="1865"/>
      <c r="M2546" s="2751">
        <v>1200</v>
      </c>
      <c r="N2546" s="3531"/>
    </row>
    <row r="2547" spans="1:14" ht="20.399999999999999">
      <c r="A2547" s="908"/>
      <c r="B2547" s="3148" t="s">
        <v>692</v>
      </c>
      <c r="C2547" s="1846" t="s">
        <v>320</v>
      </c>
      <c r="D2547" s="1900" t="s">
        <v>1978</v>
      </c>
      <c r="E2547" s="1846" t="s">
        <v>1916</v>
      </c>
      <c r="F2547" s="1850">
        <v>2231</v>
      </c>
      <c r="G2547" s="910" t="s">
        <v>1502</v>
      </c>
      <c r="H2547" s="921"/>
      <c r="I2547" s="714">
        <v>100</v>
      </c>
      <c r="J2547" s="1494" t="s">
        <v>1134</v>
      </c>
      <c r="K2547" s="802"/>
      <c r="L2547" s="913"/>
      <c r="M2547" s="798"/>
      <c r="N2547" s="3531"/>
    </row>
    <row r="2548" spans="1:14" ht="20.399999999999999">
      <c r="A2548" s="1669"/>
      <c r="B2548" s="3148" t="s">
        <v>692</v>
      </c>
      <c r="C2548" s="1846" t="s">
        <v>320</v>
      </c>
      <c r="D2548" s="1900" t="s">
        <v>1978</v>
      </c>
      <c r="E2548" s="1846" t="s">
        <v>1916</v>
      </c>
      <c r="F2548" s="1850">
        <v>2231</v>
      </c>
      <c r="G2548" s="1898" t="s">
        <v>3816</v>
      </c>
      <c r="H2548" s="1865"/>
      <c r="I2548" s="1676"/>
      <c r="J2548" s="1893"/>
      <c r="K2548" s="1706"/>
      <c r="L2548" s="1865"/>
      <c r="M2548" s="1676">
        <v>300</v>
      </c>
      <c r="N2548" s="3531"/>
    </row>
    <row r="2549" spans="1:14">
      <c r="A2549" s="1669"/>
      <c r="B2549" s="3148" t="s">
        <v>692</v>
      </c>
      <c r="C2549" s="1846" t="s">
        <v>320</v>
      </c>
      <c r="D2549" s="1900" t="s">
        <v>1978</v>
      </c>
      <c r="E2549" s="1846" t="s">
        <v>1916</v>
      </c>
      <c r="F2549" s="1850">
        <v>2231</v>
      </c>
      <c r="G2549" s="1898" t="s">
        <v>3817</v>
      </c>
      <c r="H2549" s="1865"/>
      <c r="I2549" s="1676"/>
      <c r="J2549" s="1893"/>
      <c r="K2549" s="1706"/>
      <c r="L2549" s="1865"/>
      <c r="M2549" s="2751">
        <v>1200</v>
      </c>
      <c r="N2549" s="3531"/>
    </row>
    <row r="2550" spans="1:14">
      <c r="A2550" s="1669"/>
      <c r="B2550" s="3148" t="s">
        <v>692</v>
      </c>
      <c r="C2550" s="1846" t="s">
        <v>320</v>
      </c>
      <c r="D2550" s="1900" t="s">
        <v>1978</v>
      </c>
      <c r="E2550" s="1846" t="s">
        <v>1916</v>
      </c>
      <c r="F2550" s="1850">
        <v>2231</v>
      </c>
      <c r="G2550" s="1898" t="s">
        <v>3819</v>
      </c>
      <c r="H2550" s="1865"/>
      <c r="I2550" s="1676">
        <v>600</v>
      </c>
      <c r="J2550" s="1893"/>
      <c r="K2550" s="1706"/>
      <c r="L2550" s="1865"/>
      <c r="M2550" s="1676">
        <v>600</v>
      </c>
      <c r="N2550" s="1919"/>
    </row>
    <row r="2551" spans="1:14" ht="11.4" customHeight="1">
      <c r="A2551" s="908"/>
      <c r="B2551" s="3148" t="s">
        <v>692</v>
      </c>
      <c r="C2551" s="1846" t="s">
        <v>320</v>
      </c>
      <c r="D2551" s="1900" t="s">
        <v>1978</v>
      </c>
      <c r="E2551" s="1846" t="s">
        <v>1916</v>
      </c>
      <c r="F2551" s="1850">
        <v>2231</v>
      </c>
      <c r="G2551" s="910" t="s">
        <v>2178</v>
      </c>
      <c r="H2551" s="921"/>
      <c r="I2551" s="714">
        <v>1000</v>
      </c>
      <c r="J2551" s="1494" t="s">
        <v>1134</v>
      </c>
      <c r="K2551" s="802"/>
      <c r="L2551" s="913"/>
      <c r="M2551" s="798"/>
      <c r="N2551" s="1919"/>
    </row>
    <row r="2552" spans="1:14">
      <c r="A2552" s="908"/>
      <c r="B2552" s="3148" t="s">
        <v>692</v>
      </c>
      <c r="C2552" s="1846" t="s">
        <v>320</v>
      </c>
      <c r="D2552" s="1900" t="s">
        <v>1978</v>
      </c>
      <c r="E2552" s="1846" t="s">
        <v>1916</v>
      </c>
      <c r="F2552" s="1850">
        <v>2231</v>
      </c>
      <c r="G2552" s="910" t="s">
        <v>1503</v>
      </c>
      <c r="H2552" s="921"/>
      <c r="I2552" s="714">
        <v>800</v>
      </c>
      <c r="J2552" s="1494" t="s">
        <v>1134</v>
      </c>
      <c r="K2552" s="802"/>
      <c r="L2552" s="913"/>
      <c r="M2552" s="798"/>
      <c r="N2552" s="1223"/>
    </row>
    <row r="2553" spans="1:14" ht="11.4" customHeight="1">
      <c r="A2553" s="1669"/>
      <c r="B2553" s="3148" t="s">
        <v>692</v>
      </c>
      <c r="C2553" s="1846" t="s">
        <v>320</v>
      </c>
      <c r="D2553" s="1900" t="s">
        <v>1978</v>
      </c>
      <c r="E2553" s="1846" t="s">
        <v>1916</v>
      </c>
      <c r="F2553" s="1850">
        <v>2231</v>
      </c>
      <c r="G2553" s="1898" t="s">
        <v>3820</v>
      </c>
      <c r="H2553" s="1865"/>
      <c r="I2553" s="1676"/>
      <c r="J2553" s="1893"/>
      <c r="K2553" s="1706"/>
      <c r="L2553" s="1865"/>
      <c r="M2553" s="2751">
        <v>0</v>
      </c>
      <c r="N2553" s="1912"/>
    </row>
    <row r="2554" spans="1:14">
      <c r="A2554" s="1669"/>
      <c r="B2554" s="3148" t="s">
        <v>692</v>
      </c>
      <c r="C2554" s="1846" t="s">
        <v>320</v>
      </c>
      <c r="D2554" s="1900" t="s">
        <v>1978</v>
      </c>
      <c r="E2554" s="1846" t="s">
        <v>1916</v>
      </c>
      <c r="F2554" s="1850">
        <v>2231</v>
      </c>
      <c r="G2554" s="1898" t="s">
        <v>1503</v>
      </c>
      <c r="H2554" s="1865"/>
      <c r="I2554" s="1676"/>
      <c r="J2554" s="1893"/>
      <c r="K2554" s="1706"/>
      <c r="L2554" s="1865"/>
      <c r="M2554" s="2751">
        <v>800</v>
      </c>
      <c r="N2554" s="1912"/>
    </row>
    <row r="2555" spans="1:14">
      <c r="A2555" s="1669"/>
      <c r="B2555" s="3148" t="s">
        <v>692</v>
      </c>
      <c r="C2555" s="1846" t="s">
        <v>320</v>
      </c>
      <c r="D2555" s="1900" t="s">
        <v>1978</v>
      </c>
      <c r="E2555" s="1846" t="s">
        <v>1916</v>
      </c>
      <c r="F2555" s="1850">
        <v>2231</v>
      </c>
      <c r="G2555" s="1898" t="s">
        <v>3822</v>
      </c>
      <c r="H2555" s="1865"/>
      <c r="I2555" s="1676">
        <v>500</v>
      </c>
      <c r="J2555" s="1893"/>
      <c r="K2555" s="1706"/>
      <c r="L2555" s="1865"/>
      <c r="M2555" s="1676">
        <v>700</v>
      </c>
      <c r="N2555" s="1912"/>
    </row>
    <row r="2556" spans="1:14" ht="20.399999999999999">
      <c r="A2556" s="1669"/>
      <c r="B2556" s="3148" t="s">
        <v>692</v>
      </c>
      <c r="C2556" s="1846" t="s">
        <v>320</v>
      </c>
      <c r="D2556" s="1900" t="s">
        <v>1978</v>
      </c>
      <c r="E2556" s="1846" t="s">
        <v>1916</v>
      </c>
      <c r="F2556" s="1850">
        <v>2231</v>
      </c>
      <c r="G2556" s="1898" t="s">
        <v>3823</v>
      </c>
      <c r="H2556" s="1865"/>
      <c r="I2556" s="1676"/>
      <c r="J2556" s="1893"/>
      <c r="K2556" s="1706"/>
      <c r="L2556" s="1865"/>
      <c r="M2556" s="2751">
        <v>0</v>
      </c>
      <c r="N2556" s="1912"/>
    </row>
    <row r="2557" spans="1:14">
      <c r="A2557" s="908"/>
      <c r="B2557" s="3148" t="s">
        <v>692</v>
      </c>
      <c r="C2557" s="908" t="s">
        <v>320</v>
      </c>
      <c r="D2557" s="909" t="s">
        <v>1978</v>
      </c>
      <c r="E2557" s="1846" t="s">
        <v>1916</v>
      </c>
      <c r="F2557" s="1850">
        <v>2231</v>
      </c>
      <c r="G2557" s="910" t="s">
        <v>2180</v>
      </c>
      <c r="H2557" s="921"/>
      <c r="I2557" s="714">
        <v>600</v>
      </c>
      <c r="J2557" s="1494" t="s">
        <v>1134</v>
      </c>
      <c r="K2557" s="802"/>
      <c r="L2557" s="913"/>
      <c r="M2557" s="798"/>
      <c r="N2557" s="1912"/>
    </row>
    <row r="2558" spans="1:14" ht="20.399999999999999">
      <c r="A2558" s="1669"/>
      <c r="B2558" s="3148" t="s">
        <v>692</v>
      </c>
      <c r="C2558" s="1846" t="s">
        <v>320</v>
      </c>
      <c r="D2558" s="1900" t="s">
        <v>1978</v>
      </c>
      <c r="E2558" s="1846" t="s">
        <v>1916</v>
      </c>
      <c r="F2558" s="1850">
        <v>2231</v>
      </c>
      <c r="G2558" s="1898" t="s">
        <v>3824</v>
      </c>
      <c r="H2558" s="1865"/>
      <c r="I2558" s="1676"/>
      <c r="J2558" s="1893"/>
      <c r="K2558" s="1706"/>
      <c r="L2558" s="1865"/>
      <c r="M2558" s="2751">
        <v>1000</v>
      </c>
      <c r="N2558" s="1912" t="s">
        <v>3838</v>
      </c>
    </row>
    <row r="2559" spans="1:14" ht="20.399999999999999">
      <c r="A2559" s="1669"/>
      <c r="B2559" s="3148" t="s">
        <v>692</v>
      </c>
      <c r="C2559" s="1846" t="s">
        <v>320</v>
      </c>
      <c r="D2559" s="1900" t="s">
        <v>1978</v>
      </c>
      <c r="E2559" s="1846" t="s">
        <v>1916</v>
      </c>
      <c r="F2559" s="1850">
        <v>2231</v>
      </c>
      <c r="G2559" s="1898" t="s">
        <v>3826</v>
      </c>
      <c r="H2559" s="1865"/>
      <c r="I2559" s="1676"/>
      <c r="J2559" s="1893"/>
      <c r="K2559" s="1706"/>
      <c r="L2559" s="1865"/>
      <c r="M2559" s="1676">
        <v>600</v>
      </c>
      <c r="N2559" s="1912"/>
    </row>
    <row r="2560" spans="1:14" ht="20.399999999999999">
      <c r="A2560" s="1669"/>
      <c r="B2560" s="3148" t="s">
        <v>692</v>
      </c>
      <c r="C2560" s="1846" t="s">
        <v>320</v>
      </c>
      <c r="D2560" s="1900" t="s">
        <v>1978</v>
      </c>
      <c r="E2560" s="1846" t="s">
        <v>1916</v>
      </c>
      <c r="F2560" s="1850">
        <v>2231</v>
      </c>
      <c r="G2560" s="1898" t="s">
        <v>1501</v>
      </c>
      <c r="H2560" s="1865"/>
      <c r="I2560" s="1676">
        <v>800</v>
      </c>
      <c r="J2560" s="1893"/>
      <c r="K2560" s="1706"/>
      <c r="L2560" s="1865"/>
      <c r="M2560" s="2751">
        <v>800</v>
      </c>
      <c r="N2560" s="1912"/>
    </row>
    <row r="2561" spans="1:14" ht="20.399999999999999">
      <c r="A2561" s="663"/>
      <c r="B2561" s="3148" t="s">
        <v>692</v>
      </c>
      <c r="C2561" s="1846" t="s">
        <v>320</v>
      </c>
      <c r="D2561" s="1900" t="s">
        <v>1978</v>
      </c>
      <c r="E2561" s="1846" t="s">
        <v>1916</v>
      </c>
      <c r="F2561" s="1850">
        <v>2231</v>
      </c>
      <c r="G2561" s="1379" t="s">
        <v>2968</v>
      </c>
      <c r="H2561" s="1380"/>
      <c r="I2561" s="1381">
        <v>-242</v>
      </c>
      <c r="J2561" s="1494"/>
      <c r="K2561" s="792"/>
      <c r="L2561" s="914"/>
      <c r="M2561" s="659"/>
      <c r="N2561" s="1912"/>
    </row>
    <row r="2562" spans="1:14">
      <c r="A2562" s="663"/>
      <c r="B2562" s="3148" t="s">
        <v>692</v>
      </c>
      <c r="C2562" s="1846" t="s">
        <v>320</v>
      </c>
      <c r="D2562" s="1900" t="s">
        <v>1978</v>
      </c>
      <c r="E2562" s="1846" t="s">
        <v>1916</v>
      </c>
      <c r="F2562" s="1850">
        <v>2231</v>
      </c>
      <c r="G2562" s="910" t="s">
        <v>2181</v>
      </c>
      <c r="H2562" s="921"/>
      <c r="I2562" s="714">
        <v>1000</v>
      </c>
      <c r="J2562" s="1494"/>
      <c r="K2562" s="792"/>
      <c r="L2562" s="914"/>
      <c r="M2562" s="659"/>
      <c r="N2562" s="1223"/>
    </row>
    <row r="2563" spans="1:14">
      <c r="A2563" s="683"/>
      <c r="B2563" s="720" t="s">
        <v>772</v>
      </c>
      <c r="C2563" s="683" t="s">
        <v>320</v>
      </c>
      <c r="D2563" s="719" t="s">
        <v>1978</v>
      </c>
      <c r="E2563" s="720" t="s">
        <v>1916</v>
      </c>
      <c r="F2563" s="685">
        <v>2233</v>
      </c>
      <c r="G2563" s="686" t="s">
        <v>145</v>
      </c>
      <c r="H2563" s="706">
        <v>8300</v>
      </c>
      <c r="I2563" s="801"/>
      <c r="J2563" s="1494">
        <v>7522</v>
      </c>
      <c r="K2563" s="802"/>
      <c r="L2563" s="689">
        <v>12000</v>
      </c>
      <c r="M2563" s="799"/>
      <c r="N2563" s="177"/>
    </row>
    <row r="2564" spans="1:14" ht="40.799999999999997">
      <c r="A2564" s="663"/>
      <c r="B2564" s="700" t="s">
        <v>772</v>
      </c>
      <c r="C2564" s="663" t="s">
        <v>320</v>
      </c>
      <c r="D2564" s="678" t="s">
        <v>1978</v>
      </c>
      <c r="E2564" s="700" t="s">
        <v>1916</v>
      </c>
      <c r="F2564" s="679">
        <v>2233</v>
      </c>
      <c r="G2564" s="923" t="s">
        <v>2176</v>
      </c>
      <c r="H2564" s="922"/>
      <c r="I2564" s="701">
        <v>7500</v>
      </c>
      <c r="J2564" s="1494" t="s">
        <v>1134</v>
      </c>
      <c r="K2564" s="792"/>
      <c r="L2564" s="666"/>
      <c r="M2564" s="660">
        <v>11200</v>
      </c>
      <c r="N2564" s="177"/>
    </row>
    <row r="2565" spans="1:14" ht="20.399999999999999">
      <c r="A2565" s="663"/>
      <c r="B2565" s="700" t="s">
        <v>772</v>
      </c>
      <c r="C2565" s="663" t="s">
        <v>320</v>
      </c>
      <c r="D2565" s="678" t="s">
        <v>1978</v>
      </c>
      <c r="E2565" s="700" t="s">
        <v>1916</v>
      </c>
      <c r="F2565" s="679">
        <v>2233</v>
      </c>
      <c r="G2565" s="923" t="s">
        <v>1500</v>
      </c>
      <c r="H2565" s="922"/>
      <c r="I2565" s="701">
        <v>800</v>
      </c>
      <c r="J2565" s="1494" t="s">
        <v>1134</v>
      </c>
      <c r="K2565" s="792"/>
      <c r="L2565" s="666"/>
      <c r="M2565" s="660">
        <v>800</v>
      </c>
      <c r="N2565" s="177"/>
    </row>
    <row r="2566" spans="1:14" ht="20.399999999999999">
      <c r="A2566" s="683"/>
      <c r="B2566" s="720" t="s">
        <v>772</v>
      </c>
      <c r="C2566" s="683" t="s">
        <v>320</v>
      </c>
      <c r="D2566" s="719" t="s">
        <v>1978</v>
      </c>
      <c r="E2566" s="720" t="s">
        <v>1916</v>
      </c>
      <c r="F2566" s="685">
        <v>2234</v>
      </c>
      <c r="G2566" s="686" t="s">
        <v>1075</v>
      </c>
      <c r="H2566" s="706">
        <v>315</v>
      </c>
      <c r="I2566" s="801"/>
      <c r="J2566" s="1494">
        <v>0</v>
      </c>
      <c r="K2566" s="802"/>
      <c r="L2566" s="689">
        <v>250</v>
      </c>
      <c r="M2566" s="799"/>
      <c r="N2566" s="177"/>
    </row>
    <row r="2567" spans="1:14" ht="20.399999999999999">
      <c r="A2567" s="663"/>
      <c r="B2567" s="700" t="s">
        <v>772</v>
      </c>
      <c r="C2567" s="663" t="s">
        <v>320</v>
      </c>
      <c r="D2567" s="678" t="s">
        <v>1978</v>
      </c>
      <c r="E2567" s="700" t="s">
        <v>1916</v>
      </c>
      <c r="F2567" s="679">
        <v>2234</v>
      </c>
      <c r="G2567" s="1901" t="s">
        <v>4714</v>
      </c>
      <c r="H2567" s="922"/>
      <c r="I2567" s="701">
        <v>315</v>
      </c>
      <c r="J2567" s="1494" t="s">
        <v>1134</v>
      </c>
      <c r="K2567" s="792"/>
      <c r="L2567" s="666"/>
      <c r="M2567" s="660">
        <v>250</v>
      </c>
      <c r="N2567" s="177"/>
    </row>
    <row r="2568" spans="1:14">
      <c r="A2568" s="683"/>
      <c r="B2568" s="720" t="s">
        <v>772</v>
      </c>
      <c r="C2568" s="683" t="s">
        <v>320</v>
      </c>
      <c r="D2568" s="719" t="s">
        <v>1978</v>
      </c>
      <c r="E2568" s="720" t="s">
        <v>1916</v>
      </c>
      <c r="F2568" s="685">
        <v>2235</v>
      </c>
      <c r="G2568" s="686" t="s">
        <v>738</v>
      </c>
      <c r="H2568" s="706">
        <v>250</v>
      </c>
      <c r="I2568" s="801"/>
      <c r="J2568" s="1494">
        <v>0</v>
      </c>
      <c r="K2568" s="802"/>
      <c r="L2568" s="689">
        <v>250</v>
      </c>
      <c r="M2568" s="799"/>
      <c r="N2568" s="177"/>
    </row>
    <row r="2569" spans="1:14" ht="33.75" customHeight="1">
      <c r="A2569" s="663"/>
      <c r="B2569" s="700" t="s">
        <v>772</v>
      </c>
      <c r="C2569" s="663" t="s">
        <v>320</v>
      </c>
      <c r="D2569" s="678" t="s">
        <v>1978</v>
      </c>
      <c r="E2569" s="700" t="s">
        <v>1916</v>
      </c>
      <c r="F2569" s="679">
        <v>2235</v>
      </c>
      <c r="G2569" s="662" t="s">
        <v>1076</v>
      </c>
      <c r="H2569" s="922"/>
      <c r="I2569" s="701">
        <v>250</v>
      </c>
      <c r="J2569" s="1494" t="s">
        <v>1134</v>
      </c>
      <c r="K2569" s="792"/>
      <c r="L2569" s="666"/>
      <c r="M2569" s="660">
        <v>250</v>
      </c>
      <c r="N2569" s="177"/>
    </row>
    <row r="2570" spans="1:14" ht="51">
      <c r="A2570" s="683"/>
      <c r="B2570" s="720" t="s">
        <v>772</v>
      </c>
      <c r="C2570" s="683" t="s">
        <v>320</v>
      </c>
      <c r="D2570" s="719" t="s">
        <v>1978</v>
      </c>
      <c r="E2570" s="720" t="s">
        <v>1916</v>
      </c>
      <c r="F2570" s="685">
        <v>2239</v>
      </c>
      <c r="G2570" s="686" t="s">
        <v>738</v>
      </c>
      <c r="H2570" s="706">
        <v>5500</v>
      </c>
      <c r="I2570" s="801"/>
      <c r="J2570" s="1494"/>
      <c r="K2570" s="802"/>
      <c r="L2570" s="689">
        <v>5500</v>
      </c>
      <c r="M2570" s="799"/>
      <c r="N2570" s="93" t="s">
        <v>3850</v>
      </c>
    </row>
    <row r="2571" spans="1:14" ht="20.399999999999999">
      <c r="A2571" s="924"/>
      <c r="B2571" s="700" t="s">
        <v>772</v>
      </c>
      <c r="C2571" s="663" t="s">
        <v>320</v>
      </c>
      <c r="D2571" s="678" t="s">
        <v>1978</v>
      </c>
      <c r="E2571" s="700" t="s">
        <v>1916</v>
      </c>
      <c r="F2571" s="679">
        <v>2239</v>
      </c>
      <c r="G2571" s="925" t="s">
        <v>1079</v>
      </c>
      <c r="H2571" s="922"/>
      <c r="I2571" s="701">
        <v>500</v>
      </c>
      <c r="J2571" s="1494" t="s">
        <v>1134</v>
      </c>
      <c r="K2571" s="792"/>
      <c r="L2571" s="914"/>
      <c r="M2571" s="1676">
        <v>500</v>
      </c>
      <c r="N2571" s="93" t="s">
        <v>3843</v>
      </c>
    </row>
    <row r="2572" spans="1:14">
      <c r="A2572" s="924"/>
      <c r="B2572" s="700" t="s">
        <v>772</v>
      </c>
      <c r="C2572" s="663" t="s">
        <v>320</v>
      </c>
      <c r="D2572" s="678" t="s">
        <v>1978</v>
      </c>
      <c r="E2572" s="700" t="s">
        <v>1916</v>
      </c>
      <c r="F2572" s="679">
        <v>2239</v>
      </c>
      <c r="G2572" s="925" t="s">
        <v>1504</v>
      </c>
      <c r="H2572" s="922"/>
      <c r="I2572" s="701">
        <v>5000</v>
      </c>
      <c r="J2572" s="1494">
        <v>3460</v>
      </c>
      <c r="K2572" s="792"/>
      <c r="L2572" s="914"/>
      <c r="M2572" s="1676">
        <v>5000</v>
      </c>
      <c r="N2572" s="51"/>
    </row>
    <row r="2573" spans="1:14">
      <c r="A2573" s="1902"/>
      <c r="B2573" s="700" t="s">
        <v>772</v>
      </c>
      <c r="C2573" s="663" t="s">
        <v>320</v>
      </c>
      <c r="D2573" s="678" t="s">
        <v>1978</v>
      </c>
      <c r="E2573" s="700" t="s">
        <v>1916</v>
      </c>
      <c r="F2573" s="679">
        <v>2239</v>
      </c>
      <c r="G2573" s="1903" t="s">
        <v>3831</v>
      </c>
      <c r="H2573" s="1866"/>
      <c r="I2573" s="1672"/>
      <c r="J2573" s="1673"/>
      <c r="K2573" s="1688"/>
      <c r="L2573" s="1689"/>
      <c r="M2573" s="1676">
        <v>0</v>
      </c>
      <c r="N2573" s="93" t="s">
        <v>3844</v>
      </c>
    </row>
    <row r="2574" spans="1:14">
      <c r="A2574" s="683"/>
      <c r="B2574" s="3142" t="s">
        <v>773</v>
      </c>
      <c r="C2574" s="683" t="s">
        <v>340</v>
      </c>
      <c r="D2574" s="719" t="s">
        <v>1978</v>
      </c>
      <c r="E2574" s="720" t="s">
        <v>1916</v>
      </c>
      <c r="F2574" s="685">
        <v>2241</v>
      </c>
      <c r="G2574" s="686" t="s">
        <v>1303</v>
      </c>
      <c r="H2574" s="801">
        <v>0</v>
      </c>
      <c r="I2574" s="801"/>
      <c r="J2574" s="1494" t="s">
        <v>1134</v>
      </c>
      <c r="K2574" s="802"/>
      <c r="L2574" s="803">
        <v>0</v>
      </c>
      <c r="M2574" s="803"/>
      <c r="N2574" s="177"/>
    </row>
    <row r="2575" spans="1:14">
      <c r="A2575" s="908"/>
      <c r="B2575" s="3148" t="s">
        <v>773</v>
      </c>
      <c r="C2575" s="908" t="s">
        <v>322</v>
      </c>
      <c r="D2575" s="909" t="s">
        <v>1978</v>
      </c>
      <c r="E2575" s="1846" t="s">
        <v>1916</v>
      </c>
      <c r="F2575" s="862">
        <v>2241</v>
      </c>
      <c r="G2575" s="910"/>
      <c r="H2575" s="921"/>
      <c r="I2575" s="714"/>
      <c r="J2575" s="1494" t="s">
        <v>1134</v>
      </c>
      <c r="K2575" s="802"/>
      <c r="L2575" s="913"/>
      <c r="M2575" s="798"/>
      <c r="N2575" s="177"/>
    </row>
    <row r="2576" spans="1:14" ht="20.399999999999999">
      <c r="A2576" s="683"/>
      <c r="B2576" s="720" t="s">
        <v>772</v>
      </c>
      <c r="C2576" s="683" t="s">
        <v>340</v>
      </c>
      <c r="D2576" s="719" t="s">
        <v>1978</v>
      </c>
      <c r="E2576" s="720" t="s">
        <v>1916</v>
      </c>
      <c r="F2576" s="685">
        <v>2243</v>
      </c>
      <c r="G2576" s="686" t="s">
        <v>198</v>
      </c>
      <c r="H2576" s="801">
        <v>2400</v>
      </c>
      <c r="I2576" s="801"/>
      <c r="J2576" s="1494">
        <v>1451.98</v>
      </c>
      <c r="K2576" s="802"/>
      <c r="L2576" s="799">
        <v>2700</v>
      </c>
      <c r="M2576" s="799"/>
      <c r="N2576" s="177"/>
    </row>
    <row r="2577" spans="1:14">
      <c r="A2577" s="663"/>
      <c r="B2577" s="700" t="s">
        <v>772</v>
      </c>
      <c r="C2577" s="663" t="s">
        <v>322</v>
      </c>
      <c r="D2577" s="678" t="s">
        <v>1978</v>
      </c>
      <c r="E2577" s="700" t="s">
        <v>1916</v>
      </c>
      <c r="F2577" s="679">
        <v>2243</v>
      </c>
      <c r="G2577" s="658" t="s">
        <v>1080</v>
      </c>
      <c r="H2577" s="922"/>
      <c r="I2577" s="701">
        <v>300</v>
      </c>
      <c r="J2577" s="1494" t="s">
        <v>1134</v>
      </c>
      <c r="K2577" s="792"/>
      <c r="L2577" s="666"/>
      <c r="M2577" s="1676">
        <v>100</v>
      </c>
      <c r="N2577" s="177"/>
    </row>
    <row r="2578" spans="1:14" ht="20.399999999999999">
      <c r="A2578" s="663"/>
      <c r="B2578" s="700" t="s">
        <v>772</v>
      </c>
      <c r="C2578" s="663" t="s">
        <v>322</v>
      </c>
      <c r="D2578" s="678" t="s">
        <v>1978</v>
      </c>
      <c r="E2578" s="700" t="s">
        <v>1916</v>
      </c>
      <c r="F2578" s="679">
        <v>2243</v>
      </c>
      <c r="G2578" s="658" t="s">
        <v>1081</v>
      </c>
      <c r="H2578" s="922"/>
      <c r="I2578" s="701">
        <v>1500</v>
      </c>
      <c r="J2578" s="1494" t="s">
        <v>1134</v>
      </c>
      <c r="K2578" s="792"/>
      <c r="L2578" s="666"/>
      <c r="M2578" s="1676">
        <v>2000</v>
      </c>
      <c r="N2578" s="177"/>
    </row>
    <row r="2579" spans="1:14" ht="20.399999999999999">
      <c r="A2579" s="663"/>
      <c r="B2579" s="700" t="s">
        <v>772</v>
      </c>
      <c r="C2579" s="663" t="s">
        <v>322</v>
      </c>
      <c r="D2579" s="678" t="s">
        <v>1978</v>
      </c>
      <c r="E2579" s="700" t="s">
        <v>1916</v>
      </c>
      <c r="F2579" s="679">
        <v>2243</v>
      </c>
      <c r="G2579" s="883" t="s">
        <v>1505</v>
      </c>
      <c r="H2579" s="922"/>
      <c r="I2579" s="701">
        <v>600</v>
      </c>
      <c r="J2579" s="1494" t="s">
        <v>1134</v>
      </c>
      <c r="K2579" s="792"/>
      <c r="L2579" s="666"/>
      <c r="M2579" s="1676">
        <v>600</v>
      </c>
      <c r="N2579" s="177"/>
    </row>
    <row r="2580" spans="1:14">
      <c r="A2580" s="683"/>
      <c r="B2580" s="720" t="s">
        <v>772</v>
      </c>
      <c r="C2580" s="683" t="s">
        <v>320</v>
      </c>
      <c r="D2580" s="719" t="s">
        <v>1978</v>
      </c>
      <c r="E2580" s="720" t="s">
        <v>1916</v>
      </c>
      <c r="F2580" s="685">
        <v>2244</v>
      </c>
      <c r="G2580" s="686" t="s">
        <v>330</v>
      </c>
      <c r="H2580" s="801">
        <v>500</v>
      </c>
      <c r="I2580" s="801"/>
      <c r="J2580" s="1494">
        <v>8.9499999999999993</v>
      </c>
      <c r="K2580" s="802"/>
      <c r="L2580" s="799">
        <v>2500</v>
      </c>
      <c r="M2580" s="799"/>
      <c r="N2580" s="125"/>
    </row>
    <row r="2581" spans="1:14" ht="20.399999999999999">
      <c r="A2581" s="663"/>
      <c r="B2581" s="700" t="s">
        <v>772</v>
      </c>
      <c r="C2581" s="663" t="s">
        <v>320</v>
      </c>
      <c r="D2581" s="678" t="s">
        <v>1978</v>
      </c>
      <c r="E2581" s="700" t="s">
        <v>1916</v>
      </c>
      <c r="F2581" s="679">
        <v>2244</v>
      </c>
      <c r="G2581" s="658" t="s">
        <v>1944</v>
      </c>
      <c r="H2581" s="922"/>
      <c r="I2581" s="701">
        <v>500</v>
      </c>
      <c r="J2581" s="1494" t="s">
        <v>1134</v>
      </c>
      <c r="K2581" s="792"/>
      <c r="L2581" s="666"/>
      <c r="M2581" s="660">
        <v>500</v>
      </c>
      <c r="N2581" s="125"/>
    </row>
    <row r="2582" spans="1:14">
      <c r="A2582" s="663"/>
      <c r="B2582" s="700" t="s">
        <v>772</v>
      </c>
      <c r="C2582" s="663" t="s">
        <v>320</v>
      </c>
      <c r="D2582" s="678" t="s">
        <v>1978</v>
      </c>
      <c r="E2582" s="700" t="s">
        <v>1916</v>
      </c>
      <c r="F2582" s="679">
        <v>2244</v>
      </c>
      <c r="G2582" s="1904" t="s">
        <v>3834</v>
      </c>
      <c r="H2582" s="1865"/>
      <c r="I2582" s="1676"/>
      <c r="J2582" s="1893"/>
      <c r="K2582" s="1706"/>
      <c r="L2582" s="1865"/>
      <c r="M2582" s="1676">
        <v>2000</v>
      </c>
      <c r="N2582" s="125"/>
    </row>
    <row r="2583" spans="1:14">
      <c r="A2583" s="683"/>
      <c r="B2583" s="720" t="s">
        <v>772</v>
      </c>
      <c r="C2583" s="683" t="s">
        <v>320</v>
      </c>
      <c r="D2583" s="719" t="s">
        <v>1978</v>
      </c>
      <c r="E2583" s="720" t="s">
        <v>1916</v>
      </c>
      <c r="F2583" s="685">
        <v>2247</v>
      </c>
      <c r="G2583" s="686" t="s">
        <v>161</v>
      </c>
      <c r="H2583" s="801">
        <v>3000</v>
      </c>
      <c r="I2583" s="801"/>
      <c r="J2583" s="1494">
        <v>1167</v>
      </c>
      <c r="K2583" s="802"/>
      <c r="L2583" s="799">
        <v>3100</v>
      </c>
      <c r="M2583" s="799"/>
      <c r="N2583" s="654" t="s">
        <v>3845</v>
      </c>
    </row>
    <row r="2584" spans="1:14" ht="30.6">
      <c r="A2584" s="663"/>
      <c r="B2584" s="700" t="s">
        <v>772</v>
      </c>
      <c r="C2584" s="663" t="s">
        <v>320</v>
      </c>
      <c r="D2584" s="678" t="s">
        <v>1978</v>
      </c>
      <c r="E2584" s="700" t="s">
        <v>1916</v>
      </c>
      <c r="F2584" s="679">
        <v>2247</v>
      </c>
      <c r="G2584" s="1905" t="s">
        <v>1499</v>
      </c>
      <c r="H2584" s="922"/>
      <c r="I2584" s="701">
        <v>3000</v>
      </c>
      <c r="J2584" s="1494" t="s">
        <v>1134</v>
      </c>
      <c r="K2584" s="792"/>
      <c r="L2584" s="666"/>
      <c r="M2584" s="660">
        <v>3100</v>
      </c>
      <c r="N2584" s="654"/>
    </row>
    <row r="2585" spans="1:14" ht="20.399999999999999">
      <c r="A2585" s="683"/>
      <c r="B2585" s="720" t="s">
        <v>772</v>
      </c>
      <c r="C2585" s="683" t="s">
        <v>320</v>
      </c>
      <c r="D2585" s="719" t="s">
        <v>1978</v>
      </c>
      <c r="E2585" s="720" t="s">
        <v>1916</v>
      </c>
      <c r="F2585" s="685">
        <v>2249</v>
      </c>
      <c r="G2585" s="686" t="s">
        <v>282</v>
      </c>
      <c r="H2585" s="801"/>
      <c r="I2585" s="801"/>
      <c r="J2585" s="1494">
        <v>1167</v>
      </c>
      <c r="K2585" s="802"/>
      <c r="L2585" s="799">
        <v>600</v>
      </c>
      <c r="M2585" s="799"/>
      <c r="N2585" s="125"/>
    </row>
    <row r="2586" spans="1:14">
      <c r="A2586" s="1902"/>
      <c r="B2586" s="700" t="s">
        <v>772</v>
      </c>
      <c r="C2586" s="663" t="s">
        <v>320</v>
      </c>
      <c r="D2586" s="678" t="s">
        <v>1978</v>
      </c>
      <c r="E2586" s="700" t="s">
        <v>1916</v>
      </c>
      <c r="F2586" s="679">
        <v>2249</v>
      </c>
      <c r="G2586" s="1903" t="s">
        <v>3831</v>
      </c>
      <c r="H2586" s="1866"/>
      <c r="I2586" s="1672"/>
      <c r="J2586" s="1673"/>
      <c r="K2586" s="1688"/>
      <c r="L2586" s="1689"/>
      <c r="M2586" s="1676">
        <v>600</v>
      </c>
      <c r="N2586" s="654"/>
    </row>
    <row r="2587" spans="1:14">
      <c r="A2587" s="683"/>
      <c r="B2587" s="720" t="s">
        <v>772</v>
      </c>
      <c r="C2587" s="683" t="s">
        <v>322</v>
      </c>
      <c r="D2587" s="719" t="s">
        <v>1978</v>
      </c>
      <c r="E2587" s="720" t="s">
        <v>1916</v>
      </c>
      <c r="F2587" s="685">
        <v>2250</v>
      </c>
      <c r="G2587" s="686" t="s">
        <v>778</v>
      </c>
      <c r="H2587" s="706">
        <v>1035</v>
      </c>
      <c r="I2587" s="801"/>
      <c r="J2587" s="1494">
        <v>1034.02</v>
      </c>
      <c r="K2587" s="802"/>
      <c r="L2587" s="689">
        <v>1034</v>
      </c>
      <c r="M2587" s="799"/>
      <c r="N2587" s="654"/>
    </row>
    <row r="2588" spans="1:14">
      <c r="A2588" s="663"/>
      <c r="B2588" s="700" t="s">
        <v>772</v>
      </c>
      <c r="C2588" s="663" t="s">
        <v>322</v>
      </c>
      <c r="D2588" s="678" t="s">
        <v>1978</v>
      </c>
      <c r="E2588" s="700" t="s">
        <v>1916</v>
      </c>
      <c r="F2588" s="679">
        <v>2250</v>
      </c>
      <c r="G2588" s="883" t="s">
        <v>489</v>
      </c>
      <c r="H2588" s="922"/>
      <c r="I2588" s="701">
        <v>965</v>
      </c>
      <c r="J2588" s="1494" t="s">
        <v>1134</v>
      </c>
      <c r="K2588" s="792"/>
      <c r="L2588" s="666"/>
      <c r="M2588" s="660">
        <v>1034</v>
      </c>
      <c r="N2588" s="177"/>
    </row>
    <row r="2589" spans="1:14" ht="20.399999999999999">
      <c r="A2589" s="1669"/>
      <c r="B2589" s="700" t="s">
        <v>772</v>
      </c>
      <c r="C2589" s="663" t="s">
        <v>322</v>
      </c>
      <c r="D2589" s="678" t="s">
        <v>1978</v>
      </c>
      <c r="E2589" s="700" t="s">
        <v>1916</v>
      </c>
      <c r="F2589" s="679">
        <v>2250</v>
      </c>
      <c r="G2589" s="1888" t="s">
        <v>3401</v>
      </c>
      <c r="H2589" s="1866"/>
      <c r="I2589" s="1672">
        <v>70</v>
      </c>
      <c r="J2589" s="1673"/>
      <c r="K2589" s="1688"/>
      <c r="L2589" s="1865"/>
      <c r="M2589" s="1676"/>
      <c r="N2589" s="125" t="s">
        <v>4779</v>
      </c>
    </row>
    <row r="2590" spans="1:14">
      <c r="A2590" s="683"/>
      <c r="B2590" s="720" t="s">
        <v>772</v>
      </c>
      <c r="C2590" s="683" t="s">
        <v>320</v>
      </c>
      <c r="D2590" s="719" t="s">
        <v>1978</v>
      </c>
      <c r="E2590" s="1406" t="s">
        <v>1916</v>
      </c>
      <c r="F2590" s="685">
        <v>2264</v>
      </c>
      <c r="G2590" s="686" t="s">
        <v>125</v>
      </c>
      <c r="H2590" s="801">
        <v>200</v>
      </c>
      <c r="I2590" s="801"/>
      <c r="J2590" s="1494">
        <v>121</v>
      </c>
      <c r="K2590" s="802"/>
      <c r="L2590" s="799">
        <v>200</v>
      </c>
      <c r="M2590" s="799"/>
      <c r="N2590" s="177" t="s">
        <v>3849</v>
      </c>
    </row>
    <row r="2591" spans="1:14">
      <c r="A2591" s="663"/>
      <c r="B2591" s="700" t="s">
        <v>772</v>
      </c>
      <c r="C2591" s="663" t="s">
        <v>320</v>
      </c>
      <c r="D2591" s="678" t="s">
        <v>1978</v>
      </c>
      <c r="E2591" s="1407" t="s">
        <v>1916</v>
      </c>
      <c r="F2591" s="679">
        <v>2264</v>
      </c>
      <c r="G2591" s="927" t="s">
        <v>1082</v>
      </c>
      <c r="H2591" s="922"/>
      <c r="I2591" s="701">
        <v>200</v>
      </c>
      <c r="J2591" s="1494" t="s">
        <v>1134</v>
      </c>
      <c r="K2591" s="792"/>
      <c r="L2591" s="666"/>
      <c r="M2591" s="877">
        <v>200</v>
      </c>
      <c r="N2591" s="3532"/>
    </row>
    <row r="2592" spans="1:14">
      <c r="A2592" s="683"/>
      <c r="B2592" s="3129" t="s">
        <v>692</v>
      </c>
      <c r="C2592" s="683" t="s">
        <v>320</v>
      </c>
      <c r="D2592" s="719" t="s">
        <v>1978</v>
      </c>
      <c r="E2592" s="1406" t="s">
        <v>1916</v>
      </c>
      <c r="F2592" s="685">
        <v>2264</v>
      </c>
      <c r="G2592" s="686" t="s">
        <v>125</v>
      </c>
      <c r="H2592" s="801">
        <v>242</v>
      </c>
      <c r="I2592" s="801"/>
      <c r="J2592" s="1494">
        <v>242</v>
      </c>
      <c r="K2592" s="802"/>
      <c r="L2592" s="1682">
        <v>0</v>
      </c>
      <c r="M2592" s="1682"/>
      <c r="N2592" s="3532"/>
    </row>
    <row r="2593" spans="1:14" ht="20.399999999999999">
      <c r="A2593" s="1378"/>
      <c r="B2593" s="3148" t="s">
        <v>692</v>
      </c>
      <c r="C2593" s="908" t="s">
        <v>320</v>
      </c>
      <c r="D2593" s="1417" t="s">
        <v>1978</v>
      </c>
      <c r="E2593" s="1416" t="s">
        <v>1916</v>
      </c>
      <c r="F2593" s="862">
        <v>2264</v>
      </c>
      <c r="G2593" s="1379" t="s">
        <v>2968</v>
      </c>
      <c r="H2593" s="1380"/>
      <c r="I2593" s="1381">
        <v>242</v>
      </c>
      <c r="J2593" s="1494" t="s">
        <v>1134</v>
      </c>
      <c r="K2593" s="1259"/>
      <c r="L2593" s="1906"/>
      <c r="M2593" s="1907"/>
      <c r="N2593" s="1924"/>
    </row>
    <row r="2594" spans="1:14">
      <c r="A2594" s="683"/>
      <c r="B2594" s="720" t="s">
        <v>772</v>
      </c>
      <c r="C2594" s="683" t="s">
        <v>320</v>
      </c>
      <c r="D2594" s="719" t="s">
        <v>1978</v>
      </c>
      <c r="E2594" s="1406" t="s">
        <v>1916</v>
      </c>
      <c r="F2594" s="685">
        <v>2311</v>
      </c>
      <c r="G2594" s="686" t="s">
        <v>260</v>
      </c>
      <c r="H2594" s="706">
        <v>400</v>
      </c>
      <c r="I2594" s="801"/>
      <c r="J2594" s="1494">
        <v>382</v>
      </c>
      <c r="K2594" s="802"/>
      <c r="L2594" s="1661">
        <v>400</v>
      </c>
      <c r="M2594" s="1682"/>
      <c r="N2594" s="1924"/>
    </row>
    <row r="2595" spans="1:14" ht="20.399999999999999">
      <c r="A2595" s="663"/>
      <c r="B2595" s="700" t="s">
        <v>772</v>
      </c>
      <c r="C2595" s="663" t="s">
        <v>320</v>
      </c>
      <c r="D2595" s="678" t="s">
        <v>1978</v>
      </c>
      <c r="E2595" s="1407" t="s">
        <v>1916</v>
      </c>
      <c r="F2595" s="679">
        <v>2311</v>
      </c>
      <c r="G2595" s="665" t="s">
        <v>261</v>
      </c>
      <c r="H2595" s="922"/>
      <c r="I2595" s="701">
        <v>400</v>
      </c>
      <c r="J2595" s="1494" t="s">
        <v>1134</v>
      </c>
      <c r="K2595" s="792"/>
      <c r="L2595" s="1908"/>
      <c r="M2595" s="1662">
        <v>400</v>
      </c>
      <c r="N2595" s="177"/>
    </row>
    <row r="2596" spans="1:14">
      <c r="A2596" s="683"/>
      <c r="B2596" s="720" t="s">
        <v>772</v>
      </c>
      <c r="C2596" s="683" t="s">
        <v>320</v>
      </c>
      <c r="D2596" s="719" t="s">
        <v>1978</v>
      </c>
      <c r="E2596" s="1406" t="s">
        <v>1916</v>
      </c>
      <c r="F2596" s="1698">
        <v>2312</v>
      </c>
      <c r="G2596" s="1691" t="s">
        <v>131</v>
      </c>
      <c r="H2596" s="1692">
        <v>2860</v>
      </c>
      <c r="I2596" s="1693"/>
      <c r="J2596" s="1684">
        <v>2609.63</v>
      </c>
      <c r="K2596" s="1694"/>
      <c r="L2596" s="1692">
        <v>380</v>
      </c>
      <c r="M2596" s="1693"/>
      <c r="N2596" s="177"/>
    </row>
    <row r="2597" spans="1:14" ht="20.399999999999999">
      <c r="A2597" s="663"/>
      <c r="B2597" s="700" t="s">
        <v>772</v>
      </c>
      <c r="C2597" s="663" t="s">
        <v>320</v>
      </c>
      <c r="D2597" s="678" t="s">
        <v>1978</v>
      </c>
      <c r="E2597" s="1407" t="s">
        <v>1916</v>
      </c>
      <c r="F2597" s="1413">
        <v>2312</v>
      </c>
      <c r="G2597" s="1923" t="s">
        <v>3846</v>
      </c>
      <c r="H2597" s="922"/>
      <c r="I2597" s="701"/>
      <c r="J2597" s="1494"/>
      <c r="K2597" s="792"/>
      <c r="L2597" s="1908"/>
      <c r="M2597" s="1662">
        <v>380</v>
      </c>
      <c r="N2597" s="177"/>
    </row>
    <row r="2598" spans="1:14" ht="20.399999999999999">
      <c r="A2598" s="663"/>
      <c r="B2598" s="700" t="s">
        <v>772</v>
      </c>
      <c r="C2598" s="663" t="s">
        <v>320</v>
      </c>
      <c r="D2598" s="678" t="s">
        <v>1978</v>
      </c>
      <c r="E2598" s="1407" t="s">
        <v>1916</v>
      </c>
      <c r="F2598" s="1413">
        <v>2312</v>
      </c>
      <c r="G2598" s="1909" t="s">
        <v>2177</v>
      </c>
      <c r="H2598" s="1910"/>
      <c r="I2598" s="1683">
        <v>1000</v>
      </c>
      <c r="J2598" s="1684" t="s">
        <v>1134</v>
      </c>
      <c r="K2598" s="1685"/>
      <c r="L2598" s="1910"/>
      <c r="M2598" s="1911"/>
      <c r="N2598" s="305"/>
    </row>
    <row r="2599" spans="1:14">
      <c r="A2599" s="1182"/>
      <c r="B2599" s="700" t="s">
        <v>772</v>
      </c>
      <c r="C2599" s="663" t="s">
        <v>320</v>
      </c>
      <c r="D2599" s="678" t="s">
        <v>1978</v>
      </c>
      <c r="E2599" s="1407" t="s">
        <v>1916</v>
      </c>
      <c r="F2599" s="1413">
        <v>2312</v>
      </c>
      <c r="G2599" s="1913" t="s">
        <v>2194</v>
      </c>
      <c r="H2599" s="1914"/>
      <c r="I2599" s="1911">
        <v>200</v>
      </c>
      <c r="J2599" s="1684" t="s">
        <v>1134</v>
      </c>
      <c r="K2599" s="1915"/>
      <c r="L2599" s="1914"/>
      <c r="M2599" s="1911"/>
      <c r="N2599" s="305"/>
    </row>
    <row r="2600" spans="1:14">
      <c r="A2600" s="1182"/>
      <c r="B2600" s="700" t="s">
        <v>772</v>
      </c>
      <c r="C2600" s="663" t="s">
        <v>320</v>
      </c>
      <c r="D2600" s="678" t="s">
        <v>1978</v>
      </c>
      <c r="E2600" s="1407" t="s">
        <v>1916</v>
      </c>
      <c r="F2600" s="1413">
        <v>2312</v>
      </c>
      <c r="G2600" s="1913" t="s">
        <v>2195</v>
      </c>
      <c r="H2600" s="1914"/>
      <c r="I2600" s="1911">
        <v>80</v>
      </c>
      <c r="J2600" s="1684" t="s">
        <v>1134</v>
      </c>
      <c r="K2600" s="1915"/>
      <c r="L2600" s="1914"/>
      <c r="M2600" s="1911"/>
      <c r="N2600" s="305"/>
    </row>
    <row r="2601" spans="1:14" ht="30.6" customHeight="1">
      <c r="A2601" s="1182"/>
      <c r="B2601" s="700" t="s">
        <v>772</v>
      </c>
      <c r="C2601" s="663" t="s">
        <v>320</v>
      </c>
      <c r="D2601" s="678" t="s">
        <v>1978</v>
      </c>
      <c r="E2601" s="1407" t="s">
        <v>1916</v>
      </c>
      <c r="F2601" s="1413">
        <v>2312</v>
      </c>
      <c r="G2601" s="1913" t="s">
        <v>2196</v>
      </c>
      <c r="H2601" s="1914"/>
      <c r="I2601" s="1911">
        <v>10</v>
      </c>
      <c r="J2601" s="1684" t="s">
        <v>1134</v>
      </c>
      <c r="K2601" s="1915"/>
      <c r="L2601" s="1914"/>
      <c r="M2601" s="1911"/>
      <c r="N2601" s="305"/>
    </row>
    <row r="2602" spans="1:14">
      <c r="A2602" s="1182"/>
      <c r="B2602" s="700" t="s">
        <v>772</v>
      </c>
      <c r="C2602" s="663" t="s">
        <v>320</v>
      </c>
      <c r="D2602" s="678" t="s">
        <v>1978</v>
      </c>
      <c r="E2602" s="1407" t="s">
        <v>1916</v>
      </c>
      <c r="F2602" s="1413">
        <v>2312</v>
      </c>
      <c r="G2602" s="1913" t="s">
        <v>2197</v>
      </c>
      <c r="H2602" s="1914"/>
      <c r="I2602" s="1911">
        <v>20</v>
      </c>
      <c r="J2602" s="1684" t="s">
        <v>1134</v>
      </c>
      <c r="K2602" s="1915"/>
      <c r="L2602" s="1914"/>
      <c r="M2602" s="1911"/>
      <c r="N2602" s="305"/>
    </row>
    <row r="2603" spans="1:14">
      <c r="A2603" s="1182"/>
      <c r="B2603" s="700" t="s">
        <v>772</v>
      </c>
      <c r="C2603" s="663" t="s">
        <v>320</v>
      </c>
      <c r="D2603" s="678" t="s">
        <v>1978</v>
      </c>
      <c r="E2603" s="1407" t="s">
        <v>1916</v>
      </c>
      <c r="F2603" s="1413">
        <v>2312</v>
      </c>
      <c r="G2603" s="1913" t="s">
        <v>2198</v>
      </c>
      <c r="H2603" s="1914"/>
      <c r="I2603" s="1911">
        <v>5</v>
      </c>
      <c r="J2603" s="1684" t="s">
        <v>1134</v>
      </c>
      <c r="K2603" s="1915"/>
      <c r="L2603" s="1914"/>
      <c r="M2603" s="1911"/>
      <c r="N2603" s="305"/>
    </row>
    <row r="2604" spans="1:14">
      <c r="A2604" s="1182"/>
      <c r="B2604" s="700" t="s">
        <v>772</v>
      </c>
      <c r="C2604" s="663" t="s">
        <v>320</v>
      </c>
      <c r="D2604" s="678" t="s">
        <v>1978</v>
      </c>
      <c r="E2604" s="1407" t="s">
        <v>1916</v>
      </c>
      <c r="F2604" s="1413">
        <v>2312</v>
      </c>
      <c r="G2604" s="1913" t="s">
        <v>2199</v>
      </c>
      <c r="H2604" s="1914"/>
      <c r="I2604" s="1911">
        <v>180</v>
      </c>
      <c r="J2604" s="1684" t="s">
        <v>1134</v>
      </c>
      <c r="K2604" s="1915"/>
      <c r="L2604" s="1914"/>
      <c r="M2604" s="1911"/>
      <c r="N2604" s="305"/>
    </row>
    <row r="2605" spans="1:14" ht="11.4" customHeight="1">
      <c r="A2605" s="1182"/>
      <c r="B2605" s="700" t="s">
        <v>772</v>
      </c>
      <c r="C2605" s="663" t="s">
        <v>320</v>
      </c>
      <c r="D2605" s="678" t="s">
        <v>1978</v>
      </c>
      <c r="E2605" s="1407" t="s">
        <v>1916</v>
      </c>
      <c r="F2605" s="1413">
        <v>2312</v>
      </c>
      <c r="G2605" s="1913" t="s">
        <v>2200</v>
      </c>
      <c r="H2605" s="1914"/>
      <c r="I2605" s="1911">
        <v>150</v>
      </c>
      <c r="J2605" s="1684" t="s">
        <v>1134</v>
      </c>
      <c r="K2605" s="1915"/>
      <c r="L2605" s="1914"/>
      <c r="M2605" s="1911"/>
      <c r="N2605" s="305"/>
    </row>
    <row r="2606" spans="1:14" ht="20.399999999999999">
      <c r="A2606" s="604"/>
      <c r="B2606" s="795" t="s">
        <v>772</v>
      </c>
      <c r="C2606" s="663" t="s">
        <v>320</v>
      </c>
      <c r="D2606" s="678" t="s">
        <v>1978</v>
      </c>
      <c r="E2606" s="1407" t="s">
        <v>1916</v>
      </c>
      <c r="F2606" s="1413">
        <v>2312</v>
      </c>
      <c r="G2606" s="1916" t="s">
        <v>3168</v>
      </c>
      <c r="H2606" s="1917"/>
      <c r="I2606" s="1713">
        <v>319</v>
      </c>
      <c r="J2606" s="1684" t="s">
        <v>1134</v>
      </c>
      <c r="K2606" s="1918"/>
      <c r="L2606" s="1917"/>
      <c r="M2606" s="1713"/>
      <c r="N2606" s="305"/>
    </row>
    <row r="2607" spans="1:14" ht="11.4" customHeight="1">
      <c r="A2607" s="604"/>
      <c r="B2607" s="795" t="s">
        <v>772</v>
      </c>
      <c r="C2607" s="663" t="s">
        <v>320</v>
      </c>
      <c r="D2607" s="678" t="s">
        <v>1978</v>
      </c>
      <c r="E2607" s="1407" t="s">
        <v>1916</v>
      </c>
      <c r="F2607" s="1413">
        <v>2312</v>
      </c>
      <c r="G2607" s="1916" t="s">
        <v>3273</v>
      </c>
      <c r="H2607" s="1917"/>
      <c r="I2607" s="1713">
        <v>896</v>
      </c>
      <c r="J2607" s="1684" t="s">
        <v>1134</v>
      </c>
      <c r="K2607" s="1918"/>
      <c r="L2607" s="1917"/>
      <c r="M2607" s="1713"/>
      <c r="N2607" s="305"/>
    </row>
    <row r="2608" spans="1:14" ht="20.399999999999999">
      <c r="A2608" s="683"/>
      <c r="B2608" s="720" t="s">
        <v>772</v>
      </c>
      <c r="C2608" s="683" t="s">
        <v>320</v>
      </c>
      <c r="D2608" s="719" t="s">
        <v>1978</v>
      </c>
      <c r="E2608" s="1406" t="s">
        <v>1916</v>
      </c>
      <c r="F2608" s="685">
        <v>2314</v>
      </c>
      <c r="G2608" s="686" t="s">
        <v>1435</v>
      </c>
      <c r="H2608" s="706">
        <v>7880</v>
      </c>
      <c r="I2608" s="801"/>
      <c r="J2608" s="1494">
        <v>3516</v>
      </c>
      <c r="K2608" s="802"/>
      <c r="L2608" s="1692">
        <v>7940</v>
      </c>
      <c r="M2608" s="1693"/>
      <c r="N2608" s="177"/>
    </row>
    <row r="2609" spans="1:14">
      <c r="A2609" s="663"/>
      <c r="B2609" s="700" t="s">
        <v>772</v>
      </c>
      <c r="C2609" s="663" t="s">
        <v>320</v>
      </c>
      <c r="D2609" s="678" t="s">
        <v>1978</v>
      </c>
      <c r="E2609" s="1407" t="s">
        <v>1916</v>
      </c>
      <c r="F2609" s="679">
        <v>2314</v>
      </c>
      <c r="G2609" s="928" t="s">
        <v>2184</v>
      </c>
      <c r="H2609" s="922"/>
      <c r="I2609" s="701">
        <v>600</v>
      </c>
      <c r="J2609" s="1494" t="s">
        <v>1134</v>
      </c>
      <c r="K2609" s="792"/>
      <c r="L2609" s="1910"/>
      <c r="M2609" s="1683">
        <v>600</v>
      </c>
      <c r="N2609" s="177"/>
    </row>
    <row r="2610" spans="1:14">
      <c r="A2610" s="663"/>
      <c r="B2610" s="700" t="s">
        <v>772</v>
      </c>
      <c r="C2610" s="663" t="s">
        <v>320</v>
      </c>
      <c r="D2610" s="678" t="s">
        <v>1978</v>
      </c>
      <c r="E2610" s="1407" t="s">
        <v>1916</v>
      </c>
      <c r="F2610" s="679">
        <v>2314</v>
      </c>
      <c r="G2610" s="928" t="s">
        <v>2185</v>
      </c>
      <c r="H2610" s="922"/>
      <c r="I2610" s="701">
        <v>200</v>
      </c>
      <c r="J2610" s="1494" t="s">
        <v>1134</v>
      </c>
      <c r="K2610" s="792"/>
      <c r="L2610" s="1910"/>
      <c r="M2610" s="1683">
        <v>200</v>
      </c>
      <c r="N2610" s="177"/>
    </row>
    <row r="2611" spans="1:14">
      <c r="A2611" s="663"/>
      <c r="B2611" s="700" t="s">
        <v>772</v>
      </c>
      <c r="C2611" s="663" t="s">
        <v>320</v>
      </c>
      <c r="D2611" s="678" t="s">
        <v>1978</v>
      </c>
      <c r="E2611" s="1407" t="s">
        <v>1916</v>
      </c>
      <c r="F2611" s="679">
        <v>2314</v>
      </c>
      <c r="G2611" s="928" t="s">
        <v>2186</v>
      </c>
      <c r="H2611" s="922"/>
      <c r="I2611" s="701">
        <v>3000</v>
      </c>
      <c r="J2611" s="1494" t="s">
        <v>1134</v>
      </c>
      <c r="K2611" s="792"/>
      <c r="L2611" s="1910"/>
      <c r="M2611" s="1683">
        <v>5000</v>
      </c>
      <c r="N2611" s="177"/>
    </row>
    <row r="2612" spans="1:14">
      <c r="A2612" s="663"/>
      <c r="B2612" s="700" t="s">
        <v>772</v>
      </c>
      <c r="C2612" s="663" t="s">
        <v>320</v>
      </c>
      <c r="D2612" s="678" t="s">
        <v>1978</v>
      </c>
      <c r="E2612" s="1407" t="s">
        <v>1916</v>
      </c>
      <c r="F2612" s="679">
        <v>2314</v>
      </c>
      <c r="G2612" s="928" t="s">
        <v>2186</v>
      </c>
      <c r="H2612" s="922"/>
      <c r="I2612" s="701">
        <v>3000</v>
      </c>
      <c r="J2612" s="1494" t="s">
        <v>1134</v>
      </c>
      <c r="K2612" s="792"/>
      <c r="L2612" s="1910"/>
      <c r="M2612" s="1683"/>
      <c r="N2612" s="177"/>
    </row>
    <row r="2613" spans="1:14">
      <c r="A2613" s="663"/>
      <c r="B2613" s="700" t="s">
        <v>772</v>
      </c>
      <c r="C2613" s="663" t="s">
        <v>320</v>
      </c>
      <c r="D2613" s="678" t="s">
        <v>1978</v>
      </c>
      <c r="E2613" s="1407" t="s">
        <v>1916</v>
      </c>
      <c r="F2613" s="679">
        <v>2314</v>
      </c>
      <c r="G2613" s="928" t="s">
        <v>2187</v>
      </c>
      <c r="H2613" s="922"/>
      <c r="I2613" s="701">
        <v>250</v>
      </c>
      <c r="J2613" s="1494" t="s">
        <v>1134</v>
      </c>
      <c r="K2613" s="792"/>
      <c r="L2613" s="1910"/>
      <c r="M2613" s="1683">
        <v>400</v>
      </c>
      <c r="N2613" s="177"/>
    </row>
    <row r="2614" spans="1:14">
      <c r="A2614" s="663"/>
      <c r="B2614" s="700" t="s">
        <v>772</v>
      </c>
      <c r="C2614" s="663" t="s">
        <v>320</v>
      </c>
      <c r="D2614" s="678" t="s">
        <v>1978</v>
      </c>
      <c r="E2614" s="1407" t="s">
        <v>1916</v>
      </c>
      <c r="F2614" s="679">
        <v>2314</v>
      </c>
      <c r="G2614" s="928" t="s">
        <v>196</v>
      </c>
      <c r="H2614" s="922"/>
      <c r="I2614" s="701">
        <v>600</v>
      </c>
      <c r="J2614" s="1494" t="s">
        <v>1134</v>
      </c>
      <c r="K2614" s="792"/>
      <c r="L2614" s="1910"/>
      <c r="M2614" s="1683">
        <v>1240</v>
      </c>
      <c r="N2614" s="305"/>
    </row>
    <row r="2615" spans="1:14" ht="30.6">
      <c r="A2615" s="663"/>
      <c r="B2615" s="700" t="s">
        <v>772</v>
      </c>
      <c r="C2615" s="663" t="s">
        <v>320</v>
      </c>
      <c r="D2615" s="678" t="s">
        <v>1978</v>
      </c>
      <c r="E2615" s="1407" t="s">
        <v>1916</v>
      </c>
      <c r="F2615" s="679">
        <v>2314</v>
      </c>
      <c r="G2615" s="928" t="s">
        <v>2188</v>
      </c>
      <c r="H2615" s="922"/>
      <c r="I2615" s="701">
        <v>300</v>
      </c>
      <c r="J2615" s="1494" t="s">
        <v>1134</v>
      </c>
      <c r="K2615" s="792"/>
      <c r="L2615" s="1910"/>
      <c r="M2615" s="1683">
        <v>300</v>
      </c>
      <c r="N2615" s="305"/>
    </row>
    <row r="2616" spans="1:14">
      <c r="A2616" s="663"/>
      <c r="B2616" s="700" t="s">
        <v>772</v>
      </c>
      <c r="C2616" s="663" t="s">
        <v>320</v>
      </c>
      <c r="D2616" s="678" t="s">
        <v>1978</v>
      </c>
      <c r="E2616" s="1407" t="s">
        <v>1916</v>
      </c>
      <c r="F2616" s="679">
        <v>2314</v>
      </c>
      <c r="G2616" s="928" t="s">
        <v>2183</v>
      </c>
      <c r="H2616" s="928"/>
      <c r="I2616" s="701">
        <v>200</v>
      </c>
      <c r="J2616" s="1494" t="s">
        <v>1134</v>
      </c>
      <c r="K2616" s="792"/>
      <c r="L2616" s="1910"/>
      <c r="M2616" s="1683">
        <v>200</v>
      </c>
      <c r="N2616" s="305"/>
    </row>
    <row r="2617" spans="1:14" ht="20.399999999999999">
      <c r="A2617" s="603"/>
      <c r="B2617" s="700" t="s">
        <v>772</v>
      </c>
      <c r="C2617" s="663" t="s">
        <v>320</v>
      </c>
      <c r="D2617" s="678" t="s">
        <v>1978</v>
      </c>
      <c r="E2617" s="1407" t="s">
        <v>1916</v>
      </c>
      <c r="F2617" s="679">
        <v>2314</v>
      </c>
      <c r="G2617" s="1449" t="s">
        <v>3167</v>
      </c>
      <c r="H2617" s="1449"/>
      <c r="I2617" s="1165">
        <v>-200</v>
      </c>
      <c r="J2617" s="1494" t="s">
        <v>1134</v>
      </c>
      <c r="K2617" s="1439"/>
      <c r="L2617" s="1917"/>
      <c r="M2617" s="1713"/>
      <c r="N2617" s="305"/>
    </row>
    <row r="2618" spans="1:14" ht="20.399999999999999">
      <c r="A2618" s="1495"/>
      <c r="B2618" s="1590" t="s">
        <v>772</v>
      </c>
      <c r="C2618" s="1495" t="s">
        <v>320</v>
      </c>
      <c r="D2618" s="1561" t="s">
        <v>1978</v>
      </c>
      <c r="E2618" s="1559" t="s">
        <v>1916</v>
      </c>
      <c r="F2618" s="1574">
        <v>2314</v>
      </c>
      <c r="G2618" s="1622" t="s">
        <v>3401</v>
      </c>
      <c r="H2618" s="1623"/>
      <c r="I2618" s="1557">
        <v>-70</v>
      </c>
      <c r="J2618" s="1557"/>
      <c r="K2618" s="1563"/>
      <c r="L2618" s="1920"/>
      <c r="M2618" s="1805"/>
      <c r="N2618" s="305"/>
    </row>
    <row r="2619" spans="1:14">
      <c r="A2619" s="683"/>
      <c r="B2619" s="720" t="s">
        <v>772</v>
      </c>
      <c r="C2619" s="683" t="s">
        <v>320</v>
      </c>
      <c r="D2619" s="719" t="s">
        <v>1978</v>
      </c>
      <c r="E2619" s="1406" t="s">
        <v>1916</v>
      </c>
      <c r="F2619" s="685">
        <v>2322</v>
      </c>
      <c r="G2619" s="686" t="s">
        <v>191</v>
      </c>
      <c r="H2619" s="706">
        <v>546</v>
      </c>
      <c r="I2619" s="801"/>
      <c r="J2619" s="1494">
        <v>546</v>
      </c>
      <c r="K2619" s="802"/>
      <c r="L2619" s="1661">
        <v>0</v>
      </c>
      <c r="M2619" s="1682"/>
      <c r="N2619" s="305"/>
    </row>
    <row r="2620" spans="1:14" ht="20.399999999999999">
      <c r="A2620" s="663"/>
      <c r="B2620" s="700" t="s">
        <v>772</v>
      </c>
      <c r="C2620" s="663" t="s">
        <v>320</v>
      </c>
      <c r="D2620" s="678" t="s">
        <v>1978</v>
      </c>
      <c r="E2620" s="1407" t="s">
        <v>1916</v>
      </c>
      <c r="F2620" s="679">
        <v>2322</v>
      </c>
      <c r="G2620" s="664" t="s">
        <v>3402</v>
      </c>
      <c r="H2620" s="922"/>
      <c r="I2620" s="701">
        <v>546</v>
      </c>
      <c r="J2620" s="1494" t="s">
        <v>1134</v>
      </c>
      <c r="K2620" s="792"/>
      <c r="L2620" s="1908"/>
      <c r="M2620" s="1662"/>
      <c r="N2620" s="305"/>
    </row>
    <row r="2621" spans="1:14">
      <c r="A2621" s="929"/>
      <c r="B2621" s="3305" t="s">
        <v>772</v>
      </c>
      <c r="C2621" s="929" t="s">
        <v>320</v>
      </c>
      <c r="D2621" s="719" t="s">
        <v>1978</v>
      </c>
      <c r="E2621" s="1418" t="s">
        <v>1916</v>
      </c>
      <c r="F2621" s="930">
        <v>2350</v>
      </c>
      <c r="G2621" s="931" t="s">
        <v>133</v>
      </c>
      <c r="H2621" s="706">
        <v>1200</v>
      </c>
      <c r="I2621" s="801"/>
      <c r="J2621" s="1494">
        <v>466.96</v>
      </c>
      <c r="K2621" s="802"/>
      <c r="L2621" s="1661">
        <v>1200</v>
      </c>
      <c r="M2621" s="1682"/>
      <c r="N2621" s="305"/>
    </row>
    <row r="2622" spans="1:14">
      <c r="A2622" s="663"/>
      <c r="B2622" s="700" t="s">
        <v>772</v>
      </c>
      <c r="C2622" s="663" t="s">
        <v>320</v>
      </c>
      <c r="D2622" s="678" t="s">
        <v>1978</v>
      </c>
      <c r="E2622" s="1407" t="s">
        <v>1916</v>
      </c>
      <c r="F2622" s="679">
        <v>2350</v>
      </c>
      <c r="G2622" s="924" t="s">
        <v>1083</v>
      </c>
      <c r="H2622" s="922"/>
      <c r="I2622" s="701">
        <v>700</v>
      </c>
      <c r="J2622" s="1494" t="s">
        <v>1134</v>
      </c>
      <c r="K2622" s="792"/>
      <c r="L2622" s="1908"/>
      <c r="M2622" s="1662">
        <v>700</v>
      </c>
      <c r="N2622" s="177"/>
    </row>
    <row r="2623" spans="1:14" ht="30.6">
      <c r="A2623" s="663"/>
      <c r="B2623" s="700" t="s">
        <v>772</v>
      </c>
      <c r="C2623" s="663" t="s">
        <v>320</v>
      </c>
      <c r="D2623" s="678" t="s">
        <v>1978</v>
      </c>
      <c r="E2623" s="1407" t="s">
        <v>1916</v>
      </c>
      <c r="F2623" s="679">
        <v>2350</v>
      </c>
      <c r="G2623" s="924" t="s">
        <v>1084</v>
      </c>
      <c r="H2623" s="922"/>
      <c r="I2623" s="701">
        <v>500</v>
      </c>
      <c r="J2623" s="1494" t="s">
        <v>1134</v>
      </c>
      <c r="K2623" s="792"/>
      <c r="L2623" s="1908"/>
      <c r="M2623" s="1662">
        <v>500</v>
      </c>
      <c r="N2623" s="177" t="s">
        <v>3851</v>
      </c>
    </row>
    <row r="2624" spans="1:14">
      <c r="A2624" s="929"/>
      <c r="B2624" s="3152" t="s">
        <v>773</v>
      </c>
      <c r="C2624" s="929" t="s">
        <v>322</v>
      </c>
      <c r="D2624" s="719" t="s">
        <v>1978</v>
      </c>
      <c r="E2624" s="1418" t="s">
        <v>1916</v>
      </c>
      <c r="F2624" s="930">
        <v>2361</v>
      </c>
      <c r="G2624" s="931" t="s">
        <v>1434</v>
      </c>
      <c r="H2624" s="706">
        <v>9640</v>
      </c>
      <c r="I2624" s="801"/>
      <c r="J2624" s="1494">
        <v>8334</v>
      </c>
      <c r="K2624" s="802"/>
      <c r="L2624" s="1661">
        <v>11266</v>
      </c>
      <c r="M2624" s="1682"/>
      <c r="N2624" s="177" t="s">
        <v>3853</v>
      </c>
    </row>
    <row r="2625" spans="1:14">
      <c r="A2625" s="663"/>
      <c r="B2625" s="3130" t="s">
        <v>773</v>
      </c>
      <c r="C2625" s="663" t="s">
        <v>322</v>
      </c>
      <c r="D2625" s="678" t="s">
        <v>1978</v>
      </c>
      <c r="E2625" s="1407" t="s">
        <v>1916</v>
      </c>
      <c r="F2625" s="679">
        <v>2361</v>
      </c>
      <c r="G2625" s="924" t="s">
        <v>3839</v>
      </c>
      <c r="H2625" s="922"/>
      <c r="I2625" s="701"/>
      <c r="J2625" s="1494"/>
      <c r="K2625" s="792"/>
      <c r="L2625" s="1908"/>
      <c r="M2625" s="2806">
        <v>0</v>
      </c>
      <c r="N2625" s="177"/>
    </row>
    <row r="2626" spans="1:14" ht="20.399999999999999">
      <c r="A2626" s="663"/>
      <c r="B2626" s="3130" t="s">
        <v>773</v>
      </c>
      <c r="C2626" s="663" t="s">
        <v>322</v>
      </c>
      <c r="D2626" s="678" t="s">
        <v>1978</v>
      </c>
      <c r="E2626" s="1407" t="s">
        <v>1916</v>
      </c>
      <c r="F2626" s="679">
        <v>2361</v>
      </c>
      <c r="G2626" s="924" t="s">
        <v>3840</v>
      </c>
      <c r="H2626" s="922"/>
      <c r="I2626" s="701"/>
      <c r="J2626" s="1494"/>
      <c r="K2626" s="792"/>
      <c r="L2626" s="1908"/>
      <c r="M2626" s="2806">
        <v>11266</v>
      </c>
      <c r="N2626" s="177"/>
    </row>
    <row r="2627" spans="1:14">
      <c r="A2627" s="663"/>
      <c r="B2627" s="3130" t="s">
        <v>773</v>
      </c>
      <c r="C2627" s="663" t="s">
        <v>322</v>
      </c>
      <c r="D2627" s="678" t="s">
        <v>1978</v>
      </c>
      <c r="E2627" s="1407" t="s">
        <v>1916</v>
      </c>
      <c r="F2627" s="679">
        <v>2361</v>
      </c>
      <c r="G2627" s="924" t="s">
        <v>2825</v>
      </c>
      <c r="H2627" s="922"/>
      <c r="I2627" s="701"/>
      <c r="J2627" s="1494"/>
      <c r="K2627" s="792"/>
      <c r="L2627" s="1908"/>
      <c r="M2627" s="2806">
        <v>0</v>
      </c>
      <c r="N2627" s="177"/>
    </row>
    <row r="2628" spans="1:14" ht="20.399999999999999">
      <c r="A2628" s="663"/>
      <c r="B2628" s="3130" t="s">
        <v>773</v>
      </c>
      <c r="C2628" s="663" t="s">
        <v>322</v>
      </c>
      <c r="D2628" s="678" t="s">
        <v>1978</v>
      </c>
      <c r="E2628" s="1407" t="s">
        <v>1916</v>
      </c>
      <c r="F2628" s="679">
        <v>2361</v>
      </c>
      <c r="G2628" s="924" t="s">
        <v>3841</v>
      </c>
      <c r="H2628" s="922"/>
      <c r="I2628" s="701"/>
      <c r="J2628" s="1494"/>
      <c r="K2628" s="792"/>
      <c r="L2628" s="1908"/>
      <c r="M2628" s="2806">
        <v>0</v>
      </c>
      <c r="N2628" s="177"/>
    </row>
    <row r="2629" spans="1:14">
      <c r="A2629" s="663"/>
      <c r="B2629" s="3130" t="s">
        <v>773</v>
      </c>
      <c r="C2629" s="663" t="s">
        <v>322</v>
      </c>
      <c r="D2629" s="678" t="s">
        <v>1978</v>
      </c>
      <c r="E2629" s="1407" t="s">
        <v>1916</v>
      </c>
      <c r="F2629" s="679">
        <v>2361</v>
      </c>
      <c r="G2629" s="924" t="s">
        <v>3842</v>
      </c>
      <c r="H2629" s="922"/>
      <c r="I2629" s="701"/>
      <c r="J2629" s="1494"/>
      <c r="K2629" s="792"/>
      <c r="L2629" s="1908"/>
      <c r="M2629" s="2806">
        <v>0</v>
      </c>
      <c r="N2629" s="177"/>
    </row>
    <row r="2630" spans="1:14">
      <c r="A2630" s="663"/>
      <c r="B2630" s="3130" t="s">
        <v>773</v>
      </c>
      <c r="C2630" s="663" t="s">
        <v>322</v>
      </c>
      <c r="D2630" s="678" t="s">
        <v>1978</v>
      </c>
      <c r="E2630" s="1407" t="s">
        <v>1916</v>
      </c>
      <c r="F2630" s="679">
        <v>2361</v>
      </c>
      <c r="G2630" s="924" t="s">
        <v>1508</v>
      </c>
      <c r="H2630" s="922"/>
      <c r="I2630" s="701">
        <v>2940</v>
      </c>
      <c r="J2630" s="1494" t="s">
        <v>1134</v>
      </c>
      <c r="K2630" s="792"/>
      <c r="L2630" s="1908"/>
      <c r="M2630" s="1662"/>
      <c r="N2630" s="177"/>
    </row>
    <row r="2631" spans="1:14">
      <c r="A2631" s="663"/>
      <c r="B2631" s="3130" t="s">
        <v>773</v>
      </c>
      <c r="C2631" s="663" t="s">
        <v>322</v>
      </c>
      <c r="D2631" s="678" t="s">
        <v>1978</v>
      </c>
      <c r="E2631" s="1407" t="s">
        <v>1916</v>
      </c>
      <c r="F2631" s="679">
        <v>2361</v>
      </c>
      <c r="G2631" s="924" t="s">
        <v>1509</v>
      </c>
      <c r="H2631" s="922"/>
      <c r="I2631" s="701">
        <v>900</v>
      </c>
      <c r="J2631" s="1494" t="s">
        <v>1134</v>
      </c>
      <c r="K2631" s="792"/>
      <c r="L2631" s="1908"/>
      <c r="M2631" s="1662"/>
      <c r="N2631" s="177"/>
    </row>
    <row r="2632" spans="1:14" ht="51" customHeight="1">
      <c r="A2632" s="663"/>
      <c r="B2632" s="3130" t="s">
        <v>773</v>
      </c>
      <c r="C2632" s="663" t="s">
        <v>322</v>
      </c>
      <c r="D2632" s="678" t="s">
        <v>1978</v>
      </c>
      <c r="E2632" s="1407" t="s">
        <v>1916</v>
      </c>
      <c r="F2632" s="679">
        <v>2361</v>
      </c>
      <c r="G2632" s="924" t="s">
        <v>2189</v>
      </c>
      <c r="H2632" s="922"/>
      <c r="I2632" s="701">
        <v>300</v>
      </c>
      <c r="J2632" s="1494" t="s">
        <v>1134</v>
      </c>
      <c r="K2632" s="792"/>
      <c r="L2632" s="1908"/>
      <c r="M2632" s="1662"/>
      <c r="N2632" s="177"/>
    </row>
    <row r="2633" spans="1:14">
      <c r="A2633" s="663"/>
      <c r="B2633" s="3130" t="s">
        <v>773</v>
      </c>
      <c r="C2633" s="663" t="s">
        <v>322</v>
      </c>
      <c r="D2633" s="678" t="s">
        <v>1978</v>
      </c>
      <c r="E2633" s="1407" t="s">
        <v>1916</v>
      </c>
      <c r="F2633" s="679">
        <v>2361</v>
      </c>
      <c r="G2633" s="924" t="s">
        <v>2825</v>
      </c>
      <c r="H2633" s="922"/>
      <c r="I2633" s="701">
        <v>4000</v>
      </c>
      <c r="J2633" s="1494" t="s">
        <v>1134</v>
      </c>
      <c r="K2633" s="792"/>
      <c r="L2633" s="1908"/>
      <c r="M2633" s="1662"/>
      <c r="N2633" s="177"/>
    </row>
    <row r="2634" spans="1:14">
      <c r="A2634" s="663"/>
      <c r="B2634" s="3130" t="s">
        <v>773</v>
      </c>
      <c r="C2634" s="663" t="s">
        <v>322</v>
      </c>
      <c r="D2634" s="678" t="s">
        <v>1978</v>
      </c>
      <c r="E2634" s="1407" t="s">
        <v>1916</v>
      </c>
      <c r="F2634" s="679">
        <v>2361</v>
      </c>
      <c r="G2634" s="924" t="s">
        <v>2190</v>
      </c>
      <c r="H2634" s="922"/>
      <c r="I2634" s="701">
        <v>1200</v>
      </c>
      <c r="J2634" s="1494" t="s">
        <v>1134</v>
      </c>
      <c r="K2634" s="792"/>
      <c r="L2634" s="1908"/>
      <c r="M2634" s="1662"/>
      <c r="N2634" s="125" t="s">
        <v>3855</v>
      </c>
    </row>
    <row r="2635" spans="1:14">
      <c r="A2635" s="663"/>
      <c r="B2635" s="3130" t="s">
        <v>773</v>
      </c>
      <c r="C2635" s="663" t="s">
        <v>322</v>
      </c>
      <c r="D2635" s="678" t="s">
        <v>1978</v>
      </c>
      <c r="E2635" s="1407" t="s">
        <v>1916</v>
      </c>
      <c r="F2635" s="679">
        <v>2361</v>
      </c>
      <c r="G2635" s="924" t="s">
        <v>2191</v>
      </c>
      <c r="H2635" s="922"/>
      <c r="I2635" s="701">
        <v>300</v>
      </c>
      <c r="J2635" s="1494" t="s">
        <v>1134</v>
      </c>
      <c r="K2635" s="792"/>
      <c r="L2635" s="1908"/>
      <c r="M2635" s="1662"/>
      <c r="N2635" s="177"/>
    </row>
    <row r="2636" spans="1:14">
      <c r="A2636" s="929"/>
      <c r="B2636" s="3305" t="s">
        <v>772</v>
      </c>
      <c r="C2636" s="929" t="s">
        <v>320</v>
      </c>
      <c r="D2636" s="719" t="s">
        <v>1978</v>
      </c>
      <c r="E2636" s="1418" t="s">
        <v>1916</v>
      </c>
      <c r="F2636" s="930">
        <v>2390</v>
      </c>
      <c r="G2636" s="931" t="s">
        <v>135</v>
      </c>
      <c r="H2636" s="706">
        <v>0</v>
      </c>
      <c r="I2636" s="801"/>
      <c r="J2636" s="1494" t="s">
        <v>1134</v>
      </c>
      <c r="K2636" s="802"/>
      <c r="L2636" s="687">
        <v>0</v>
      </c>
      <c r="M2636" s="803"/>
      <c r="N2636" s="177"/>
    </row>
    <row r="2637" spans="1:14">
      <c r="A2637" s="663"/>
      <c r="B2637" s="700" t="s">
        <v>772</v>
      </c>
      <c r="C2637" s="663" t="s">
        <v>320</v>
      </c>
      <c r="D2637" s="678" t="s">
        <v>1978</v>
      </c>
      <c r="E2637" s="1407" t="s">
        <v>1916</v>
      </c>
      <c r="F2637" s="679">
        <v>2390</v>
      </c>
      <c r="G2637" s="924"/>
      <c r="H2637" s="922"/>
      <c r="I2637" s="701"/>
      <c r="J2637" s="1494" t="s">
        <v>1134</v>
      </c>
      <c r="K2637" s="792"/>
      <c r="L2637" s="914"/>
      <c r="M2637" s="659"/>
      <c r="N2637" s="177" t="s">
        <v>2204</v>
      </c>
    </row>
    <row r="2638" spans="1:14" ht="20.399999999999999">
      <c r="A2638" s="929"/>
      <c r="B2638" s="3305" t="s">
        <v>772</v>
      </c>
      <c r="C2638" s="929" t="s">
        <v>320</v>
      </c>
      <c r="D2638" s="719" t="s">
        <v>1978</v>
      </c>
      <c r="E2638" s="1418" t="s">
        <v>1916</v>
      </c>
      <c r="F2638" s="930">
        <v>2512</v>
      </c>
      <c r="G2638" s="931" t="s">
        <v>779</v>
      </c>
      <c r="H2638" s="706">
        <v>3700</v>
      </c>
      <c r="I2638" s="801"/>
      <c r="J2638" s="1494">
        <v>3392</v>
      </c>
      <c r="K2638" s="802"/>
      <c r="L2638" s="1661">
        <v>3558</v>
      </c>
      <c r="M2638" s="1682"/>
      <c r="N2638" s="177"/>
    </row>
    <row r="2639" spans="1:14">
      <c r="A2639" s="603"/>
      <c r="B2639" s="700" t="s">
        <v>772</v>
      </c>
      <c r="C2639" s="663" t="s">
        <v>320</v>
      </c>
      <c r="D2639" s="678" t="s">
        <v>1978</v>
      </c>
      <c r="E2639" s="1407" t="s">
        <v>1916</v>
      </c>
      <c r="F2639" s="679">
        <v>2512</v>
      </c>
      <c r="G2639" s="1449" t="s">
        <v>5352</v>
      </c>
      <c r="H2639" s="1449"/>
      <c r="I2639" s="1165">
        <v>200</v>
      </c>
      <c r="J2639" s="1494" t="s">
        <v>1134</v>
      </c>
      <c r="K2639" s="1439"/>
      <c r="L2639" s="1921"/>
      <c r="M2639" s="1680">
        <v>3558</v>
      </c>
      <c r="N2639" s="177" t="s">
        <v>2556</v>
      </c>
    </row>
    <row r="2640" spans="1:14" ht="30.6">
      <c r="A2640" s="1669"/>
      <c r="B2640" s="700" t="s">
        <v>772</v>
      </c>
      <c r="C2640" s="663" t="s">
        <v>320</v>
      </c>
      <c r="D2640" s="678" t="s">
        <v>1978</v>
      </c>
      <c r="E2640" s="1407" t="s">
        <v>1916</v>
      </c>
      <c r="F2640" s="679">
        <v>2512</v>
      </c>
      <c r="G2640" s="1687" t="s">
        <v>3480</v>
      </c>
      <c r="H2640" s="1687"/>
      <c r="I2640" s="1672">
        <v>3500</v>
      </c>
      <c r="J2640" s="1673"/>
      <c r="K2640" s="1688"/>
      <c r="L2640" s="1922"/>
      <c r="M2640" s="1776"/>
      <c r="N2640" s="125"/>
    </row>
    <row r="2641" spans="1:32" s="14" customFormat="1" ht="20.399999999999999">
      <c r="A2641" s="929"/>
      <c r="B2641" s="3305" t="s">
        <v>774</v>
      </c>
      <c r="C2641" s="929" t="s">
        <v>322</v>
      </c>
      <c r="D2641" s="719" t="s">
        <v>1978</v>
      </c>
      <c r="E2641" s="1418" t="s">
        <v>1916</v>
      </c>
      <c r="F2641" s="930">
        <v>5238</v>
      </c>
      <c r="G2641" s="931" t="s">
        <v>1145</v>
      </c>
      <c r="H2641" s="706">
        <v>0</v>
      </c>
      <c r="I2641" s="801"/>
      <c r="J2641" s="1494" t="s">
        <v>1134</v>
      </c>
      <c r="K2641" s="802"/>
      <c r="L2641" s="687">
        <v>0</v>
      </c>
      <c r="M2641" s="803"/>
      <c r="N2641" s="359" t="s">
        <v>3866</v>
      </c>
      <c r="O2641" s="125"/>
      <c r="P2641" s="125"/>
      <c r="Q2641" s="125"/>
      <c r="R2641" s="125"/>
      <c r="S2641" s="125"/>
      <c r="T2641" s="125"/>
      <c r="U2641" s="125"/>
      <c r="V2641" s="125"/>
      <c r="W2641" s="125"/>
      <c r="X2641" s="125"/>
      <c r="Y2641" s="125"/>
      <c r="Z2641" s="125"/>
      <c r="AA2641" s="125"/>
      <c r="AB2641" s="125"/>
      <c r="AC2641" s="125"/>
      <c r="AD2641" s="125"/>
      <c r="AE2641" s="125"/>
      <c r="AF2641" s="125"/>
    </row>
    <row r="2642" spans="1:32" s="14" customFormat="1" ht="30.6">
      <c r="A2642" s="663"/>
      <c r="B2642" s="700" t="s">
        <v>774</v>
      </c>
      <c r="C2642" s="663" t="s">
        <v>322</v>
      </c>
      <c r="D2642" s="678" t="s">
        <v>1978</v>
      </c>
      <c r="E2642" s="1407" t="s">
        <v>1916</v>
      </c>
      <c r="F2642" s="679">
        <v>5238</v>
      </c>
      <c r="G2642" s="928" t="s">
        <v>1507</v>
      </c>
      <c r="H2642" s="922"/>
      <c r="I2642" s="701"/>
      <c r="J2642" s="1494" t="s">
        <v>1134</v>
      </c>
      <c r="K2642" s="792"/>
      <c r="L2642" s="914"/>
      <c r="M2642" s="914"/>
      <c r="N2642" s="177"/>
      <c r="O2642" s="125"/>
      <c r="P2642" s="125"/>
      <c r="Q2642" s="125"/>
      <c r="R2642" s="125"/>
      <c r="S2642" s="125"/>
      <c r="T2642" s="125"/>
      <c r="U2642" s="125"/>
      <c r="V2642" s="125"/>
      <c r="W2642" s="125"/>
      <c r="X2642" s="125"/>
      <c r="Y2642" s="125"/>
      <c r="Z2642" s="125"/>
      <c r="AA2642" s="125"/>
      <c r="AB2642" s="125"/>
      <c r="AC2642" s="125"/>
      <c r="AD2642" s="125"/>
      <c r="AE2642" s="125"/>
      <c r="AF2642" s="125"/>
    </row>
    <row r="2643" spans="1:32" s="14" customFormat="1" ht="20.399999999999999">
      <c r="A2643" s="663"/>
      <c r="B2643" s="700" t="s">
        <v>774</v>
      </c>
      <c r="C2643" s="663" t="s">
        <v>322</v>
      </c>
      <c r="D2643" s="678" t="s">
        <v>1978</v>
      </c>
      <c r="E2643" s="1407" t="s">
        <v>1916</v>
      </c>
      <c r="F2643" s="679">
        <v>5238</v>
      </c>
      <c r="G2643" s="928" t="s">
        <v>1870</v>
      </c>
      <c r="H2643" s="922"/>
      <c r="I2643" s="701"/>
      <c r="J2643" s="1494" t="s">
        <v>1134</v>
      </c>
      <c r="K2643" s="792"/>
      <c r="L2643" s="914"/>
      <c r="M2643" s="914"/>
      <c r="N2643" s="125" t="s">
        <v>3867</v>
      </c>
      <c r="O2643" s="125"/>
      <c r="P2643" s="125"/>
      <c r="Q2643" s="125"/>
      <c r="R2643" s="125"/>
      <c r="S2643" s="125"/>
      <c r="T2643" s="125"/>
      <c r="U2643" s="125"/>
      <c r="V2643" s="125"/>
      <c r="W2643" s="125"/>
      <c r="X2643" s="125"/>
      <c r="Y2643" s="125"/>
      <c r="Z2643" s="125"/>
      <c r="AA2643" s="125"/>
      <c r="AB2643" s="125"/>
      <c r="AC2643" s="125"/>
      <c r="AD2643" s="125"/>
      <c r="AE2643" s="125"/>
      <c r="AF2643" s="125"/>
    </row>
    <row r="2644" spans="1:32" s="14" customFormat="1" ht="20.399999999999999">
      <c r="A2644" s="929"/>
      <c r="B2644" s="3305" t="s">
        <v>774</v>
      </c>
      <c r="C2644" s="929" t="s">
        <v>322</v>
      </c>
      <c r="D2644" s="719" t="s">
        <v>1978</v>
      </c>
      <c r="E2644" s="1418" t="s">
        <v>1916</v>
      </c>
      <c r="F2644" s="930">
        <v>5239</v>
      </c>
      <c r="G2644" s="931" t="s">
        <v>1145</v>
      </c>
      <c r="H2644" s="706">
        <v>1585</v>
      </c>
      <c r="I2644" s="801"/>
      <c r="J2644" s="1494">
        <v>1585.1</v>
      </c>
      <c r="K2644" s="802"/>
      <c r="L2644" s="1661">
        <v>4890</v>
      </c>
      <c r="M2644" s="1682"/>
      <c r="N2644" s="1223"/>
      <c r="O2644" s="125"/>
      <c r="P2644" s="125"/>
      <c r="Q2644" s="125"/>
      <c r="R2644" s="125"/>
      <c r="S2644" s="125"/>
      <c r="T2644" s="125"/>
      <c r="U2644" s="125"/>
      <c r="V2644" s="125"/>
      <c r="W2644" s="125"/>
      <c r="X2644" s="125"/>
      <c r="Y2644" s="125"/>
      <c r="Z2644" s="125"/>
      <c r="AA2644" s="125"/>
      <c r="AB2644" s="125"/>
      <c r="AC2644" s="125"/>
      <c r="AD2644" s="125"/>
      <c r="AE2644" s="125"/>
      <c r="AF2644" s="125"/>
    </row>
    <row r="2645" spans="1:32" s="14" customFormat="1" ht="20.399999999999999">
      <c r="A2645" s="663"/>
      <c r="B2645" s="700" t="s">
        <v>774</v>
      </c>
      <c r="C2645" s="663" t="s">
        <v>322</v>
      </c>
      <c r="D2645" s="678" t="s">
        <v>1978</v>
      </c>
      <c r="E2645" s="1407" t="s">
        <v>1916</v>
      </c>
      <c r="F2645" s="679">
        <v>5239</v>
      </c>
      <c r="G2645" s="1923" t="s">
        <v>3846</v>
      </c>
      <c r="H2645" s="922"/>
      <c r="I2645" s="701"/>
      <c r="J2645" s="1494"/>
      <c r="K2645" s="792"/>
      <c r="L2645" s="1908"/>
      <c r="M2645" s="1662">
        <v>0</v>
      </c>
      <c r="N2645" s="1223"/>
      <c r="O2645" s="125"/>
      <c r="P2645" s="125"/>
      <c r="Q2645" s="125"/>
      <c r="R2645" s="125"/>
      <c r="S2645" s="125"/>
      <c r="T2645" s="125"/>
      <c r="U2645" s="125"/>
      <c r="V2645" s="125"/>
      <c r="W2645" s="125"/>
      <c r="X2645" s="125"/>
      <c r="Y2645" s="125"/>
      <c r="Z2645" s="125"/>
      <c r="AA2645" s="125"/>
      <c r="AB2645" s="125"/>
      <c r="AC2645" s="125"/>
      <c r="AD2645" s="125"/>
      <c r="AE2645" s="125"/>
      <c r="AF2645" s="125"/>
    </row>
    <row r="2646" spans="1:32" s="14" customFormat="1">
      <c r="A2646" s="663"/>
      <c r="B2646" s="700" t="s">
        <v>774</v>
      </c>
      <c r="C2646" s="663" t="s">
        <v>322</v>
      </c>
      <c r="D2646" s="678" t="s">
        <v>1978</v>
      </c>
      <c r="E2646" s="1407" t="s">
        <v>1916</v>
      </c>
      <c r="F2646" s="679">
        <v>5239</v>
      </c>
      <c r="G2646" s="1923" t="s">
        <v>3847</v>
      </c>
      <c r="H2646" s="922"/>
      <c r="I2646" s="701"/>
      <c r="J2646" s="1494"/>
      <c r="K2646" s="792"/>
      <c r="L2646" s="1908"/>
      <c r="M2646" s="1662">
        <v>4890</v>
      </c>
      <c r="N2646" s="1223"/>
      <c r="O2646" s="125"/>
      <c r="P2646" s="125"/>
      <c r="Q2646" s="125"/>
      <c r="R2646" s="125"/>
      <c r="S2646" s="125"/>
      <c r="T2646" s="125"/>
      <c r="U2646" s="125"/>
      <c r="V2646" s="125"/>
      <c r="W2646" s="125"/>
      <c r="X2646" s="125"/>
      <c r="Y2646" s="125"/>
      <c r="Z2646" s="125"/>
      <c r="AA2646" s="125"/>
      <c r="AB2646" s="125"/>
      <c r="AC2646" s="125"/>
      <c r="AD2646" s="125"/>
      <c r="AE2646" s="125"/>
      <c r="AF2646" s="125"/>
    </row>
    <row r="2647" spans="1:32" s="14" customFormat="1">
      <c r="A2647" s="663"/>
      <c r="B2647" s="700" t="s">
        <v>774</v>
      </c>
      <c r="C2647" s="663" t="s">
        <v>322</v>
      </c>
      <c r="D2647" s="678" t="s">
        <v>1978</v>
      </c>
      <c r="E2647" s="1407" t="s">
        <v>1916</v>
      </c>
      <c r="F2647" s="679">
        <v>5239</v>
      </c>
      <c r="G2647" s="928" t="s">
        <v>2192</v>
      </c>
      <c r="H2647" s="922"/>
      <c r="I2647" s="701">
        <v>1800</v>
      </c>
      <c r="J2647" s="1494" t="s">
        <v>1134</v>
      </c>
      <c r="K2647" s="792"/>
      <c r="L2647" s="1908"/>
      <c r="M2647" s="1662"/>
      <c r="N2647" s="1223"/>
      <c r="O2647" s="125"/>
      <c r="P2647" s="125"/>
      <c r="Q2647" s="125"/>
      <c r="R2647" s="125"/>
      <c r="S2647" s="125"/>
      <c r="T2647" s="125"/>
      <c r="U2647" s="125"/>
      <c r="V2647" s="125"/>
      <c r="W2647" s="125"/>
      <c r="X2647" s="125"/>
      <c r="Y2647" s="125"/>
      <c r="Z2647" s="125"/>
      <c r="AA2647" s="125"/>
      <c r="AB2647" s="125"/>
      <c r="AC2647" s="125"/>
      <c r="AD2647" s="125"/>
      <c r="AE2647" s="125"/>
      <c r="AF2647" s="125"/>
    </row>
    <row r="2648" spans="1:32" s="14" customFormat="1">
      <c r="A2648" s="663"/>
      <c r="B2648" s="700" t="s">
        <v>774</v>
      </c>
      <c r="C2648" s="663" t="s">
        <v>322</v>
      </c>
      <c r="D2648" s="678" t="s">
        <v>1978</v>
      </c>
      <c r="E2648" s="1407" t="s">
        <v>1916</v>
      </c>
      <c r="F2648" s="679">
        <v>5239</v>
      </c>
      <c r="G2648" s="928" t="s">
        <v>2193</v>
      </c>
      <c r="H2648" s="922"/>
      <c r="I2648" s="701">
        <v>1000</v>
      </c>
      <c r="J2648" s="1494" t="s">
        <v>1134</v>
      </c>
      <c r="K2648" s="792"/>
      <c r="L2648" s="1908"/>
      <c r="M2648" s="1662"/>
      <c r="N2648" s="1223"/>
      <c r="O2648" s="125"/>
      <c r="P2648" s="125"/>
      <c r="Q2648" s="125"/>
      <c r="R2648" s="125"/>
      <c r="S2648" s="125"/>
      <c r="T2648" s="125"/>
      <c r="U2648" s="125"/>
      <c r="V2648" s="125"/>
      <c r="W2648" s="125"/>
      <c r="X2648" s="125"/>
      <c r="Y2648" s="125"/>
      <c r="Z2648" s="125"/>
      <c r="AA2648" s="125"/>
      <c r="AB2648" s="125"/>
      <c r="AC2648" s="125"/>
      <c r="AD2648" s="125"/>
      <c r="AE2648" s="125"/>
    </row>
    <row r="2649" spans="1:32" s="14" customFormat="1" ht="20.399999999999999">
      <c r="A2649" s="603"/>
      <c r="B2649" s="700" t="s">
        <v>774</v>
      </c>
      <c r="C2649" s="663" t="s">
        <v>322</v>
      </c>
      <c r="D2649" s="678" t="s">
        <v>1978</v>
      </c>
      <c r="E2649" s="1407" t="s">
        <v>1916</v>
      </c>
      <c r="F2649" s="679">
        <v>5239</v>
      </c>
      <c r="G2649" s="1449" t="s">
        <v>3168</v>
      </c>
      <c r="H2649" s="1450"/>
      <c r="I2649" s="1165">
        <v>-319</v>
      </c>
      <c r="J2649" s="1494" t="s">
        <v>1134</v>
      </c>
      <c r="K2649" s="1439"/>
      <c r="L2649" s="1921"/>
      <c r="M2649" s="1680"/>
      <c r="N2649" s="1223"/>
      <c r="O2649" s="125"/>
      <c r="P2649" s="125"/>
      <c r="Q2649" s="125"/>
      <c r="R2649" s="125"/>
      <c r="S2649" s="125"/>
      <c r="T2649" s="125"/>
      <c r="U2649" s="125"/>
      <c r="V2649" s="125"/>
      <c r="W2649" s="125"/>
      <c r="X2649" s="125"/>
      <c r="Y2649" s="125"/>
      <c r="Z2649" s="125"/>
      <c r="AA2649" s="125"/>
      <c r="AB2649" s="125"/>
      <c r="AC2649" s="125"/>
      <c r="AD2649" s="125"/>
      <c r="AE2649" s="125"/>
      <c r="AF2649" s="125"/>
    </row>
    <row r="2650" spans="1:32" s="14" customFormat="1" ht="20.399999999999999">
      <c r="A2650" s="603"/>
      <c r="B2650" s="700" t="s">
        <v>774</v>
      </c>
      <c r="C2650" s="663" t="s">
        <v>322</v>
      </c>
      <c r="D2650" s="678" t="s">
        <v>1978</v>
      </c>
      <c r="E2650" s="1407" t="s">
        <v>1916</v>
      </c>
      <c r="F2650" s="679">
        <v>5239</v>
      </c>
      <c r="G2650" s="1449" t="s">
        <v>3273</v>
      </c>
      <c r="H2650" s="1450"/>
      <c r="I2650" s="1165">
        <v>-896</v>
      </c>
      <c r="J2650" s="1494" t="s">
        <v>1134</v>
      </c>
      <c r="K2650" s="1439"/>
      <c r="L2650" s="1921"/>
      <c r="M2650" s="1680"/>
      <c r="N2650" s="177"/>
      <c r="O2650" s="125"/>
      <c r="P2650" s="125"/>
      <c r="Q2650" s="125"/>
      <c r="R2650" s="125"/>
      <c r="S2650" s="125"/>
      <c r="T2650" s="125"/>
      <c r="U2650" s="125"/>
      <c r="V2650" s="125"/>
      <c r="W2650" s="125"/>
      <c r="X2650" s="125"/>
      <c r="Y2650" s="125"/>
      <c r="Z2650" s="125"/>
      <c r="AA2650" s="125"/>
      <c r="AB2650" s="125"/>
      <c r="AC2650" s="125"/>
      <c r="AD2650" s="125"/>
    </row>
    <row r="2651" spans="1:32" s="14" customFormat="1" ht="20.399999999999999">
      <c r="A2651" s="929"/>
      <c r="B2651" s="3152" t="s">
        <v>773</v>
      </c>
      <c r="C2651" s="929" t="s">
        <v>322</v>
      </c>
      <c r="D2651" s="719" t="s">
        <v>1978</v>
      </c>
      <c r="E2651" s="1418" t="s">
        <v>1916</v>
      </c>
      <c r="F2651" s="930">
        <v>5239</v>
      </c>
      <c r="G2651" s="931" t="s">
        <v>1145</v>
      </c>
      <c r="H2651" s="706">
        <v>0</v>
      </c>
      <c r="I2651" s="801"/>
      <c r="J2651" s="1494" t="s">
        <v>1134</v>
      </c>
      <c r="K2651" s="802"/>
      <c r="L2651" s="1661">
        <v>0</v>
      </c>
      <c r="M2651" s="1682"/>
      <c r="N2651" s="1223" t="s">
        <v>3856</v>
      </c>
      <c r="O2651" s="125"/>
      <c r="P2651" s="125"/>
      <c r="Q2651" s="125"/>
      <c r="R2651" s="125"/>
      <c r="S2651" s="125"/>
      <c r="T2651" s="125"/>
      <c r="U2651" s="125"/>
      <c r="V2651" s="125"/>
      <c r="W2651" s="125"/>
      <c r="X2651" s="125"/>
      <c r="Y2651" s="125"/>
      <c r="Z2651" s="125"/>
      <c r="AA2651" s="125"/>
      <c r="AB2651" s="125"/>
      <c r="AC2651" s="125"/>
      <c r="AD2651" s="125"/>
      <c r="AE2651" s="125"/>
      <c r="AF2651" s="125"/>
    </row>
    <row r="2652" spans="1:32" s="14" customFormat="1" ht="20.399999999999999" customHeight="1">
      <c r="A2652" s="668"/>
      <c r="B2652" s="3144" t="s">
        <v>773</v>
      </c>
      <c r="C2652" s="668" t="s">
        <v>322</v>
      </c>
      <c r="D2652" s="669" t="s">
        <v>1978</v>
      </c>
      <c r="E2652" s="1411" t="s">
        <v>1916</v>
      </c>
      <c r="F2652" s="671">
        <v>5239</v>
      </c>
      <c r="G2652" s="932" t="s">
        <v>1506</v>
      </c>
      <c r="H2652" s="926"/>
      <c r="I2652" s="705"/>
      <c r="J2652" s="1494" t="s">
        <v>1134</v>
      </c>
      <c r="K2652" s="705"/>
      <c r="L2652" s="1925"/>
      <c r="M2652" s="1926"/>
      <c r="N2652" s="177"/>
      <c r="O2652" s="125"/>
      <c r="P2652" s="125"/>
      <c r="Q2652" s="125"/>
      <c r="R2652" s="125"/>
      <c r="S2652" s="125"/>
      <c r="T2652" s="125"/>
      <c r="U2652" s="125"/>
      <c r="V2652" s="125"/>
      <c r="W2652" s="125"/>
      <c r="X2652" s="125"/>
      <c r="Y2652" s="125"/>
      <c r="Z2652" s="125"/>
      <c r="AA2652" s="125"/>
      <c r="AB2652" s="125"/>
      <c r="AC2652" s="125"/>
    </row>
    <row r="2653" spans="1:32" s="14" customFormat="1" ht="20.399999999999999">
      <c r="A2653" s="668"/>
      <c r="B2653" s="3144" t="s">
        <v>773</v>
      </c>
      <c r="C2653" s="668" t="s">
        <v>322</v>
      </c>
      <c r="D2653" s="669" t="s">
        <v>1978</v>
      </c>
      <c r="E2653" s="1411" t="s">
        <v>1916</v>
      </c>
      <c r="F2653" s="671">
        <v>5239</v>
      </c>
      <c r="G2653" s="932" t="s">
        <v>1945</v>
      </c>
      <c r="H2653" s="926"/>
      <c r="I2653" s="705"/>
      <c r="J2653" s="1494" t="s">
        <v>1134</v>
      </c>
      <c r="K2653" s="705"/>
      <c r="L2653" s="1925"/>
      <c r="M2653" s="1926"/>
      <c r="N2653" s="177"/>
      <c r="O2653" s="125"/>
      <c r="P2653" s="125"/>
      <c r="Q2653" s="125"/>
      <c r="R2653" s="125"/>
      <c r="S2653" s="125"/>
      <c r="T2653" s="125"/>
      <c r="U2653" s="125"/>
      <c r="V2653" s="125"/>
      <c r="W2653" s="125"/>
      <c r="X2653" s="125"/>
      <c r="Y2653" s="125"/>
      <c r="Z2653" s="125"/>
      <c r="AA2653" s="125"/>
      <c r="AB2653" s="125"/>
      <c r="AC2653" s="125"/>
      <c r="AD2653" s="125"/>
      <c r="AE2653" s="125"/>
      <c r="AF2653" s="125"/>
    </row>
    <row r="2654" spans="1:32" s="14" customFormat="1">
      <c r="A2654" s="683"/>
      <c r="B2654" s="720" t="s">
        <v>436</v>
      </c>
      <c r="C2654" s="683" t="s">
        <v>427</v>
      </c>
      <c r="D2654" s="719" t="s">
        <v>1978</v>
      </c>
      <c r="E2654" s="742" t="s">
        <v>1917</v>
      </c>
      <c r="F2654" s="824">
        <v>1119</v>
      </c>
      <c r="G2654" s="800" t="s">
        <v>109</v>
      </c>
      <c r="H2654" s="706">
        <v>99540.72</v>
      </c>
      <c r="I2654" s="801"/>
      <c r="J2654" s="1654">
        <v>67324</v>
      </c>
      <c r="K2654" s="802"/>
      <c r="L2654" s="706">
        <v>105948</v>
      </c>
      <c r="M2654" s="801"/>
      <c r="N2654" s="177" t="s">
        <v>3857</v>
      </c>
      <c r="O2654" s="125"/>
      <c r="P2654" s="125"/>
      <c r="Q2654" s="125"/>
      <c r="R2654" s="125"/>
      <c r="S2654" s="125"/>
      <c r="T2654" s="125"/>
      <c r="U2654" s="125"/>
      <c r="V2654" s="125"/>
      <c r="W2654" s="125"/>
      <c r="X2654" s="125"/>
      <c r="Y2654" s="125"/>
      <c r="Z2654" s="125"/>
      <c r="AA2654" s="125"/>
      <c r="AB2654" s="125"/>
      <c r="AC2654" s="125"/>
    </row>
    <row r="2655" spans="1:32" s="14" customFormat="1">
      <c r="A2655" s="663"/>
      <c r="B2655" s="700" t="s">
        <v>436</v>
      </c>
      <c r="C2655" s="663" t="s">
        <v>427</v>
      </c>
      <c r="D2655" s="678" t="s">
        <v>1978</v>
      </c>
      <c r="E2655" s="700" t="s">
        <v>1917</v>
      </c>
      <c r="F2655" s="795">
        <v>1119</v>
      </c>
      <c r="G2655" s="1889" t="s">
        <v>436</v>
      </c>
      <c r="H2655" s="701"/>
      <c r="I2655" s="701">
        <v>99540.72</v>
      </c>
      <c r="J2655" s="1654" t="s">
        <v>1134</v>
      </c>
      <c r="K2655" s="802"/>
      <c r="L2655" s="701"/>
      <c r="M2655" s="701">
        <v>105948</v>
      </c>
      <c r="N2655" s="655"/>
      <c r="O2655" s="125"/>
      <c r="P2655" s="125"/>
      <c r="Q2655" s="125"/>
      <c r="R2655" s="125"/>
      <c r="S2655" s="125"/>
      <c r="T2655" s="125"/>
      <c r="U2655" s="125"/>
      <c r="V2655" s="125"/>
      <c r="W2655" s="125"/>
      <c r="X2655" s="125"/>
      <c r="Y2655" s="125"/>
      <c r="Z2655" s="125"/>
      <c r="AA2655" s="125"/>
      <c r="AB2655" s="125"/>
      <c r="AC2655" s="125"/>
      <c r="AD2655" s="125"/>
      <c r="AE2655" s="125"/>
      <c r="AF2655" s="125"/>
    </row>
    <row r="2656" spans="1:32" s="14" customFormat="1">
      <c r="A2656" s="663"/>
      <c r="B2656" s="700" t="s">
        <v>436</v>
      </c>
      <c r="C2656" s="663" t="s">
        <v>427</v>
      </c>
      <c r="D2656" s="678" t="s">
        <v>1978</v>
      </c>
      <c r="E2656" s="700" t="s">
        <v>1917</v>
      </c>
      <c r="F2656" s="795">
        <v>1119</v>
      </c>
      <c r="G2656" s="1889" t="s">
        <v>721</v>
      </c>
      <c r="H2656" s="701"/>
      <c r="I2656" s="701"/>
      <c r="J2656" s="1654" t="s">
        <v>1134</v>
      </c>
      <c r="K2656" s="802"/>
      <c r="L2656" s="701"/>
      <c r="M2656" s="701"/>
      <c r="N2656" s="655"/>
      <c r="O2656" s="125"/>
      <c r="P2656" s="125"/>
      <c r="Q2656" s="125"/>
      <c r="R2656" s="125"/>
      <c r="S2656" s="125"/>
      <c r="T2656" s="125"/>
      <c r="U2656" s="125"/>
      <c r="V2656" s="125"/>
      <c r="W2656" s="125"/>
      <c r="X2656" s="125"/>
      <c r="Y2656" s="125"/>
      <c r="Z2656" s="125"/>
      <c r="AA2656" s="125"/>
      <c r="AB2656" s="125"/>
      <c r="AC2656" s="125"/>
      <c r="AD2656" s="125"/>
      <c r="AE2656" s="125"/>
      <c r="AF2656" s="125"/>
    </row>
    <row r="2657" spans="1:32" s="14" customFormat="1" ht="20.399999999999999">
      <c r="A2657" s="683"/>
      <c r="B2657" s="720" t="s">
        <v>436</v>
      </c>
      <c r="C2657" s="683" t="s">
        <v>427</v>
      </c>
      <c r="D2657" s="719" t="s">
        <v>1978</v>
      </c>
      <c r="E2657" s="720" t="s">
        <v>1917</v>
      </c>
      <c r="F2657" s="824">
        <v>1142</v>
      </c>
      <c r="G2657" s="800" t="s">
        <v>110</v>
      </c>
      <c r="H2657" s="706">
        <v>500</v>
      </c>
      <c r="I2657" s="801"/>
      <c r="J2657" s="1654">
        <v>242.42</v>
      </c>
      <c r="K2657" s="802"/>
      <c r="L2657" s="706">
        <v>500</v>
      </c>
      <c r="M2657" s="801"/>
      <c r="N2657" s="177" t="s">
        <v>3857</v>
      </c>
      <c r="O2657" s="125"/>
      <c r="P2657" s="125"/>
      <c r="Q2657" s="125"/>
      <c r="R2657" s="125"/>
      <c r="S2657" s="125"/>
      <c r="T2657" s="125"/>
      <c r="U2657" s="125"/>
      <c r="V2657" s="125"/>
      <c r="W2657" s="125"/>
      <c r="X2657" s="125"/>
      <c r="Y2657" s="125"/>
      <c r="Z2657" s="125"/>
      <c r="AA2657" s="125"/>
      <c r="AB2657" s="125"/>
      <c r="AC2657" s="125"/>
      <c r="AD2657" s="125"/>
      <c r="AE2657" s="125"/>
      <c r="AF2657" s="125"/>
    </row>
    <row r="2658" spans="1:32" s="14" customFormat="1" ht="20.399999999999999">
      <c r="A2658" s="663"/>
      <c r="B2658" s="700" t="s">
        <v>436</v>
      </c>
      <c r="C2658" s="663" t="s">
        <v>427</v>
      </c>
      <c r="D2658" s="678" t="s">
        <v>1978</v>
      </c>
      <c r="E2658" s="700" t="s">
        <v>1917</v>
      </c>
      <c r="F2658" s="795">
        <v>1142</v>
      </c>
      <c r="G2658" s="1889" t="s">
        <v>2000</v>
      </c>
      <c r="H2658" s="701"/>
      <c r="I2658" s="701">
        <v>500</v>
      </c>
      <c r="J2658" s="1654" t="s">
        <v>1134</v>
      </c>
      <c r="K2658" s="802"/>
      <c r="L2658" s="701"/>
      <c r="M2658" s="701">
        <v>500</v>
      </c>
      <c r="N2658" s="655"/>
      <c r="O2658" s="125"/>
      <c r="P2658" s="125"/>
      <c r="Q2658" s="125"/>
      <c r="R2658" s="125"/>
      <c r="S2658" s="125"/>
      <c r="T2658" s="125"/>
      <c r="U2658" s="125"/>
      <c r="V2658" s="125"/>
      <c r="W2658" s="125"/>
      <c r="X2658" s="125"/>
      <c r="Y2658" s="125"/>
      <c r="Z2658" s="125"/>
      <c r="AA2658" s="125"/>
      <c r="AB2658" s="125"/>
      <c r="AC2658" s="125"/>
      <c r="AD2658" s="125"/>
      <c r="AE2658" s="125"/>
      <c r="AF2658" s="125"/>
    </row>
    <row r="2659" spans="1:32" s="14" customFormat="1">
      <c r="A2659" s="683"/>
      <c r="B2659" s="720" t="s">
        <v>436</v>
      </c>
      <c r="C2659" s="683" t="s">
        <v>427</v>
      </c>
      <c r="D2659" s="719" t="s">
        <v>1978</v>
      </c>
      <c r="E2659" s="720" t="s">
        <v>1917</v>
      </c>
      <c r="F2659" s="824">
        <v>1147</v>
      </c>
      <c r="G2659" s="800" t="s">
        <v>111</v>
      </c>
      <c r="H2659" s="706">
        <v>4465.5540000000001</v>
      </c>
      <c r="I2659" s="801"/>
      <c r="J2659" s="1654">
        <v>1523</v>
      </c>
      <c r="K2659" s="802"/>
      <c r="L2659" s="706">
        <v>5004.6499999999996</v>
      </c>
      <c r="M2659" s="801"/>
      <c r="N2659" s="125"/>
      <c r="O2659" s="125"/>
      <c r="P2659" s="125"/>
      <c r="Q2659" s="125"/>
      <c r="R2659" s="125"/>
      <c r="S2659" s="125"/>
      <c r="T2659" s="125"/>
      <c r="U2659" s="125"/>
      <c r="V2659" s="125"/>
      <c r="W2659" s="125"/>
      <c r="X2659" s="125"/>
      <c r="Y2659" s="125"/>
      <c r="Z2659" s="125"/>
      <c r="AA2659" s="125"/>
      <c r="AB2659" s="125"/>
      <c r="AC2659" s="125"/>
      <c r="AD2659" s="125"/>
      <c r="AE2659" s="125"/>
    </row>
    <row r="2660" spans="1:32" s="14" customFormat="1">
      <c r="A2660" s="663"/>
      <c r="B2660" s="700" t="s">
        <v>436</v>
      </c>
      <c r="C2660" s="663" t="s">
        <v>427</v>
      </c>
      <c r="D2660" s="678" t="s">
        <v>1978</v>
      </c>
      <c r="E2660" s="700" t="s">
        <v>1917</v>
      </c>
      <c r="F2660" s="795">
        <v>1147</v>
      </c>
      <c r="G2660" s="1889" t="s">
        <v>436</v>
      </c>
      <c r="H2660" s="701"/>
      <c r="I2660" s="701">
        <v>7465.5540000000001</v>
      </c>
      <c r="J2660" s="1654" t="s">
        <v>1134</v>
      </c>
      <c r="K2660" s="802"/>
      <c r="L2660" s="701"/>
      <c r="M2660" s="701">
        <v>5004.6499999999996</v>
      </c>
      <c r="N2660" s="655"/>
      <c r="O2660" s="125"/>
      <c r="P2660" s="125"/>
      <c r="Q2660" s="125"/>
      <c r="R2660" s="125"/>
      <c r="S2660" s="125"/>
      <c r="T2660" s="125"/>
      <c r="U2660" s="125"/>
      <c r="V2660" s="125"/>
      <c r="W2660" s="125"/>
      <c r="X2660" s="125"/>
      <c r="Y2660" s="125"/>
      <c r="Z2660" s="125"/>
      <c r="AA2660" s="125"/>
      <c r="AB2660" s="125"/>
      <c r="AC2660" s="125"/>
      <c r="AD2660" s="125"/>
      <c r="AE2660" s="125"/>
      <c r="AF2660" s="125"/>
    </row>
    <row r="2661" spans="1:32" s="14" customFormat="1" ht="20.399999999999999" customHeight="1">
      <c r="A2661" s="663"/>
      <c r="B2661" s="700" t="s">
        <v>436</v>
      </c>
      <c r="C2661" s="663" t="s">
        <v>427</v>
      </c>
      <c r="D2661" s="678" t="s">
        <v>1978</v>
      </c>
      <c r="E2661" s="700" t="s">
        <v>1917</v>
      </c>
      <c r="F2661" s="795">
        <v>1147</v>
      </c>
      <c r="G2661" s="1889" t="s">
        <v>1019</v>
      </c>
      <c r="H2661" s="701"/>
      <c r="I2661" s="701">
        <v>-3000</v>
      </c>
      <c r="J2661" s="1654" t="s">
        <v>1134</v>
      </c>
      <c r="K2661" s="802"/>
      <c r="L2661" s="701"/>
      <c r="M2661" s="701"/>
      <c r="N2661" s="177" t="s">
        <v>2205</v>
      </c>
      <c r="O2661" s="125"/>
      <c r="P2661" s="125"/>
      <c r="Q2661" s="125"/>
      <c r="R2661" s="125"/>
      <c r="S2661" s="125"/>
      <c r="T2661" s="125"/>
      <c r="U2661" s="125"/>
      <c r="V2661" s="125"/>
      <c r="W2661" s="125"/>
      <c r="X2661" s="125"/>
      <c r="Y2661" s="125"/>
      <c r="Z2661" s="125"/>
      <c r="AA2661" s="125"/>
      <c r="AB2661" s="125"/>
      <c r="AC2661" s="125"/>
      <c r="AD2661" s="125"/>
      <c r="AE2661" s="125"/>
      <c r="AF2661" s="125"/>
    </row>
    <row r="2662" spans="1:32" s="14" customFormat="1">
      <c r="A2662" s="683"/>
      <c r="B2662" s="720" t="s">
        <v>436</v>
      </c>
      <c r="C2662" s="683" t="s">
        <v>427</v>
      </c>
      <c r="D2662" s="719" t="s">
        <v>1978</v>
      </c>
      <c r="E2662" s="720" t="s">
        <v>1917</v>
      </c>
      <c r="F2662" s="824">
        <v>1148</v>
      </c>
      <c r="G2662" s="800" t="s">
        <v>112</v>
      </c>
      <c r="H2662" s="706">
        <v>3000</v>
      </c>
      <c r="I2662" s="801"/>
      <c r="J2662" s="1654">
        <v>2998</v>
      </c>
      <c r="K2662" s="802"/>
      <c r="L2662" s="706">
        <v>2000</v>
      </c>
      <c r="M2662" s="801"/>
      <c r="N2662" s="177"/>
      <c r="O2662" s="125"/>
      <c r="P2662" s="125"/>
      <c r="Q2662" s="125"/>
      <c r="R2662" s="125"/>
      <c r="S2662" s="125"/>
      <c r="T2662" s="125"/>
      <c r="U2662" s="125"/>
      <c r="V2662" s="125"/>
      <c r="W2662" s="125"/>
      <c r="X2662" s="125"/>
      <c r="Y2662" s="125"/>
      <c r="Z2662" s="125"/>
      <c r="AA2662" s="125"/>
      <c r="AB2662" s="125"/>
      <c r="AC2662" s="125"/>
      <c r="AD2662" s="125"/>
      <c r="AE2662" s="125"/>
      <c r="AF2662" s="125"/>
    </row>
    <row r="2663" spans="1:32" s="14" customFormat="1" ht="20.399999999999999">
      <c r="A2663" s="663"/>
      <c r="B2663" s="700" t="s">
        <v>436</v>
      </c>
      <c r="C2663" s="663" t="s">
        <v>427</v>
      </c>
      <c r="D2663" s="678" t="s">
        <v>1978</v>
      </c>
      <c r="E2663" s="700" t="s">
        <v>1917</v>
      </c>
      <c r="F2663" s="795">
        <v>1148</v>
      </c>
      <c r="G2663" s="1889" t="s">
        <v>1019</v>
      </c>
      <c r="H2663" s="701"/>
      <c r="I2663" s="701">
        <v>3000</v>
      </c>
      <c r="J2663" s="1654" t="s">
        <v>1134</v>
      </c>
      <c r="K2663" s="802"/>
      <c r="L2663" s="701"/>
      <c r="M2663" s="701">
        <v>2000</v>
      </c>
      <c r="N2663" s="655" t="s">
        <v>3860</v>
      </c>
      <c r="O2663" s="125"/>
      <c r="P2663" s="125"/>
      <c r="Q2663" s="125"/>
      <c r="R2663" s="125"/>
      <c r="S2663" s="125"/>
      <c r="T2663" s="125"/>
      <c r="U2663" s="125"/>
      <c r="V2663" s="125"/>
      <c r="W2663" s="125"/>
      <c r="X2663" s="125"/>
      <c r="Y2663" s="125"/>
      <c r="Z2663" s="125"/>
      <c r="AA2663" s="125"/>
      <c r="AB2663" s="125"/>
      <c r="AC2663" s="125"/>
      <c r="AD2663" s="125"/>
      <c r="AE2663" s="125"/>
      <c r="AF2663" s="125"/>
    </row>
    <row r="2664" spans="1:32" s="14" customFormat="1" ht="20.399999999999999">
      <c r="A2664" s="683" t="s">
        <v>1231</v>
      </c>
      <c r="B2664" s="720" t="s">
        <v>772</v>
      </c>
      <c r="C2664" s="683" t="s">
        <v>322</v>
      </c>
      <c r="D2664" s="719" t="s">
        <v>1978</v>
      </c>
      <c r="E2664" s="1406" t="s">
        <v>1917</v>
      </c>
      <c r="F2664" s="685">
        <v>1150</v>
      </c>
      <c r="G2664" s="686" t="s">
        <v>401</v>
      </c>
      <c r="H2664" s="689">
        <v>2500</v>
      </c>
      <c r="I2664" s="799"/>
      <c r="J2664" s="1494">
        <v>0</v>
      </c>
      <c r="K2664" s="727"/>
      <c r="L2664" s="1661">
        <v>5000</v>
      </c>
      <c r="M2664" s="1682"/>
      <c r="N2664" s="125"/>
      <c r="O2664" s="125"/>
      <c r="P2664" s="125"/>
      <c r="Q2664" s="125"/>
      <c r="R2664" s="125"/>
      <c r="S2664" s="125"/>
      <c r="T2664" s="125"/>
      <c r="U2664" s="125"/>
      <c r="V2664" s="125"/>
      <c r="W2664" s="125"/>
      <c r="X2664" s="125"/>
      <c r="Y2664" s="125"/>
      <c r="Z2664" s="125"/>
      <c r="AA2664" s="125"/>
      <c r="AB2664" s="125"/>
      <c r="AC2664" s="125"/>
      <c r="AD2664" s="125"/>
      <c r="AE2664" s="125"/>
      <c r="AF2664" s="125"/>
    </row>
    <row r="2665" spans="1:32" s="14" customFormat="1">
      <c r="A2665" s="663" t="s">
        <v>1231</v>
      </c>
      <c r="B2665" s="700" t="s">
        <v>772</v>
      </c>
      <c r="C2665" s="663" t="s">
        <v>322</v>
      </c>
      <c r="D2665" s="678" t="s">
        <v>1978</v>
      </c>
      <c r="E2665" s="1407" t="s">
        <v>1917</v>
      </c>
      <c r="F2665" s="679">
        <v>1150</v>
      </c>
      <c r="G2665" s="935" t="s">
        <v>2202</v>
      </c>
      <c r="H2665" s="660"/>
      <c r="I2665" s="660">
        <v>1500</v>
      </c>
      <c r="J2665" s="1494" t="s">
        <v>1134</v>
      </c>
      <c r="K2665" s="727"/>
      <c r="L2665" s="1662"/>
      <c r="M2665" s="1662">
        <v>1500</v>
      </c>
      <c r="N2665" s="125"/>
      <c r="O2665" s="125"/>
      <c r="P2665" s="125"/>
      <c r="Q2665" s="125"/>
      <c r="R2665" s="125"/>
      <c r="S2665" s="125"/>
      <c r="T2665" s="125"/>
      <c r="U2665" s="125"/>
      <c r="V2665" s="125"/>
      <c r="W2665" s="125"/>
      <c r="X2665" s="125"/>
      <c r="Y2665" s="125"/>
      <c r="Z2665" s="125"/>
      <c r="AA2665" s="125"/>
      <c r="AB2665" s="125"/>
      <c r="AC2665" s="125"/>
      <c r="AD2665" s="125"/>
      <c r="AE2665" s="125"/>
      <c r="AF2665" s="125"/>
    </row>
    <row r="2666" spans="1:32" s="14" customFormat="1" ht="30.6">
      <c r="A2666" s="663" t="s">
        <v>1231</v>
      </c>
      <c r="B2666" s="700" t="s">
        <v>772</v>
      </c>
      <c r="C2666" s="663" t="s">
        <v>322</v>
      </c>
      <c r="D2666" s="678" t="s">
        <v>1978</v>
      </c>
      <c r="E2666" s="1407" t="s">
        <v>1917</v>
      </c>
      <c r="F2666" s="679">
        <v>1150</v>
      </c>
      <c r="G2666" s="935" t="s">
        <v>2203</v>
      </c>
      <c r="H2666" s="660"/>
      <c r="I2666" s="660">
        <v>3500</v>
      </c>
      <c r="J2666" s="1494" t="s">
        <v>1134</v>
      </c>
      <c r="K2666" s="727"/>
      <c r="L2666" s="1662"/>
      <c r="M2666" s="1662">
        <v>3500</v>
      </c>
      <c r="N2666" s="1223"/>
      <c r="O2666" s="125"/>
      <c r="P2666" s="125"/>
      <c r="Q2666" s="125"/>
      <c r="R2666" s="125"/>
      <c r="S2666" s="125"/>
      <c r="T2666" s="125"/>
      <c r="U2666" s="125"/>
      <c r="V2666" s="125"/>
      <c r="W2666" s="125"/>
      <c r="X2666" s="125"/>
      <c r="Y2666" s="125"/>
      <c r="Z2666" s="125"/>
      <c r="AA2666" s="125"/>
      <c r="AB2666" s="125"/>
      <c r="AC2666" s="125"/>
      <c r="AD2666" s="125"/>
      <c r="AE2666" s="125"/>
      <c r="AF2666" s="125"/>
    </row>
    <row r="2667" spans="1:32" s="14" customFormat="1" ht="30.6">
      <c r="A2667" s="663" t="s">
        <v>1231</v>
      </c>
      <c r="B2667" s="700" t="s">
        <v>772</v>
      </c>
      <c r="C2667" s="663" t="s">
        <v>322</v>
      </c>
      <c r="D2667" s="678" t="s">
        <v>1978</v>
      </c>
      <c r="E2667" s="1407" t="s">
        <v>1917</v>
      </c>
      <c r="F2667" s="679">
        <v>1150</v>
      </c>
      <c r="G2667" s="1648" t="s">
        <v>3448</v>
      </c>
      <c r="H2667" s="1549"/>
      <c r="I2667" s="1549">
        <v>-2500</v>
      </c>
      <c r="J2667" s="1550"/>
      <c r="K2667" s="1567"/>
      <c r="L2667" s="1709"/>
      <c r="M2667" s="1709"/>
      <c r="N2667" s="125"/>
      <c r="O2667" s="125"/>
      <c r="P2667" s="125"/>
      <c r="Q2667" s="125"/>
      <c r="R2667" s="125"/>
      <c r="S2667" s="125"/>
      <c r="T2667" s="125"/>
      <c r="U2667" s="125"/>
      <c r="V2667" s="125"/>
      <c r="W2667" s="125"/>
      <c r="X2667" s="125"/>
      <c r="Y2667" s="125"/>
      <c r="Z2667" s="125"/>
      <c r="AA2667" s="125"/>
      <c r="AB2667" s="125"/>
      <c r="AC2667" s="125"/>
      <c r="AD2667" s="125"/>
      <c r="AE2667" s="125"/>
      <c r="AF2667" s="125"/>
    </row>
    <row r="2668" spans="1:32" s="14" customFormat="1">
      <c r="A2668" s="683"/>
      <c r="B2668" s="720" t="s">
        <v>772</v>
      </c>
      <c r="C2668" s="683" t="s">
        <v>427</v>
      </c>
      <c r="D2668" s="719" t="s">
        <v>1978</v>
      </c>
      <c r="E2668" s="1406" t="s">
        <v>1917</v>
      </c>
      <c r="F2668" s="685">
        <v>1170</v>
      </c>
      <c r="G2668" s="686" t="s">
        <v>475</v>
      </c>
      <c r="H2668" s="689">
        <v>75</v>
      </c>
      <c r="I2668" s="799"/>
      <c r="J2668" s="1494">
        <v>60</v>
      </c>
      <c r="K2668" s="727"/>
      <c r="L2668" s="1661">
        <v>75</v>
      </c>
      <c r="M2668" s="1682"/>
      <c r="N2668" s="125"/>
      <c r="O2668" s="125"/>
      <c r="P2668" s="125"/>
      <c r="Q2668" s="125"/>
      <c r="R2668" s="125"/>
      <c r="S2668" s="125"/>
      <c r="T2668" s="125"/>
      <c r="U2668" s="125"/>
      <c r="V2668" s="125"/>
      <c r="W2668" s="125"/>
      <c r="X2668" s="125"/>
      <c r="Y2668" s="125"/>
      <c r="Z2668" s="125"/>
      <c r="AA2668" s="125"/>
      <c r="AB2668" s="125"/>
      <c r="AC2668" s="125"/>
      <c r="AD2668" s="125"/>
      <c r="AE2668" s="125"/>
      <c r="AF2668" s="125"/>
    </row>
    <row r="2669" spans="1:32" s="14" customFormat="1" ht="20.399999999999999">
      <c r="A2669" s="663"/>
      <c r="B2669" s="700" t="s">
        <v>772</v>
      </c>
      <c r="C2669" s="663" t="s">
        <v>427</v>
      </c>
      <c r="D2669" s="678" t="s">
        <v>1978</v>
      </c>
      <c r="E2669" s="1407" t="s">
        <v>1917</v>
      </c>
      <c r="F2669" s="679">
        <v>1170</v>
      </c>
      <c r="G2669" s="934" t="s">
        <v>833</v>
      </c>
      <c r="H2669" s="660"/>
      <c r="I2669" s="660">
        <v>75</v>
      </c>
      <c r="J2669" s="1494" t="s">
        <v>1134</v>
      </c>
      <c r="K2669" s="727"/>
      <c r="L2669" s="1662"/>
      <c r="M2669" s="1662">
        <v>75</v>
      </c>
      <c r="N2669" s="125"/>
      <c r="O2669" s="125"/>
      <c r="P2669" s="125"/>
      <c r="Q2669" s="125"/>
      <c r="R2669" s="125"/>
      <c r="S2669" s="125"/>
      <c r="T2669" s="125"/>
      <c r="U2669" s="125"/>
      <c r="V2669" s="125"/>
      <c r="W2669" s="125"/>
      <c r="X2669" s="125"/>
      <c r="Y2669" s="125"/>
      <c r="Z2669" s="125"/>
      <c r="AA2669" s="125"/>
      <c r="AB2669" s="125"/>
      <c r="AC2669" s="125"/>
      <c r="AD2669" s="125"/>
      <c r="AE2669" s="125"/>
      <c r="AF2669" s="125"/>
    </row>
    <row r="2670" spans="1:32" s="14" customFormat="1">
      <c r="A2670" s="683"/>
      <c r="B2670" s="720" t="s">
        <v>436</v>
      </c>
      <c r="C2670" s="683" t="s">
        <v>427</v>
      </c>
      <c r="D2670" s="719" t="s">
        <v>1978</v>
      </c>
      <c r="E2670" s="720" t="s">
        <v>1917</v>
      </c>
      <c r="F2670" s="824">
        <v>1210</v>
      </c>
      <c r="G2670" s="800" t="s">
        <v>113</v>
      </c>
      <c r="H2670" s="706">
        <v>23910.12324542</v>
      </c>
      <c r="I2670" s="801"/>
      <c r="J2670" s="1654">
        <v>18387</v>
      </c>
      <c r="K2670" s="802"/>
      <c r="L2670" s="706">
        <v>26414.617650749999</v>
      </c>
      <c r="M2670" s="801"/>
      <c r="N2670" s="125"/>
      <c r="O2670" s="125"/>
      <c r="P2670" s="125"/>
      <c r="Q2670" s="125"/>
      <c r="R2670" s="125"/>
      <c r="S2670" s="125"/>
      <c r="T2670" s="125"/>
      <c r="U2670" s="125"/>
      <c r="V2670" s="125"/>
      <c r="W2670" s="125"/>
      <c r="X2670" s="125"/>
      <c r="Y2670" s="125"/>
      <c r="Z2670" s="125"/>
      <c r="AA2670" s="125"/>
      <c r="AB2670" s="125"/>
      <c r="AC2670" s="125"/>
      <c r="AD2670" s="125"/>
      <c r="AE2670" s="125"/>
      <c r="AF2670" s="125"/>
    </row>
    <row r="2671" spans="1:32" s="14" customFormat="1">
      <c r="A2671" s="663"/>
      <c r="B2671" s="700" t="s">
        <v>436</v>
      </c>
      <c r="C2671" s="663" t="s">
        <v>427</v>
      </c>
      <c r="D2671" s="678" t="s">
        <v>1978</v>
      </c>
      <c r="E2671" s="700" t="s">
        <v>1917</v>
      </c>
      <c r="F2671" s="795">
        <v>1210</v>
      </c>
      <c r="G2671" s="1889" t="s">
        <v>436</v>
      </c>
      <c r="H2671" s="701"/>
      <c r="I2671" s="701">
        <v>24910.12324542</v>
      </c>
      <c r="J2671" s="1654" t="s">
        <v>1134</v>
      </c>
      <c r="K2671" s="802"/>
      <c r="L2671" s="701"/>
      <c r="M2671" s="701">
        <v>26414.617650749999</v>
      </c>
      <c r="N2671" s="125"/>
      <c r="O2671" s="125"/>
      <c r="P2671" s="125"/>
      <c r="Q2671" s="125"/>
      <c r="R2671" s="125"/>
      <c r="S2671" s="125"/>
      <c r="T2671" s="125"/>
      <c r="U2671" s="125"/>
      <c r="V2671" s="125"/>
      <c r="W2671" s="125"/>
      <c r="X2671" s="125"/>
      <c r="Y2671" s="125"/>
      <c r="Z2671" s="125"/>
      <c r="AA2671" s="125"/>
      <c r="AB2671" s="125"/>
      <c r="AC2671" s="125"/>
      <c r="AD2671" s="125"/>
      <c r="AE2671" s="125"/>
      <c r="AF2671" s="125"/>
    </row>
    <row r="2672" spans="1:32" s="14" customFormat="1" ht="20.399999999999999">
      <c r="A2672" s="663"/>
      <c r="B2672" s="700" t="s">
        <v>436</v>
      </c>
      <c r="C2672" s="663" t="s">
        <v>427</v>
      </c>
      <c r="D2672" s="678" t="s">
        <v>1978</v>
      </c>
      <c r="E2672" s="700" t="s">
        <v>1917</v>
      </c>
      <c r="F2672" s="795">
        <v>1210</v>
      </c>
      <c r="G2672" s="1889" t="s">
        <v>3211</v>
      </c>
      <c r="H2672" s="701"/>
      <c r="I2672" s="701">
        <v>-1000</v>
      </c>
      <c r="J2672" s="1654" t="s">
        <v>1134</v>
      </c>
      <c r="K2672" s="802"/>
      <c r="L2672" s="701"/>
      <c r="M2672" s="701"/>
      <c r="N2672" s="125"/>
      <c r="O2672" s="125"/>
      <c r="P2672" s="125"/>
      <c r="Q2672" s="125"/>
      <c r="R2672" s="125"/>
      <c r="S2672" s="125"/>
      <c r="T2672" s="125"/>
      <c r="U2672" s="125"/>
      <c r="V2672" s="125"/>
      <c r="W2672" s="125"/>
      <c r="X2672" s="125"/>
      <c r="Y2672" s="125"/>
      <c r="Z2672" s="125"/>
      <c r="AA2672" s="125"/>
      <c r="AB2672" s="125"/>
      <c r="AC2672" s="125"/>
      <c r="AD2672" s="125"/>
      <c r="AE2672" s="125"/>
      <c r="AF2672" s="125"/>
    </row>
    <row r="2673" spans="1:32" s="14" customFormat="1" ht="33.75" customHeight="1">
      <c r="A2673" s="683"/>
      <c r="B2673" s="720" t="s">
        <v>436</v>
      </c>
      <c r="C2673" s="683" t="s">
        <v>427</v>
      </c>
      <c r="D2673" s="719" t="s">
        <v>1978</v>
      </c>
      <c r="E2673" s="720" t="s">
        <v>1917</v>
      </c>
      <c r="F2673" s="824">
        <v>1221</v>
      </c>
      <c r="G2673" s="800" t="s">
        <v>114</v>
      </c>
      <c r="H2673" s="706">
        <v>6458.5891181799998</v>
      </c>
      <c r="I2673" s="801"/>
      <c r="J2673" s="1654">
        <v>6167</v>
      </c>
      <c r="K2673" s="802"/>
      <c r="L2673" s="706">
        <v>5804.7430342500002</v>
      </c>
      <c r="M2673" s="801"/>
      <c r="N2673" s="125"/>
      <c r="O2673" s="125"/>
      <c r="P2673" s="125"/>
      <c r="Q2673" s="125"/>
      <c r="R2673" s="125"/>
      <c r="S2673" s="125"/>
      <c r="T2673" s="125"/>
      <c r="U2673" s="125"/>
      <c r="V2673" s="125"/>
      <c r="W2673" s="125"/>
      <c r="X2673" s="125"/>
      <c r="Y2673" s="125"/>
      <c r="Z2673" s="125"/>
      <c r="AA2673" s="125"/>
      <c r="AB2673" s="125"/>
      <c r="AC2673" s="125"/>
      <c r="AD2673" s="125"/>
      <c r="AE2673" s="125"/>
      <c r="AF2673" s="125"/>
    </row>
    <row r="2674" spans="1:32" s="14" customFormat="1">
      <c r="A2674" s="663"/>
      <c r="B2674" s="700" t="s">
        <v>436</v>
      </c>
      <c r="C2674" s="663" t="s">
        <v>427</v>
      </c>
      <c r="D2674" s="678" t="s">
        <v>1978</v>
      </c>
      <c r="E2674" s="700" t="s">
        <v>1917</v>
      </c>
      <c r="F2674" s="795">
        <v>1221</v>
      </c>
      <c r="G2674" s="1889"/>
      <c r="H2674" s="701"/>
      <c r="I2674" s="701">
        <v>5458.5891181799998</v>
      </c>
      <c r="J2674" s="1654" t="s">
        <v>1134</v>
      </c>
      <c r="K2674" s="802"/>
      <c r="L2674" s="701"/>
      <c r="M2674" s="701">
        <v>5804.7430342500002</v>
      </c>
      <c r="N2674" s="125" t="s">
        <v>3861</v>
      </c>
      <c r="O2674" s="125"/>
      <c r="P2674" s="125"/>
      <c r="Q2674" s="125"/>
      <c r="R2674" s="125"/>
      <c r="S2674" s="125"/>
      <c r="T2674" s="125"/>
      <c r="U2674" s="125"/>
      <c r="V2674" s="125"/>
      <c r="W2674" s="125"/>
      <c r="X2674" s="125"/>
      <c r="Y2674" s="125"/>
      <c r="Z2674" s="125"/>
      <c r="AA2674" s="125"/>
      <c r="AB2674" s="125"/>
      <c r="AC2674" s="125"/>
      <c r="AD2674" s="125"/>
      <c r="AE2674" s="125"/>
      <c r="AF2674" s="125"/>
    </row>
    <row r="2675" spans="1:32" s="14" customFormat="1" ht="20.399999999999999">
      <c r="A2675" s="663"/>
      <c r="B2675" s="700" t="s">
        <v>436</v>
      </c>
      <c r="C2675" s="663" t="s">
        <v>427</v>
      </c>
      <c r="D2675" s="678" t="s">
        <v>1978</v>
      </c>
      <c r="E2675" s="700" t="s">
        <v>1917</v>
      </c>
      <c r="F2675" s="795">
        <v>1221</v>
      </c>
      <c r="G2675" s="1889" t="s">
        <v>3211</v>
      </c>
      <c r="H2675" s="701"/>
      <c r="I2675" s="701">
        <v>1000</v>
      </c>
      <c r="J2675" s="1654" t="s">
        <v>1134</v>
      </c>
      <c r="K2675" s="802"/>
      <c r="L2675" s="701"/>
      <c r="M2675" s="701"/>
      <c r="N2675" s="125"/>
      <c r="O2675" s="125"/>
      <c r="P2675" s="125"/>
      <c r="Q2675" s="125"/>
      <c r="R2675" s="125"/>
      <c r="S2675" s="125"/>
      <c r="T2675" s="125"/>
      <c r="U2675" s="125"/>
      <c r="V2675" s="125"/>
      <c r="W2675" s="125"/>
      <c r="X2675" s="125"/>
      <c r="Y2675" s="125"/>
      <c r="Z2675" s="125"/>
      <c r="AA2675" s="125"/>
      <c r="AB2675" s="125"/>
      <c r="AC2675" s="125"/>
      <c r="AD2675" s="125"/>
      <c r="AE2675" s="125"/>
      <c r="AF2675" s="125"/>
    </row>
    <row r="2676" spans="1:32" s="14" customFormat="1">
      <c r="A2676" s="683"/>
      <c r="B2676" s="720" t="s">
        <v>436</v>
      </c>
      <c r="C2676" s="683" t="s">
        <v>427</v>
      </c>
      <c r="D2676" s="719" t="s">
        <v>1978</v>
      </c>
      <c r="E2676" s="720" t="s">
        <v>1917</v>
      </c>
      <c r="F2676" s="824">
        <v>1227</v>
      </c>
      <c r="G2676" s="800" t="s">
        <v>115</v>
      </c>
      <c r="H2676" s="706"/>
      <c r="I2676" s="801"/>
      <c r="J2676" s="1654" t="s">
        <v>1134</v>
      </c>
      <c r="K2676" s="802"/>
      <c r="L2676" s="706"/>
      <c r="M2676" s="801"/>
      <c r="N2676" s="125"/>
      <c r="O2676" s="125"/>
      <c r="P2676" s="125"/>
      <c r="Q2676" s="125"/>
      <c r="R2676" s="125"/>
      <c r="S2676" s="125"/>
      <c r="T2676" s="125"/>
      <c r="U2676" s="125"/>
      <c r="V2676" s="125"/>
      <c r="W2676" s="125"/>
      <c r="X2676" s="125"/>
      <c r="Y2676" s="125"/>
      <c r="Z2676" s="125"/>
      <c r="AA2676" s="125"/>
      <c r="AB2676" s="125"/>
      <c r="AC2676" s="125"/>
      <c r="AD2676" s="125"/>
      <c r="AE2676" s="125"/>
      <c r="AF2676" s="125"/>
    </row>
    <row r="2677" spans="1:32" s="14" customFormat="1">
      <c r="A2677" s="663"/>
      <c r="B2677" s="700" t="s">
        <v>436</v>
      </c>
      <c r="C2677" s="663" t="s">
        <v>427</v>
      </c>
      <c r="D2677" s="678" t="s">
        <v>1978</v>
      </c>
      <c r="E2677" s="700" t="s">
        <v>1917</v>
      </c>
      <c r="F2677" s="795">
        <v>1227</v>
      </c>
      <c r="G2677" s="1889" t="s">
        <v>1051</v>
      </c>
      <c r="H2677" s="701"/>
      <c r="I2677" s="701"/>
      <c r="J2677" s="1654" t="s">
        <v>1134</v>
      </c>
      <c r="K2677" s="802"/>
      <c r="L2677" s="701"/>
      <c r="M2677" s="701"/>
      <c r="N2677" s="1223"/>
      <c r="O2677" s="125"/>
      <c r="P2677" s="125"/>
      <c r="Q2677" s="125"/>
      <c r="R2677" s="125"/>
      <c r="S2677" s="125"/>
      <c r="T2677" s="125"/>
      <c r="U2677" s="125"/>
      <c r="V2677" s="125"/>
      <c r="W2677" s="125"/>
      <c r="X2677" s="125"/>
      <c r="Y2677" s="125"/>
      <c r="Z2677" s="125"/>
      <c r="AA2677" s="125"/>
      <c r="AB2677" s="125"/>
      <c r="AC2677" s="125"/>
      <c r="AD2677" s="125"/>
      <c r="AE2677" s="125"/>
      <c r="AF2677" s="125"/>
    </row>
    <row r="2678" spans="1:32" s="14" customFormat="1">
      <c r="A2678" s="683"/>
      <c r="B2678" s="720" t="s">
        <v>436</v>
      </c>
      <c r="C2678" s="683" t="s">
        <v>427</v>
      </c>
      <c r="D2678" s="719" t="s">
        <v>1978</v>
      </c>
      <c r="E2678" s="1406" t="s">
        <v>1917</v>
      </c>
      <c r="F2678" s="685">
        <v>1228</v>
      </c>
      <c r="G2678" s="686" t="s">
        <v>115</v>
      </c>
      <c r="H2678" s="689">
        <v>450</v>
      </c>
      <c r="I2678" s="799"/>
      <c r="J2678" s="1494">
        <v>420</v>
      </c>
      <c r="K2678" s="727"/>
      <c r="L2678" s="1661">
        <v>1100</v>
      </c>
      <c r="M2678" s="1682"/>
      <c r="N2678" s="1223"/>
      <c r="O2678" s="125"/>
      <c r="P2678" s="125"/>
      <c r="Q2678" s="125"/>
      <c r="R2678" s="125"/>
      <c r="S2678" s="125"/>
      <c r="T2678" s="125"/>
      <c r="U2678" s="125"/>
      <c r="V2678" s="125"/>
      <c r="W2678" s="125"/>
      <c r="X2678" s="125"/>
      <c r="Y2678" s="125"/>
      <c r="Z2678" s="125"/>
      <c r="AA2678" s="125"/>
      <c r="AB2678" s="125"/>
      <c r="AC2678" s="125"/>
      <c r="AD2678" s="125"/>
      <c r="AE2678" s="125"/>
      <c r="AF2678" s="125"/>
    </row>
    <row r="2679" spans="1:32" s="14" customFormat="1">
      <c r="A2679" s="663"/>
      <c r="B2679" s="700" t="s">
        <v>436</v>
      </c>
      <c r="C2679" s="663" t="s">
        <v>427</v>
      </c>
      <c r="D2679" s="678" t="s">
        <v>1978</v>
      </c>
      <c r="E2679" s="1407" t="s">
        <v>1917</v>
      </c>
      <c r="F2679" s="679">
        <v>1228</v>
      </c>
      <c r="G2679" s="933" t="s">
        <v>1050</v>
      </c>
      <c r="H2679" s="660"/>
      <c r="I2679" s="660">
        <v>450</v>
      </c>
      <c r="J2679" s="1494" t="s">
        <v>1134</v>
      </c>
      <c r="K2679" s="727"/>
      <c r="L2679" s="1662"/>
      <c r="M2679" s="1662">
        <v>800</v>
      </c>
      <c r="N2679" s="1223"/>
      <c r="O2679" s="125"/>
      <c r="P2679" s="125"/>
      <c r="Q2679" s="125"/>
      <c r="R2679" s="125"/>
      <c r="S2679" s="125"/>
      <c r="T2679" s="125"/>
      <c r="U2679" s="125"/>
      <c r="V2679" s="125"/>
      <c r="W2679" s="125"/>
      <c r="X2679" s="125"/>
      <c r="Y2679" s="125"/>
      <c r="Z2679" s="125"/>
      <c r="AA2679" s="125"/>
      <c r="AB2679" s="125"/>
      <c r="AC2679" s="125"/>
      <c r="AD2679" s="125"/>
      <c r="AE2679" s="125"/>
      <c r="AF2679" s="125"/>
    </row>
    <row r="2680" spans="1:32" s="14" customFormat="1">
      <c r="A2680" s="663"/>
      <c r="B2680" s="700" t="s">
        <v>436</v>
      </c>
      <c r="C2680" s="663" t="s">
        <v>427</v>
      </c>
      <c r="D2680" s="678" t="s">
        <v>1978</v>
      </c>
      <c r="E2680" s="1407" t="s">
        <v>1917</v>
      </c>
      <c r="F2680" s="679">
        <v>1228</v>
      </c>
      <c r="G2680" s="933" t="s">
        <v>3852</v>
      </c>
      <c r="H2680" s="660"/>
      <c r="I2680" s="660"/>
      <c r="J2680" s="1494" t="s">
        <v>1134</v>
      </c>
      <c r="K2680" s="727"/>
      <c r="L2680" s="1662"/>
      <c r="M2680" s="1928">
        <v>300</v>
      </c>
      <c r="N2680" s="1223"/>
      <c r="O2680" s="125"/>
      <c r="P2680" s="125"/>
      <c r="Q2680" s="125"/>
      <c r="R2680" s="125"/>
      <c r="S2680" s="125"/>
      <c r="T2680" s="125"/>
      <c r="U2680" s="125"/>
      <c r="V2680" s="125"/>
      <c r="W2680" s="125"/>
      <c r="X2680" s="125"/>
      <c r="Y2680" s="125"/>
      <c r="Z2680" s="125"/>
      <c r="AA2680" s="125"/>
      <c r="AB2680" s="125"/>
      <c r="AC2680" s="125"/>
      <c r="AD2680" s="125"/>
      <c r="AE2680" s="125"/>
      <c r="AF2680" s="125"/>
    </row>
    <row r="2681" spans="1:32" s="14" customFormat="1">
      <c r="A2681" s="683" t="s">
        <v>1231</v>
      </c>
      <c r="B2681" s="720" t="s">
        <v>772</v>
      </c>
      <c r="C2681" s="683" t="s">
        <v>322</v>
      </c>
      <c r="D2681" s="719" t="s">
        <v>1978</v>
      </c>
      <c r="E2681" s="1406" t="s">
        <v>1917</v>
      </c>
      <c r="F2681" s="685">
        <v>2111</v>
      </c>
      <c r="G2681" s="686" t="s">
        <v>1190</v>
      </c>
      <c r="H2681" s="689">
        <v>100</v>
      </c>
      <c r="I2681" s="799"/>
      <c r="J2681" s="1494">
        <v>16</v>
      </c>
      <c r="K2681" s="727"/>
      <c r="L2681" s="1661">
        <v>100</v>
      </c>
      <c r="M2681" s="1682"/>
      <c r="N2681" s="1223"/>
      <c r="O2681" s="17"/>
      <c r="P2681" s="17"/>
      <c r="Q2681" s="17"/>
      <c r="R2681" s="17"/>
      <c r="S2681" s="17"/>
      <c r="T2681" s="17"/>
      <c r="U2681" s="17"/>
      <c r="V2681" s="17"/>
      <c r="W2681" s="17"/>
      <c r="X2681" s="17"/>
      <c r="Y2681" s="17"/>
      <c r="Z2681" s="17"/>
      <c r="AA2681" s="17"/>
      <c r="AB2681" s="17"/>
      <c r="AC2681" s="17"/>
      <c r="AD2681" s="17"/>
      <c r="AE2681" s="17"/>
      <c r="AF2681" s="17"/>
    </row>
    <row r="2682" spans="1:32" s="14" customFormat="1">
      <c r="A2682" s="663" t="s">
        <v>1231</v>
      </c>
      <c r="B2682" s="700" t="s">
        <v>772</v>
      </c>
      <c r="C2682" s="663" t="s">
        <v>322</v>
      </c>
      <c r="D2682" s="678" t="s">
        <v>1978</v>
      </c>
      <c r="E2682" s="1407" t="s">
        <v>1917</v>
      </c>
      <c r="F2682" s="679">
        <v>2111</v>
      </c>
      <c r="G2682" s="933" t="s">
        <v>733</v>
      </c>
      <c r="H2682" s="660"/>
      <c r="I2682" s="660">
        <v>100</v>
      </c>
      <c r="J2682" s="1494" t="s">
        <v>1134</v>
      </c>
      <c r="K2682" s="727"/>
      <c r="L2682" s="1662"/>
      <c r="M2682" s="1662">
        <v>100</v>
      </c>
      <c r="N2682" s="1223"/>
      <c r="O2682" s="125"/>
      <c r="P2682" s="125"/>
      <c r="Q2682" s="125"/>
      <c r="R2682" s="125"/>
      <c r="S2682" s="125"/>
      <c r="T2682" s="125"/>
      <c r="U2682" s="125"/>
      <c r="V2682" s="125"/>
      <c r="W2682" s="125"/>
      <c r="X2682" s="125"/>
      <c r="Y2682" s="125"/>
      <c r="Z2682" s="125"/>
      <c r="AA2682" s="125"/>
      <c r="AB2682" s="125"/>
      <c r="AC2682" s="125"/>
      <c r="AD2682" s="125"/>
      <c r="AE2682" s="125"/>
      <c r="AF2682" s="125"/>
    </row>
    <row r="2683" spans="1:32" s="14" customFormat="1" ht="20.399999999999999">
      <c r="A2683" s="683" t="s">
        <v>1231</v>
      </c>
      <c r="B2683" s="720" t="s">
        <v>772</v>
      </c>
      <c r="C2683" s="683" t="s">
        <v>322</v>
      </c>
      <c r="D2683" s="719" t="s">
        <v>1978</v>
      </c>
      <c r="E2683" s="1406" t="s">
        <v>1917</v>
      </c>
      <c r="F2683" s="685">
        <v>2112</v>
      </c>
      <c r="G2683" s="686" t="s">
        <v>739</v>
      </c>
      <c r="H2683" s="689">
        <v>100</v>
      </c>
      <c r="I2683" s="799"/>
      <c r="J2683" s="1494">
        <v>0</v>
      </c>
      <c r="K2683" s="727"/>
      <c r="L2683" s="1661">
        <v>100</v>
      </c>
      <c r="M2683" s="1682"/>
      <c r="N2683" s="177"/>
      <c r="O2683" s="17"/>
      <c r="P2683" s="17"/>
      <c r="Q2683" s="17"/>
      <c r="R2683" s="17"/>
      <c r="S2683" s="17"/>
      <c r="T2683" s="17"/>
      <c r="U2683" s="17"/>
      <c r="V2683" s="17"/>
      <c r="W2683" s="17"/>
      <c r="X2683" s="17"/>
      <c r="Y2683" s="17"/>
      <c r="Z2683" s="17"/>
      <c r="AA2683" s="17"/>
      <c r="AB2683" s="17"/>
      <c r="AC2683" s="17"/>
      <c r="AD2683" s="17"/>
      <c r="AE2683" s="17"/>
      <c r="AF2683" s="17"/>
    </row>
    <row r="2684" spans="1:32" s="77" customFormat="1" ht="10.199999999999999">
      <c r="A2684" s="663" t="s">
        <v>1231</v>
      </c>
      <c r="B2684" s="1407" t="s">
        <v>772</v>
      </c>
      <c r="C2684" s="663" t="s">
        <v>322</v>
      </c>
      <c r="D2684" s="678" t="s">
        <v>1978</v>
      </c>
      <c r="E2684" s="1407" t="s">
        <v>1917</v>
      </c>
      <c r="F2684" s="679">
        <v>2112</v>
      </c>
      <c r="G2684" s="933" t="s">
        <v>733</v>
      </c>
      <c r="H2684" s="660"/>
      <c r="I2684" s="660">
        <v>100</v>
      </c>
      <c r="J2684" s="1494" t="s">
        <v>1134</v>
      </c>
      <c r="K2684" s="727"/>
      <c r="L2684" s="1662"/>
      <c r="M2684" s="1662">
        <v>100</v>
      </c>
      <c r="N2684" s="177"/>
    </row>
    <row r="2685" spans="1:32" s="14" customFormat="1">
      <c r="A2685" s="683"/>
      <c r="B2685" s="1406" t="s">
        <v>772</v>
      </c>
      <c r="C2685" s="683" t="s">
        <v>322</v>
      </c>
      <c r="D2685" s="719" t="s">
        <v>1978</v>
      </c>
      <c r="E2685" s="1406" t="s">
        <v>1917</v>
      </c>
      <c r="F2685" s="685">
        <v>2121</v>
      </c>
      <c r="G2685" s="686" t="s">
        <v>1049</v>
      </c>
      <c r="H2685" s="689">
        <v>400</v>
      </c>
      <c r="I2685" s="799"/>
      <c r="J2685" s="1494">
        <v>275</v>
      </c>
      <c r="K2685" s="727"/>
      <c r="L2685" s="1661">
        <v>400</v>
      </c>
      <c r="M2685" s="1682"/>
      <c r="N2685" s="177"/>
      <c r="O2685" s="125"/>
      <c r="P2685" s="125"/>
      <c r="Q2685" s="125"/>
      <c r="R2685" s="125"/>
      <c r="S2685" s="125"/>
      <c r="T2685" s="125"/>
      <c r="U2685" s="125"/>
      <c r="V2685" s="125"/>
      <c r="W2685" s="125"/>
      <c r="X2685" s="125"/>
      <c r="Y2685" s="125"/>
      <c r="Z2685" s="125"/>
      <c r="AA2685" s="125"/>
      <c r="AB2685" s="125"/>
      <c r="AC2685" s="125"/>
      <c r="AD2685" s="125"/>
      <c r="AE2685" s="125"/>
      <c r="AF2685" s="125"/>
    </row>
    <row r="2686" spans="1:32" s="14" customFormat="1">
      <c r="A2686" s="663" t="s">
        <v>1231</v>
      </c>
      <c r="B2686" s="1407" t="s">
        <v>772</v>
      </c>
      <c r="C2686" s="663" t="s">
        <v>322</v>
      </c>
      <c r="D2686" s="678" t="s">
        <v>1978</v>
      </c>
      <c r="E2686" s="1407" t="s">
        <v>1917</v>
      </c>
      <c r="F2686" s="679">
        <v>2121</v>
      </c>
      <c r="G2686" s="933" t="s">
        <v>1233</v>
      </c>
      <c r="H2686" s="660"/>
      <c r="I2686" s="660">
        <v>100</v>
      </c>
      <c r="J2686" s="1494" t="s">
        <v>1134</v>
      </c>
      <c r="K2686" s="727"/>
      <c r="L2686" s="1662"/>
      <c r="M2686" s="1662">
        <v>100</v>
      </c>
      <c r="N2686" s="177"/>
      <c r="O2686" s="125"/>
      <c r="P2686" s="125"/>
      <c r="Q2686" s="125"/>
      <c r="R2686" s="125"/>
      <c r="S2686" s="125"/>
      <c r="T2686" s="125"/>
      <c r="U2686" s="125"/>
      <c r="V2686" s="125"/>
      <c r="W2686" s="125"/>
      <c r="X2686" s="125"/>
      <c r="Y2686" s="125"/>
      <c r="Z2686" s="125"/>
      <c r="AA2686" s="125"/>
      <c r="AB2686" s="125"/>
      <c r="AC2686" s="125"/>
      <c r="AD2686" s="125"/>
      <c r="AE2686" s="125"/>
      <c r="AF2686" s="125"/>
    </row>
    <row r="2687" spans="1:32" s="14" customFormat="1">
      <c r="A2687" s="603"/>
      <c r="B2687" s="1407" t="s">
        <v>772</v>
      </c>
      <c r="C2687" s="663" t="s">
        <v>322</v>
      </c>
      <c r="D2687" s="678" t="s">
        <v>1978</v>
      </c>
      <c r="E2687" s="1407" t="s">
        <v>1917</v>
      </c>
      <c r="F2687" s="679">
        <v>2121</v>
      </c>
      <c r="G2687" s="1120" t="s">
        <v>3854</v>
      </c>
      <c r="H2687" s="1131"/>
      <c r="I2687" s="1130">
        <v>300</v>
      </c>
      <c r="J2687" s="1494" t="s">
        <v>1134</v>
      </c>
      <c r="K2687" s="1132"/>
      <c r="L2687" s="1921"/>
      <c r="M2687" s="1680">
        <v>300</v>
      </c>
      <c r="N2687" s="125" t="s">
        <v>3862</v>
      </c>
      <c r="O2687" s="125"/>
      <c r="P2687" s="125"/>
      <c r="Q2687" s="125"/>
      <c r="R2687" s="125"/>
      <c r="S2687" s="125"/>
      <c r="T2687" s="125"/>
      <c r="U2687" s="125"/>
      <c r="V2687" s="125"/>
      <c r="W2687" s="125"/>
      <c r="X2687" s="125"/>
      <c r="Y2687" s="125"/>
      <c r="Z2687" s="125"/>
      <c r="AA2687" s="125"/>
      <c r="AB2687" s="125"/>
      <c r="AC2687" s="125"/>
      <c r="AD2687" s="125"/>
      <c r="AE2687" s="125"/>
      <c r="AF2687" s="125"/>
    </row>
    <row r="2688" spans="1:32" s="14" customFormat="1" ht="20.399999999999999">
      <c r="A2688" s="683"/>
      <c r="B2688" s="1406" t="s">
        <v>772</v>
      </c>
      <c r="C2688" s="683" t="s">
        <v>322</v>
      </c>
      <c r="D2688" s="719" t="s">
        <v>1978</v>
      </c>
      <c r="E2688" s="1406" t="s">
        <v>1917</v>
      </c>
      <c r="F2688" s="685">
        <v>2122</v>
      </c>
      <c r="G2688" s="686" t="s">
        <v>1038</v>
      </c>
      <c r="H2688" s="689">
        <v>200</v>
      </c>
      <c r="I2688" s="799"/>
      <c r="J2688" s="1494">
        <v>120</v>
      </c>
      <c r="K2688" s="727"/>
      <c r="L2688" s="1661">
        <v>200</v>
      </c>
      <c r="M2688" s="1682"/>
      <c r="N2688" s="53"/>
      <c r="O2688" s="17"/>
      <c r="P2688" s="17"/>
      <c r="Q2688" s="17"/>
      <c r="R2688" s="17"/>
      <c r="S2688" s="17"/>
      <c r="T2688" s="17"/>
      <c r="U2688" s="17"/>
      <c r="V2688" s="17"/>
      <c r="W2688" s="17"/>
      <c r="X2688" s="17"/>
      <c r="Y2688" s="17"/>
      <c r="Z2688" s="17"/>
      <c r="AA2688" s="17"/>
      <c r="AB2688" s="17"/>
      <c r="AC2688" s="17"/>
      <c r="AD2688" s="17"/>
      <c r="AE2688" s="17"/>
      <c r="AF2688" s="17"/>
    </row>
    <row r="2689" spans="1:32" s="14" customFormat="1">
      <c r="A2689" s="603"/>
      <c r="B2689" s="1407" t="s">
        <v>772</v>
      </c>
      <c r="C2689" s="663" t="s">
        <v>322</v>
      </c>
      <c r="D2689" s="678" t="s">
        <v>1978</v>
      </c>
      <c r="E2689" s="1407" t="s">
        <v>1917</v>
      </c>
      <c r="F2689" s="679">
        <v>2122</v>
      </c>
      <c r="G2689" s="1120" t="s">
        <v>3854</v>
      </c>
      <c r="H2689" s="1131"/>
      <c r="I2689" s="1130">
        <v>200</v>
      </c>
      <c r="J2689" s="1494" t="s">
        <v>1134</v>
      </c>
      <c r="K2689" s="1132"/>
      <c r="L2689" s="1921"/>
      <c r="M2689" s="1680">
        <v>200</v>
      </c>
      <c r="N2689" s="125"/>
      <c r="O2689" s="125"/>
      <c r="P2689" s="125"/>
      <c r="Q2689" s="125"/>
      <c r="R2689" s="125"/>
      <c r="S2689" s="125"/>
      <c r="T2689" s="125"/>
      <c r="U2689" s="125"/>
      <c r="V2689" s="125"/>
      <c r="W2689" s="125"/>
      <c r="X2689" s="125"/>
      <c r="Y2689" s="125"/>
      <c r="Z2689" s="125"/>
      <c r="AA2689" s="125"/>
      <c r="AB2689" s="125"/>
      <c r="AC2689" s="125"/>
      <c r="AD2689" s="125"/>
      <c r="AE2689" s="125"/>
      <c r="AF2689" s="125"/>
    </row>
    <row r="2690" spans="1:32" s="14" customFormat="1">
      <c r="A2690" s="683"/>
      <c r="B2690" s="1406" t="s">
        <v>772</v>
      </c>
      <c r="C2690" s="683" t="s">
        <v>322</v>
      </c>
      <c r="D2690" s="719" t="s">
        <v>1978</v>
      </c>
      <c r="E2690" s="1406" t="s">
        <v>1917</v>
      </c>
      <c r="F2690" s="685">
        <v>2210</v>
      </c>
      <c r="G2690" s="686" t="s">
        <v>572</v>
      </c>
      <c r="H2690" s="689">
        <v>500</v>
      </c>
      <c r="I2690" s="799"/>
      <c r="J2690" s="1494">
        <v>194</v>
      </c>
      <c r="K2690" s="727"/>
      <c r="L2690" s="1661">
        <v>300</v>
      </c>
      <c r="M2690" s="1682"/>
      <c r="N2690" s="177"/>
      <c r="O2690" s="17"/>
      <c r="P2690" s="17"/>
      <c r="Q2690" s="17"/>
      <c r="R2690" s="17"/>
      <c r="S2690" s="17"/>
      <c r="T2690" s="17"/>
      <c r="U2690" s="17"/>
      <c r="V2690" s="17"/>
      <c r="W2690" s="17"/>
      <c r="X2690" s="17"/>
      <c r="Y2690" s="17"/>
      <c r="Z2690" s="17"/>
      <c r="AA2690" s="17"/>
      <c r="AB2690" s="17"/>
      <c r="AC2690" s="17"/>
      <c r="AD2690" s="17"/>
      <c r="AE2690" s="17"/>
      <c r="AF2690" s="17"/>
    </row>
    <row r="2691" spans="1:32" s="14" customFormat="1">
      <c r="A2691" s="663" t="s">
        <v>1231</v>
      </c>
      <c r="B2691" s="1407" t="s">
        <v>772</v>
      </c>
      <c r="C2691" s="663" t="s">
        <v>322</v>
      </c>
      <c r="D2691" s="678" t="s">
        <v>1978</v>
      </c>
      <c r="E2691" s="1407" t="s">
        <v>1917</v>
      </c>
      <c r="F2691" s="679">
        <v>2210</v>
      </c>
      <c r="G2691" s="665" t="s">
        <v>710</v>
      </c>
      <c r="H2691" s="660"/>
      <c r="I2691" s="660">
        <v>500</v>
      </c>
      <c r="J2691" s="1494" t="s">
        <v>1134</v>
      </c>
      <c r="K2691" s="667"/>
      <c r="L2691" s="1662"/>
      <c r="M2691" s="1662">
        <v>300</v>
      </c>
      <c r="N2691" s="177"/>
      <c r="O2691" s="125"/>
      <c r="P2691" s="125"/>
      <c r="Q2691" s="125"/>
      <c r="R2691" s="125"/>
      <c r="S2691" s="125"/>
      <c r="T2691" s="125"/>
      <c r="U2691" s="125"/>
      <c r="V2691" s="125"/>
      <c r="W2691" s="125"/>
      <c r="X2691" s="125"/>
      <c r="Y2691" s="125"/>
      <c r="Z2691" s="125"/>
      <c r="AA2691" s="125"/>
      <c r="AB2691" s="125"/>
      <c r="AC2691" s="125"/>
      <c r="AD2691" s="125"/>
      <c r="AE2691" s="125"/>
      <c r="AF2691" s="125"/>
    </row>
    <row r="2692" spans="1:32" s="14" customFormat="1">
      <c r="A2692" s="683"/>
      <c r="B2692" s="1406" t="s">
        <v>772</v>
      </c>
      <c r="C2692" s="683" t="s">
        <v>320</v>
      </c>
      <c r="D2692" s="719" t="s">
        <v>1978</v>
      </c>
      <c r="E2692" s="1406" t="s">
        <v>1917</v>
      </c>
      <c r="F2692" s="685">
        <v>2222</v>
      </c>
      <c r="G2692" s="686" t="s">
        <v>153</v>
      </c>
      <c r="H2692" s="689">
        <v>1500</v>
      </c>
      <c r="I2692" s="799"/>
      <c r="J2692" s="1494">
        <v>0</v>
      </c>
      <c r="K2692" s="727"/>
      <c r="L2692" s="1661">
        <v>1500</v>
      </c>
      <c r="M2692" s="1682"/>
      <c r="N2692" s="177" t="s">
        <v>3864</v>
      </c>
      <c r="O2692" s="17"/>
      <c r="P2692" s="17"/>
      <c r="Q2692" s="17"/>
      <c r="R2692" s="17"/>
      <c r="S2692" s="17"/>
      <c r="T2692" s="17"/>
      <c r="U2692" s="17"/>
      <c r="V2692" s="17"/>
      <c r="W2692" s="17"/>
      <c r="X2692" s="17"/>
      <c r="Y2692" s="17"/>
      <c r="Z2692" s="17"/>
      <c r="AA2692" s="17"/>
      <c r="AB2692" s="17"/>
      <c r="AC2692" s="17"/>
      <c r="AD2692" s="17"/>
      <c r="AE2692" s="17"/>
      <c r="AF2692" s="17"/>
    </row>
    <row r="2693" spans="1:32" s="16" customFormat="1">
      <c r="A2693" s="663"/>
      <c r="B2693" s="1407" t="s">
        <v>772</v>
      </c>
      <c r="C2693" s="663" t="s">
        <v>320</v>
      </c>
      <c r="D2693" s="678" t="s">
        <v>1978</v>
      </c>
      <c r="E2693" s="1407" t="s">
        <v>1917</v>
      </c>
      <c r="F2693" s="679">
        <v>2222</v>
      </c>
      <c r="G2693" s="933" t="s">
        <v>733</v>
      </c>
      <c r="H2693" s="666"/>
      <c r="I2693" s="660">
        <v>1500</v>
      </c>
      <c r="J2693" s="1494" t="s">
        <v>1134</v>
      </c>
      <c r="K2693" s="667"/>
      <c r="L2693" s="1908"/>
      <c r="M2693" s="1662">
        <v>1500</v>
      </c>
      <c r="N2693" s="1223"/>
      <c r="O2693" s="7"/>
      <c r="P2693" s="7"/>
      <c r="Q2693" s="7"/>
      <c r="R2693" s="7"/>
      <c r="S2693" s="7"/>
      <c r="T2693" s="7"/>
      <c r="U2693" s="7"/>
      <c r="V2693" s="7"/>
      <c r="W2693" s="7"/>
      <c r="X2693" s="7"/>
      <c r="Y2693" s="7"/>
      <c r="Z2693" s="7"/>
      <c r="AA2693" s="7"/>
      <c r="AB2693" s="7"/>
      <c r="AC2693" s="7"/>
      <c r="AD2693" s="7"/>
      <c r="AE2693" s="7"/>
      <c r="AF2693" s="7"/>
    </row>
    <row r="2694" spans="1:32" s="16" customFormat="1">
      <c r="A2694" s="683"/>
      <c r="B2694" s="1406" t="s">
        <v>772</v>
      </c>
      <c r="C2694" s="683" t="s">
        <v>320</v>
      </c>
      <c r="D2694" s="719" t="s">
        <v>1978</v>
      </c>
      <c r="E2694" s="1406" t="s">
        <v>1917</v>
      </c>
      <c r="F2694" s="685">
        <v>2223</v>
      </c>
      <c r="G2694" s="686" t="s">
        <v>154</v>
      </c>
      <c r="H2694" s="689">
        <v>4200</v>
      </c>
      <c r="I2694" s="799"/>
      <c r="J2694" s="1494">
        <v>3450</v>
      </c>
      <c r="K2694" s="727"/>
      <c r="L2694" s="1661">
        <v>4200</v>
      </c>
      <c r="M2694" s="1682"/>
      <c r="N2694" s="1223"/>
      <c r="O2694" s="7"/>
      <c r="P2694" s="7"/>
      <c r="Q2694" s="7"/>
      <c r="R2694" s="7"/>
      <c r="S2694" s="7"/>
      <c r="T2694" s="7"/>
      <c r="U2694" s="7"/>
      <c r="V2694" s="7"/>
      <c r="W2694" s="7"/>
      <c r="X2694" s="7"/>
      <c r="Y2694" s="7"/>
      <c r="Z2694" s="7"/>
      <c r="AA2694" s="7"/>
      <c r="AB2694" s="7"/>
      <c r="AC2694" s="7"/>
      <c r="AD2694" s="7"/>
      <c r="AE2694" s="7"/>
      <c r="AF2694" s="7"/>
    </row>
    <row r="2695" spans="1:32" s="16" customFormat="1">
      <c r="A2695" s="663" t="s">
        <v>1231</v>
      </c>
      <c r="B2695" s="1407" t="s">
        <v>772</v>
      </c>
      <c r="C2695" s="663" t="s">
        <v>320</v>
      </c>
      <c r="D2695" s="678" t="s">
        <v>1978</v>
      </c>
      <c r="E2695" s="1407" t="s">
        <v>1917</v>
      </c>
      <c r="F2695" s="679">
        <v>2223</v>
      </c>
      <c r="G2695" s="665" t="s">
        <v>710</v>
      </c>
      <c r="H2695" s="666"/>
      <c r="I2695" s="660">
        <v>4200</v>
      </c>
      <c r="J2695" s="1494" t="s">
        <v>1134</v>
      </c>
      <c r="K2695" s="667"/>
      <c r="L2695" s="1908"/>
      <c r="M2695" s="1662">
        <v>4200</v>
      </c>
      <c r="N2695" s="177"/>
      <c r="O2695" s="3"/>
      <c r="P2695" s="3"/>
      <c r="Q2695" s="3"/>
      <c r="R2695" s="3"/>
      <c r="S2695" s="3"/>
      <c r="T2695" s="3"/>
      <c r="U2695" s="3"/>
      <c r="V2695" s="3"/>
      <c r="W2695" s="3"/>
      <c r="X2695" s="3"/>
      <c r="Y2695" s="3"/>
      <c r="Z2695" s="3"/>
      <c r="AA2695" s="3"/>
      <c r="AB2695" s="3"/>
      <c r="AC2695" s="3"/>
      <c r="AD2695" s="3"/>
      <c r="AE2695" s="3"/>
      <c r="AF2695" s="3"/>
    </row>
    <row r="2696" spans="1:32" s="16" customFormat="1">
      <c r="A2696" s="683"/>
      <c r="B2696" s="1406" t="s">
        <v>772</v>
      </c>
      <c r="C2696" s="683" t="s">
        <v>320</v>
      </c>
      <c r="D2696" s="719" t="s">
        <v>1978</v>
      </c>
      <c r="E2696" s="1406" t="s">
        <v>1917</v>
      </c>
      <c r="F2696" s="1698">
        <v>2231</v>
      </c>
      <c r="G2696" s="1691" t="s">
        <v>1661</v>
      </c>
      <c r="H2696" s="1692">
        <v>2000</v>
      </c>
      <c r="I2696" s="1693"/>
      <c r="J2696" s="1684">
        <v>3193</v>
      </c>
      <c r="K2696" s="1694"/>
      <c r="L2696" s="1692">
        <v>3000</v>
      </c>
      <c r="M2696" s="1693"/>
      <c r="N2696" s="177" t="s">
        <v>2802</v>
      </c>
      <c r="O2696" s="3"/>
      <c r="P2696" s="3"/>
      <c r="Q2696" s="3"/>
      <c r="R2696" s="3"/>
      <c r="S2696" s="3"/>
      <c r="T2696" s="3"/>
      <c r="U2696" s="3"/>
      <c r="V2696" s="3"/>
      <c r="W2696" s="3"/>
      <c r="X2696" s="3"/>
      <c r="Y2696" s="3"/>
      <c r="Z2696" s="3"/>
      <c r="AA2696" s="3"/>
      <c r="AB2696" s="3"/>
      <c r="AC2696" s="3"/>
      <c r="AD2696" s="3"/>
      <c r="AE2696" s="3"/>
      <c r="AF2696" s="3"/>
    </row>
    <row r="2697" spans="1:32" s="16" customFormat="1" ht="61.2">
      <c r="A2697" s="663" t="s">
        <v>1232</v>
      </c>
      <c r="B2697" s="1407" t="s">
        <v>772</v>
      </c>
      <c r="C2697" s="663" t="s">
        <v>320</v>
      </c>
      <c r="D2697" s="678" t="s">
        <v>1978</v>
      </c>
      <c r="E2697" s="1407" t="s">
        <v>1917</v>
      </c>
      <c r="F2697" s="1413">
        <v>2231</v>
      </c>
      <c r="G2697" s="1931" t="s">
        <v>1452</v>
      </c>
      <c r="H2697" s="1910"/>
      <c r="I2697" s="1683">
        <v>2000</v>
      </c>
      <c r="J2697" s="1684" t="s">
        <v>1134</v>
      </c>
      <c r="K2697" s="1685"/>
      <c r="L2697" s="1910"/>
      <c r="M2697" s="1700">
        <v>3000</v>
      </c>
      <c r="N2697" s="177"/>
      <c r="O2697" s="7"/>
      <c r="P2697" s="7"/>
      <c r="Q2697" s="7"/>
      <c r="R2697" s="7"/>
      <c r="S2697" s="7"/>
      <c r="T2697" s="7"/>
      <c r="U2697" s="7"/>
      <c r="V2697" s="7"/>
      <c r="W2697" s="7"/>
      <c r="X2697" s="7"/>
      <c r="Y2697" s="7"/>
      <c r="Z2697" s="7"/>
      <c r="AA2697" s="7"/>
      <c r="AB2697" s="7"/>
      <c r="AC2697" s="7"/>
      <c r="AD2697" s="7"/>
      <c r="AE2697" s="7"/>
      <c r="AF2697" s="7"/>
    </row>
    <row r="2698" spans="1:32" s="14" customFormat="1">
      <c r="A2698" s="683"/>
      <c r="B2698" s="3129" t="s">
        <v>773</v>
      </c>
      <c r="C2698" s="683" t="s">
        <v>320</v>
      </c>
      <c r="D2698" s="719" t="s">
        <v>1978</v>
      </c>
      <c r="E2698" s="1406" t="s">
        <v>1917</v>
      </c>
      <c r="F2698" s="685">
        <v>2231</v>
      </c>
      <c r="G2698" s="686" t="s">
        <v>1661</v>
      </c>
      <c r="H2698" s="689">
        <v>0</v>
      </c>
      <c r="I2698" s="799"/>
      <c r="J2698" s="1494" t="s">
        <v>1134</v>
      </c>
      <c r="K2698" s="727"/>
      <c r="L2698" s="1661">
        <v>4000</v>
      </c>
      <c r="M2698" s="1682"/>
      <c r="N2698" s="177"/>
      <c r="O2698" s="17"/>
      <c r="P2698" s="17"/>
      <c r="Q2698" s="17"/>
      <c r="R2698" s="17"/>
      <c r="S2698" s="17"/>
      <c r="T2698" s="17"/>
      <c r="U2698" s="17"/>
      <c r="V2698" s="17"/>
      <c r="W2698" s="17"/>
      <c r="X2698" s="17"/>
      <c r="Y2698" s="17"/>
      <c r="Z2698" s="17"/>
      <c r="AA2698" s="17"/>
      <c r="AB2698" s="17"/>
      <c r="AC2698" s="17"/>
      <c r="AD2698" s="17"/>
      <c r="AE2698" s="17"/>
      <c r="AF2698" s="17"/>
    </row>
    <row r="2699" spans="1:32" s="14" customFormat="1" ht="51">
      <c r="A2699" s="1182" t="s">
        <v>1231</v>
      </c>
      <c r="B2699" s="3153" t="s">
        <v>773</v>
      </c>
      <c r="C2699" s="1182" t="s">
        <v>320</v>
      </c>
      <c r="D2699" s="1189" t="s">
        <v>1978</v>
      </c>
      <c r="E2699" s="1419" t="s">
        <v>1917</v>
      </c>
      <c r="F2699" s="1190">
        <v>2231</v>
      </c>
      <c r="G2699" s="1191" t="s">
        <v>4962</v>
      </c>
      <c r="H2699" s="1192"/>
      <c r="I2699" s="1193">
        <v>0</v>
      </c>
      <c r="J2699" s="1494" t="s">
        <v>1134</v>
      </c>
      <c r="K2699" s="1194"/>
      <c r="L2699" s="1929"/>
      <c r="M2699" s="1930">
        <v>4000</v>
      </c>
      <c r="N2699" s="1223"/>
      <c r="O2699" s="125"/>
      <c r="P2699" s="125"/>
      <c r="Q2699" s="125"/>
      <c r="R2699" s="125"/>
      <c r="S2699" s="125"/>
      <c r="T2699" s="125"/>
      <c r="U2699" s="125"/>
      <c r="V2699" s="125"/>
      <c r="W2699" s="125"/>
      <c r="X2699" s="125"/>
      <c r="Y2699" s="125"/>
      <c r="Z2699" s="125"/>
      <c r="AA2699" s="125"/>
      <c r="AB2699" s="125"/>
      <c r="AC2699" s="125"/>
      <c r="AD2699" s="125"/>
      <c r="AE2699" s="125"/>
      <c r="AF2699" s="125"/>
    </row>
    <row r="2700" spans="1:32" s="16" customFormat="1" ht="20.399999999999999">
      <c r="A2700" s="683"/>
      <c r="B2700" s="1406" t="s">
        <v>772</v>
      </c>
      <c r="C2700" s="683" t="s">
        <v>320</v>
      </c>
      <c r="D2700" s="719" t="s">
        <v>1978</v>
      </c>
      <c r="E2700" s="1406" t="s">
        <v>1917</v>
      </c>
      <c r="F2700" s="1698">
        <v>2232</v>
      </c>
      <c r="G2700" s="1691" t="s">
        <v>745</v>
      </c>
      <c r="H2700" s="1692">
        <v>1000</v>
      </c>
      <c r="I2700" s="1693"/>
      <c r="J2700" s="1684">
        <v>0</v>
      </c>
      <c r="K2700" s="1694"/>
      <c r="L2700" s="1692">
        <v>1000</v>
      </c>
      <c r="M2700" s="1693"/>
      <c r="N2700" s="1223"/>
      <c r="O2700" s="7"/>
      <c r="P2700" s="7"/>
      <c r="Q2700" s="7"/>
      <c r="R2700" s="7"/>
      <c r="S2700" s="7"/>
      <c r="T2700" s="7"/>
      <c r="U2700" s="7"/>
      <c r="V2700" s="7"/>
      <c r="W2700" s="7"/>
      <c r="X2700" s="7"/>
      <c r="Y2700" s="7"/>
      <c r="Z2700" s="7"/>
      <c r="AA2700" s="7"/>
      <c r="AB2700" s="7"/>
      <c r="AC2700" s="7"/>
      <c r="AD2700" s="7"/>
      <c r="AE2700" s="7"/>
      <c r="AF2700" s="7"/>
    </row>
    <row r="2701" spans="1:32" s="16" customFormat="1">
      <c r="A2701" s="663" t="s">
        <v>1231</v>
      </c>
      <c r="B2701" s="1407" t="s">
        <v>772</v>
      </c>
      <c r="C2701" s="663" t="s">
        <v>320</v>
      </c>
      <c r="D2701" s="678" t="s">
        <v>1978</v>
      </c>
      <c r="E2701" s="1407" t="s">
        <v>1917</v>
      </c>
      <c r="F2701" s="1413">
        <v>2232</v>
      </c>
      <c r="G2701" s="1931" t="s">
        <v>1455</v>
      </c>
      <c r="H2701" s="1910"/>
      <c r="I2701" s="1683">
        <v>1000</v>
      </c>
      <c r="J2701" s="1684" t="s">
        <v>1134</v>
      </c>
      <c r="K2701" s="1685"/>
      <c r="L2701" s="1910"/>
      <c r="M2701" s="1683">
        <v>1000</v>
      </c>
      <c r="N2701" s="1223"/>
      <c r="O2701" s="7"/>
      <c r="P2701" s="7"/>
      <c r="Q2701" s="7"/>
      <c r="R2701" s="7"/>
      <c r="S2701" s="7"/>
      <c r="T2701" s="7"/>
      <c r="U2701" s="7"/>
      <c r="V2701" s="7"/>
      <c r="W2701" s="7"/>
      <c r="X2701" s="7"/>
      <c r="Y2701" s="7"/>
      <c r="Z2701" s="7"/>
      <c r="AA2701" s="7"/>
      <c r="AB2701" s="7"/>
      <c r="AC2701" s="7"/>
      <c r="AD2701" s="7"/>
      <c r="AE2701" s="7"/>
      <c r="AF2701" s="7"/>
    </row>
    <row r="2702" spans="1:32" s="16" customFormat="1">
      <c r="A2702" s="683"/>
      <c r="B2702" s="1406" t="s">
        <v>772</v>
      </c>
      <c r="C2702" s="683" t="s">
        <v>320</v>
      </c>
      <c r="D2702" s="719" t="s">
        <v>1978</v>
      </c>
      <c r="E2702" s="1406" t="s">
        <v>1917</v>
      </c>
      <c r="F2702" s="1698">
        <v>2233</v>
      </c>
      <c r="G2702" s="1691" t="s">
        <v>145</v>
      </c>
      <c r="H2702" s="1692">
        <v>600</v>
      </c>
      <c r="I2702" s="1693"/>
      <c r="J2702" s="1684">
        <v>10</v>
      </c>
      <c r="K2702" s="1694"/>
      <c r="L2702" s="1692">
        <v>300</v>
      </c>
      <c r="M2702" s="1693"/>
      <c r="N2702" s="1223"/>
      <c r="O2702" s="7"/>
      <c r="P2702" s="7"/>
      <c r="Q2702" s="7"/>
      <c r="R2702" s="7"/>
      <c r="S2702" s="7"/>
      <c r="T2702" s="7"/>
      <c r="U2702" s="7"/>
      <c r="V2702" s="7"/>
      <c r="W2702" s="7"/>
      <c r="X2702" s="7"/>
      <c r="Y2702" s="7"/>
      <c r="Z2702" s="7"/>
      <c r="AA2702" s="7"/>
      <c r="AB2702" s="7"/>
      <c r="AC2702" s="7"/>
      <c r="AD2702" s="7"/>
      <c r="AE2702" s="7"/>
      <c r="AF2702" s="7"/>
    </row>
    <row r="2703" spans="1:32" s="16" customFormat="1" ht="20.399999999999999">
      <c r="A2703" s="663" t="s">
        <v>1231</v>
      </c>
      <c r="B2703" s="1407" t="s">
        <v>772</v>
      </c>
      <c r="C2703" s="663" t="s">
        <v>320</v>
      </c>
      <c r="D2703" s="678" t="s">
        <v>1978</v>
      </c>
      <c r="E2703" s="1407" t="s">
        <v>1917</v>
      </c>
      <c r="F2703" s="1413">
        <v>2233</v>
      </c>
      <c r="G2703" s="1939" t="s">
        <v>1456</v>
      </c>
      <c r="H2703" s="1910"/>
      <c r="I2703" s="1683">
        <v>300</v>
      </c>
      <c r="J2703" s="1684" t="s">
        <v>1134</v>
      </c>
      <c r="K2703" s="1685"/>
      <c r="L2703" s="1910"/>
      <c r="M2703" s="2752">
        <v>0</v>
      </c>
      <c r="N2703" s="177"/>
      <c r="O2703" s="7"/>
      <c r="P2703" s="7"/>
      <c r="Q2703" s="7"/>
      <c r="R2703" s="7"/>
      <c r="S2703" s="7"/>
      <c r="T2703" s="7"/>
      <c r="U2703" s="7"/>
      <c r="V2703" s="7"/>
      <c r="W2703" s="7"/>
      <c r="X2703" s="7"/>
      <c r="Y2703" s="7"/>
      <c r="Z2703" s="7"/>
      <c r="AA2703" s="7"/>
      <c r="AB2703" s="7"/>
      <c r="AC2703" s="7"/>
      <c r="AD2703" s="7"/>
      <c r="AE2703" s="7"/>
      <c r="AF2703" s="7"/>
    </row>
    <row r="2704" spans="1:32" s="16" customFormat="1" ht="40.799999999999997">
      <c r="A2704" s="663" t="s">
        <v>1232</v>
      </c>
      <c r="B2704" s="1407" t="s">
        <v>772</v>
      </c>
      <c r="C2704" s="663" t="s">
        <v>320</v>
      </c>
      <c r="D2704" s="678" t="s">
        <v>1978</v>
      </c>
      <c r="E2704" s="1407" t="s">
        <v>1917</v>
      </c>
      <c r="F2704" s="1413">
        <v>2233</v>
      </c>
      <c r="G2704" s="1939" t="s">
        <v>1457</v>
      </c>
      <c r="H2704" s="1910"/>
      <c r="I2704" s="1683">
        <v>300</v>
      </c>
      <c r="J2704" s="1684" t="s">
        <v>1134</v>
      </c>
      <c r="K2704" s="1685"/>
      <c r="L2704" s="1910"/>
      <c r="M2704" s="1683">
        <v>300</v>
      </c>
      <c r="N2704" s="177"/>
      <c r="O2704" s="7"/>
      <c r="P2704" s="7"/>
      <c r="Q2704" s="7"/>
      <c r="R2704" s="7"/>
      <c r="S2704" s="7"/>
      <c r="T2704" s="7"/>
      <c r="U2704" s="7"/>
      <c r="V2704" s="7"/>
      <c r="W2704" s="7"/>
      <c r="X2704" s="7"/>
      <c r="Y2704" s="7"/>
      <c r="Z2704" s="7"/>
      <c r="AA2704" s="7"/>
      <c r="AB2704" s="7"/>
      <c r="AC2704" s="7"/>
      <c r="AD2704" s="7"/>
      <c r="AE2704" s="7"/>
      <c r="AF2704" s="7"/>
    </row>
    <row r="2705" spans="1:32" s="16" customFormat="1">
      <c r="A2705" s="683"/>
      <c r="B2705" s="1406" t="s">
        <v>772</v>
      </c>
      <c r="C2705" s="683" t="s">
        <v>320</v>
      </c>
      <c r="D2705" s="1678" t="s">
        <v>1978</v>
      </c>
      <c r="E2705" s="1406" t="s">
        <v>1917</v>
      </c>
      <c r="F2705" s="1698">
        <v>2239</v>
      </c>
      <c r="G2705" s="1691" t="s">
        <v>147</v>
      </c>
      <c r="H2705" s="1692">
        <v>7545.12</v>
      </c>
      <c r="I2705" s="1693"/>
      <c r="J2705" s="1684">
        <v>7172</v>
      </c>
      <c r="K2705" s="1694"/>
      <c r="L2705" s="1692">
        <v>12345.12</v>
      </c>
      <c r="M2705" s="1693"/>
      <c r="N2705" s="177"/>
      <c r="O2705" s="7"/>
      <c r="P2705" s="7"/>
      <c r="Q2705" s="7"/>
      <c r="R2705" s="7"/>
      <c r="S2705" s="7"/>
      <c r="T2705" s="7"/>
      <c r="U2705" s="7"/>
      <c r="V2705" s="7"/>
      <c r="W2705" s="7"/>
      <c r="X2705" s="7"/>
      <c r="Y2705" s="7"/>
      <c r="Z2705" s="7"/>
      <c r="AA2705" s="7"/>
      <c r="AB2705" s="7"/>
      <c r="AC2705" s="7"/>
      <c r="AD2705" s="7"/>
      <c r="AE2705" s="7"/>
      <c r="AF2705" s="7"/>
    </row>
    <row r="2706" spans="1:32" s="16" customFormat="1">
      <c r="A2706" s="663" t="s">
        <v>1231</v>
      </c>
      <c r="B2706" s="1407" t="s">
        <v>772</v>
      </c>
      <c r="C2706" s="663" t="s">
        <v>320</v>
      </c>
      <c r="D2706" s="678" t="s">
        <v>1978</v>
      </c>
      <c r="E2706" s="1407" t="s">
        <v>1917</v>
      </c>
      <c r="F2706" s="679">
        <v>2239</v>
      </c>
      <c r="G2706" s="662" t="s">
        <v>1236</v>
      </c>
      <c r="H2706" s="666"/>
      <c r="I2706" s="660">
        <v>500</v>
      </c>
      <c r="J2706" s="1494" t="s">
        <v>1134</v>
      </c>
      <c r="K2706" s="667"/>
      <c r="L2706" s="914"/>
      <c r="M2706" s="1662">
        <v>500</v>
      </c>
      <c r="N2706" s="177"/>
      <c r="O2706" s="7"/>
      <c r="P2706" s="7"/>
      <c r="Q2706" s="7"/>
      <c r="R2706" s="7"/>
      <c r="S2706" s="7"/>
      <c r="T2706" s="7"/>
      <c r="U2706" s="7"/>
      <c r="V2706" s="7"/>
      <c r="W2706" s="7"/>
      <c r="X2706" s="7"/>
      <c r="Y2706" s="7"/>
      <c r="Z2706" s="7"/>
      <c r="AA2706" s="7"/>
      <c r="AB2706" s="7"/>
      <c r="AC2706" s="7"/>
      <c r="AD2706" s="7"/>
      <c r="AE2706" s="7"/>
      <c r="AF2706" s="7"/>
    </row>
    <row r="2707" spans="1:32" s="16" customFormat="1" ht="40.799999999999997">
      <c r="A2707" s="663" t="s">
        <v>1231</v>
      </c>
      <c r="B2707" s="1407" t="s">
        <v>772</v>
      </c>
      <c r="C2707" s="663" t="s">
        <v>320</v>
      </c>
      <c r="D2707" s="678" t="s">
        <v>1978</v>
      </c>
      <c r="E2707" s="1407" t="s">
        <v>1917</v>
      </c>
      <c r="F2707" s="1413">
        <v>2239</v>
      </c>
      <c r="G2707" s="1931" t="s">
        <v>826</v>
      </c>
      <c r="H2707" s="1910"/>
      <c r="I2707" s="1683">
        <v>1000</v>
      </c>
      <c r="J2707" s="1684" t="s">
        <v>1134</v>
      </c>
      <c r="K2707" s="1685"/>
      <c r="L2707" s="1910"/>
      <c r="M2707" s="1683">
        <v>1000</v>
      </c>
      <c r="N2707" s="177"/>
      <c r="O2707" s="7"/>
      <c r="P2707" s="7"/>
      <c r="Q2707" s="7"/>
      <c r="R2707" s="7"/>
      <c r="S2707" s="7"/>
      <c r="T2707" s="7"/>
      <c r="U2707" s="7"/>
      <c r="V2707" s="7"/>
      <c r="W2707" s="7"/>
      <c r="X2707" s="7"/>
      <c r="Y2707" s="7"/>
      <c r="Z2707" s="7"/>
      <c r="AA2707" s="7"/>
      <c r="AB2707" s="7"/>
      <c r="AC2707" s="7"/>
      <c r="AD2707" s="7"/>
      <c r="AE2707" s="7"/>
      <c r="AF2707" s="7"/>
    </row>
    <row r="2708" spans="1:32" s="16" customFormat="1" ht="30.6">
      <c r="A2708" s="663" t="s">
        <v>1232</v>
      </c>
      <c r="B2708" s="1407" t="s">
        <v>772</v>
      </c>
      <c r="C2708" s="663" t="s">
        <v>320</v>
      </c>
      <c r="D2708" s="678" t="s">
        <v>1978</v>
      </c>
      <c r="E2708" s="1407" t="s">
        <v>1917</v>
      </c>
      <c r="F2708" s="679">
        <v>2239</v>
      </c>
      <c r="G2708" s="755" t="s">
        <v>827</v>
      </c>
      <c r="H2708" s="666"/>
      <c r="I2708" s="660">
        <v>500</v>
      </c>
      <c r="J2708" s="1494" t="s">
        <v>1134</v>
      </c>
      <c r="K2708" s="667"/>
      <c r="L2708" s="914"/>
      <c r="M2708" s="1662">
        <v>500</v>
      </c>
      <c r="N2708" s="655" t="s">
        <v>3865</v>
      </c>
      <c r="O2708" s="7"/>
      <c r="P2708" s="7"/>
      <c r="Q2708" s="7"/>
      <c r="R2708" s="7"/>
      <c r="S2708" s="7"/>
      <c r="T2708" s="7"/>
      <c r="U2708" s="7"/>
      <c r="V2708" s="7"/>
      <c r="W2708" s="7"/>
      <c r="X2708" s="7"/>
      <c r="Y2708" s="7"/>
      <c r="Z2708" s="7"/>
      <c r="AA2708" s="7"/>
      <c r="AB2708" s="7"/>
      <c r="AC2708" s="7"/>
      <c r="AD2708" s="7"/>
      <c r="AE2708" s="7"/>
      <c r="AF2708" s="7"/>
    </row>
    <row r="2709" spans="1:32" s="16" customFormat="1" ht="20.399999999999999">
      <c r="A2709" s="663" t="s">
        <v>1231</v>
      </c>
      <c r="B2709" s="1407" t="s">
        <v>772</v>
      </c>
      <c r="C2709" s="663" t="s">
        <v>320</v>
      </c>
      <c r="D2709" s="678" t="s">
        <v>1978</v>
      </c>
      <c r="E2709" s="1407" t="s">
        <v>1917</v>
      </c>
      <c r="F2709" s="679">
        <v>2239</v>
      </c>
      <c r="G2709" s="755" t="s">
        <v>828</v>
      </c>
      <c r="H2709" s="666"/>
      <c r="I2709" s="660">
        <v>400</v>
      </c>
      <c r="J2709" s="1494" t="s">
        <v>1134</v>
      </c>
      <c r="K2709" s="667"/>
      <c r="L2709" s="914"/>
      <c r="M2709" s="1662">
        <v>400</v>
      </c>
      <c r="N2709" s="177"/>
      <c r="O2709" s="7"/>
      <c r="P2709" s="7"/>
      <c r="Q2709" s="7"/>
      <c r="R2709" s="7"/>
      <c r="S2709" s="7"/>
      <c r="T2709" s="7"/>
      <c r="U2709" s="7"/>
      <c r="V2709" s="7"/>
      <c r="W2709" s="7"/>
      <c r="X2709" s="7"/>
      <c r="Y2709" s="7"/>
      <c r="Z2709" s="7"/>
      <c r="AA2709" s="7"/>
      <c r="AB2709" s="7"/>
      <c r="AC2709" s="7"/>
      <c r="AD2709" s="7"/>
      <c r="AE2709" s="7"/>
      <c r="AF2709" s="7"/>
    </row>
    <row r="2710" spans="1:32" s="16" customFormat="1" ht="71.400000000000006">
      <c r="A2710" s="663" t="s">
        <v>1231</v>
      </c>
      <c r="B2710" s="1407" t="s">
        <v>772</v>
      </c>
      <c r="C2710" s="663" t="s">
        <v>320</v>
      </c>
      <c r="D2710" s="678" t="s">
        <v>1978</v>
      </c>
      <c r="E2710" s="1407" t="s">
        <v>1917</v>
      </c>
      <c r="F2710" s="679">
        <v>2239</v>
      </c>
      <c r="G2710" s="1932" t="s">
        <v>4960</v>
      </c>
      <c r="H2710" s="1865"/>
      <c r="I2710" s="1676">
        <v>2000</v>
      </c>
      <c r="J2710" s="1673" t="s">
        <v>1134</v>
      </c>
      <c r="K2710" s="1706"/>
      <c r="L2710" s="1689"/>
      <c r="M2710" s="1776">
        <v>5000</v>
      </c>
      <c r="N2710" s="177"/>
      <c r="O2710" s="3"/>
      <c r="P2710" s="3"/>
      <c r="Q2710" s="3"/>
      <c r="R2710" s="3"/>
      <c r="S2710" s="3"/>
      <c r="T2710" s="3"/>
      <c r="U2710" s="3"/>
      <c r="V2710" s="3"/>
      <c r="W2710" s="3"/>
      <c r="X2710" s="3"/>
      <c r="Y2710" s="3"/>
      <c r="Z2710" s="3"/>
      <c r="AA2710" s="3"/>
      <c r="AB2710" s="3"/>
      <c r="AC2710" s="3"/>
      <c r="AD2710" s="3"/>
      <c r="AE2710" s="3"/>
      <c r="AF2710" s="3"/>
    </row>
    <row r="2711" spans="1:32" s="16" customFormat="1" ht="61.2">
      <c r="A2711" s="663" t="s">
        <v>1231</v>
      </c>
      <c r="B2711" s="1407" t="s">
        <v>772</v>
      </c>
      <c r="C2711" s="663" t="s">
        <v>320</v>
      </c>
      <c r="D2711" s="678" t="s">
        <v>1978</v>
      </c>
      <c r="E2711" s="1407" t="s">
        <v>1917</v>
      </c>
      <c r="F2711" s="679">
        <v>2239</v>
      </c>
      <c r="G2711" s="1902" t="s">
        <v>829</v>
      </c>
      <c r="H2711" s="1922"/>
      <c r="I2711" s="1776">
        <v>300</v>
      </c>
      <c r="J2711" s="1933" t="s">
        <v>1134</v>
      </c>
      <c r="K2711" s="1934"/>
      <c r="L2711" s="1922"/>
      <c r="M2711" s="1776">
        <v>300</v>
      </c>
      <c r="N2711" s="177"/>
      <c r="O2711" s="7"/>
      <c r="P2711" s="7"/>
      <c r="Q2711" s="7"/>
      <c r="R2711" s="7"/>
      <c r="S2711" s="7"/>
      <c r="T2711" s="7"/>
      <c r="U2711" s="7"/>
      <c r="V2711" s="7"/>
      <c r="W2711" s="7"/>
      <c r="X2711" s="7"/>
      <c r="Y2711" s="7"/>
      <c r="Z2711" s="7"/>
      <c r="AA2711" s="7"/>
      <c r="AB2711" s="7"/>
      <c r="AC2711" s="7"/>
      <c r="AD2711" s="7"/>
      <c r="AE2711" s="7"/>
      <c r="AF2711" s="7"/>
    </row>
    <row r="2712" spans="1:32" s="16" customFormat="1" ht="20.399999999999999">
      <c r="A2712" s="663" t="s">
        <v>1231</v>
      </c>
      <c r="B2712" s="1407" t="s">
        <v>772</v>
      </c>
      <c r="C2712" s="663" t="s">
        <v>320</v>
      </c>
      <c r="D2712" s="678" t="s">
        <v>1978</v>
      </c>
      <c r="E2712" s="1407" t="s">
        <v>1917</v>
      </c>
      <c r="F2712" s="679">
        <v>2239</v>
      </c>
      <c r="G2712" s="1902" t="s">
        <v>1458</v>
      </c>
      <c r="H2712" s="1922"/>
      <c r="I2712" s="1776">
        <v>100</v>
      </c>
      <c r="J2712" s="1933" t="s">
        <v>1134</v>
      </c>
      <c r="K2712" s="1934"/>
      <c r="L2712" s="1922"/>
      <c r="M2712" s="1776">
        <v>100</v>
      </c>
      <c r="N2712" s="177"/>
      <c r="O2712" s="7"/>
      <c r="P2712" s="7"/>
      <c r="Q2712" s="7"/>
      <c r="R2712" s="7"/>
      <c r="S2712" s="7"/>
      <c r="T2712" s="7"/>
      <c r="U2712" s="7"/>
      <c r="V2712" s="7"/>
      <c r="W2712" s="7"/>
      <c r="X2712" s="7"/>
      <c r="Y2712" s="7"/>
      <c r="Z2712" s="7"/>
      <c r="AA2712" s="7"/>
      <c r="AB2712" s="7"/>
      <c r="AC2712" s="7"/>
      <c r="AD2712" s="7"/>
      <c r="AE2712" s="7"/>
      <c r="AF2712" s="7"/>
    </row>
    <row r="2713" spans="1:32" s="16" customFormat="1">
      <c r="A2713" s="663" t="s">
        <v>1231</v>
      </c>
      <c r="B2713" s="1407" t="s">
        <v>772</v>
      </c>
      <c r="C2713" s="663" t="s">
        <v>320</v>
      </c>
      <c r="D2713" s="678" t="s">
        <v>1978</v>
      </c>
      <c r="E2713" s="1407" t="s">
        <v>1917</v>
      </c>
      <c r="F2713" s="679">
        <v>2239</v>
      </c>
      <c r="G2713" s="1935" t="s">
        <v>3858</v>
      </c>
      <c r="H2713" s="1922"/>
      <c r="I2713" s="1776">
        <v>400</v>
      </c>
      <c r="J2713" s="1933" t="s">
        <v>1134</v>
      </c>
      <c r="K2713" s="1934"/>
      <c r="L2713" s="1922"/>
      <c r="M2713" s="1776">
        <v>1000</v>
      </c>
      <c r="N2713" s="177"/>
      <c r="O2713" s="7"/>
      <c r="P2713" s="7"/>
      <c r="Q2713" s="7"/>
      <c r="R2713" s="7"/>
      <c r="S2713" s="7"/>
      <c r="T2713" s="7"/>
      <c r="U2713" s="7"/>
      <c r="V2713" s="7"/>
      <c r="W2713" s="7"/>
      <c r="X2713" s="7"/>
      <c r="Y2713" s="7"/>
      <c r="Z2713" s="7"/>
      <c r="AA2713" s="7"/>
      <c r="AB2713" s="7"/>
      <c r="AC2713" s="7"/>
      <c r="AD2713" s="7"/>
      <c r="AE2713" s="7"/>
      <c r="AF2713" s="7"/>
    </row>
    <row r="2714" spans="1:32" s="16" customFormat="1">
      <c r="A2714" s="663" t="s">
        <v>1231</v>
      </c>
      <c r="B2714" s="1407" t="s">
        <v>772</v>
      </c>
      <c r="C2714" s="663" t="s">
        <v>320</v>
      </c>
      <c r="D2714" s="678" t="s">
        <v>1978</v>
      </c>
      <c r="E2714" s="1407" t="s">
        <v>1917</v>
      </c>
      <c r="F2714" s="679">
        <v>2239</v>
      </c>
      <c r="G2714" s="1935" t="s">
        <v>3859</v>
      </c>
      <c r="H2714" s="1922"/>
      <c r="I2714" s="1776">
        <v>1000</v>
      </c>
      <c r="J2714" s="1933" t="s">
        <v>1134</v>
      </c>
      <c r="K2714" s="1934"/>
      <c r="L2714" s="1922"/>
      <c r="M2714" s="1776">
        <v>1500</v>
      </c>
      <c r="N2714" s="177"/>
      <c r="O2714" s="7"/>
      <c r="P2714" s="7"/>
      <c r="Q2714" s="7"/>
      <c r="R2714" s="7"/>
      <c r="S2714" s="7"/>
      <c r="T2714" s="7"/>
      <c r="U2714" s="7"/>
      <c r="V2714" s="7"/>
      <c r="W2714" s="7"/>
      <c r="X2714" s="7"/>
      <c r="Y2714" s="7"/>
      <c r="Z2714" s="7"/>
      <c r="AA2714" s="7"/>
      <c r="AB2714" s="7"/>
      <c r="AC2714" s="7"/>
      <c r="AD2714" s="7"/>
      <c r="AE2714" s="7"/>
    </row>
    <row r="2715" spans="1:32" s="16" customFormat="1" ht="40.799999999999997">
      <c r="A2715" s="663" t="s">
        <v>1231</v>
      </c>
      <c r="B2715" s="1407" t="s">
        <v>772</v>
      </c>
      <c r="C2715" s="663" t="s">
        <v>320</v>
      </c>
      <c r="D2715" s="678" t="s">
        <v>1978</v>
      </c>
      <c r="E2715" s="1407" t="s">
        <v>1917</v>
      </c>
      <c r="F2715" s="679">
        <v>2239</v>
      </c>
      <c r="G2715" s="674" t="s">
        <v>1237</v>
      </c>
      <c r="H2715" s="666"/>
      <c r="I2715" s="660">
        <v>1000</v>
      </c>
      <c r="J2715" s="1494" t="s">
        <v>1134</v>
      </c>
      <c r="K2715" s="667"/>
      <c r="L2715" s="914"/>
      <c r="M2715" s="659"/>
      <c r="N2715" s="1223"/>
      <c r="O2715" s="7"/>
      <c r="P2715" s="7"/>
      <c r="Q2715" s="7"/>
      <c r="R2715" s="7"/>
      <c r="S2715" s="7"/>
      <c r="T2715" s="7"/>
      <c r="U2715" s="7"/>
      <c r="V2715" s="7"/>
      <c r="W2715" s="7"/>
      <c r="X2715" s="7"/>
      <c r="Y2715" s="7"/>
      <c r="Z2715" s="7"/>
      <c r="AA2715" s="7"/>
      <c r="AB2715" s="7"/>
      <c r="AC2715" s="7"/>
      <c r="AD2715" s="7"/>
      <c r="AE2715" s="7"/>
    </row>
    <row r="2716" spans="1:32" s="16" customFormat="1">
      <c r="A2716" s="663" t="s">
        <v>1232</v>
      </c>
      <c r="B2716" s="1407" t="s">
        <v>772</v>
      </c>
      <c r="C2716" s="663" t="s">
        <v>322</v>
      </c>
      <c r="D2716" s="678" t="s">
        <v>1978</v>
      </c>
      <c r="E2716" s="1407" t="s">
        <v>1917</v>
      </c>
      <c r="F2716" s="679">
        <v>2239</v>
      </c>
      <c r="G2716" s="1902" t="s">
        <v>1235</v>
      </c>
      <c r="H2716" s="1922"/>
      <c r="I2716" s="1776">
        <v>200</v>
      </c>
      <c r="J2716" s="1933" t="s">
        <v>1134</v>
      </c>
      <c r="K2716" s="1934"/>
      <c r="L2716" s="1922"/>
      <c r="M2716" s="1776">
        <v>200</v>
      </c>
      <c r="N2716" s="1223"/>
      <c r="O2716" s="7"/>
      <c r="P2716" s="7"/>
      <c r="Q2716" s="7"/>
      <c r="R2716" s="7"/>
      <c r="S2716" s="7"/>
      <c r="T2716" s="7"/>
      <c r="U2716" s="7"/>
      <c r="V2716" s="7"/>
      <c r="W2716" s="7"/>
      <c r="X2716" s="7"/>
      <c r="Y2716" s="7"/>
      <c r="Z2716" s="7"/>
      <c r="AA2716" s="7"/>
      <c r="AB2716" s="7"/>
      <c r="AC2716" s="7"/>
      <c r="AD2716" s="7"/>
      <c r="AE2716" s="7"/>
    </row>
    <row r="2717" spans="1:32" s="16" customFormat="1" ht="30.6">
      <c r="A2717" s="663" t="s">
        <v>1232</v>
      </c>
      <c r="B2717" s="1407" t="s">
        <v>772</v>
      </c>
      <c r="C2717" s="663" t="s">
        <v>322</v>
      </c>
      <c r="D2717" s="678" t="s">
        <v>1978</v>
      </c>
      <c r="E2717" s="1407" t="s">
        <v>1917</v>
      </c>
      <c r="F2717" s="679">
        <v>2239</v>
      </c>
      <c r="G2717" s="1902" t="s">
        <v>1459</v>
      </c>
      <c r="H2717" s="1922"/>
      <c r="I2717" s="1776">
        <v>800</v>
      </c>
      <c r="J2717" s="1933" t="s">
        <v>1134</v>
      </c>
      <c r="K2717" s="1934"/>
      <c r="L2717" s="1922"/>
      <c r="M2717" s="1776">
        <v>500</v>
      </c>
      <c r="N2717" s="1223"/>
      <c r="O2717" s="3"/>
      <c r="P2717" s="3"/>
      <c r="Q2717" s="3"/>
      <c r="R2717" s="3"/>
      <c r="S2717" s="3"/>
      <c r="T2717" s="3"/>
      <c r="U2717" s="3"/>
      <c r="V2717" s="3"/>
      <c r="W2717" s="3"/>
      <c r="X2717" s="3"/>
      <c r="Y2717" s="3"/>
      <c r="Z2717" s="3"/>
      <c r="AA2717" s="3"/>
      <c r="AB2717" s="3"/>
      <c r="AC2717" s="3"/>
      <c r="AD2717" s="3"/>
      <c r="AE2717" s="3"/>
      <c r="AF2717" s="3"/>
    </row>
    <row r="2718" spans="1:32" s="16" customFormat="1" ht="20.399999999999999">
      <c r="A2718" s="663" t="s">
        <v>1232</v>
      </c>
      <c r="B2718" s="1407" t="s">
        <v>772</v>
      </c>
      <c r="C2718" s="663" t="s">
        <v>322</v>
      </c>
      <c r="D2718" s="678" t="s">
        <v>1978</v>
      </c>
      <c r="E2718" s="1407" t="s">
        <v>1917</v>
      </c>
      <c r="F2718" s="679">
        <v>2239</v>
      </c>
      <c r="G2718" s="1902" t="s">
        <v>1460</v>
      </c>
      <c r="H2718" s="1922"/>
      <c r="I2718" s="1776">
        <v>800</v>
      </c>
      <c r="J2718" s="1933" t="s">
        <v>1134</v>
      </c>
      <c r="K2718" s="1934"/>
      <c r="L2718" s="1922"/>
      <c r="M2718" s="1776">
        <v>800</v>
      </c>
      <c r="N2718" s="1223"/>
      <c r="O2718" s="7"/>
      <c r="P2718" s="7"/>
      <c r="Q2718" s="7"/>
      <c r="R2718" s="7"/>
      <c r="S2718" s="7"/>
      <c r="T2718" s="7"/>
      <c r="U2718" s="7"/>
      <c r="V2718" s="7"/>
      <c r="W2718" s="7"/>
      <c r="X2718" s="7"/>
      <c r="Y2718" s="7"/>
      <c r="Z2718" s="7"/>
      <c r="AA2718" s="7"/>
      <c r="AB2718" s="7"/>
      <c r="AC2718" s="7"/>
      <c r="AD2718" s="7"/>
      <c r="AE2718" s="7"/>
      <c r="AF2718" s="7"/>
    </row>
    <row r="2719" spans="1:32" ht="40.799999999999997">
      <c r="A2719" s="663" t="s">
        <v>1232</v>
      </c>
      <c r="B2719" s="1407" t="s">
        <v>772</v>
      </c>
      <c r="C2719" s="663" t="s">
        <v>322</v>
      </c>
      <c r="D2719" s="678" t="s">
        <v>1978</v>
      </c>
      <c r="E2719" s="1407" t="s">
        <v>1917</v>
      </c>
      <c r="F2719" s="679">
        <v>2239</v>
      </c>
      <c r="G2719" s="1902" t="s">
        <v>1461</v>
      </c>
      <c r="H2719" s="1922"/>
      <c r="I2719" s="1776">
        <v>500</v>
      </c>
      <c r="J2719" s="1933" t="s">
        <v>1134</v>
      </c>
      <c r="K2719" s="1934"/>
      <c r="L2719" s="1922"/>
      <c r="M2719" s="1776">
        <v>500</v>
      </c>
      <c r="N2719" s="1223"/>
      <c r="O2719" s="187"/>
      <c r="P2719" s="187"/>
      <c r="Q2719" s="187"/>
    </row>
    <row r="2720" spans="1:32">
      <c r="A2720" s="663" t="s">
        <v>1232</v>
      </c>
      <c r="B2720" s="1407" t="s">
        <v>772</v>
      </c>
      <c r="C2720" s="663" t="s">
        <v>322</v>
      </c>
      <c r="D2720" s="678" t="s">
        <v>1978</v>
      </c>
      <c r="E2720" s="1407" t="s">
        <v>1917</v>
      </c>
      <c r="F2720" s="679">
        <v>2239</v>
      </c>
      <c r="G2720" s="664" t="s">
        <v>259</v>
      </c>
      <c r="H2720" s="666"/>
      <c r="I2720" s="660">
        <v>500</v>
      </c>
      <c r="J2720" s="1494" t="s">
        <v>1134</v>
      </c>
      <c r="K2720" s="667"/>
      <c r="L2720" s="914"/>
      <c r="M2720" s="659"/>
      <c r="N2720" s="1223"/>
      <c r="O2720" s="187"/>
      <c r="P2720" s="187"/>
      <c r="Q2720" s="187"/>
    </row>
    <row r="2721" spans="1:17">
      <c r="A2721" s="663" t="s">
        <v>1232</v>
      </c>
      <c r="B2721" s="1407" t="s">
        <v>772</v>
      </c>
      <c r="C2721" s="663" t="s">
        <v>322</v>
      </c>
      <c r="D2721" s="678" t="s">
        <v>1978</v>
      </c>
      <c r="E2721" s="1407" t="s">
        <v>1917</v>
      </c>
      <c r="F2721" s="679">
        <v>2239</v>
      </c>
      <c r="G2721" s="1760" t="s">
        <v>2206</v>
      </c>
      <c r="H2721" s="1922"/>
      <c r="I2721" s="1776">
        <v>100</v>
      </c>
      <c r="J2721" s="1933" t="s">
        <v>1134</v>
      </c>
      <c r="K2721" s="1934"/>
      <c r="L2721" s="1922"/>
      <c r="M2721" s="1776">
        <v>0</v>
      </c>
      <c r="N2721" s="1223"/>
      <c r="O2721" s="187"/>
      <c r="P2721" s="187"/>
      <c r="Q2721" s="187"/>
    </row>
    <row r="2722" spans="1:17">
      <c r="A2722" s="663" t="s">
        <v>1232</v>
      </c>
      <c r="B2722" s="1407" t="s">
        <v>772</v>
      </c>
      <c r="C2722" s="663" t="s">
        <v>322</v>
      </c>
      <c r="D2722" s="678" t="s">
        <v>1978</v>
      </c>
      <c r="E2722" s="1407" t="s">
        <v>1917</v>
      </c>
      <c r="F2722" s="1413">
        <v>2239</v>
      </c>
      <c r="G2722" s="1938" t="s">
        <v>743</v>
      </c>
      <c r="H2722" s="1917"/>
      <c r="I2722" s="1713">
        <v>45.12</v>
      </c>
      <c r="J2722" s="1684" t="s">
        <v>1134</v>
      </c>
      <c r="K2722" s="1918"/>
      <c r="L2722" s="1917"/>
      <c r="M2722" s="1713">
        <v>45.12</v>
      </c>
      <c r="N2722" s="1223"/>
      <c r="O2722" s="187"/>
      <c r="P2722" s="187"/>
      <c r="Q2722" s="187"/>
    </row>
    <row r="2723" spans="1:17" ht="30.6">
      <c r="A2723" s="663" t="s">
        <v>1232</v>
      </c>
      <c r="B2723" s="1407" t="s">
        <v>772</v>
      </c>
      <c r="C2723" s="663" t="s">
        <v>322</v>
      </c>
      <c r="D2723" s="678" t="s">
        <v>1978</v>
      </c>
      <c r="E2723" s="1407" t="s">
        <v>1917</v>
      </c>
      <c r="F2723" s="679">
        <v>2239</v>
      </c>
      <c r="G2723" s="1937" t="s">
        <v>2207</v>
      </c>
      <c r="H2723" s="1922"/>
      <c r="I2723" s="1776">
        <v>200</v>
      </c>
      <c r="J2723" s="1933" t="s">
        <v>1134</v>
      </c>
      <c r="K2723" s="1934"/>
      <c r="L2723" s="1922"/>
      <c r="M2723" s="1776">
        <v>0</v>
      </c>
      <c r="N2723" s="1223"/>
      <c r="O2723" s="187"/>
      <c r="P2723" s="187"/>
      <c r="Q2723" s="187"/>
    </row>
    <row r="2724" spans="1:17" ht="20.399999999999999">
      <c r="A2724" s="663" t="s">
        <v>1232</v>
      </c>
      <c r="B2724" s="1407" t="s">
        <v>772</v>
      </c>
      <c r="C2724" s="663" t="s">
        <v>322</v>
      </c>
      <c r="D2724" s="678" t="s">
        <v>1978</v>
      </c>
      <c r="E2724" s="1407" t="s">
        <v>1917</v>
      </c>
      <c r="F2724" s="679">
        <v>2239</v>
      </c>
      <c r="G2724" s="664" t="s">
        <v>2208</v>
      </c>
      <c r="H2724" s="666"/>
      <c r="I2724" s="660">
        <v>300</v>
      </c>
      <c r="J2724" s="1494" t="s">
        <v>1134</v>
      </c>
      <c r="K2724" s="667"/>
      <c r="L2724" s="914"/>
      <c r="M2724" s="659"/>
      <c r="N2724" s="1223"/>
      <c r="O2724" s="187"/>
      <c r="P2724" s="187"/>
      <c r="Q2724" s="187"/>
    </row>
    <row r="2725" spans="1:17" ht="20.399999999999999">
      <c r="A2725" s="603"/>
      <c r="B2725" s="1407" t="s">
        <v>772</v>
      </c>
      <c r="C2725" s="663" t="s">
        <v>322</v>
      </c>
      <c r="D2725" s="678" t="s">
        <v>1978</v>
      </c>
      <c r="E2725" s="1407" t="s">
        <v>1917</v>
      </c>
      <c r="F2725" s="679">
        <v>2239</v>
      </c>
      <c r="G2725" s="1120" t="s">
        <v>3049</v>
      </c>
      <c r="H2725" s="1131"/>
      <c r="I2725" s="1130">
        <v>-300</v>
      </c>
      <c r="J2725" s="1494" t="s">
        <v>1134</v>
      </c>
      <c r="K2725" s="1132"/>
      <c r="L2725" s="1459"/>
      <c r="M2725" s="1115"/>
      <c r="N2725" s="1223"/>
      <c r="O2725" s="187"/>
      <c r="P2725" s="187"/>
      <c r="Q2725" s="187"/>
    </row>
    <row r="2726" spans="1:17" ht="20.399999999999999">
      <c r="A2726" s="603"/>
      <c r="B2726" s="1407" t="s">
        <v>772</v>
      </c>
      <c r="C2726" s="663" t="s">
        <v>322</v>
      </c>
      <c r="D2726" s="678" t="s">
        <v>1978</v>
      </c>
      <c r="E2726" s="1407" t="s">
        <v>1917</v>
      </c>
      <c r="F2726" s="679">
        <v>2239</v>
      </c>
      <c r="G2726" s="1120" t="s">
        <v>3050</v>
      </c>
      <c r="H2726" s="1131"/>
      <c r="I2726" s="1130">
        <v>-200</v>
      </c>
      <c r="J2726" s="1494" t="s">
        <v>1134</v>
      </c>
      <c r="K2726" s="1132"/>
      <c r="L2726" s="1459"/>
      <c r="M2726" s="1115"/>
      <c r="N2726" s="125"/>
      <c r="O2726" s="187"/>
      <c r="P2726" s="187"/>
      <c r="Q2726" s="187"/>
    </row>
    <row r="2727" spans="1:17" ht="20.399999999999999">
      <c r="A2727" s="603"/>
      <c r="B2727" s="1407" t="s">
        <v>772</v>
      </c>
      <c r="C2727" s="663" t="s">
        <v>322</v>
      </c>
      <c r="D2727" s="678" t="s">
        <v>1978</v>
      </c>
      <c r="E2727" s="1407" t="s">
        <v>1917</v>
      </c>
      <c r="F2727" s="679">
        <v>2239</v>
      </c>
      <c r="G2727" s="1120" t="s">
        <v>3051</v>
      </c>
      <c r="H2727" s="1131"/>
      <c r="I2727" s="1130">
        <v>-500</v>
      </c>
      <c r="J2727" s="1494" t="s">
        <v>1134</v>
      </c>
      <c r="K2727" s="1132"/>
      <c r="L2727" s="1459"/>
      <c r="M2727" s="1115"/>
      <c r="N2727" s="125"/>
      <c r="O2727" s="187"/>
      <c r="P2727" s="187"/>
      <c r="Q2727" s="187"/>
    </row>
    <row r="2728" spans="1:17" ht="20.399999999999999">
      <c r="A2728" s="663" t="s">
        <v>1232</v>
      </c>
      <c r="B2728" s="1407" t="s">
        <v>772</v>
      </c>
      <c r="C2728" s="663" t="s">
        <v>322</v>
      </c>
      <c r="D2728" s="678" t="s">
        <v>1978</v>
      </c>
      <c r="E2728" s="1407" t="s">
        <v>1917</v>
      </c>
      <c r="F2728" s="679">
        <v>2239</v>
      </c>
      <c r="G2728" s="664" t="s">
        <v>1462</v>
      </c>
      <c r="H2728" s="666"/>
      <c r="I2728" s="660"/>
      <c r="J2728" s="1494" t="s">
        <v>1134</v>
      </c>
      <c r="K2728" s="667"/>
      <c r="L2728" s="914"/>
      <c r="M2728" s="659"/>
      <c r="N2728" s="177"/>
      <c r="O2728" s="187"/>
      <c r="P2728" s="187"/>
      <c r="Q2728" s="187"/>
    </row>
    <row r="2729" spans="1:17" ht="51">
      <c r="A2729" s="663" t="s">
        <v>1232</v>
      </c>
      <c r="B2729" s="1407" t="s">
        <v>772</v>
      </c>
      <c r="C2729" s="663" t="s">
        <v>322</v>
      </c>
      <c r="D2729" s="678" t="s">
        <v>1978</v>
      </c>
      <c r="E2729" s="1407" t="s">
        <v>1917</v>
      </c>
      <c r="F2729" s="679">
        <v>2239</v>
      </c>
      <c r="G2729" s="664" t="s">
        <v>3291</v>
      </c>
      <c r="H2729" s="660"/>
      <c r="I2729" s="660">
        <v>-2000</v>
      </c>
      <c r="J2729" s="1494" t="s">
        <v>1134</v>
      </c>
      <c r="K2729" s="667"/>
      <c r="L2729" s="659"/>
      <c r="M2729" s="659"/>
      <c r="N2729" s="177"/>
      <c r="O2729" s="187"/>
      <c r="P2729" s="187"/>
      <c r="Q2729" s="187"/>
    </row>
    <row r="2730" spans="1:17">
      <c r="A2730" s="683" t="s">
        <v>1232</v>
      </c>
      <c r="B2730" s="3129" t="s">
        <v>365</v>
      </c>
      <c r="C2730" s="683" t="s">
        <v>320</v>
      </c>
      <c r="D2730" s="719" t="s">
        <v>1978</v>
      </c>
      <c r="E2730" s="1406" t="s">
        <v>1917</v>
      </c>
      <c r="F2730" s="685">
        <v>2239</v>
      </c>
      <c r="G2730" s="686" t="s">
        <v>147</v>
      </c>
      <c r="H2730" s="689">
        <v>0</v>
      </c>
      <c r="I2730" s="799"/>
      <c r="J2730" s="1494" t="s">
        <v>1134</v>
      </c>
      <c r="K2730" s="727"/>
      <c r="L2730" s="1661">
        <v>0</v>
      </c>
      <c r="M2730" s="1682"/>
      <c r="N2730" s="177"/>
      <c r="O2730" s="187"/>
      <c r="P2730" s="187"/>
      <c r="Q2730" s="187"/>
    </row>
    <row r="2731" spans="1:17" s="16" customFormat="1" ht="61.2">
      <c r="A2731" s="663" t="s">
        <v>1232</v>
      </c>
      <c r="B2731" s="3130" t="s">
        <v>365</v>
      </c>
      <c r="C2731" s="663" t="s">
        <v>320</v>
      </c>
      <c r="D2731" s="678" t="s">
        <v>1978</v>
      </c>
      <c r="E2731" s="1407" t="s">
        <v>1917</v>
      </c>
      <c r="F2731" s="679">
        <v>2239</v>
      </c>
      <c r="G2731" s="664" t="s">
        <v>2201</v>
      </c>
      <c r="H2731" s="660"/>
      <c r="I2731" s="660">
        <v>6000</v>
      </c>
      <c r="J2731" s="1494" t="s">
        <v>1134</v>
      </c>
      <c r="K2731" s="667"/>
      <c r="L2731" s="1662"/>
      <c r="M2731" s="1662"/>
      <c r="N2731" s="655" t="s">
        <v>3869</v>
      </c>
      <c r="O2731" s="7"/>
      <c r="P2731" s="7"/>
      <c r="Q2731" s="7"/>
    </row>
    <row r="2732" spans="1:17" ht="40.799999999999997">
      <c r="A2732" s="663" t="s">
        <v>1232</v>
      </c>
      <c r="B2732" s="3130" t="s">
        <v>365</v>
      </c>
      <c r="C2732" s="663" t="s">
        <v>320</v>
      </c>
      <c r="D2732" s="678" t="s">
        <v>1978</v>
      </c>
      <c r="E2732" s="1407" t="s">
        <v>1917</v>
      </c>
      <c r="F2732" s="679">
        <v>2239</v>
      </c>
      <c r="G2732" s="1120" t="s">
        <v>3246</v>
      </c>
      <c r="H2732" s="1130"/>
      <c r="I2732" s="1130">
        <v>-6000</v>
      </c>
      <c r="J2732" s="1494" t="s">
        <v>1134</v>
      </c>
      <c r="K2732" s="1132"/>
      <c r="L2732" s="1680"/>
      <c r="M2732" s="1680"/>
      <c r="N2732" s="1223"/>
      <c r="O2732" s="187"/>
      <c r="P2732" s="187"/>
      <c r="Q2732" s="187"/>
    </row>
    <row r="2733" spans="1:17" s="16" customFormat="1" ht="20.399999999999999">
      <c r="A2733" s="683"/>
      <c r="B2733" s="1406" t="s">
        <v>772</v>
      </c>
      <c r="C2733" s="683" t="s">
        <v>320</v>
      </c>
      <c r="D2733" s="719" t="s">
        <v>1978</v>
      </c>
      <c r="E2733" s="1406" t="s">
        <v>1917</v>
      </c>
      <c r="F2733" s="1698">
        <v>2243</v>
      </c>
      <c r="G2733" s="1691" t="s">
        <v>198</v>
      </c>
      <c r="H2733" s="1693">
        <v>600</v>
      </c>
      <c r="I2733" s="1693"/>
      <c r="J2733" s="1684">
        <v>0</v>
      </c>
      <c r="K2733" s="1694"/>
      <c r="L2733" s="1693">
        <v>600</v>
      </c>
      <c r="M2733" s="1693"/>
      <c r="N2733" s="1224"/>
      <c r="O2733" s="7"/>
      <c r="P2733" s="7"/>
      <c r="Q2733" s="7"/>
    </row>
    <row r="2734" spans="1:17" s="16" customFormat="1">
      <c r="A2734" s="663" t="s">
        <v>1231</v>
      </c>
      <c r="B2734" s="1407" t="s">
        <v>772</v>
      </c>
      <c r="C2734" s="663" t="s">
        <v>320</v>
      </c>
      <c r="D2734" s="678" t="s">
        <v>1978</v>
      </c>
      <c r="E2734" s="1407" t="s">
        <v>1917</v>
      </c>
      <c r="F2734" s="1413">
        <v>2243</v>
      </c>
      <c r="G2734" s="1939" t="s">
        <v>830</v>
      </c>
      <c r="H2734" s="1869"/>
      <c r="I2734" s="1700">
        <v>500</v>
      </c>
      <c r="J2734" s="1701" t="s">
        <v>1134</v>
      </c>
      <c r="K2734" s="1702"/>
      <c r="L2734" s="1869"/>
      <c r="M2734" s="1700">
        <v>500</v>
      </c>
      <c r="N2734" s="177"/>
      <c r="O2734" s="7"/>
      <c r="P2734" s="7"/>
      <c r="Q2734" s="7"/>
    </row>
    <row r="2735" spans="1:17" s="16" customFormat="1">
      <c r="A2735" s="663"/>
      <c r="B2735" s="1407" t="s">
        <v>772</v>
      </c>
      <c r="C2735" s="663" t="s">
        <v>320</v>
      </c>
      <c r="D2735" s="678" t="s">
        <v>1978</v>
      </c>
      <c r="E2735" s="1407" t="s">
        <v>1917</v>
      </c>
      <c r="F2735" s="1413">
        <v>2243</v>
      </c>
      <c r="G2735" s="1699" t="s">
        <v>1476</v>
      </c>
      <c r="H2735" s="1869"/>
      <c r="I2735" s="1700">
        <v>100</v>
      </c>
      <c r="J2735" s="1701" t="s">
        <v>1134</v>
      </c>
      <c r="K2735" s="1702"/>
      <c r="L2735" s="1869"/>
      <c r="M2735" s="1700">
        <v>100</v>
      </c>
      <c r="N2735" s="655"/>
      <c r="O2735" s="7"/>
      <c r="P2735" s="7"/>
      <c r="Q2735" s="7"/>
    </row>
    <row r="2736" spans="1:17" s="16" customFormat="1">
      <c r="A2736" s="683"/>
      <c r="B2736" s="1406" t="s">
        <v>772</v>
      </c>
      <c r="C2736" s="683" t="s">
        <v>320</v>
      </c>
      <c r="D2736" s="719" t="s">
        <v>1978</v>
      </c>
      <c r="E2736" s="1406" t="s">
        <v>1917</v>
      </c>
      <c r="F2736" s="685">
        <v>2244</v>
      </c>
      <c r="G2736" s="686" t="s">
        <v>330</v>
      </c>
      <c r="H2736" s="799">
        <v>600</v>
      </c>
      <c r="I2736" s="799"/>
      <c r="J2736" s="1494">
        <v>12</v>
      </c>
      <c r="K2736" s="727"/>
      <c r="L2736" s="1693">
        <v>600</v>
      </c>
      <c r="M2736" s="1693"/>
      <c r="N2736" s="1223"/>
      <c r="O2736" s="7"/>
      <c r="P2736" s="7"/>
      <c r="Q2736" s="7"/>
    </row>
    <row r="2737" spans="1:17">
      <c r="A2737" s="663" t="s">
        <v>1232</v>
      </c>
      <c r="B2737" s="1407" t="s">
        <v>772</v>
      </c>
      <c r="C2737" s="663" t="s">
        <v>320</v>
      </c>
      <c r="D2737" s="678" t="s">
        <v>1978</v>
      </c>
      <c r="E2737" s="1407" t="s">
        <v>1917</v>
      </c>
      <c r="F2737" s="679">
        <v>2244</v>
      </c>
      <c r="G2737" s="662" t="s">
        <v>831</v>
      </c>
      <c r="H2737" s="666"/>
      <c r="I2737" s="660">
        <v>200</v>
      </c>
      <c r="J2737" s="1494" t="s">
        <v>1134</v>
      </c>
      <c r="K2737" s="667"/>
      <c r="L2737" s="1910"/>
      <c r="M2737" s="1683">
        <v>200</v>
      </c>
      <c r="N2737" s="1224"/>
      <c r="O2737" s="187"/>
      <c r="P2737" s="187"/>
      <c r="Q2737" s="187"/>
    </row>
    <row r="2738" spans="1:17">
      <c r="A2738" s="700" t="s">
        <v>709</v>
      </c>
      <c r="B2738" s="1407" t="s">
        <v>772</v>
      </c>
      <c r="C2738" s="700" t="s">
        <v>320</v>
      </c>
      <c r="D2738" s="794" t="s">
        <v>1978</v>
      </c>
      <c r="E2738" s="1407" t="s">
        <v>1917</v>
      </c>
      <c r="F2738" s="795">
        <v>2244</v>
      </c>
      <c r="G2738" s="1351" t="s">
        <v>2922</v>
      </c>
      <c r="H2738" s="922"/>
      <c r="I2738" s="701">
        <v>400</v>
      </c>
      <c r="J2738" s="1494" t="s">
        <v>1134</v>
      </c>
      <c r="K2738" s="792"/>
      <c r="L2738" s="1910"/>
      <c r="M2738" s="1683">
        <v>400</v>
      </c>
      <c r="N2738" s="1224"/>
      <c r="O2738" s="187"/>
      <c r="P2738" s="187"/>
      <c r="Q2738" s="187"/>
    </row>
    <row r="2739" spans="1:17">
      <c r="A2739" s="683"/>
      <c r="B2739" s="1406" t="s">
        <v>772</v>
      </c>
      <c r="C2739" s="683" t="s">
        <v>320</v>
      </c>
      <c r="D2739" s="719" t="s">
        <v>1978</v>
      </c>
      <c r="E2739" s="1406" t="s">
        <v>1917</v>
      </c>
      <c r="F2739" s="685">
        <v>2247</v>
      </c>
      <c r="G2739" s="686" t="s">
        <v>161</v>
      </c>
      <c r="H2739" s="799">
        <v>1205</v>
      </c>
      <c r="I2739" s="799"/>
      <c r="J2739" s="1494">
        <v>643</v>
      </c>
      <c r="K2739" s="727"/>
      <c r="L2739" s="1682">
        <v>1000</v>
      </c>
      <c r="M2739" s="1682"/>
      <c r="N2739" s="1223"/>
      <c r="O2739" s="187"/>
      <c r="P2739" s="187"/>
      <c r="Q2739" s="187"/>
    </row>
    <row r="2740" spans="1:17">
      <c r="A2740" s="663"/>
      <c r="B2740" s="1407" t="s">
        <v>772</v>
      </c>
      <c r="C2740" s="663" t="s">
        <v>320</v>
      </c>
      <c r="D2740" s="678" t="s">
        <v>1978</v>
      </c>
      <c r="E2740" s="1407" t="s">
        <v>1917</v>
      </c>
      <c r="F2740" s="679">
        <v>2247</v>
      </c>
      <c r="G2740" s="662" t="s">
        <v>1266</v>
      </c>
      <c r="H2740" s="666"/>
      <c r="I2740" s="660">
        <v>205</v>
      </c>
      <c r="J2740" s="1494" t="s">
        <v>1134</v>
      </c>
      <c r="K2740" s="667"/>
      <c r="L2740" s="1908"/>
      <c r="M2740" s="1662"/>
      <c r="N2740" s="1224"/>
      <c r="O2740" s="187"/>
      <c r="P2740" s="187"/>
      <c r="Q2740" s="187"/>
    </row>
    <row r="2741" spans="1:17">
      <c r="A2741" s="663"/>
      <c r="B2741" s="1407" t="s">
        <v>772</v>
      </c>
      <c r="C2741" s="663" t="s">
        <v>320</v>
      </c>
      <c r="D2741" s="678" t="s">
        <v>1978</v>
      </c>
      <c r="E2741" s="1407" t="s">
        <v>1917</v>
      </c>
      <c r="F2741" s="679">
        <v>2247</v>
      </c>
      <c r="G2741" s="662" t="s">
        <v>1464</v>
      </c>
      <c r="H2741" s="666"/>
      <c r="I2741" s="660">
        <v>1000</v>
      </c>
      <c r="J2741" s="1494" t="s">
        <v>1134</v>
      </c>
      <c r="K2741" s="667"/>
      <c r="L2741" s="1908"/>
      <c r="M2741" s="1662">
        <v>1000</v>
      </c>
      <c r="N2741" s="177"/>
      <c r="O2741" s="187"/>
      <c r="P2741" s="187"/>
      <c r="Q2741" s="187"/>
    </row>
    <row r="2742" spans="1:17" ht="20.399999999999999">
      <c r="A2742" s="663"/>
      <c r="B2742" s="1407" t="s">
        <v>772</v>
      </c>
      <c r="C2742" s="663" t="s">
        <v>320</v>
      </c>
      <c r="D2742" s="678" t="s">
        <v>1978</v>
      </c>
      <c r="E2742" s="1407" t="s">
        <v>1917</v>
      </c>
      <c r="F2742" s="679">
        <v>2247</v>
      </c>
      <c r="G2742" s="933" t="s">
        <v>2001</v>
      </c>
      <c r="H2742" s="660"/>
      <c r="I2742" s="660"/>
      <c r="J2742" s="1494" t="s">
        <v>1134</v>
      </c>
      <c r="K2742" s="727"/>
      <c r="L2742" s="1662"/>
      <c r="M2742" s="1662"/>
      <c r="N2742" s="1224" t="s">
        <v>3871</v>
      </c>
      <c r="O2742" s="187"/>
      <c r="P2742" s="187"/>
      <c r="Q2742" s="187"/>
    </row>
    <row r="2743" spans="1:17" ht="20.399999999999999">
      <c r="A2743" s="683"/>
      <c r="B2743" s="1406" t="s">
        <v>772</v>
      </c>
      <c r="C2743" s="683" t="s">
        <v>320</v>
      </c>
      <c r="D2743" s="719" t="s">
        <v>1978</v>
      </c>
      <c r="E2743" s="1406" t="s">
        <v>1917</v>
      </c>
      <c r="F2743" s="685">
        <v>2249</v>
      </c>
      <c r="G2743" s="686" t="s">
        <v>747</v>
      </c>
      <c r="H2743" s="799">
        <v>900</v>
      </c>
      <c r="I2743" s="799"/>
      <c r="J2743" s="1494">
        <v>0</v>
      </c>
      <c r="K2743" s="727"/>
      <c r="L2743" s="1682">
        <v>1500</v>
      </c>
      <c r="M2743" s="1682"/>
      <c r="N2743" s="1223"/>
      <c r="O2743" s="187"/>
      <c r="P2743" s="187"/>
      <c r="Q2743" s="187"/>
    </row>
    <row r="2744" spans="1:17" ht="20.399999999999999">
      <c r="A2744" s="663"/>
      <c r="B2744" s="1407" t="s">
        <v>772</v>
      </c>
      <c r="C2744" s="663" t="s">
        <v>320</v>
      </c>
      <c r="D2744" s="678" t="s">
        <v>1978</v>
      </c>
      <c r="E2744" s="1407" t="s">
        <v>1917</v>
      </c>
      <c r="F2744" s="679">
        <v>2249</v>
      </c>
      <c r="G2744" s="1936" t="s">
        <v>1465</v>
      </c>
      <c r="H2744" s="666"/>
      <c r="I2744" s="660">
        <v>800</v>
      </c>
      <c r="J2744" s="1494" t="s">
        <v>1134</v>
      </c>
      <c r="K2744" s="667"/>
      <c r="L2744" s="1908"/>
      <c r="M2744" s="1662">
        <v>1000</v>
      </c>
      <c r="N2744" s="1224" t="s">
        <v>3872</v>
      </c>
      <c r="O2744" s="187"/>
      <c r="P2744" s="187"/>
      <c r="Q2744" s="187"/>
    </row>
    <row r="2745" spans="1:17" ht="20.399999999999999">
      <c r="A2745" s="1669"/>
      <c r="B2745" s="1407" t="s">
        <v>772</v>
      </c>
      <c r="C2745" s="663" t="s">
        <v>320</v>
      </c>
      <c r="D2745" s="678" t="s">
        <v>1978</v>
      </c>
      <c r="E2745" s="1407" t="s">
        <v>1917</v>
      </c>
      <c r="F2745" s="679">
        <v>2249</v>
      </c>
      <c r="G2745" s="1936" t="s">
        <v>4961</v>
      </c>
      <c r="H2745" s="1865"/>
      <c r="I2745" s="1676"/>
      <c r="J2745" s="1673"/>
      <c r="K2745" s="1706"/>
      <c r="L2745" s="1922"/>
      <c r="M2745" s="1776">
        <v>300</v>
      </c>
      <c r="N2745" s="1224"/>
      <c r="O2745" s="187"/>
      <c r="P2745" s="187"/>
      <c r="Q2745" s="187"/>
    </row>
    <row r="2746" spans="1:17" ht="30.6">
      <c r="A2746" s="663" t="s">
        <v>1232</v>
      </c>
      <c r="B2746" s="1407" t="s">
        <v>772</v>
      </c>
      <c r="C2746" s="663" t="s">
        <v>322</v>
      </c>
      <c r="D2746" s="678" t="s">
        <v>1978</v>
      </c>
      <c r="E2746" s="1407" t="s">
        <v>1917</v>
      </c>
      <c r="F2746" s="679">
        <v>2249</v>
      </c>
      <c r="G2746" s="1760" t="s">
        <v>2206</v>
      </c>
      <c r="H2746" s="1922"/>
      <c r="I2746" s="1776">
        <v>100</v>
      </c>
      <c r="J2746" s="1933" t="s">
        <v>1134</v>
      </c>
      <c r="K2746" s="1934"/>
      <c r="L2746" s="1922"/>
      <c r="M2746" s="1776">
        <v>200</v>
      </c>
      <c r="N2746" s="359" t="s">
        <v>3874</v>
      </c>
      <c r="O2746" s="7"/>
      <c r="P2746" s="7"/>
      <c r="Q2746" s="7"/>
    </row>
    <row r="2747" spans="1:17">
      <c r="A2747" s="683"/>
      <c r="B2747" s="1406" t="s">
        <v>772</v>
      </c>
      <c r="C2747" s="683" t="s">
        <v>320</v>
      </c>
      <c r="D2747" s="719" t="s">
        <v>1978</v>
      </c>
      <c r="E2747" s="1406" t="s">
        <v>1917</v>
      </c>
      <c r="F2747" s="685">
        <v>2250</v>
      </c>
      <c r="G2747" s="686" t="s">
        <v>778</v>
      </c>
      <c r="H2747" s="799">
        <v>684</v>
      </c>
      <c r="I2747" s="799"/>
      <c r="J2747" s="1494">
        <v>683.9</v>
      </c>
      <c r="K2747" s="727"/>
      <c r="L2747" s="1682">
        <v>934</v>
      </c>
      <c r="M2747" s="1682"/>
      <c r="N2747" s="7"/>
      <c r="O2747" s="7"/>
      <c r="P2747" s="7"/>
      <c r="Q2747" s="7"/>
    </row>
    <row r="2748" spans="1:17" ht="30.6">
      <c r="A2748" s="663"/>
      <c r="B2748" s="1407" t="s">
        <v>772</v>
      </c>
      <c r="C2748" s="663" t="s">
        <v>320</v>
      </c>
      <c r="D2748" s="678" t="s">
        <v>1978</v>
      </c>
      <c r="E2748" s="1407" t="s">
        <v>1917</v>
      </c>
      <c r="F2748" s="679">
        <v>2250</v>
      </c>
      <c r="G2748" s="1902" t="s">
        <v>2831</v>
      </c>
      <c r="H2748" s="1922"/>
      <c r="I2748" s="1776">
        <v>684</v>
      </c>
      <c r="J2748" s="1933" t="s">
        <v>1134</v>
      </c>
      <c r="K2748" s="1934"/>
      <c r="L2748" s="1922"/>
      <c r="M2748" s="1776">
        <v>684</v>
      </c>
      <c r="N2748" s="7"/>
      <c r="O2748" s="187"/>
      <c r="P2748" s="187"/>
      <c r="Q2748" s="187"/>
    </row>
    <row r="2749" spans="1:17" ht="20.399999999999999">
      <c r="A2749" s="1669"/>
      <c r="B2749" s="1407" t="s">
        <v>772</v>
      </c>
      <c r="C2749" s="663" t="s">
        <v>320</v>
      </c>
      <c r="D2749" s="678" t="s">
        <v>1978</v>
      </c>
      <c r="E2749" s="1407" t="s">
        <v>1917</v>
      </c>
      <c r="F2749" s="679">
        <v>2250</v>
      </c>
      <c r="G2749" s="1940" t="s">
        <v>3863</v>
      </c>
      <c r="H2749" s="1922"/>
      <c r="I2749" s="1776">
        <v>0</v>
      </c>
      <c r="J2749" s="1933"/>
      <c r="K2749" s="1934"/>
      <c r="L2749" s="1922"/>
      <c r="M2749" s="1776">
        <v>250</v>
      </c>
      <c r="N2749" s="1224"/>
      <c r="O2749" s="187"/>
      <c r="P2749" s="187"/>
      <c r="Q2749" s="187"/>
    </row>
    <row r="2750" spans="1:17">
      <c r="A2750" s="683"/>
      <c r="B2750" s="1406" t="s">
        <v>772</v>
      </c>
      <c r="C2750" s="683" t="s">
        <v>320</v>
      </c>
      <c r="D2750" s="719" t="s">
        <v>1978</v>
      </c>
      <c r="E2750" s="1406" t="s">
        <v>1917</v>
      </c>
      <c r="F2750" s="1698">
        <v>2264</v>
      </c>
      <c r="G2750" s="1691" t="s">
        <v>125</v>
      </c>
      <c r="H2750" s="1693">
        <v>150</v>
      </c>
      <c r="I2750" s="1693"/>
      <c r="J2750" s="1684">
        <v>69.67</v>
      </c>
      <c r="K2750" s="1694"/>
      <c r="L2750" s="1693">
        <v>150</v>
      </c>
      <c r="M2750" s="1693"/>
      <c r="N2750" s="1224"/>
      <c r="O2750" s="187"/>
      <c r="P2750" s="187"/>
      <c r="Q2750" s="187"/>
    </row>
    <row r="2751" spans="1:17">
      <c r="A2751" s="663"/>
      <c r="B2751" s="1407" t="s">
        <v>772</v>
      </c>
      <c r="C2751" s="663" t="s">
        <v>320</v>
      </c>
      <c r="D2751" s="678" t="s">
        <v>1978</v>
      </c>
      <c r="E2751" s="1407" t="s">
        <v>1917</v>
      </c>
      <c r="F2751" s="1413">
        <v>2264</v>
      </c>
      <c r="G2751" s="1931" t="s">
        <v>1466</v>
      </c>
      <c r="H2751" s="1910"/>
      <c r="I2751" s="1683">
        <v>150</v>
      </c>
      <c r="J2751" s="1684" t="s">
        <v>1134</v>
      </c>
      <c r="K2751" s="1685"/>
      <c r="L2751" s="1910"/>
      <c r="M2751" s="1683">
        <v>150</v>
      </c>
      <c r="N2751" s="1224"/>
      <c r="O2751" s="7"/>
      <c r="P2751" s="7"/>
      <c r="Q2751" s="7"/>
    </row>
    <row r="2752" spans="1:17">
      <c r="A2752" s="683"/>
      <c r="B2752" s="1406" t="s">
        <v>772</v>
      </c>
      <c r="C2752" s="683" t="s">
        <v>320</v>
      </c>
      <c r="D2752" s="719" t="s">
        <v>1978</v>
      </c>
      <c r="E2752" s="1406" t="s">
        <v>1917</v>
      </c>
      <c r="F2752" s="685">
        <v>2311</v>
      </c>
      <c r="G2752" s="686" t="s">
        <v>260</v>
      </c>
      <c r="H2752" s="689">
        <v>1220</v>
      </c>
      <c r="I2752" s="799"/>
      <c r="J2752" s="1494">
        <v>442.43</v>
      </c>
      <c r="K2752" s="727"/>
      <c r="L2752" s="1661">
        <v>1220</v>
      </c>
      <c r="M2752" s="1682"/>
      <c r="N2752" s="1224"/>
      <c r="O2752" s="187"/>
      <c r="P2752" s="187"/>
      <c r="Q2752" s="187"/>
    </row>
    <row r="2753" spans="1:17" ht="20.399999999999999">
      <c r="A2753" s="663"/>
      <c r="B2753" s="1407" t="s">
        <v>772</v>
      </c>
      <c r="C2753" s="663" t="s">
        <v>320</v>
      </c>
      <c r="D2753" s="678" t="s">
        <v>1978</v>
      </c>
      <c r="E2753" s="1407" t="s">
        <v>1917</v>
      </c>
      <c r="F2753" s="679">
        <v>2311</v>
      </c>
      <c r="G2753" s="665" t="s">
        <v>1467</v>
      </c>
      <c r="H2753" s="666"/>
      <c r="I2753" s="660">
        <v>720</v>
      </c>
      <c r="J2753" s="1494" t="s">
        <v>1134</v>
      </c>
      <c r="K2753" s="667"/>
      <c r="L2753" s="1908"/>
      <c r="M2753" s="1662">
        <v>720</v>
      </c>
      <c r="N2753" s="1223"/>
      <c r="O2753" s="187"/>
      <c r="P2753" s="187"/>
      <c r="Q2753" s="187"/>
    </row>
    <row r="2754" spans="1:17" ht="20.399999999999999">
      <c r="A2754" s="663"/>
      <c r="B2754" s="1407" t="s">
        <v>772</v>
      </c>
      <c r="C2754" s="663" t="s">
        <v>320</v>
      </c>
      <c r="D2754" s="678" t="s">
        <v>1978</v>
      </c>
      <c r="E2754" s="1407" t="s">
        <v>1917</v>
      </c>
      <c r="F2754" s="679">
        <v>2311</v>
      </c>
      <c r="G2754" s="665" t="s">
        <v>1472</v>
      </c>
      <c r="H2754" s="666"/>
      <c r="I2754" s="660">
        <v>300</v>
      </c>
      <c r="J2754" s="1494" t="s">
        <v>1134</v>
      </c>
      <c r="K2754" s="667"/>
      <c r="L2754" s="1908"/>
      <c r="M2754" s="1662">
        <v>300</v>
      </c>
      <c r="N2754" s="1224"/>
      <c r="O2754" s="7"/>
      <c r="P2754" s="7"/>
      <c r="Q2754" s="7"/>
    </row>
    <row r="2755" spans="1:17">
      <c r="A2755" s="663"/>
      <c r="B2755" s="1407" t="s">
        <v>772</v>
      </c>
      <c r="C2755" s="663" t="s">
        <v>320</v>
      </c>
      <c r="D2755" s="678" t="s">
        <v>1978</v>
      </c>
      <c r="E2755" s="1407" t="s">
        <v>1917</v>
      </c>
      <c r="F2755" s="679">
        <v>2311</v>
      </c>
      <c r="G2755" s="665" t="s">
        <v>1468</v>
      </c>
      <c r="H2755" s="666"/>
      <c r="I2755" s="853">
        <v>200</v>
      </c>
      <c r="J2755" s="1494" t="s">
        <v>1134</v>
      </c>
      <c r="K2755" s="667"/>
      <c r="L2755" s="1908"/>
      <c r="M2755" s="1662">
        <v>200</v>
      </c>
      <c r="N2755" s="1224" t="s">
        <v>3878</v>
      </c>
      <c r="O2755" s="7"/>
      <c r="P2755" s="7"/>
      <c r="Q2755" s="7"/>
    </row>
    <row r="2756" spans="1:17">
      <c r="A2756" s="683"/>
      <c r="B2756" s="1406" t="s">
        <v>772</v>
      </c>
      <c r="C2756" s="683" t="s">
        <v>320</v>
      </c>
      <c r="D2756" s="719" t="s">
        <v>1978</v>
      </c>
      <c r="E2756" s="1406" t="s">
        <v>1917</v>
      </c>
      <c r="F2756" s="1698">
        <v>2312</v>
      </c>
      <c r="G2756" s="1691" t="s">
        <v>131</v>
      </c>
      <c r="H2756" s="1692">
        <v>2362</v>
      </c>
      <c r="I2756" s="1693"/>
      <c r="J2756" s="1684">
        <v>1055.99</v>
      </c>
      <c r="K2756" s="1694"/>
      <c r="L2756" s="1692">
        <v>500</v>
      </c>
      <c r="M2756" s="1693"/>
      <c r="N2756" s="1223"/>
      <c r="O2756" s="187"/>
      <c r="P2756" s="187"/>
      <c r="Q2756" s="187"/>
    </row>
    <row r="2757" spans="1:17" ht="20.399999999999999">
      <c r="A2757" s="663"/>
      <c r="B2757" s="1407" t="s">
        <v>772</v>
      </c>
      <c r="C2757" s="663" t="s">
        <v>320</v>
      </c>
      <c r="D2757" s="678" t="s">
        <v>1978</v>
      </c>
      <c r="E2757" s="1407" t="s">
        <v>1917</v>
      </c>
      <c r="F2757" s="1413">
        <v>2312</v>
      </c>
      <c r="G2757" s="1941" t="s">
        <v>2779</v>
      </c>
      <c r="H2757" s="1910"/>
      <c r="I2757" s="1683">
        <v>2000</v>
      </c>
      <c r="J2757" s="1684" t="s">
        <v>1134</v>
      </c>
      <c r="K2757" s="1685"/>
      <c r="L2757" s="1910"/>
      <c r="M2757" s="1683"/>
      <c r="N2757" s="1223"/>
      <c r="O2757" s="7"/>
      <c r="P2757" s="7"/>
      <c r="Q2757" s="7"/>
    </row>
    <row r="2758" spans="1:17" ht="20.399999999999999">
      <c r="A2758" s="1263"/>
      <c r="B2758" s="1407" t="s">
        <v>772</v>
      </c>
      <c r="C2758" s="663" t="s">
        <v>320</v>
      </c>
      <c r="D2758" s="678" t="s">
        <v>1978</v>
      </c>
      <c r="E2758" s="1407" t="s">
        <v>1917</v>
      </c>
      <c r="F2758" s="1413">
        <v>2312</v>
      </c>
      <c r="G2758" s="1942" t="s">
        <v>2849</v>
      </c>
      <c r="H2758" s="1943"/>
      <c r="I2758" s="1696">
        <v>362</v>
      </c>
      <c r="J2758" s="1684" t="s">
        <v>1134</v>
      </c>
      <c r="K2758" s="1697"/>
      <c r="L2758" s="1943"/>
      <c r="M2758" s="1696"/>
      <c r="N2758" s="1224"/>
      <c r="O2758" s="7"/>
      <c r="P2758" s="7"/>
      <c r="Q2758" s="7"/>
    </row>
    <row r="2759" spans="1:17">
      <c r="A2759" s="663"/>
      <c r="B2759" s="1407" t="s">
        <v>772</v>
      </c>
      <c r="C2759" s="663" t="s">
        <v>320</v>
      </c>
      <c r="D2759" s="678" t="s">
        <v>1978</v>
      </c>
      <c r="E2759" s="1407" t="s">
        <v>1917</v>
      </c>
      <c r="F2759" s="1413">
        <v>2312</v>
      </c>
      <c r="G2759" s="1941" t="s">
        <v>1668</v>
      </c>
      <c r="H2759" s="1910"/>
      <c r="I2759" s="1683"/>
      <c r="J2759" s="1684" t="s">
        <v>1134</v>
      </c>
      <c r="K2759" s="1685"/>
      <c r="L2759" s="1910"/>
      <c r="M2759" s="1683">
        <v>500</v>
      </c>
      <c r="N2759" s="1224"/>
      <c r="O2759" s="187"/>
      <c r="P2759" s="187"/>
      <c r="Q2759" s="187"/>
    </row>
    <row r="2760" spans="1:17" ht="20.399999999999999">
      <c r="A2760" s="683"/>
      <c r="B2760" s="1406" t="s">
        <v>772</v>
      </c>
      <c r="C2760" s="683" t="s">
        <v>320</v>
      </c>
      <c r="D2760" s="719" t="s">
        <v>1978</v>
      </c>
      <c r="E2760" s="1406" t="s">
        <v>1917</v>
      </c>
      <c r="F2760" s="685">
        <v>2314</v>
      </c>
      <c r="G2760" s="686" t="s">
        <v>1435</v>
      </c>
      <c r="H2760" s="799">
        <v>5650</v>
      </c>
      <c r="I2760" s="799"/>
      <c r="J2760" s="1494">
        <v>3304</v>
      </c>
      <c r="K2760" s="727"/>
      <c r="L2760" s="1682">
        <v>3150</v>
      </c>
      <c r="M2760" s="1682"/>
      <c r="N2760" s="1223"/>
      <c r="O2760" s="7"/>
      <c r="P2760" s="7"/>
      <c r="Q2760" s="7"/>
    </row>
    <row r="2761" spans="1:17" ht="20.399999999999999">
      <c r="A2761" s="663"/>
      <c r="B2761" s="1407" t="s">
        <v>772</v>
      </c>
      <c r="C2761" s="663" t="s">
        <v>320</v>
      </c>
      <c r="D2761" s="678" t="s">
        <v>1978</v>
      </c>
      <c r="E2761" s="1407" t="s">
        <v>1917</v>
      </c>
      <c r="F2761" s="679">
        <v>2314</v>
      </c>
      <c r="G2761" s="665" t="s">
        <v>262</v>
      </c>
      <c r="H2761" s="666"/>
      <c r="I2761" s="660">
        <v>300</v>
      </c>
      <c r="J2761" s="1494" t="s">
        <v>1134</v>
      </c>
      <c r="K2761" s="667"/>
      <c r="L2761" s="1908"/>
      <c r="M2761" s="1662">
        <v>300</v>
      </c>
      <c r="N2761" s="1224" t="s">
        <v>3879</v>
      </c>
      <c r="O2761" s="7"/>
      <c r="P2761" s="7"/>
      <c r="Q2761" s="7"/>
    </row>
    <row r="2762" spans="1:17" ht="20.399999999999999">
      <c r="A2762" s="663"/>
      <c r="B2762" s="1407" t="s">
        <v>772</v>
      </c>
      <c r="C2762" s="663" t="s">
        <v>320</v>
      </c>
      <c r="D2762" s="678" t="s">
        <v>1978</v>
      </c>
      <c r="E2762" s="1407" t="s">
        <v>1917</v>
      </c>
      <c r="F2762" s="679">
        <v>2314</v>
      </c>
      <c r="G2762" s="665" t="s">
        <v>1477</v>
      </c>
      <c r="H2762" s="666"/>
      <c r="I2762" s="660">
        <v>450</v>
      </c>
      <c r="J2762" s="1494" t="s">
        <v>1134</v>
      </c>
      <c r="K2762" s="667"/>
      <c r="L2762" s="1908"/>
      <c r="M2762" s="1662">
        <v>450</v>
      </c>
      <c r="N2762" s="1223" t="s">
        <v>3880</v>
      </c>
      <c r="O2762" s="7"/>
      <c r="P2762" s="7"/>
      <c r="Q2762" s="7"/>
    </row>
    <row r="2763" spans="1:17">
      <c r="A2763" s="663"/>
      <c r="B2763" s="1407" t="s">
        <v>772</v>
      </c>
      <c r="C2763" s="663" t="s">
        <v>320</v>
      </c>
      <c r="D2763" s="678" t="s">
        <v>1978</v>
      </c>
      <c r="E2763" s="1407" t="s">
        <v>1917</v>
      </c>
      <c r="F2763" s="679">
        <v>2314</v>
      </c>
      <c r="G2763" s="665" t="s">
        <v>1474</v>
      </c>
      <c r="H2763" s="666"/>
      <c r="I2763" s="660">
        <v>300</v>
      </c>
      <c r="J2763" s="1494" t="s">
        <v>1134</v>
      </c>
      <c r="K2763" s="667"/>
      <c r="L2763" s="1908"/>
      <c r="M2763" s="1662">
        <v>300</v>
      </c>
      <c r="N2763" s="1223" t="s">
        <v>3880</v>
      </c>
      <c r="O2763" s="187"/>
      <c r="P2763" s="187"/>
      <c r="Q2763" s="187"/>
    </row>
    <row r="2764" spans="1:17" ht="20.399999999999999">
      <c r="A2764" s="663"/>
      <c r="B2764" s="1407" t="s">
        <v>772</v>
      </c>
      <c r="C2764" s="663" t="s">
        <v>320</v>
      </c>
      <c r="D2764" s="678" t="s">
        <v>1978</v>
      </c>
      <c r="E2764" s="1407" t="s">
        <v>1917</v>
      </c>
      <c r="F2764" s="679">
        <v>2314</v>
      </c>
      <c r="G2764" s="665" t="s">
        <v>1471</v>
      </c>
      <c r="H2764" s="666"/>
      <c r="I2764" s="660">
        <v>200</v>
      </c>
      <c r="J2764" s="1494" t="s">
        <v>1134</v>
      </c>
      <c r="K2764" s="667"/>
      <c r="L2764" s="1908"/>
      <c r="M2764" s="1662">
        <v>200</v>
      </c>
      <c r="N2764" s="1224" t="s">
        <v>3881</v>
      </c>
      <c r="O2764" s="187"/>
      <c r="P2764" s="187"/>
      <c r="Q2764" s="187"/>
    </row>
    <row r="2765" spans="1:17">
      <c r="A2765" s="663" t="s">
        <v>1232</v>
      </c>
      <c r="B2765" s="1407" t="s">
        <v>772</v>
      </c>
      <c r="C2765" s="663" t="s">
        <v>320</v>
      </c>
      <c r="D2765" s="678" t="s">
        <v>1978</v>
      </c>
      <c r="E2765" s="1407" t="s">
        <v>1917</v>
      </c>
      <c r="F2765" s="679">
        <v>2314</v>
      </c>
      <c r="G2765" s="662" t="s">
        <v>1453</v>
      </c>
      <c r="H2765" s="666"/>
      <c r="I2765" s="660">
        <v>600</v>
      </c>
      <c r="J2765" s="1494" t="s">
        <v>1134</v>
      </c>
      <c r="K2765" s="667"/>
      <c r="L2765" s="1908"/>
      <c r="M2765" s="1662">
        <v>600</v>
      </c>
      <c r="N2765" s="1224"/>
      <c r="O2765" s="7"/>
      <c r="P2765" s="7"/>
      <c r="Q2765" s="7"/>
    </row>
    <row r="2766" spans="1:17" ht="20.399999999999999" customHeight="1">
      <c r="A2766" s="663" t="s">
        <v>1232</v>
      </c>
      <c r="B2766" s="1407" t="s">
        <v>772</v>
      </c>
      <c r="C2766" s="663" t="s">
        <v>320</v>
      </c>
      <c r="D2766" s="678" t="s">
        <v>1978</v>
      </c>
      <c r="E2766" s="1407" t="s">
        <v>1917</v>
      </c>
      <c r="F2766" s="679">
        <v>2314</v>
      </c>
      <c r="G2766" s="662" t="s">
        <v>1454</v>
      </c>
      <c r="H2766" s="666"/>
      <c r="I2766" s="660">
        <v>300</v>
      </c>
      <c r="J2766" s="1494" t="s">
        <v>1134</v>
      </c>
      <c r="K2766" s="667"/>
      <c r="L2766" s="1908"/>
      <c r="M2766" s="1662">
        <v>300</v>
      </c>
      <c r="N2766" s="1224"/>
      <c r="O2766" s="7"/>
      <c r="P2766" s="7"/>
      <c r="Q2766" s="7"/>
    </row>
    <row r="2767" spans="1:17" ht="30.6">
      <c r="A2767" s="663" t="s">
        <v>1231</v>
      </c>
      <c r="B2767" s="1407" t="s">
        <v>772</v>
      </c>
      <c r="C2767" s="663" t="s">
        <v>320</v>
      </c>
      <c r="D2767" s="678" t="s">
        <v>1978</v>
      </c>
      <c r="E2767" s="1407" t="s">
        <v>1917</v>
      </c>
      <c r="F2767" s="679">
        <v>2314</v>
      </c>
      <c r="G2767" s="662" t="s">
        <v>1451</v>
      </c>
      <c r="H2767" s="666"/>
      <c r="I2767" s="660">
        <v>1000</v>
      </c>
      <c r="J2767" s="1494" t="s">
        <v>1134</v>
      </c>
      <c r="K2767" s="667"/>
      <c r="L2767" s="1908"/>
      <c r="M2767" s="1662">
        <v>1000</v>
      </c>
      <c r="N2767" s="1223" t="s">
        <v>3882</v>
      </c>
      <c r="O2767" s="7"/>
      <c r="P2767" s="7"/>
      <c r="Q2767" s="7"/>
    </row>
    <row r="2768" spans="1:17" ht="20.399999999999999" customHeight="1">
      <c r="A2768" s="603"/>
      <c r="B2768" s="1407" t="s">
        <v>772</v>
      </c>
      <c r="C2768" s="663" t="s">
        <v>320</v>
      </c>
      <c r="D2768" s="678" t="s">
        <v>1978</v>
      </c>
      <c r="E2768" s="1407" t="s">
        <v>1917</v>
      </c>
      <c r="F2768" s="679">
        <v>2314</v>
      </c>
      <c r="G2768" s="1120" t="s">
        <v>3051</v>
      </c>
      <c r="H2768" s="1131"/>
      <c r="I2768" s="1130">
        <v>500</v>
      </c>
      <c r="J2768" s="1494" t="s">
        <v>1134</v>
      </c>
      <c r="K2768" s="1132"/>
      <c r="L2768" s="1921"/>
      <c r="M2768" s="1680"/>
      <c r="N2768" s="1223"/>
      <c r="O2768" s="7"/>
      <c r="P2768" s="7"/>
      <c r="Q2768" s="7"/>
    </row>
    <row r="2769" spans="1:17" ht="51">
      <c r="A2769" s="603"/>
      <c r="B2769" s="1407" t="s">
        <v>772</v>
      </c>
      <c r="C2769" s="663" t="s">
        <v>320</v>
      </c>
      <c r="D2769" s="678" t="s">
        <v>1978</v>
      </c>
      <c r="E2769" s="1407" t="s">
        <v>1917</v>
      </c>
      <c r="F2769" s="679">
        <v>2314</v>
      </c>
      <c r="G2769" s="664" t="s">
        <v>3291</v>
      </c>
      <c r="H2769" s="660"/>
      <c r="I2769" s="660">
        <v>2000</v>
      </c>
      <c r="J2769" s="1494" t="s">
        <v>1134</v>
      </c>
      <c r="K2769" s="667"/>
      <c r="L2769" s="1662"/>
      <c r="M2769" s="1662"/>
      <c r="N2769" s="176"/>
      <c r="O2769" s="7"/>
      <c r="P2769" s="7"/>
      <c r="Q2769" s="7"/>
    </row>
    <row r="2770" spans="1:17" s="306" customFormat="1">
      <c r="A2770" s="683"/>
      <c r="B2770" s="1406" t="s">
        <v>772</v>
      </c>
      <c r="C2770" s="683" t="s">
        <v>320</v>
      </c>
      <c r="D2770" s="719" t="s">
        <v>1978</v>
      </c>
      <c r="E2770" s="1406" t="s">
        <v>1917</v>
      </c>
      <c r="F2770" s="685">
        <v>2322</v>
      </c>
      <c r="G2770" s="686" t="s">
        <v>191</v>
      </c>
      <c r="H2770" s="799">
        <v>100</v>
      </c>
      <c r="I2770" s="799"/>
      <c r="J2770" s="1494">
        <v>26.89</v>
      </c>
      <c r="K2770" s="727"/>
      <c r="L2770" s="1682">
        <v>100</v>
      </c>
      <c r="M2770" s="1682"/>
      <c r="N2770" s="1223"/>
      <c r="O2770" s="305"/>
      <c r="P2770" s="305"/>
      <c r="Q2770" s="305"/>
    </row>
    <row r="2771" spans="1:17" s="306" customFormat="1">
      <c r="A2771" s="1407" t="s">
        <v>1232</v>
      </c>
      <c r="B2771" s="1407" t="s">
        <v>772</v>
      </c>
      <c r="C2771" s="663" t="s">
        <v>320</v>
      </c>
      <c r="D2771" s="678" t="s">
        <v>1978</v>
      </c>
      <c r="E2771" s="1407" t="s">
        <v>1917</v>
      </c>
      <c r="F2771" s="679">
        <v>2322</v>
      </c>
      <c r="G2771" s="662" t="s">
        <v>1469</v>
      </c>
      <c r="H2771" s="666"/>
      <c r="I2771" s="660">
        <v>100</v>
      </c>
      <c r="J2771" s="1494" t="s">
        <v>1134</v>
      </c>
      <c r="K2771" s="667"/>
      <c r="L2771" s="1662"/>
      <c r="M2771" s="1662">
        <v>100</v>
      </c>
      <c r="N2771" s="1224"/>
      <c r="O2771" s="305"/>
      <c r="P2771" s="305"/>
      <c r="Q2771" s="305"/>
    </row>
    <row r="2772" spans="1:17" s="306" customFormat="1">
      <c r="A2772" s="1418"/>
      <c r="B2772" s="1418" t="s">
        <v>772</v>
      </c>
      <c r="C2772" s="929" t="s">
        <v>320</v>
      </c>
      <c r="D2772" s="719" t="s">
        <v>1978</v>
      </c>
      <c r="E2772" s="1418" t="s">
        <v>1917</v>
      </c>
      <c r="F2772" s="1944">
        <v>2350</v>
      </c>
      <c r="G2772" s="1945" t="s">
        <v>133</v>
      </c>
      <c r="H2772" s="1692">
        <v>4502</v>
      </c>
      <c r="I2772" s="1693"/>
      <c r="J2772" s="1684">
        <v>3158</v>
      </c>
      <c r="K2772" s="1694"/>
      <c r="L2772" s="1692">
        <v>5500</v>
      </c>
      <c r="M2772" s="1693"/>
      <c r="N2772" s="1223" t="s">
        <v>3884</v>
      </c>
      <c r="O2772" s="305"/>
      <c r="P2772" s="305"/>
      <c r="Q2772" s="305"/>
    </row>
    <row r="2773" spans="1:17" s="306" customFormat="1" ht="20.399999999999999">
      <c r="A2773" s="1407" t="s">
        <v>1231</v>
      </c>
      <c r="B2773" s="1407" t="s">
        <v>772</v>
      </c>
      <c r="C2773" s="663" t="s">
        <v>320</v>
      </c>
      <c r="D2773" s="678" t="s">
        <v>1978</v>
      </c>
      <c r="E2773" s="1407" t="s">
        <v>1917</v>
      </c>
      <c r="F2773" s="1413">
        <v>2350</v>
      </c>
      <c r="G2773" s="1941" t="s">
        <v>2209</v>
      </c>
      <c r="H2773" s="1910"/>
      <c r="I2773" s="1683">
        <v>200</v>
      </c>
      <c r="J2773" s="1684" t="s">
        <v>1134</v>
      </c>
      <c r="K2773" s="1685"/>
      <c r="L2773" s="1910"/>
      <c r="M2773" s="1683">
        <v>200</v>
      </c>
      <c r="N2773" s="1223"/>
      <c r="O2773" s="305"/>
      <c r="P2773" s="305"/>
      <c r="Q2773" s="305"/>
    </row>
    <row r="2774" spans="1:17" s="306" customFormat="1" ht="20.399999999999999">
      <c r="A2774" s="1407" t="s">
        <v>1231</v>
      </c>
      <c r="B2774" s="1407" t="s">
        <v>772</v>
      </c>
      <c r="C2774" s="663" t="s">
        <v>320</v>
      </c>
      <c r="D2774" s="678" t="s">
        <v>1978</v>
      </c>
      <c r="E2774" s="1407" t="s">
        <v>1917</v>
      </c>
      <c r="F2774" s="1413">
        <v>2350</v>
      </c>
      <c r="G2774" s="1941" t="s">
        <v>1470</v>
      </c>
      <c r="H2774" s="1910"/>
      <c r="I2774" s="1683">
        <v>1400</v>
      </c>
      <c r="J2774" s="1684" t="s">
        <v>1134</v>
      </c>
      <c r="K2774" s="1685"/>
      <c r="L2774" s="1910"/>
      <c r="M2774" s="1683">
        <v>1400</v>
      </c>
      <c r="N2774" s="1224"/>
      <c r="O2774" s="305"/>
      <c r="P2774" s="305"/>
      <c r="Q2774" s="305"/>
    </row>
    <row r="2775" spans="1:17" ht="20.399999999999999">
      <c r="A2775" s="1407" t="s">
        <v>1231</v>
      </c>
      <c r="B2775" s="1407" t="s">
        <v>772</v>
      </c>
      <c r="C2775" s="700" t="s">
        <v>320</v>
      </c>
      <c r="D2775" s="794" t="s">
        <v>1978</v>
      </c>
      <c r="E2775" s="1407" t="s">
        <v>1917</v>
      </c>
      <c r="F2775" s="1413">
        <v>2350</v>
      </c>
      <c r="G2775" s="1931" t="s">
        <v>832</v>
      </c>
      <c r="H2775" s="1910"/>
      <c r="I2775" s="1683">
        <v>500</v>
      </c>
      <c r="J2775" s="1684" t="s">
        <v>1134</v>
      </c>
      <c r="K2775" s="1685"/>
      <c r="L2775" s="1910"/>
      <c r="M2775" s="1683">
        <v>500</v>
      </c>
      <c r="N2775" s="1223"/>
      <c r="O2775" s="7"/>
      <c r="P2775" s="7"/>
      <c r="Q2775" s="7"/>
    </row>
    <row r="2776" spans="1:17" ht="20.399999999999999">
      <c r="A2776" s="1407" t="s">
        <v>709</v>
      </c>
      <c r="B2776" s="1407" t="s">
        <v>772</v>
      </c>
      <c r="C2776" s="700" t="s">
        <v>320</v>
      </c>
      <c r="D2776" s="794" t="s">
        <v>1978</v>
      </c>
      <c r="E2776" s="1407" t="s">
        <v>1917</v>
      </c>
      <c r="F2776" s="1413">
        <v>2350</v>
      </c>
      <c r="G2776" s="1931" t="s">
        <v>2210</v>
      </c>
      <c r="H2776" s="1910"/>
      <c r="I2776" s="1683">
        <v>400</v>
      </c>
      <c r="J2776" s="1684" t="s">
        <v>1134</v>
      </c>
      <c r="K2776" s="1685"/>
      <c r="L2776" s="1910"/>
      <c r="M2776" s="1683">
        <v>400</v>
      </c>
      <c r="N2776" s="1224"/>
      <c r="O2776" s="7"/>
      <c r="P2776" s="7"/>
      <c r="Q2776" s="7"/>
    </row>
    <row r="2777" spans="1:17" ht="30.6">
      <c r="A2777" s="1407"/>
      <c r="B2777" s="1407" t="s">
        <v>772</v>
      </c>
      <c r="C2777" s="663" t="s">
        <v>320</v>
      </c>
      <c r="D2777" s="678" t="s">
        <v>1978</v>
      </c>
      <c r="E2777" s="1407" t="s">
        <v>1917</v>
      </c>
      <c r="F2777" s="1413">
        <v>2350</v>
      </c>
      <c r="G2777" s="1931" t="s">
        <v>2211</v>
      </c>
      <c r="H2777" s="1910"/>
      <c r="I2777" s="1683">
        <v>500</v>
      </c>
      <c r="J2777" s="1684" t="s">
        <v>1134</v>
      </c>
      <c r="K2777" s="1685"/>
      <c r="L2777" s="1910"/>
      <c r="M2777" s="1683">
        <v>500</v>
      </c>
      <c r="N2777" s="1223"/>
      <c r="O2777" s="7"/>
      <c r="P2777" s="7"/>
      <c r="Q2777" s="7"/>
    </row>
    <row r="2778" spans="1:17">
      <c r="A2778" s="1407" t="s">
        <v>1232</v>
      </c>
      <c r="B2778" s="1407" t="s">
        <v>772</v>
      </c>
      <c r="C2778" s="663" t="s">
        <v>320</v>
      </c>
      <c r="D2778" s="678" t="s">
        <v>1978</v>
      </c>
      <c r="E2778" s="1407" t="s">
        <v>1917</v>
      </c>
      <c r="F2778" s="1413">
        <v>2350</v>
      </c>
      <c r="G2778" s="1931" t="s">
        <v>1238</v>
      </c>
      <c r="H2778" s="1910"/>
      <c r="I2778" s="1683">
        <v>200</v>
      </c>
      <c r="J2778" s="1684" t="s">
        <v>1134</v>
      </c>
      <c r="K2778" s="1685"/>
      <c r="L2778" s="1910"/>
      <c r="M2778" s="1683">
        <v>200</v>
      </c>
      <c r="N2778" s="1223" t="s">
        <v>3885</v>
      </c>
      <c r="O2778" s="7"/>
      <c r="P2778" s="7"/>
      <c r="Q2778" s="7"/>
    </row>
    <row r="2779" spans="1:17">
      <c r="A2779" s="1407"/>
      <c r="B2779" s="1407" t="s">
        <v>772</v>
      </c>
      <c r="C2779" s="663" t="s">
        <v>320</v>
      </c>
      <c r="D2779" s="678" t="s">
        <v>1978</v>
      </c>
      <c r="E2779" s="1407" t="s">
        <v>1917</v>
      </c>
      <c r="F2779" s="1413">
        <v>2350</v>
      </c>
      <c r="G2779" s="818" t="s">
        <v>1473</v>
      </c>
      <c r="H2779" s="1910"/>
      <c r="I2779" s="1683">
        <v>200</v>
      </c>
      <c r="J2779" s="1684" t="s">
        <v>1134</v>
      </c>
      <c r="K2779" s="1685"/>
      <c r="L2779" s="1910"/>
      <c r="M2779" s="1683">
        <v>300</v>
      </c>
      <c r="N2779" s="1223"/>
      <c r="O2779" s="7"/>
      <c r="P2779" s="7"/>
      <c r="Q2779" s="7"/>
    </row>
    <row r="2780" spans="1:17">
      <c r="A2780" s="1407"/>
      <c r="B2780" s="1407" t="s">
        <v>772</v>
      </c>
      <c r="C2780" s="700" t="s">
        <v>320</v>
      </c>
      <c r="D2780" s="794" t="s">
        <v>1978</v>
      </c>
      <c r="E2780" s="1407" t="s">
        <v>1917</v>
      </c>
      <c r="F2780" s="1413">
        <v>2350</v>
      </c>
      <c r="G2780" s="818" t="s">
        <v>1475</v>
      </c>
      <c r="H2780" s="1910"/>
      <c r="I2780" s="1683">
        <v>1000</v>
      </c>
      <c r="J2780" s="1684" t="s">
        <v>1134</v>
      </c>
      <c r="K2780" s="1685"/>
      <c r="L2780" s="1910"/>
      <c r="M2780" s="1683">
        <v>1000</v>
      </c>
      <c r="N2780" s="1224"/>
      <c r="O2780" s="7"/>
      <c r="P2780" s="7"/>
      <c r="Q2780" s="7"/>
    </row>
    <row r="2781" spans="1:17" ht="20.399999999999999">
      <c r="A2781" s="1407"/>
      <c r="B2781" s="1407" t="s">
        <v>772</v>
      </c>
      <c r="C2781" s="663" t="s">
        <v>320</v>
      </c>
      <c r="D2781" s="678" t="s">
        <v>1978</v>
      </c>
      <c r="E2781" s="1407" t="s">
        <v>1917</v>
      </c>
      <c r="F2781" s="1413">
        <v>2350</v>
      </c>
      <c r="G2781" s="1931" t="s">
        <v>1267</v>
      </c>
      <c r="H2781" s="1910"/>
      <c r="I2781" s="1683">
        <v>500</v>
      </c>
      <c r="J2781" s="1684" t="s">
        <v>1134</v>
      </c>
      <c r="K2781" s="1685"/>
      <c r="L2781" s="1910"/>
      <c r="M2781" s="1683">
        <v>500</v>
      </c>
      <c r="N2781" s="1223"/>
      <c r="O2781" s="7"/>
      <c r="P2781" s="7"/>
      <c r="Q2781" s="7"/>
    </row>
    <row r="2782" spans="1:17" ht="51">
      <c r="A2782" s="1670"/>
      <c r="B2782" s="1407" t="s">
        <v>772</v>
      </c>
      <c r="C2782" s="663" t="s">
        <v>320</v>
      </c>
      <c r="D2782" s="678" t="s">
        <v>1978</v>
      </c>
      <c r="E2782" s="1407" t="s">
        <v>1917</v>
      </c>
      <c r="F2782" s="1413">
        <v>2350</v>
      </c>
      <c r="G2782" s="1902" t="s">
        <v>1008</v>
      </c>
      <c r="H2782" s="1922"/>
      <c r="I2782" s="1776"/>
      <c r="J2782" s="1933" t="s">
        <v>1134</v>
      </c>
      <c r="K2782" s="1934"/>
      <c r="L2782" s="1922"/>
      <c r="M2782" s="1776">
        <v>500</v>
      </c>
      <c r="N2782" s="1224"/>
      <c r="O2782" s="7"/>
      <c r="P2782" s="7"/>
      <c r="Q2782" s="7"/>
    </row>
    <row r="2783" spans="1:17" ht="20.399999999999999">
      <c r="A2783" s="1407" t="s">
        <v>1232</v>
      </c>
      <c r="B2783" s="1407" t="s">
        <v>772</v>
      </c>
      <c r="C2783" s="663" t="s">
        <v>320</v>
      </c>
      <c r="D2783" s="678" t="s">
        <v>1978</v>
      </c>
      <c r="E2783" s="1407" t="s">
        <v>1917</v>
      </c>
      <c r="F2783" s="679">
        <v>2350</v>
      </c>
      <c r="G2783" s="924" t="s">
        <v>3184</v>
      </c>
      <c r="H2783" s="666"/>
      <c r="I2783" s="660">
        <v>-198</v>
      </c>
      <c r="J2783" s="1494" t="s">
        <v>1134</v>
      </c>
      <c r="K2783" s="667"/>
      <c r="L2783" s="914"/>
      <c r="M2783" s="659"/>
      <c r="N2783" s="177"/>
      <c r="O2783" s="187"/>
      <c r="P2783" s="187"/>
      <c r="Q2783" s="187"/>
    </row>
    <row r="2784" spans="1:17" ht="20.399999999999999">
      <c r="A2784" s="3306"/>
      <c r="B2784" s="1407" t="s">
        <v>772</v>
      </c>
      <c r="C2784" s="663" t="s">
        <v>320</v>
      </c>
      <c r="D2784" s="678" t="s">
        <v>1978</v>
      </c>
      <c r="E2784" s="1407" t="s">
        <v>1917</v>
      </c>
      <c r="F2784" s="679">
        <v>2350</v>
      </c>
      <c r="G2784" s="1451" t="s">
        <v>3081</v>
      </c>
      <c r="H2784" s="1131"/>
      <c r="I2784" s="1130">
        <v>-200</v>
      </c>
      <c r="J2784" s="1494" t="s">
        <v>1134</v>
      </c>
      <c r="K2784" s="1132"/>
      <c r="L2784" s="1459"/>
      <c r="M2784" s="1115"/>
      <c r="N2784" s="655" t="s">
        <v>3887</v>
      </c>
      <c r="O2784" s="7"/>
      <c r="P2784" s="7"/>
      <c r="Q2784" s="7"/>
    </row>
    <row r="2785" spans="1:17" ht="20.399999999999999">
      <c r="A2785" s="1406"/>
      <c r="B2785" s="1406" t="s">
        <v>774</v>
      </c>
      <c r="C2785" s="683" t="s">
        <v>324</v>
      </c>
      <c r="D2785" s="719" t="s">
        <v>1978</v>
      </c>
      <c r="E2785" s="1406" t="s">
        <v>1917</v>
      </c>
      <c r="F2785" s="685">
        <v>2512</v>
      </c>
      <c r="G2785" s="686" t="s">
        <v>779</v>
      </c>
      <c r="H2785" s="689">
        <v>200</v>
      </c>
      <c r="I2785" s="799"/>
      <c r="J2785" s="1494">
        <v>252</v>
      </c>
      <c r="K2785" s="727"/>
      <c r="L2785" s="1661">
        <v>300</v>
      </c>
      <c r="M2785" s="1682"/>
      <c r="N2785" s="177"/>
      <c r="O2785" s="7"/>
      <c r="P2785" s="7"/>
      <c r="Q2785" s="7"/>
    </row>
    <row r="2786" spans="1:17" ht="30.6">
      <c r="A2786" s="3306"/>
      <c r="B2786" s="1407" t="s">
        <v>772</v>
      </c>
      <c r="C2786" s="663" t="s">
        <v>320</v>
      </c>
      <c r="D2786" s="678" t="s">
        <v>1978</v>
      </c>
      <c r="E2786" s="1407" t="s">
        <v>1917</v>
      </c>
      <c r="F2786" s="679">
        <v>2512</v>
      </c>
      <c r="G2786" s="1451" t="s">
        <v>3868</v>
      </c>
      <c r="H2786" s="1131"/>
      <c r="I2786" s="1130">
        <v>200</v>
      </c>
      <c r="J2786" s="1494" t="s">
        <v>1134</v>
      </c>
      <c r="K2786" s="1132"/>
      <c r="L2786" s="1921"/>
      <c r="M2786" s="1680">
        <v>300</v>
      </c>
      <c r="N2786" s="655" t="s">
        <v>3888</v>
      </c>
      <c r="O2786" s="7"/>
      <c r="P2786" s="7"/>
      <c r="Q2786" s="7"/>
    </row>
    <row r="2787" spans="1:17">
      <c r="A2787" s="1406"/>
      <c r="B2787" s="1406" t="s">
        <v>774</v>
      </c>
      <c r="C2787" s="683" t="s">
        <v>324</v>
      </c>
      <c r="D2787" s="719" t="s">
        <v>1978</v>
      </c>
      <c r="E2787" s="1406" t="s">
        <v>1917</v>
      </c>
      <c r="F2787" s="685">
        <v>5238</v>
      </c>
      <c r="G2787" s="686" t="s">
        <v>139</v>
      </c>
      <c r="H2787" s="689">
        <v>2500</v>
      </c>
      <c r="I2787" s="799"/>
      <c r="J2787" s="1494" t="s">
        <v>1134</v>
      </c>
      <c r="K2787" s="727"/>
      <c r="L2787" s="1661">
        <v>0</v>
      </c>
      <c r="M2787" s="1682"/>
      <c r="N2787" s="655"/>
      <c r="O2787" s="187"/>
      <c r="P2787" s="187"/>
      <c r="Q2787" s="187"/>
    </row>
    <row r="2788" spans="1:17">
      <c r="A2788" s="1407"/>
      <c r="B2788" s="1407" t="s">
        <v>774</v>
      </c>
      <c r="C2788" s="663" t="s">
        <v>324</v>
      </c>
      <c r="D2788" s="678" t="s">
        <v>1978</v>
      </c>
      <c r="E2788" s="1407" t="s">
        <v>1917</v>
      </c>
      <c r="F2788" s="679">
        <v>5238</v>
      </c>
      <c r="G2788" s="665" t="s">
        <v>3870</v>
      </c>
      <c r="H2788" s="666"/>
      <c r="I2788" s="660">
        <v>2500</v>
      </c>
      <c r="J2788" s="1494" t="s">
        <v>1134</v>
      </c>
      <c r="K2788" s="667"/>
      <c r="L2788" s="1908"/>
      <c r="M2788" s="1662">
        <v>0</v>
      </c>
      <c r="N2788" s="1223"/>
      <c r="O2788" s="187"/>
      <c r="P2788" s="187"/>
      <c r="Q2788" s="187"/>
    </row>
    <row r="2789" spans="1:17">
      <c r="A2789" s="1406"/>
      <c r="B2789" s="1406" t="s">
        <v>774</v>
      </c>
      <c r="C2789" s="1406" t="s">
        <v>324</v>
      </c>
      <c r="D2789" s="1678" t="s">
        <v>1978</v>
      </c>
      <c r="E2789" s="1406" t="s">
        <v>1917</v>
      </c>
      <c r="F2789" s="1698">
        <v>5239</v>
      </c>
      <c r="G2789" s="1691" t="s">
        <v>746</v>
      </c>
      <c r="H2789" s="1692">
        <v>198</v>
      </c>
      <c r="I2789" s="1693"/>
      <c r="J2789" s="1684">
        <v>197.68</v>
      </c>
      <c r="K2789" s="1694"/>
      <c r="L2789" s="1692">
        <v>0</v>
      </c>
      <c r="M2789" s="1693"/>
      <c r="N2789" s="1223"/>
      <c r="O2789" s="187"/>
      <c r="P2789" s="187"/>
      <c r="Q2789" s="187"/>
    </row>
    <row r="2790" spans="1:17" ht="20.399999999999999">
      <c r="A2790" s="1407"/>
      <c r="B2790" s="1407" t="s">
        <v>774</v>
      </c>
      <c r="C2790" s="1407" t="s">
        <v>324</v>
      </c>
      <c r="D2790" s="1679" t="s">
        <v>1978</v>
      </c>
      <c r="E2790" s="1407" t="s">
        <v>1917</v>
      </c>
      <c r="F2790" s="1413">
        <v>5239</v>
      </c>
      <c r="G2790" s="1931" t="s">
        <v>3184</v>
      </c>
      <c r="H2790" s="1910"/>
      <c r="I2790" s="1683">
        <v>198</v>
      </c>
      <c r="J2790" s="1684" t="s">
        <v>1134</v>
      </c>
      <c r="K2790" s="1685"/>
      <c r="L2790" s="1910"/>
      <c r="M2790" s="1683"/>
      <c r="N2790" s="1224" t="s">
        <v>3889</v>
      </c>
      <c r="O2790" s="187"/>
      <c r="P2790" s="187"/>
      <c r="Q2790" s="187"/>
    </row>
    <row r="2791" spans="1:17" ht="20.399999999999999">
      <c r="A2791" s="683"/>
      <c r="B2791" s="1406" t="s">
        <v>772</v>
      </c>
      <c r="C2791" s="683" t="s">
        <v>322</v>
      </c>
      <c r="D2791" s="719" t="s">
        <v>1978</v>
      </c>
      <c r="E2791" s="1415" t="s">
        <v>1918</v>
      </c>
      <c r="F2791" s="685">
        <v>1150</v>
      </c>
      <c r="G2791" s="686" t="s">
        <v>401</v>
      </c>
      <c r="H2791" s="689">
        <v>1200</v>
      </c>
      <c r="I2791" s="799"/>
      <c r="J2791" s="1494">
        <v>0</v>
      </c>
      <c r="K2791" s="690"/>
      <c r="L2791" s="1661">
        <v>1200</v>
      </c>
      <c r="M2791" s="1682"/>
      <c r="N2791" s="1224" t="s">
        <v>3889</v>
      </c>
      <c r="O2791" s="187"/>
      <c r="P2791" s="187"/>
      <c r="Q2791" s="187"/>
    </row>
    <row r="2792" spans="1:17" ht="20.399999999999999">
      <c r="A2792" s="663"/>
      <c r="B2792" s="1407" t="s">
        <v>772</v>
      </c>
      <c r="C2792" s="663" t="s">
        <v>322</v>
      </c>
      <c r="D2792" s="678" t="s">
        <v>1978</v>
      </c>
      <c r="E2792" s="1407" t="s">
        <v>1918</v>
      </c>
      <c r="F2792" s="679">
        <v>1150</v>
      </c>
      <c r="G2792" s="657" t="s">
        <v>1478</v>
      </c>
      <c r="H2792" s="666"/>
      <c r="I2792" s="660">
        <v>1200</v>
      </c>
      <c r="J2792" s="1494" t="s">
        <v>1134</v>
      </c>
      <c r="K2792" s="661"/>
      <c r="L2792" s="1662"/>
      <c r="M2792" s="1662">
        <v>1200</v>
      </c>
      <c r="N2792" s="1224"/>
      <c r="O2792" s="187"/>
      <c r="P2792" s="187"/>
      <c r="Q2792" s="187"/>
    </row>
    <row r="2793" spans="1:17">
      <c r="A2793" s="683"/>
      <c r="B2793" s="1406" t="s">
        <v>772</v>
      </c>
      <c r="C2793" s="1406" t="s">
        <v>322</v>
      </c>
      <c r="D2793" s="1678" t="s">
        <v>1978</v>
      </c>
      <c r="E2793" s="1415" t="s">
        <v>1918</v>
      </c>
      <c r="F2793" s="1698">
        <v>2121</v>
      </c>
      <c r="G2793" s="1691" t="s">
        <v>1049</v>
      </c>
      <c r="H2793" s="1692">
        <v>300</v>
      </c>
      <c r="I2793" s="1693"/>
      <c r="J2793" s="1684">
        <v>0</v>
      </c>
      <c r="K2793" s="1694"/>
      <c r="L2793" s="1692">
        <v>300</v>
      </c>
      <c r="M2793" s="1693"/>
      <c r="N2793" s="1224"/>
      <c r="O2793" s="7"/>
      <c r="P2793" s="7"/>
      <c r="Q2793" s="7"/>
    </row>
    <row r="2794" spans="1:17">
      <c r="A2794" s="663"/>
      <c r="B2794" s="1407" t="s">
        <v>772</v>
      </c>
      <c r="C2794" s="1407" t="s">
        <v>322</v>
      </c>
      <c r="D2794" s="1679" t="s">
        <v>1978</v>
      </c>
      <c r="E2794" s="1407" t="s">
        <v>1918</v>
      </c>
      <c r="F2794" s="1413">
        <v>2121</v>
      </c>
      <c r="G2794" s="1948" t="s">
        <v>1234</v>
      </c>
      <c r="H2794" s="1910"/>
      <c r="I2794" s="1683">
        <v>300</v>
      </c>
      <c r="J2794" s="1684" t="s">
        <v>1134</v>
      </c>
      <c r="K2794" s="1685"/>
      <c r="L2794" s="1683"/>
      <c r="M2794" s="1683">
        <v>300</v>
      </c>
      <c r="N2794" s="1224"/>
      <c r="O2794" s="187"/>
      <c r="P2794" s="187"/>
      <c r="Q2794" s="187"/>
    </row>
    <row r="2795" spans="1:17" ht="20.399999999999999">
      <c r="A2795" s="663"/>
      <c r="B2795" s="1407" t="s">
        <v>772</v>
      </c>
      <c r="C2795" s="1407" t="s">
        <v>322</v>
      </c>
      <c r="D2795" s="1679" t="s">
        <v>1978</v>
      </c>
      <c r="E2795" s="1407" t="s">
        <v>1918</v>
      </c>
      <c r="F2795" s="1413">
        <v>2121</v>
      </c>
      <c r="G2795" s="1948" t="s">
        <v>1871</v>
      </c>
      <c r="H2795" s="1910"/>
      <c r="I2795" s="1683"/>
      <c r="J2795" s="1684" t="s">
        <v>1134</v>
      </c>
      <c r="K2795" s="1685"/>
      <c r="L2795" s="1683"/>
      <c r="M2795" s="1683"/>
      <c r="N2795" s="1223"/>
      <c r="O2795" s="7"/>
      <c r="P2795" s="7"/>
      <c r="Q2795" s="7"/>
    </row>
    <row r="2796" spans="1:17" ht="20.399999999999999">
      <c r="A2796" s="683"/>
      <c r="B2796" s="1406" t="s">
        <v>772</v>
      </c>
      <c r="C2796" s="1406" t="s">
        <v>322</v>
      </c>
      <c r="D2796" s="1678" t="s">
        <v>1978</v>
      </c>
      <c r="E2796" s="1415" t="s">
        <v>1918</v>
      </c>
      <c r="F2796" s="1698">
        <v>2122</v>
      </c>
      <c r="G2796" s="1691" t="s">
        <v>1038</v>
      </c>
      <c r="H2796" s="1692">
        <v>75</v>
      </c>
      <c r="I2796" s="1693"/>
      <c r="J2796" s="1684">
        <v>0</v>
      </c>
      <c r="K2796" s="1694"/>
      <c r="L2796" s="1692">
        <v>75</v>
      </c>
      <c r="M2796" s="1693"/>
      <c r="N2796" s="1224"/>
      <c r="O2796" s="7"/>
      <c r="P2796" s="7"/>
      <c r="Q2796" s="7"/>
    </row>
    <row r="2797" spans="1:17" ht="20.399999999999999">
      <c r="A2797" s="663"/>
      <c r="B2797" s="1407" t="s">
        <v>772</v>
      </c>
      <c r="C2797" s="1407" t="s">
        <v>322</v>
      </c>
      <c r="D2797" s="1679" t="s">
        <v>1978</v>
      </c>
      <c r="E2797" s="1407" t="s">
        <v>1918</v>
      </c>
      <c r="F2797" s="1413">
        <v>2122</v>
      </c>
      <c r="G2797" s="1948" t="s">
        <v>1871</v>
      </c>
      <c r="H2797" s="1910"/>
      <c r="I2797" s="1683">
        <v>75</v>
      </c>
      <c r="J2797" s="1684" t="s">
        <v>1134</v>
      </c>
      <c r="K2797" s="1685"/>
      <c r="L2797" s="1683"/>
      <c r="M2797" s="1683">
        <v>75</v>
      </c>
      <c r="N2797" s="1223"/>
      <c r="O2797" s="7"/>
      <c r="P2797" s="7"/>
      <c r="Q2797" s="7"/>
    </row>
    <row r="2798" spans="1:17" ht="20.399999999999999">
      <c r="A2798" s="683"/>
      <c r="B2798" s="1406" t="s">
        <v>772</v>
      </c>
      <c r="C2798" s="683" t="s">
        <v>322</v>
      </c>
      <c r="D2798" s="719" t="s">
        <v>1978</v>
      </c>
      <c r="E2798" s="1415" t="s">
        <v>1918</v>
      </c>
      <c r="F2798" s="685">
        <v>2231</v>
      </c>
      <c r="G2798" s="686" t="s">
        <v>744</v>
      </c>
      <c r="H2798" s="689">
        <v>3830</v>
      </c>
      <c r="I2798" s="799"/>
      <c r="J2798" s="1494">
        <v>2914</v>
      </c>
      <c r="K2798" s="690"/>
      <c r="L2798" s="1661">
        <v>12300</v>
      </c>
      <c r="M2798" s="1682"/>
      <c r="N2798" s="1224"/>
      <c r="O2798" s="7"/>
      <c r="P2798" s="7"/>
      <c r="Q2798" s="7"/>
    </row>
    <row r="2799" spans="1:17" ht="30.6" customHeight="1">
      <c r="A2799" s="663"/>
      <c r="B2799" s="1407" t="s">
        <v>772</v>
      </c>
      <c r="C2799" s="663" t="s">
        <v>322</v>
      </c>
      <c r="D2799" s="1679" t="s">
        <v>1978</v>
      </c>
      <c r="E2799" s="1407" t="s">
        <v>1918</v>
      </c>
      <c r="F2799" s="1413">
        <v>2231</v>
      </c>
      <c r="G2799" s="1931" t="s">
        <v>2682</v>
      </c>
      <c r="H2799" s="1910"/>
      <c r="I2799" s="1683">
        <v>2400</v>
      </c>
      <c r="J2799" s="1684" t="s">
        <v>1134</v>
      </c>
      <c r="K2799" s="1685"/>
      <c r="L2799" s="1683"/>
      <c r="M2799" s="1700">
        <v>3000</v>
      </c>
      <c r="N2799" s="1224"/>
      <c r="O2799" s="187"/>
      <c r="P2799" s="187"/>
      <c r="Q2799" s="187"/>
    </row>
    <row r="2800" spans="1:17">
      <c r="A2800" s="663"/>
      <c r="B2800" s="1407" t="s">
        <v>772</v>
      </c>
      <c r="C2800" s="663" t="s">
        <v>322</v>
      </c>
      <c r="D2800" s="1679" t="s">
        <v>1978</v>
      </c>
      <c r="E2800" s="1407" t="s">
        <v>1918</v>
      </c>
      <c r="F2800" s="1413">
        <v>2231</v>
      </c>
      <c r="G2800" s="1931" t="s">
        <v>2212</v>
      </c>
      <c r="H2800" s="1910"/>
      <c r="I2800" s="1683">
        <v>2000</v>
      </c>
      <c r="J2800" s="1684" t="s">
        <v>1134</v>
      </c>
      <c r="K2800" s="1685"/>
      <c r="L2800" s="1683"/>
      <c r="M2800" s="1700">
        <v>3000</v>
      </c>
      <c r="N2800" s="1223"/>
      <c r="O2800" s="4"/>
      <c r="P2800" s="4"/>
      <c r="Q2800" s="4"/>
    </row>
    <row r="2801" spans="1:17" ht="30.6" customHeight="1">
      <c r="A2801" s="663"/>
      <c r="B2801" s="1407" t="s">
        <v>772</v>
      </c>
      <c r="C2801" s="663" t="s">
        <v>322</v>
      </c>
      <c r="D2801" s="1679" t="s">
        <v>1978</v>
      </c>
      <c r="E2801" s="1407" t="s">
        <v>1918</v>
      </c>
      <c r="F2801" s="1413">
        <v>2231</v>
      </c>
      <c r="G2801" s="1931" t="s">
        <v>1479</v>
      </c>
      <c r="H2801" s="1910"/>
      <c r="I2801" s="1683">
        <v>1600</v>
      </c>
      <c r="J2801" s="1684" t="s">
        <v>1134</v>
      </c>
      <c r="K2801" s="1685"/>
      <c r="L2801" s="1683"/>
      <c r="M2801" s="1700">
        <v>2000</v>
      </c>
      <c r="N2801" s="1224"/>
      <c r="O2801" s="4"/>
      <c r="P2801" s="4"/>
      <c r="Q2801" s="4"/>
    </row>
    <row r="2802" spans="1:17">
      <c r="A2802" s="663"/>
      <c r="B2802" s="1407" t="s">
        <v>772</v>
      </c>
      <c r="C2802" s="663" t="s">
        <v>322</v>
      </c>
      <c r="D2802" s="1679" t="s">
        <v>1978</v>
      </c>
      <c r="E2802" s="1407" t="s">
        <v>1918</v>
      </c>
      <c r="F2802" s="1413">
        <v>2231</v>
      </c>
      <c r="G2802" s="1931" t="s">
        <v>1669</v>
      </c>
      <c r="H2802" s="1910"/>
      <c r="I2802" s="1683">
        <v>1900</v>
      </c>
      <c r="J2802" s="1684" t="s">
        <v>1134</v>
      </c>
      <c r="K2802" s="1685"/>
      <c r="L2802" s="1683"/>
      <c r="M2802" s="1683">
        <v>1900</v>
      </c>
      <c r="N2802" s="1223"/>
      <c r="O2802" s="4"/>
      <c r="P2802" s="4"/>
      <c r="Q2802" s="4"/>
    </row>
    <row r="2803" spans="1:17" ht="20.399999999999999">
      <c r="A2803" s="1669"/>
      <c r="B2803" s="1407" t="s">
        <v>772</v>
      </c>
      <c r="C2803" s="663" t="s">
        <v>322</v>
      </c>
      <c r="D2803" s="1679" t="s">
        <v>1978</v>
      </c>
      <c r="E2803" s="1407" t="s">
        <v>1918</v>
      </c>
      <c r="F2803" s="1413">
        <v>2231</v>
      </c>
      <c r="G2803" s="1902" t="s">
        <v>3873</v>
      </c>
      <c r="H2803" s="1676"/>
      <c r="I2803" s="1676">
        <v>0</v>
      </c>
      <c r="J2803" s="1673" t="s">
        <v>1134</v>
      </c>
      <c r="K2803" s="1674"/>
      <c r="L2803" s="1676"/>
      <c r="M2803" s="2751">
        <v>1200</v>
      </c>
      <c r="N2803" s="1224"/>
      <c r="O2803" s="187"/>
      <c r="P2803" s="187"/>
      <c r="Q2803" s="187"/>
    </row>
    <row r="2804" spans="1:17">
      <c r="A2804" s="1669"/>
      <c r="B2804" s="1407" t="s">
        <v>772</v>
      </c>
      <c r="C2804" s="663" t="s">
        <v>322</v>
      </c>
      <c r="D2804" s="1679" t="s">
        <v>1978</v>
      </c>
      <c r="E2804" s="1407" t="s">
        <v>1918</v>
      </c>
      <c r="F2804" s="1413">
        <v>2231</v>
      </c>
      <c r="G2804" s="1936" t="s">
        <v>3876</v>
      </c>
      <c r="H2804" s="1676"/>
      <c r="I2804" s="1676">
        <v>0</v>
      </c>
      <c r="J2804" s="1673" t="s">
        <v>1134</v>
      </c>
      <c r="K2804" s="1674"/>
      <c r="L2804" s="1676"/>
      <c r="M2804" s="1676">
        <v>600</v>
      </c>
      <c r="N2804" s="1223"/>
      <c r="O2804" s="187"/>
      <c r="P2804" s="187"/>
      <c r="Q2804" s="187"/>
    </row>
    <row r="2805" spans="1:17">
      <c r="A2805" s="663"/>
      <c r="B2805" s="1407" t="s">
        <v>772</v>
      </c>
      <c r="C2805" s="663" t="s">
        <v>322</v>
      </c>
      <c r="D2805" s="678" t="s">
        <v>1978</v>
      </c>
      <c r="E2805" s="1407" t="s">
        <v>1918</v>
      </c>
      <c r="F2805" s="1413">
        <v>2231</v>
      </c>
      <c r="G2805" s="1931" t="s">
        <v>1480</v>
      </c>
      <c r="H2805" s="1910"/>
      <c r="I2805" s="1683">
        <v>600</v>
      </c>
      <c r="J2805" s="1684" t="s">
        <v>1134</v>
      </c>
      <c r="K2805" s="1685"/>
      <c r="L2805" s="1683"/>
      <c r="M2805" s="1683">
        <v>600</v>
      </c>
      <c r="N2805" s="1224"/>
      <c r="O2805" s="187"/>
      <c r="P2805" s="187"/>
      <c r="Q2805" s="187"/>
    </row>
    <row r="2806" spans="1:17" ht="20.399999999999999">
      <c r="A2806" s="663"/>
      <c r="B2806" s="1407" t="s">
        <v>772</v>
      </c>
      <c r="C2806" s="663" t="s">
        <v>322</v>
      </c>
      <c r="D2806" s="678" t="s">
        <v>1978</v>
      </c>
      <c r="E2806" s="1407" t="s">
        <v>1918</v>
      </c>
      <c r="F2806" s="1413">
        <v>2231</v>
      </c>
      <c r="G2806" s="818" t="s">
        <v>3120</v>
      </c>
      <c r="H2806" s="1910"/>
      <c r="I2806" s="1683">
        <v>-1670</v>
      </c>
      <c r="J2806" s="1684" t="s">
        <v>1134</v>
      </c>
      <c r="K2806" s="1685"/>
      <c r="L2806" s="1683"/>
      <c r="M2806" s="1683"/>
      <c r="N2806" s="305" t="s">
        <v>4248</v>
      </c>
      <c r="O2806" s="187"/>
      <c r="P2806" s="187"/>
      <c r="Q2806" s="187"/>
    </row>
    <row r="2807" spans="1:17" ht="20.399999999999999">
      <c r="A2807" s="603"/>
      <c r="B2807" s="1407" t="s">
        <v>772</v>
      </c>
      <c r="C2807" s="663" t="s">
        <v>322</v>
      </c>
      <c r="D2807" s="678" t="s">
        <v>1978</v>
      </c>
      <c r="E2807" s="1407" t="s">
        <v>1918</v>
      </c>
      <c r="F2807" s="1413">
        <v>2231</v>
      </c>
      <c r="G2807" s="1821" t="s">
        <v>3212</v>
      </c>
      <c r="H2807" s="1917"/>
      <c r="I2807" s="1713">
        <v>-1000</v>
      </c>
      <c r="J2807" s="1684" t="s">
        <v>1134</v>
      </c>
      <c r="K2807" s="1918"/>
      <c r="L2807" s="1713"/>
      <c r="M2807" s="1713"/>
      <c r="N2807" s="305"/>
      <c r="O2807" s="187"/>
      <c r="P2807" s="187"/>
      <c r="Q2807" s="187"/>
    </row>
    <row r="2808" spans="1:17" ht="30.6">
      <c r="A2808" s="603"/>
      <c r="B2808" s="1407" t="s">
        <v>772</v>
      </c>
      <c r="C2808" s="663" t="s">
        <v>322</v>
      </c>
      <c r="D2808" s="678" t="s">
        <v>1978</v>
      </c>
      <c r="E2808" s="1407" t="s">
        <v>1918</v>
      </c>
      <c r="F2808" s="1413">
        <v>2231</v>
      </c>
      <c r="G2808" s="1821" t="s">
        <v>3292</v>
      </c>
      <c r="H2808" s="1917"/>
      <c r="I2808" s="1713">
        <v>-2000</v>
      </c>
      <c r="J2808" s="1684" t="s">
        <v>1134</v>
      </c>
      <c r="K2808" s="1918"/>
      <c r="L2808" s="1713"/>
      <c r="M2808" s="1713"/>
      <c r="N2808" s="305"/>
      <c r="O2808" s="187"/>
      <c r="P2808" s="187"/>
      <c r="Q2808" s="187"/>
    </row>
    <row r="2809" spans="1:17" ht="30.6">
      <c r="A2809" s="683"/>
      <c r="B2809" s="1406" t="s">
        <v>772</v>
      </c>
      <c r="C2809" s="683" t="s">
        <v>322</v>
      </c>
      <c r="D2809" s="719" t="s">
        <v>1978</v>
      </c>
      <c r="E2809" s="1415" t="s">
        <v>1918</v>
      </c>
      <c r="F2809" s="1698">
        <v>2232</v>
      </c>
      <c r="G2809" s="1691" t="s">
        <v>1316</v>
      </c>
      <c r="H2809" s="1692">
        <v>700</v>
      </c>
      <c r="I2809" s="1693"/>
      <c r="J2809" s="1684">
        <v>237.16</v>
      </c>
      <c r="K2809" s="1694"/>
      <c r="L2809" s="1692">
        <v>1700</v>
      </c>
      <c r="M2809" s="1693"/>
      <c r="N2809" s="305"/>
      <c r="O2809" s="187"/>
      <c r="P2809" s="187"/>
      <c r="Q2809" s="187"/>
    </row>
    <row r="2810" spans="1:17">
      <c r="A2810" s="663"/>
      <c r="B2810" s="1407" t="s">
        <v>772</v>
      </c>
      <c r="C2810" s="663" t="s">
        <v>322</v>
      </c>
      <c r="D2810" s="678" t="s">
        <v>1978</v>
      </c>
      <c r="E2810" s="1407" t="s">
        <v>1918</v>
      </c>
      <c r="F2810" s="1413">
        <v>2232</v>
      </c>
      <c r="G2810" s="1949" t="s">
        <v>1481</v>
      </c>
      <c r="H2810" s="1910"/>
      <c r="I2810" s="1683">
        <v>300</v>
      </c>
      <c r="J2810" s="1684" t="s">
        <v>1134</v>
      </c>
      <c r="K2810" s="1685"/>
      <c r="L2810" s="1683"/>
      <c r="M2810" s="1683">
        <v>300</v>
      </c>
      <c r="N2810" s="305"/>
      <c r="O2810" s="187"/>
      <c r="P2810" s="187"/>
      <c r="Q2810" s="187"/>
    </row>
    <row r="2811" spans="1:17" ht="22.5" customHeight="1">
      <c r="A2811" s="1669"/>
      <c r="B2811" s="1407" t="s">
        <v>772</v>
      </c>
      <c r="C2811" s="663" t="s">
        <v>322</v>
      </c>
      <c r="D2811" s="678" t="s">
        <v>1978</v>
      </c>
      <c r="E2811" s="1407" t="s">
        <v>1918</v>
      </c>
      <c r="F2811" s="1413">
        <v>2232</v>
      </c>
      <c r="G2811" s="1950" t="s">
        <v>3877</v>
      </c>
      <c r="H2811" s="1869"/>
      <c r="I2811" s="1700">
        <v>0</v>
      </c>
      <c r="J2811" s="1700"/>
      <c r="K2811" s="1702"/>
      <c r="L2811" s="1700"/>
      <c r="M2811" s="1700">
        <v>1000</v>
      </c>
      <c r="N2811" s="212" t="s">
        <v>4247</v>
      </c>
      <c r="O2811" s="187"/>
      <c r="P2811" s="187"/>
      <c r="Q2811" s="187"/>
    </row>
    <row r="2812" spans="1:17" ht="20.399999999999999">
      <c r="A2812" s="663"/>
      <c r="B2812" s="1407" t="s">
        <v>772</v>
      </c>
      <c r="C2812" s="663" t="s">
        <v>322</v>
      </c>
      <c r="D2812" s="678" t="s">
        <v>1978</v>
      </c>
      <c r="E2812" s="1407" t="s">
        <v>1918</v>
      </c>
      <c r="F2812" s="1413">
        <v>2232</v>
      </c>
      <c r="G2812" s="1939" t="s">
        <v>2213</v>
      </c>
      <c r="H2812" s="1869"/>
      <c r="I2812" s="1700">
        <v>400</v>
      </c>
      <c r="J2812" s="1701" t="s">
        <v>1134</v>
      </c>
      <c r="K2812" s="1702"/>
      <c r="L2812" s="1700"/>
      <c r="M2812" s="1700">
        <v>400</v>
      </c>
      <c r="N2812" s="7"/>
      <c r="O2812" s="187"/>
      <c r="P2812" s="187"/>
      <c r="Q2812" s="187"/>
    </row>
    <row r="2813" spans="1:17">
      <c r="A2813" s="683"/>
      <c r="B2813" s="1406" t="s">
        <v>772</v>
      </c>
      <c r="C2813" s="683" t="s">
        <v>322</v>
      </c>
      <c r="D2813" s="719" t="s">
        <v>1978</v>
      </c>
      <c r="E2813" s="1415" t="s">
        <v>1918</v>
      </c>
      <c r="F2813" s="1698">
        <v>2233</v>
      </c>
      <c r="G2813" s="1691" t="s">
        <v>145</v>
      </c>
      <c r="H2813" s="1692">
        <v>400</v>
      </c>
      <c r="I2813" s="1693"/>
      <c r="J2813" s="1684">
        <v>0</v>
      </c>
      <c r="K2813" s="1694"/>
      <c r="L2813" s="1692">
        <v>400</v>
      </c>
      <c r="M2813" s="1693"/>
      <c r="N2813" s="305"/>
      <c r="O2813" s="187"/>
      <c r="P2813" s="187"/>
      <c r="Q2813" s="187"/>
    </row>
    <row r="2814" spans="1:17">
      <c r="A2814" s="663"/>
      <c r="B2814" s="1407" t="s">
        <v>772</v>
      </c>
      <c r="C2814" s="663" t="s">
        <v>322</v>
      </c>
      <c r="D2814" s="678" t="s">
        <v>1978</v>
      </c>
      <c r="E2814" s="1407" t="s">
        <v>1918</v>
      </c>
      <c r="F2814" s="1413">
        <v>2233</v>
      </c>
      <c r="G2814" s="1931" t="s">
        <v>1482</v>
      </c>
      <c r="H2814" s="1910"/>
      <c r="I2814" s="1683">
        <v>200</v>
      </c>
      <c r="J2814" s="1684" t="s">
        <v>1134</v>
      </c>
      <c r="K2814" s="1685"/>
      <c r="L2814" s="1683"/>
      <c r="M2814" s="1683">
        <v>200</v>
      </c>
      <c r="N2814" s="305"/>
      <c r="O2814" s="187"/>
      <c r="P2814" s="187"/>
      <c r="Q2814" s="187"/>
    </row>
    <row r="2815" spans="1:17" ht="20.399999999999999">
      <c r="A2815" s="663"/>
      <c r="B2815" s="1407" t="s">
        <v>772</v>
      </c>
      <c r="C2815" s="663" t="s">
        <v>322</v>
      </c>
      <c r="D2815" s="678" t="s">
        <v>1978</v>
      </c>
      <c r="E2815" s="1407" t="s">
        <v>1918</v>
      </c>
      <c r="F2815" s="1413">
        <v>2233</v>
      </c>
      <c r="G2815" s="1931" t="s">
        <v>1085</v>
      </c>
      <c r="H2815" s="1910"/>
      <c r="I2815" s="1683">
        <v>200</v>
      </c>
      <c r="J2815" s="1684" t="s">
        <v>1134</v>
      </c>
      <c r="K2815" s="1685"/>
      <c r="L2815" s="1683"/>
      <c r="M2815" s="1683">
        <v>200</v>
      </c>
      <c r="N2815" s="305"/>
      <c r="O2815" s="187"/>
      <c r="P2815" s="187"/>
      <c r="Q2815" s="187"/>
    </row>
    <row r="2816" spans="1:17">
      <c r="A2816" s="683"/>
      <c r="B2816" s="1406" t="s">
        <v>772</v>
      </c>
      <c r="C2816" s="683" t="s">
        <v>322</v>
      </c>
      <c r="D2816" s="1678" t="s">
        <v>1978</v>
      </c>
      <c r="E2816" s="1415" t="s">
        <v>1918</v>
      </c>
      <c r="F2816" s="1698">
        <v>2239</v>
      </c>
      <c r="G2816" s="1691" t="s">
        <v>147</v>
      </c>
      <c r="H2816" s="1692">
        <v>6418.98</v>
      </c>
      <c r="I2816" s="1693"/>
      <c r="J2816" s="1684">
        <v>5218</v>
      </c>
      <c r="K2816" s="1694"/>
      <c r="L2816" s="1692">
        <v>10083.98</v>
      </c>
      <c r="M2816" s="1693"/>
      <c r="N2816" s="305"/>
      <c r="O2816" s="187"/>
      <c r="P2816" s="187"/>
      <c r="Q2816" s="187"/>
    </row>
    <row r="2817" spans="1:17">
      <c r="A2817" s="663"/>
      <c r="B2817" s="1407" t="s">
        <v>772</v>
      </c>
      <c r="C2817" s="663" t="s">
        <v>322</v>
      </c>
      <c r="D2817" s="1679" t="s">
        <v>1978</v>
      </c>
      <c r="E2817" s="1407" t="s">
        <v>1918</v>
      </c>
      <c r="F2817" s="1413">
        <v>2239</v>
      </c>
      <c r="G2817" s="1931" t="s">
        <v>1483</v>
      </c>
      <c r="H2817" s="1910"/>
      <c r="I2817" s="1683">
        <v>800</v>
      </c>
      <c r="J2817" s="1684" t="s">
        <v>1134</v>
      </c>
      <c r="K2817" s="1685"/>
      <c r="L2817" s="1683"/>
      <c r="M2817" s="2765">
        <v>1200</v>
      </c>
      <c r="N2817" s="305"/>
      <c r="O2817" s="187"/>
      <c r="P2817" s="187"/>
      <c r="Q2817" s="187"/>
    </row>
    <row r="2818" spans="1:17">
      <c r="A2818" s="663"/>
      <c r="B2818" s="1407" t="s">
        <v>772</v>
      </c>
      <c r="C2818" s="663" t="s">
        <v>322</v>
      </c>
      <c r="D2818" s="1679" t="s">
        <v>1978</v>
      </c>
      <c r="E2818" s="1407" t="s">
        <v>1918</v>
      </c>
      <c r="F2818" s="1413">
        <v>2239</v>
      </c>
      <c r="G2818" s="1931" t="s">
        <v>1484</v>
      </c>
      <c r="H2818" s="1910"/>
      <c r="I2818" s="1683">
        <v>733.98</v>
      </c>
      <c r="J2818" s="1684" t="s">
        <v>1134</v>
      </c>
      <c r="K2818" s="1685"/>
      <c r="L2818" s="1683"/>
      <c r="M2818" s="1700">
        <v>733.98</v>
      </c>
      <c r="N2818" s="305"/>
      <c r="O2818" s="187"/>
      <c r="P2818" s="187"/>
      <c r="Q2818" s="187"/>
    </row>
    <row r="2819" spans="1:17">
      <c r="A2819" s="663"/>
      <c r="B2819" s="1407" t="s">
        <v>772</v>
      </c>
      <c r="C2819" s="663" t="s">
        <v>322</v>
      </c>
      <c r="D2819" s="1679" t="s">
        <v>1978</v>
      </c>
      <c r="E2819" s="1407" t="s">
        <v>1918</v>
      </c>
      <c r="F2819" s="1413">
        <v>2239</v>
      </c>
      <c r="G2819" s="1931" t="s">
        <v>1485</v>
      </c>
      <c r="H2819" s="1910"/>
      <c r="I2819" s="1683">
        <v>3000</v>
      </c>
      <c r="J2819" s="1684" t="s">
        <v>1134</v>
      </c>
      <c r="K2819" s="1685"/>
      <c r="L2819" s="1683"/>
      <c r="M2819" s="1700">
        <v>3500</v>
      </c>
      <c r="N2819" s="305"/>
      <c r="O2819" s="187"/>
      <c r="P2819" s="187"/>
      <c r="Q2819" s="187"/>
    </row>
    <row r="2820" spans="1:17" ht="20.399999999999999">
      <c r="A2820" s="663"/>
      <c r="B2820" s="1407" t="s">
        <v>772</v>
      </c>
      <c r="C2820" s="663" t="s">
        <v>322</v>
      </c>
      <c r="D2820" s="1679" t="s">
        <v>1978</v>
      </c>
      <c r="E2820" s="1407" t="s">
        <v>1918</v>
      </c>
      <c r="F2820" s="1413">
        <v>2239</v>
      </c>
      <c r="G2820" s="1931" t="s">
        <v>1486</v>
      </c>
      <c r="H2820" s="1910"/>
      <c r="I2820" s="1683">
        <v>1500</v>
      </c>
      <c r="J2820" s="1684" t="s">
        <v>1134</v>
      </c>
      <c r="K2820" s="1685"/>
      <c r="L2820" s="1683"/>
      <c r="M2820" s="2765">
        <v>2000</v>
      </c>
      <c r="N2820" s="212" t="s">
        <v>4253</v>
      </c>
      <c r="O2820" s="187"/>
      <c r="P2820" s="187"/>
      <c r="Q2820" s="187"/>
    </row>
    <row r="2821" spans="1:17" ht="11.4" customHeight="1">
      <c r="A2821" s="663"/>
      <c r="B2821" s="1407" t="s">
        <v>772</v>
      </c>
      <c r="C2821" s="663" t="s">
        <v>322</v>
      </c>
      <c r="D2821" s="1679" t="s">
        <v>1978</v>
      </c>
      <c r="E2821" s="1407" t="s">
        <v>1918</v>
      </c>
      <c r="F2821" s="1413">
        <v>2239</v>
      </c>
      <c r="G2821" s="1931" t="s">
        <v>1487</v>
      </c>
      <c r="H2821" s="1910"/>
      <c r="I2821" s="1683">
        <v>380</v>
      </c>
      <c r="J2821" s="1684" t="s">
        <v>1134</v>
      </c>
      <c r="K2821" s="1685"/>
      <c r="L2821" s="1683"/>
      <c r="M2821" s="1683">
        <v>500</v>
      </c>
      <c r="N2821" s="1506"/>
      <c r="O2821" s="187"/>
      <c r="P2821" s="187"/>
      <c r="Q2821" s="187"/>
    </row>
    <row r="2822" spans="1:17" ht="20.399999999999999">
      <c r="A2822" s="1263"/>
      <c r="B2822" s="1407" t="s">
        <v>772</v>
      </c>
      <c r="C2822" s="663" t="s">
        <v>322</v>
      </c>
      <c r="D2822" s="1679" t="s">
        <v>1978</v>
      </c>
      <c r="E2822" s="1407" t="s">
        <v>1918</v>
      </c>
      <c r="F2822" s="1413">
        <v>2239</v>
      </c>
      <c r="G2822" s="1951" t="s">
        <v>3169</v>
      </c>
      <c r="H2822" s="1943"/>
      <c r="I2822" s="1696">
        <v>-1415</v>
      </c>
      <c r="J2822" s="1684" t="s">
        <v>1134</v>
      </c>
      <c r="K2822" s="1697"/>
      <c r="L2822" s="1696"/>
      <c r="M2822" s="1696"/>
      <c r="N2822" s="1506"/>
      <c r="O2822" s="187"/>
      <c r="P2822" s="187"/>
      <c r="Q2822" s="187"/>
    </row>
    <row r="2823" spans="1:17" ht="20.399999999999999">
      <c r="A2823" s="663"/>
      <c r="B2823" s="1407" t="s">
        <v>772</v>
      </c>
      <c r="C2823" s="663" t="s">
        <v>322</v>
      </c>
      <c r="D2823" s="1679" t="s">
        <v>1978</v>
      </c>
      <c r="E2823" s="1407" t="s">
        <v>1918</v>
      </c>
      <c r="F2823" s="1413">
        <v>2239</v>
      </c>
      <c r="G2823" s="1952" t="s">
        <v>2214</v>
      </c>
      <c r="H2823" s="1910"/>
      <c r="I2823" s="1683">
        <v>1300</v>
      </c>
      <c r="J2823" s="1684" t="s">
        <v>1134</v>
      </c>
      <c r="K2823" s="1685"/>
      <c r="L2823" s="1683"/>
      <c r="M2823" s="1700">
        <v>2000</v>
      </c>
      <c r="N2823" s="1506"/>
      <c r="O2823" s="187"/>
      <c r="P2823" s="187"/>
      <c r="Q2823" s="187"/>
    </row>
    <row r="2824" spans="1:17">
      <c r="A2824" s="663"/>
      <c r="B2824" s="1407" t="s">
        <v>772</v>
      </c>
      <c r="C2824" s="663" t="s">
        <v>322</v>
      </c>
      <c r="D2824" s="1679" t="s">
        <v>1978</v>
      </c>
      <c r="E2824" s="1407" t="s">
        <v>1918</v>
      </c>
      <c r="F2824" s="1413">
        <v>2239</v>
      </c>
      <c r="G2824" s="1931" t="s">
        <v>1488</v>
      </c>
      <c r="H2824" s="1910"/>
      <c r="I2824" s="1683">
        <v>150</v>
      </c>
      <c r="J2824" s="1684" t="s">
        <v>1134</v>
      </c>
      <c r="K2824" s="1685"/>
      <c r="L2824" s="1683"/>
      <c r="M2824" s="1700">
        <v>150</v>
      </c>
      <c r="N2824" s="7"/>
      <c r="O2824" s="187"/>
      <c r="P2824" s="187"/>
      <c r="Q2824" s="187"/>
    </row>
    <row r="2825" spans="1:17">
      <c r="A2825" s="663"/>
      <c r="B2825" s="1407" t="s">
        <v>772</v>
      </c>
      <c r="C2825" s="663" t="s">
        <v>322</v>
      </c>
      <c r="D2825" s="678" t="s">
        <v>1978</v>
      </c>
      <c r="E2825" s="1407" t="s">
        <v>1918</v>
      </c>
      <c r="F2825" s="679">
        <v>2239</v>
      </c>
      <c r="G2825" s="924" t="s">
        <v>3087</v>
      </c>
      <c r="H2825" s="666"/>
      <c r="I2825" s="660">
        <v>-30</v>
      </c>
      <c r="J2825" s="1494" t="s">
        <v>1134</v>
      </c>
      <c r="K2825" s="661"/>
      <c r="L2825" s="659"/>
      <c r="M2825" s="659"/>
      <c r="N2825" s="381"/>
      <c r="O2825" s="187"/>
      <c r="P2825" s="187"/>
      <c r="Q2825" s="187"/>
    </row>
    <row r="2826" spans="1:17" ht="20.399999999999999">
      <c r="A2826" s="683"/>
      <c r="B2826" s="1406" t="s">
        <v>772</v>
      </c>
      <c r="C2826" s="683" t="s">
        <v>322</v>
      </c>
      <c r="D2826" s="719" t="s">
        <v>1978</v>
      </c>
      <c r="E2826" s="1415" t="s">
        <v>1918</v>
      </c>
      <c r="F2826" s="1698">
        <v>2243</v>
      </c>
      <c r="G2826" s="1691" t="s">
        <v>198</v>
      </c>
      <c r="H2826" s="1692">
        <v>3200</v>
      </c>
      <c r="I2826" s="1693"/>
      <c r="J2826" s="1684">
        <v>0</v>
      </c>
      <c r="K2826" s="1694"/>
      <c r="L2826" s="1692">
        <v>3000</v>
      </c>
      <c r="M2826" s="1693"/>
      <c r="N2826" s="381"/>
      <c r="O2826" s="187"/>
      <c r="P2826" s="187"/>
      <c r="Q2826" s="187"/>
    </row>
    <row r="2827" spans="1:17" ht="11.4" customHeight="1">
      <c r="A2827" s="663"/>
      <c r="B2827" s="1407" t="s">
        <v>772</v>
      </c>
      <c r="C2827" s="663" t="s">
        <v>322</v>
      </c>
      <c r="D2827" s="678" t="s">
        <v>1978</v>
      </c>
      <c r="E2827" s="1407" t="s">
        <v>1918</v>
      </c>
      <c r="F2827" s="1413">
        <v>2243</v>
      </c>
      <c r="G2827" s="1941" t="s">
        <v>2776</v>
      </c>
      <c r="H2827" s="1910"/>
      <c r="I2827" s="1683">
        <v>3200</v>
      </c>
      <c r="J2827" s="1684" t="s">
        <v>1134</v>
      </c>
      <c r="K2827" s="1685"/>
      <c r="L2827" s="1683"/>
      <c r="M2827" s="1683"/>
      <c r="N2827" s="212" t="s">
        <v>4253</v>
      </c>
      <c r="O2827" s="187"/>
      <c r="P2827" s="187"/>
      <c r="Q2827" s="187"/>
    </row>
    <row r="2828" spans="1:17">
      <c r="A2828" s="1669"/>
      <c r="B2828" s="1407" t="s">
        <v>772</v>
      </c>
      <c r="C2828" s="663" t="s">
        <v>322</v>
      </c>
      <c r="D2828" s="678" t="s">
        <v>1978</v>
      </c>
      <c r="E2828" s="1407" t="s">
        <v>1918</v>
      </c>
      <c r="F2828" s="1413">
        <v>2243</v>
      </c>
      <c r="G2828" s="1953" t="s">
        <v>3883</v>
      </c>
      <c r="H2828" s="1954"/>
      <c r="I2828" s="1955"/>
      <c r="J2828" s="1954"/>
      <c r="K2828" s="1702"/>
      <c r="L2828" s="1954"/>
      <c r="M2828" s="1955">
        <v>3000</v>
      </c>
      <c r="N2828" s="7"/>
      <c r="O2828" s="187"/>
      <c r="P2828" s="187"/>
      <c r="Q2828" s="187"/>
    </row>
    <row r="2829" spans="1:17">
      <c r="A2829" s="683"/>
      <c r="B2829" s="1406" t="s">
        <v>772</v>
      </c>
      <c r="C2829" s="683" t="s">
        <v>322</v>
      </c>
      <c r="D2829" s="719" t="s">
        <v>1978</v>
      </c>
      <c r="E2829" s="1415" t="s">
        <v>1918</v>
      </c>
      <c r="F2829" s="1698">
        <v>2244</v>
      </c>
      <c r="G2829" s="1691" t="s">
        <v>330</v>
      </c>
      <c r="H2829" s="1692">
        <v>30</v>
      </c>
      <c r="I2829" s="1693"/>
      <c r="J2829" s="1684">
        <v>12</v>
      </c>
      <c r="K2829" s="1694"/>
      <c r="L2829" s="1692">
        <v>30</v>
      </c>
      <c r="M2829" s="1693"/>
      <c r="N2829" s="7"/>
      <c r="O2829" s="187"/>
      <c r="P2829" s="187"/>
      <c r="Q2829" s="187"/>
    </row>
    <row r="2830" spans="1:17" ht="11.4" customHeight="1">
      <c r="A2830" s="663"/>
      <c r="B2830" s="1407" t="s">
        <v>772</v>
      </c>
      <c r="C2830" s="663" t="s">
        <v>322</v>
      </c>
      <c r="D2830" s="678" t="s">
        <v>1978</v>
      </c>
      <c r="E2830" s="1407" t="s">
        <v>1918</v>
      </c>
      <c r="F2830" s="1413">
        <v>2244</v>
      </c>
      <c r="G2830" s="818" t="s">
        <v>1463</v>
      </c>
      <c r="H2830" s="1910"/>
      <c r="I2830" s="1683">
        <v>30</v>
      </c>
      <c r="J2830" s="1684" t="s">
        <v>1134</v>
      </c>
      <c r="K2830" s="1685"/>
      <c r="L2830" s="1683"/>
      <c r="M2830" s="1683">
        <v>30</v>
      </c>
      <c r="N2830" s="7"/>
      <c r="O2830" s="187"/>
      <c r="P2830" s="187"/>
      <c r="Q2830" s="187"/>
    </row>
    <row r="2831" spans="1:17" ht="20.399999999999999">
      <c r="A2831" s="683"/>
      <c r="B2831" s="1406" t="s">
        <v>772</v>
      </c>
      <c r="C2831" s="683" t="s">
        <v>322</v>
      </c>
      <c r="D2831" s="719" t="s">
        <v>1978</v>
      </c>
      <c r="E2831" s="1415" t="s">
        <v>1918</v>
      </c>
      <c r="F2831" s="1698">
        <v>2249</v>
      </c>
      <c r="G2831" s="1691" t="s">
        <v>747</v>
      </c>
      <c r="H2831" s="1692">
        <v>160</v>
      </c>
      <c r="I2831" s="1693"/>
      <c r="J2831" s="1684">
        <v>0</v>
      </c>
      <c r="K2831" s="1694"/>
      <c r="L2831" s="1692">
        <v>160</v>
      </c>
      <c r="M2831" s="1693"/>
      <c r="N2831" s="305"/>
      <c r="O2831" s="187"/>
      <c r="P2831" s="187"/>
      <c r="Q2831" s="187"/>
    </row>
    <row r="2832" spans="1:17">
      <c r="A2832" s="663"/>
      <c r="B2832" s="1407" t="s">
        <v>772</v>
      </c>
      <c r="C2832" s="663" t="s">
        <v>322</v>
      </c>
      <c r="D2832" s="678" t="s">
        <v>1978</v>
      </c>
      <c r="E2832" s="1407" t="s">
        <v>1918</v>
      </c>
      <c r="F2832" s="1413">
        <v>2249</v>
      </c>
      <c r="G2832" s="818" t="s">
        <v>831</v>
      </c>
      <c r="H2832" s="1910"/>
      <c r="I2832" s="1683">
        <v>160</v>
      </c>
      <c r="J2832" s="1684" t="s">
        <v>1134</v>
      </c>
      <c r="K2832" s="1685"/>
      <c r="L2832" s="1683"/>
      <c r="M2832" s="1683">
        <v>160</v>
      </c>
      <c r="N2832" s="305"/>
      <c r="O2832" s="187"/>
      <c r="P2832" s="187"/>
      <c r="Q2832" s="187"/>
    </row>
    <row r="2833" spans="1:17" ht="12" customHeight="1">
      <c r="A2833" s="683"/>
      <c r="B2833" s="1406" t="s">
        <v>772</v>
      </c>
      <c r="C2833" s="683" t="s">
        <v>322</v>
      </c>
      <c r="D2833" s="719" t="s">
        <v>1978</v>
      </c>
      <c r="E2833" s="1415" t="s">
        <v>1918</v>
      </c>
      <c r="F2833" s="1698">
        <v>2250</v>
      </c>
      <c r="G2833" s="1691" t="s">
        <v>778</v>
      </c>
      <c r="H2833" s="1692">
        <v>1670</v>
      </c>
      <c r="I2833" s="1693"/>
      <c r="J2833" s="1684">
        <v>1669.8</v>
      </c>
      <c r="K2833" s="1694"/>
      <c r="L2833" s="1692">
        <v>2500</v>
      </c>
      <c r="M2833" s="1693"/>
      <c r="N2833" s="305"/>
      <c r="O2833" s="187"/>
      <c r="P2833" s="187"/>
      <c r="Q2833" s="187"/>
    </row>
    <row r="2834" spans="1:17">
      <c r="A2834" s="663"/>
      <c r="B2834" s="1407" t="s">
        <v>772</v>
      </c>
      <c r="C2834" s="663" t="s">
        <v>322</v>
      </c>
      <c r="D2834" s="678" t="s">
        <v>1978</v>
      </c>
      <c r="E2834" s="1407" t="s">
        <v>1918</v>
      </c>
      <c r="F2834" s="1413">
        <v>2250</v>
      </c>
      <c r="G2834" s="818" t="s">
        <v>5353</v>
      </c>
      <c r="H2834" s="1910"/>
      <c r="I2834" s="1683">
        <v>1670</v>
      </c>
      <c r="J2834" s="1684" t="s">
        <v>1134</v>
      </c>
      <c r="K2834" s="1685"/>
      <c r="L2834" s="1683"/>
      <c r="M2834" s="1700">
        <v>2500</v>
      </c>
      <c r="N2834" s="305"/>
      <c r="O2834" s="7"/>
      <c r="P2834" s="7"/>
      <c r="Q2834" s="7"/>
    </row>
    <row r="2835" spans="1:17">
      <c r="A2835" s="683"/>
      <c r="B2835" s="1406" t="s">
        <v>772</v>
      </c>
      <c r="C2835" s="683" t="s">
        <v>322</v>
      </c>
      <c r="D2835" s="719" t="s">
        <v>1978</v>
      </c>
      <c r="E2835" s="1415" t="s">
        <v>1918</v>
      </c>
      <c r="F2835" s="1698">
        <v>2264</v>
      </c>
      <c r="G2835" s="1691" t="s">
        <v>125</v>
      </c>
      <c r="H2835" s="1692">
        <v>100</v>
      </c>
      <c r="I2835" s="1693"/>
      <c r="J2835" s="1684">
        <v>34.99</v>
      </c>
      <c r="K2835" s="1694"/>
      <c r="L2835" s="1692">
        <v>100</v>
      </c>
      <c r="M2835" s="1693"/>
      <c r="N2835" s="305"/>
      <c r="O2835" s="7"/>
      <c r="P2835" s="7"/>
      <c r="Q2835" s="7"/>
    </row>
    <row r="2836" spans="1:17" ht="11.4" customHeight="1">
      <c r="A2836" s="663"/>
      <c r="B2836" s="1407" t="s">
        <v>772</v>
      </c>
      <c r="C2836" s="663" t="s">
        <v>322</v>
      </c>
      <c r="D2836" s="678" t="s">
        <v>1978</v>
      </c>
      <c r="E2836" s="1407" t="s">
        <v>1918</v>
      </c>
      <c r="F2836" s="1413">
        <v>2264</v>
      </c>
      <c r="G2836" s="1948" t="s">
        <v>1489</v>
      </c>
      <c r="H2836" s="1910"/>
      <c r="I2836" s="1683">
        <v>100</v>
      </c>
      <c r="J2836" s="1684" t="s">
        <v>1134</v>
      </c>
      <c r="K2836" s="1685"/>
      <c r="L2836" s="1683"/>
      <c r="M2836" s="1683">
        <v>100</v>
      </c>
      <c r="N2836" s="305"/>
      <c r="O2836" s="187"/>
      <c r="P2836" s="187"/>
      <c r="Q2836" s="187"/>
    </row>
    <row r="2837" spans="1:17">
      <c r="A2837" s="683"/>
      <c r="B2837" s="1406" t="s">
        <v>772</v>
      </c>
      <c r="C2837" s="683" t="s">
        <v>322</v>
      </c>
      <c r="D2837" s="719" t="s">
        <v>1978</v>
      </c>
      <c r="E2837" s="1415" t="s">
        <v>1918</v>
      </c>
      <c r="F2837" s="1698">
        <v>2311</v>
      </c>
      <c r="G2837" s="1691" t="s">
        <v>260</v>
      </c>
      <c r="H2837" s="1692">
        <v>0</v>
      </c>
      <c r="I2837" s="1693"/>
      <c r="J2837" s="1684" t="s">
        <v>1134</v>
      </c>
      <c r="K2837" s="1694"/>
      <c r="L2837" s="1692">
        <v>500</v>
      </c>
      <c r="M2837" s="1693"/>
      <c r="N2837" s="305"/>
      <c r="O2837" s="7"/>
      <c r="P2837" s="7"/>
      <c r="Q2837" s="7"/>
    </row>
    <row r="2838" spans="1:17">
      <c r="A2838" s="663"/>
      <c r="B2838" s="1407" t="s">
        <v>772</v>
      </c>
      <c r="C2838" s="663" t="s">
        <v>322</v>
      </c>
      <c r="D2838" s="678" t="s">
        <v>1978</v>
      </c>
      <c r="E2838" s="1407" t="s">
        <v>1918</v>
      </c>
      <c r="F2838" s="1413">
        <v>2311</v>
      </c>
      <c r="G2838" s="1931" t="s">
        <v>3886</v>
      </c>
      <c r="H2838" s="1910"/>
      <c r="I2838" s="1683"/>
      <c r="J2838" s="1684" t="s">
        <v>1134</v>
      </c>
      <c r="K2838" s="1685"/>
      <c r="L2838" s="1683"/>
      <c r="M2838" s="1683">
        <v>500</v>
      </c>
      <c r="N2838" s="305"/>
      <c r="O2838" s="187"/>
      <c r="P2838" s="187"/>
      <c r="Q2838" s="187"/>
    </row>
    <row r="2839" spans="1:17">
      <c r="A2839" s="683"/>
      <c r="B2839" s="1406" t="s">
        <v>774</v>
      </c>
      <c r="C2839" s="683" t="s">
        <v>324</v>
      </c>
      <c r="D2839" s="719" t="s">
        <v>1978</v>
      </c>
      <c r="E2839" s="1415" t="s">
        <v>1918</v>
      </c>
      <c r="F2839" s="685">
        <v>2312</v>
      </c>
      <c r="G2839" s="686" t="s">
        <v>131</v>
      </c>
      <c r="H2839" s="689">
        <v>800</v>
      </c>
      <c r="I2839" s="799"/>
      <c r="J2839" s="1494">
        <v>0</v>
      </c>
      <c r="K2839" s="690"/>
      <c r="L2839" s="1661">
        <v>2300</v>
      </c>
      <c r="M2839" s="1682"/>
      <c r="N2839" s="305"/>
      <c r="O2839" s="187"/>
      <c r="P2839" s="187"/>
      <c r="Q2839" s="187"/>
    </row>
    <row r="2840" spans="1:17" ht="22.5" customHeight="1">
      <c r="A2840" s="663"/>
      <c r="B2840" s="1407" t="s">
        <v>774</v>
      </c>
      <c r="C2840" s="663" t="s">
        <v>324</v>
      </c>
      <c r="D2840" s="678" t="s">
        <v>1978</v>
      </c>
      <c r="E2840" s="1407" t="s">
        <v>1918</v>
      </c>
      <c r="F2840" s="679">
        <v>2312</v>
      </c>
      <c r="G2840" s="664" t="s">
        <v>1490</v>
      </c>
      <c r="H2840" s="666"/>
      <c r="I2840" s="660">
        <v>200</v>
      </c>
      <c r="J2840" s="1494" t="s">
        <v>1134</v>
      </c>
      <c r="K2840" s="661"/>
      <c r="L2840" s="1662"/>
      <c r="M2840" s="1776">
        <v>1500</v>
      </c>
      <c r="N2840" s="305"/>
      <c r="O2840" s="187"/>
      <c r="P2840" s="187"/>
      <c r="Q2840" s="187"/>
    </row>
    <row r="2841" spans="1:17" ht="11.4" customHeight="1">
      <c r="A2841" s="663"/>
      <c r="B2841" s="1407" t="s">
        <v>774</v>
      </c>
      <c r="C2841" s="663" t="s">
        <v>324</v>
      </c>
      <c r="D2841" s="678" t="s">
        <v>1978</v>
      </c>
      <c r="E2841" s="1407" t="s">
        <v>1918</v>
      </c>
      <c r="F2841" s="679">
        <v>2312</v>
      </c>
      <c r="G2841" s="664" t="s">
        <v>1491</v>
      </c>
      <c r="H2841" s="666"/>
      <c r="I2841" s="660">
        <v>400</v>
      </c>
      <c r="J2841" s="1494" t="s">
        <v>1134</v>
      </c>
      <c r="K2841" s="661"/>
      <c r="L2841" s="1662"/>
      <c r="M2841" s="1776">
        <v>400</v>
      </c>
      <c r="N2841" s="305"/>
      <c r="O2841" s="187"/>
      <c r="P2841" s="187"/>
      <c r="Q2841" s="187"/>
    </row>
    <row r="2842" spans="1:17">
      <c r="A2842" s="1182"/>
      <c r="B2842" s="1407" t="s">
        <v>774</v>
      </c>
      <c r="C2842" s="663" t="s">
        <v>324</v>
      </c>
      <c r="D2842" s="678" t="s">
        <v>1978</v>
      </c>
      <c r="E2842" s="1407" t="s">
        <v>1918</v>
      </c>
      <c r="F2842" s="1190">
        <v>2312</v>
      </c>
      <c r="G2842" s="665" t="s">
        <v>1495</v>
      </c>
      <c r="H2842" s="1192"/>
      <c r="I2842" s="1193">
        <v>200</v>
      </c>
      <c r="J2842" s="1494" t="s">
        <v>1134</v>
      </c>
      <c r="K2842" s="1209"/>
      <c r="L2842" s="1222"/>
      <c r="M2842" s="2766">
        <v>0</v>
      </c>
      <c r="N2842" s="125"/>
      <c r="O2842" s="4"/>
      <c r="P2842" s="4"/>
      <c r="Q2842" s="4"/>
    </row>
    <row r="2843" spans="1:17">
      <c r="A2843" s="1669"/>
      <c r="B2843" s="1407" t="s">
        <v>774</v>
      </c>
      <c r="C2843" s="663" t="s">
        <v>324</v>
      </c>
      <c r="D2843" s="678" t="s">
        <v>1978</v>
      </c>
      <c r="E2843" s="1407" t="s">
        <v>1918</v>
      </c>
      <c r="F2843" s="1190">
        <v>2312</v>
      </c>
      <c r="G2843" s="1671" t="s">
        <v>3892</v>
      </c>
      <c r="H2843" s="1865"/>
      <c r="I2843" s="1676"/>
      <c r="J2843" s="1673"/>
      <c r="K2843" s="1674"/>
      <c r="L2843" s="1675"/>
      <c r="M2843" s="1776">
        <v>400</v>
      </c>
      <c r="N2843" s="305"/>
      <c r="O2843" s="4"/>
      <c r="P2843" s="4"/>
      <c r="Q2843" s="4"/>
    </row>
    <row r="2844" spans="1:17">
      <c r="A2844" s="683"/>
      <c r="B2844" s="3129" t="s">
        <v>773</v>
      </c>
      <c r="C2844" s="683" t="s">
        <v>324</v>
      </c>
      <c r="D2844" s="719" t="s">
        <v>1978</v>
      </c>
      <c r="E2844" s="1415" t="s">
        <v>1918</v>
      </c>
      <c r="F2844" s="685">
        <v>2312</v>
      </c>
      <c r="G2844" s="686" t="s">
        <v>131</v>
      </c>
      <c r="H2844" s="689">
        <v>200</v>
      </c>
      <c r="I2844" s="799"/>
      <c r="J2844" s="1494">
        <v>0</v>
      </c>
      <c r="K2844" s="690"/>
      <c r="L2844" s="1661">
        <v>5000</v>
      </c>
      <c r="M2844" s="1682"/>
      <c r="N2844" s="305"/>
      <c r="O2844" s="4"/>
      <c r="P2844" s="4"/>
      <c r="Q2844" s="4"/>
    </row>
    <row r="2845" spans="1:17">
      <c r="A2845" s="663"/>
      <c r="B2845" s="3130" t="s">
        <v>773</v>
      </c>
      <c r="C2845" s="663" t="s">
        <v>324</v>
      </c>
      <c r="D2845" s="678" t="s">
        <v>1978</v>
      </c>
      <c r="E2845" s="1407" t="s">
        <v>1918</v>
      </c>
      <c r="F2845" s="679">
        <v>2312</v>
      </c>
      <c r="G2845" s="665" t="s">
        <v>1495</v>
      </c>
      <c r="H2845" s="1192"/>
      <c r="I2845" s="1193">
        <v>200</v>
      </c>
      <c r="J2845" s="1494" t="s">
        <v>1134</v>
      </c>
      <c r="K2845" s="1209"/>
      <c r="L2845" s="1222"/>
      <c r="M2845" s="1776">
        <v>5000</v>
      </c>
      <c r="N2845" s="305"/>
      <c r="O2845" s="198"/>
      <c r="P2845" s="198"/>
      <c r="Q2845" s="198"/>
    </row>
    <row r="2846" spans="1:17" ht="20.399999999999999">
      <c r="A2846" s="683"/>
      <c r="B2846" s="1406" t="s">
        <v>772</v>
      </c>
      <c r="C2846" s="683" t="s">
        <v>322</v>
      </c>
      <c r="D2846" s="719" t="s">
        <v>1978</v>
      </c>
      <c r="E2846" s="1415" t="s">
        <v>1918</v>
      </c>
      <c r="F2846" s="1698">
        <v>2314</v>
      </c>
      <c r="G2846" s="1956" t="s">
        <v>1435</v>
      </c>
      <c r="H2846" s="1692">
        <v>5015</v>
      </c>
      <c r="I2846" s="1693"/>
      <c r="J2846" s="1684">
        <v>3716</v>
      </c>
      <c r="K2846" s="1694"/>
      <c r="L2846" s="1692">
        <v>3100</v>
      </c>
      <c r="M2846" s="1693"/>
      <c r="N2846" s="1644"/>
      <c r="O2846" s="202"/>
      <c r="P2846" s="202"/>
      <c r="Q2846" s="202"/>
    </row>
    <row r="2847" spans="1:17">
      <c r="A2847" s="663"/>
      <c r="B2847" s="1407" t="s">
        <v>772</v>
      </c>
      <c r="C2847" s="663" t="s">
        <v>322</v>
      </c>
      <c r="D2847" s="678" t="s">
        <v>1978</v>
      </c>
      <c r="E2847" s="1407" t="s">
        <v>1918</v>
      </c>
      <c r="F2847" s="1413">
        <v>2314</v>
      </c>
      <c r="G2847" s="818" t="s">
        <v>262</v>
      </c>
      <c r="H2847" s="1910"/>
      <c r="I2847" s="1683">
        <v>80</v>
      </c>
      <c r="J2847" s="1684" t="s">
        <v>1134</v>
      </c>
      <c r="K2847" s="1685"/>
      <c r="L2847" s="1683"/>
      <c r="M2847" s="1700">
        <v>80</v>
      </c>
      <c r="N2847" s="1644"/>
      <c r="O2847" s="202"/>
      <c r="P2847" s="202"/>
      <c r="Q2847" s="202"/>
    </row>
    <row r="2848" spans="1:17">
      <c r="A2848" s="663"/>
      <c r="B2848" s="1407" t="s">
        <v>772</v>
      </c>
      <c r="C2848" s="663" t="s">
        <v>322</v>
      </c>
      <c r="D2848" s="678" t="s">
        <v>1978</v>
      </c>
      <c r="E2848" s="1407" t="s">
        <v>1918</v>
      </c>
      <c r="F2848" s="1413">
        <v>2314</v>
      </c>
      <c r="G2848" s="818" t="s">
        <v>2777</v>
      </c>
      <c r="H2848" s="1910"/>
      <c r="I2848" s="1683">
        <v>400</v>
      </c>
      <c r="J2848" s="1684" t="s">
        <v>1134</v>
      </c>
      <c r="K2848" s="1685"/>
      <c r="L2848" s="1683"/>
      <c r="M2848" s="1700">
        <v>400</v>
      </c>
      <c r="N2848" s="1644"/>
      <c r="O2848" s="202"/>
      <c r="P2848" s="202"/>
      <c r="Q2848" s="202"/>
    </row>
    <row r="2849" spans="1:17">
      <c r="A2849" s="663"/>
      <c r="B2849" s="1407" t="s">
        <v>772</v>
      </c>
      <c r="C2849" s="663" t="s">
        <v>322</v>
      </c>
      <c r="D2849" s="678" t="s">
        <v>1978</v>
      </c>
      <c r="E2849" s="1407" t="s">
        <v>1918</v>
      </c>
      <c r="F2849" s="1413">
        <v>2314</v>
      </c>
      <c r="G2849" s="818" t="s">
        <v>344</v>
      </c>
      <c r="H2849" s="1910"/>
      <c r="I2849" s="1683">
        <v>120</v>
      </c>
      <c r="J2849" s="1684" t="s">
        <v>1134</v>
      </c>
      <c r="K2849" s="1685"/>
      <c r="L2849" s="1683"/>
      <c r="M2849" s="1700">
        <v>120</v>
      </c>
      <c r="N2849" s="1644"/>
      <c r="O2849" s="7"/>
      <c r="P2849" s="7"/>
      <c r="Q2849" s="7"/>
    </row>
    <row r="2850" spans="1:17">
      <c r="A2850" s="1263"/>
      <c r="B2850" s="1407" t="s">
        <v>772</v>
      </c>
      <c r="C2850" s="663" t="s">
        <v>322</v>
      </c>
      <c r="D2850" s="678" t="s">
        <v>1978</v>
      </c>
      <c r="E2850" s="1407" t="s">
        <v>1918</v>
      </c>
      <c r="F2850" s="1413">
        <v>2314</v>
      </c>
      <c r="G2850" s="1951" t="s">
        <v>4964</v>
      </c>
      <c r="H2850" s="1943"/>
      <c r="I2850" s="1696">
        <v>1415</v>
      </c>
      <c r="J2850" s="1684" t="s">
        <v>1134</v>
      </c>
      <c r="K2850" s="1697"/>
      <c r="L2850" s="1696"/>
      <c r="M2850" s="2767">
        <v>500</v>
      </c>
      <c r="N2850" s="1644"/>
      <c r="O2850" s="7"/>
      <c r="P2850" s="7"/>
      <c r="Q2850" s="7"/>
    </row>
    <row r="2851" spans="1:17">
      <c r="A2851" s="603"/>
      <c r="B2851" s="1407" t="s">
        <v>772</v>
      </c>
      <c r="C2851" s="663" t="s">
        <v>322</v>
      </c>
      <c r="D2851" s="678" t="s">
        <v>1978</v>
      </c>
      <c r="E2851" s="1407" t="s">
        <v>1918</v>
      </c>
      <c r="F2851" s="1413">
        <v>2314</v>
      </c>
      <c r="G2851" s="1821" t="s">
        <v>3890</v>
      </c>
      <c r="H2851" s="1917"/>
      <c r="I2851" s="1713">
        <v>1000</v>
      </c>
      <c r="J2851" s="1684" t="s">
        <v>1134</v>
      </c>
      <c r="K2851" s="1918"/>
      <c r="L2851" s="1713"/>
      <c r="M2851" s="2768">
        <v>0</v>
      </c>
      <c r="N2851" s="1644"/>
      <c r="O2851" s="4"/>
      <c r="P2851" s="4"/>
      <c r="Q2851" s="4"/>
    </row>
    <row r="2852" spans="1:17" s="9" customFormat="1" ht="30.6">
      <c r="A2852" s="3306"/>
      <c r="B2852" s="1407" t="s">
        <v>772</v>
      </c>
      <c r="C2852" s="663" t="s">
        <v>322</v>
      </c>
      <c r="D2852" s="678" t="s">
        <v>1978</v>
      </c>
      <c r="E2852" s="1407" t="s">
        <v>1918</v>
      </c>
      <c r="F2852" s="1413">
        <v>2314</v>
      </c>
      <c r="G2852" s="1821" t="s">
        <v>3891</v>
      </c>
      <c r="H2852" s="1917"/>
      <c r="I2852" s="1713">
        <v>2000</v>
      </c>
      <c r="J2852" s="1684" t="s">
        <v>1134</v>
      </c>
      <c r="K2852" s="1918"/>
      <c r="L2852" s="1713"/>
      <c r="M2852" s="1713">
        <v>2000</v>
      </c>
      <c r="N2852" s="1644"/>
      <c r="O2852" s="63"/>
      <c r="P2852" s="63"/>
      <c r="Q2852" s="63"/>
    </row>
    <row r="2853" spans="1:17" s="9" customFormat="1">
      <c r="A2853" s="1406"/>
      <c r="B2853" s="1406" t="s">
        <v>772</v>
      </c>
      <c r="C2853" s="1406" t="s">
        <v>322</v>
      </c>
      <c r="D2853" s="1678" t="s">
        <v>1978</v>
      </c>
      <c r="E2853" s="1415" t="s">
        <v>1918</v>
      </c>
      <c r="F2853" s="1698">
        <v>2322</v>
      </c>
      <c r="G2853" s="1691" t="s">
        <v>191</v>
      </c>
      <c r="H2853" s="1692">
        <v>300</v>
      </c>
      <c r="I2853" s="1693"/>
      <c r="J2853" s="1684">
        <v>0</v>
      </c>
      <c r="K2853" s="1694"/>
      <c r="L2853" s="1692">
        <v>300</v>
      </c>
      <c r="M2853" s="1693"/>
      <c r="N2853" s="305"/>
      <c r="O2853" s="63"/>
      <c r="P2853" s="63"/>
      <c r="Q2853" s="63"/>
    </row>
    <row r="2854" spans="1:17" ht="12" customHeight="1">
      <c r="A2854" s="1407"/>
      <c r="B2854" s="1407" t="s">
        <v>772</v>
      </c>
      <c r="C2854" s="1407" t="s">
        <v>322</v>
      </c>
      <c r="D2854" s="1679" t="s">
        <v>1978</v>
      </c>
      <c r="E2854" s="1407" t="s">
        <v>1918</v>
      </c>
      <c r="F2854" s="1413">
        <v>2322</v>
      </c>
      <c r="G2854" s="818" t="s">
        <v>1492</v>
      </c>
      <c r="H2854" s="1910"/>
      <c r="I2854" s="1683">
        <v>300</v>
      </c>
      <c r="J2854" s="1684" t="s">
        <v>1134</v>
      </c>
      <c r="K2854" s="1685"/>
      <c r="L2854" s="1683"/>
      <c r="M2854" s="1683">
        <v>300</v>
      </c>
      <c r="N2854" s="305"/>
      <c r="O2854" s="187"/>
      <c r="P2854" s="187"/>
      <c r="Q2854" s="187"/>
    </row>
    <row r="2855" spans="1:17">
      <c r="A2855" s="1406"/>
      <c r="B2855" s="1406" t="s">
        <v>772</v>
      </c>
      <c r="C2855" s="1406" t="s">
        <v>322</v>
      </c>
      <c r="D2855" s="1678" t="s">
        <v>1978</v>
      </c>
      <c r="E2855" s="1415" t="s">
        <v>1918</v>
      </c>
      <c r="F2855" s="1944">
        <v>2350</v>
      </c>
      <c r="G2855" s="1691" t="s">
        <v>133</v>
      </c>
      <c r="H2855" s="1692">
        <v>200</v>
      </c>
      <c r="I2855" s="1693"/>
      <c r="J2855" s="1684">
        <v>45.98</v>
      </c>
      <c r="K2855" s="1694"/>
      <c r="L2855" s="1692">
        <v>400</v>
      </c>
      <c r="M2855" s="1693"/>
      <c r="N2855" s="305"/>
      <c r="O2855" s="187"/>
      <c r="P2855" s="187"/>
      <c r="Q2855" s="187"/>
    </row>
    <row r="2856" spans="1:17">
      <c r="A2856" s="1407"/>
      <c r="B2856" s="1407" t="s">
        <v>772</v>
      </c>
      <c r="C2856" s="1407" t="s">
        <v>322</v>
      </c>
      <c r="D2856" s="1679" t="s">
        <v>1978</v>
      </c>
      <c r="E2856" s="1407" t="s">
        <v>1918</v>
      </c>
      <c r="F2856" s="1413">
        <v>2350</v>
      </c>
      <c r="G2856" s="1931" t="s">
        <v>1493</v>
      </c>
      <c r="H2856" s="1910"/>
      <c r="I2856" s="1683">
        <v>100</v>
      </c>
      <c r="J2856" s="1684" t="s">
        <v>1134</v>
      </c>
      <c r="K2856" s="1685"/>
      <c r="L2856" s="1683"/>
      <c r="M2856" s="1683">
        <v>100</v>
      </c>
      <c r="N2856" s="1644"/>
      <c r="O2856" s="187"/>
      <c r="P2856" s="187"/>
      <c r="Q2856" s="187"/>
    </row>
    <row r="2857" spans="1:17">
      <c r="A2857" s="1407"/>
      <c r="B2857" s="1407" t="s">
        <v>772</v>
      </c>
      <c r="C2857" s="1407" t="s">
        <v>322</v>
      </c>
      <c r="D2857" s="1679" t="s">
        <v>1978</v>
      </c>
      <c r="E2857" s="1407" t="s">
        <v>1918</v>
      </c>
      <c r="F2857" s="1413">
        <v>2350</v>
      </c>
      <c r="G2857" s="1931" t="s">
        <v>1494</v>
      </c>
      <c r="H2857" s="1910"/>
      <c r="I2857" s="1683">
        <v>100</v>
      </c>
      <c r="J2857" s="1684" t="s">
        <v>1134</v>
      </c>
      <c r="K2857" s="1685"/>
      <c r="L2857" s="1683"/>
      <c r="M2857" s="1683">
        <v>300</v>
      </c>
      <c r="N2857" s="1644"/>
      <c r="O2857" s="187"/>
      <c r="P2857" s="187"/>
      <c r="Q2857" s="187"/>
    </row>
    <row r="2858" spans="1:17">
      <c r="A2858" s="1406"/>
      <c r="B2858" s="1406" t="s">
        <v>772</v>
      </c>
      <c r="C2858" s="683" t="s">
        <v>322</v>
      </c>
      <c r="D2858" s="719" t="s">
        <v>1978</v>
      </c>
      <c r="E2858" s="1415" t="s">
        <v>1918</v>
      </c>
      <c r="F2858" s="1944">
        <v>5238</v>
      </c>
      <c r="G2858" s="1691" t="s">
        <v>139</v>
      </c>
      <c r="H2858" s="1692">
        <v>1600</v>
      </c>
      <c r="I2858" s="1693"/>
      <c r="J2858" s="1684">
        <v>287.64</v>
      </c>
      <c r="K2858" s="1694"/>
      <c r="L2858" s="1692">
        <v>0</v>
      </c>
      <c r="M2858" s="1693"/>
      <c r="N2858" s="305"/>
      <c r="O2858" s="187"/>
      <c r="P2858" s="187"/>
      <c r="Q2858" s="187"/>
    </row>
    <row r="2859" spans="1:17">
      <c r="A2859" s="1407"/>
      <c r="B2859" s="1407" t="s">
        <v>772</v>
      </c>
      <c r="C2859" s="663" t="s">
        <v>322</v>
      </c>
      <c r="D2859" s="678" t="s">
        <v>1978</v>
      </c>
      <c r="E2859" s="1407" t="s">
        <v>1918</v>
      </c>
      <c r="F2859" s="1413">
        <v>5238</v>
      </c>
      <c r="G2859" s="1931" t="s">
        <v>2215</v>
      </c>
      <c r="H2859" s="1910"/>
      <c r="I2859" s="1683">
        <v>1600</v>
      </c>
      <c r="J2859" s="1684" t="s">
        <v>1134</v>
      </c>
      <c r="K2859" s="1685"/>
      <c r="L2859" s="1683"/>
      <c r="M2859" s="1683"/>
      <c r="N2859" s="305"/>
      <c r="O2859" s="187"/>
      <c r="P2859" s="187"/>
      <c r="Q2859" s="187"/>
    </row>
    <row r="2860" spans="1:17">
      <c r="A2860" s="1406"/>
      <c r="B2860" s="1406" t="s">
        <v>774</v>
      </c>
      <c r="C2860" s="683" t="s">
        <v>322</v>
      </c>
      <c r="D2860" s="719" t="s">
        <v>1978</v>
      </c>
      <c r="E2860" s="1415" t="s">
        <v>1918</v>
      </c>
      <c r="F2860" s="1698">
        <v>5239</v>
      </c>
      <c r="G2860" s="1691" t="s">
        <v>746</v>
      </c>
      <c r="H2860" s="1692">
        <v>0</v>
      </c>
      <c r="I2860" s="1693"/>
      <c r="J2860" s="1684" t="s">
        <v>1134</v>
      </c>
      <c r="K2860" s="1694"/>
      <c r="L2860" s="1692">
        <v>0</v>
      </c>
      <c r="M2860" s="1693"/>
      <c r="N2860" s="305"/>
      <c r="O2860" s="187"/>
      <c r="P2860" s="187"/>
      <c r="Q2860" s="187"/>
    </row>
    <row r="2861" spans="1:17">
      <c r="A2861" s="1407"/>
      <c r="B2861" s="1407" t="s">
        <v>774</v>
      </c>
      <c r="C2861" s="663" t="s">
        <v>322</v>
      </c>
      <c r="D2861" s="678" t="s">
        <v>1978</v>
      </c>
      <c r="E2861" s="1407" t="s">
        <v>1918</v>
      </c>
      <c r="F2861" s="1413">
        <v>5239</v>
      </c>
      <c r="G2861" s="818" t="s">
        <v>1495</v>
      </c>
      <c r="H2861" s="1910"/>
      <c r="I2861" s="1683"/>
      <c r="J2861" s="1684" t="s">
        <v>1134</v>
      </c>
      <c r="K2861" s="1685"/>
      <c r="L2861" s="1683"/>
      <c r="M2861" s="1683"/>
      <c r="N2861" s="305"/>
      <c r="O2861" s="187"/>
      <c r="P2861" s="187"/>
      <c r="Q2861" s="187"/>
    </row>
    <row r="2862" spans="1:17">
      <c r="A2862" s="683"/>
      <c r="B2862" s="3129" t="s">
        <v>773</v>
      </c>
      <c r="C2862" s="683" t="s">
        <v>322</v>
      </c>
      <c r="D2862" s="719" t="s">
        <v>1978</v>
      </c>
      <c r="E2862" s="1415" t="s">
        <v>1918</v>
      </c>
      <c r="F2862" s="1698">
        <v>5239</v>
      </c>
      <c r="G2862" s="1691" t="s">
        <v>746</v>
      </c>
      <c r="H2862" s="1692">
        <v>4300</v>
      </c>
      <c r="I2862" s="1693"/>
      <c r="J2862" s="1684">
        <v>0</v>
      </c>
      <c r="K2862" s="1694"/>
      <c r="L2862" s="1692">
        <v>5223</v>
      </c>
      <c r="M2862" s="1693"/>
      <c r="N2862" s="305"/>
      <c r="O2862" s="7"/>
      <c r="P2862" s="7"/>
      <c r="Q2862" s="7"/>
    </row>
    <row r="2863" spans="1:17" ht="30.6">
      <c r="A2863" s="1669"/>
      <c r="B2863" s="3130" t="s">
        <v>773</v>
      </c>
      <c r="C2863" s="663" t="s">
        <v>322</v>
      </c>
      <c r="D2863" s="663" t="s">
        <v>1978</v>
      </c>
      <c r="E2863" s="1407" t="s">
        <v>1918</v>
      </c>
      <c r="F2863" s="1407">
        <v>5239</v>
      </c>
      <c r="G2863" s="1752" t="s">
        <v>3875</v>
      </c>
      <c r="H2863" s="1794"/>
      <c r="I2863" s="1794">
        <v>0</v>
      </c>
      <c r="J2863" s="1673" t="s">
        <v>1134</v>
      </c>
      <c r="K2863" s="1674"/>
      <c r="L2863" s="1794"/>
      <c r="M2863" s="1794">
        <v>2500</v>
      </c>
      <c r="N2863" s="1644"/>
      <c r="O2863" s="7"/>
      <c r="P2863" s="7"/>
      <c r="Q2863" s="7"/>
    </row>
    <row r="2864" spans="1:17" ht="40.799999999999997">
      <c r="A2864" s="663"/>
      <c r="B2864" s="3130" t="s">
        <v>773</v>
      </c>
      <c r="C2864" s="663" t="s">
        <v>322</v>
      </c>
      <c r="D2864" s="663" t="s">
        <v>1978</v>
      </c>
      <c r="E2864" s="1407" t="s">
        <v>1918</v>
      </c>
      <c r="F2864" s="1407">
        <v>5239</v>
      </c>
      <c r="G2864" s="1421" t="s">
        <v>2676</v>
      </c>
      <c r="H2864" s="1407"/>
      <c r="I2864" s="1407">
        <v>4300</v>
      </c>
      <c r="J2864" s="1684" t="s">
        <v>1134</v>
      </c>
      <c r="K2864" s="1407"/>
      <c r="L2864" s="1407"/>
      <c r="M2864" s="2225">
        <v>2723</v>
      </c>
      <c r="N2864" s="1644"/>
      <c r="O2864" s="7"/>
      <c r="P2864" s="7"/>
      <c r="Q2864" s="7"/>
    </row>
    <row r="2865" spans="1:17">
      <c r="A2865" s="683"/>
      <c r="B2865" s="3154" t="s">
        <v>773</v>
      </c>
      <c r="C2865" s="937" t="s">
        <v>432</v>
      </c>
      <c r="D2865" s="719" t="s">
        <v>1978</v>
      </c>
      <c r="E2865" s="720" t="s">
        <v>3316</v>
      </c>
      <c r="F2865" s="2249">
        <v>1119</v>
      </c>
      <c r="G2865" s="2250" t="s">
        <v>142</v>
      </c>
      <c r="H2865" s="706">
        <v>3000</v>
      </c>
      <c r="I2865" s="801"/>
      <c r="J2865" s="1654">
        <v>0</v>
      </c>
      <c r="K2865" s="802"/>
      <c r="L2865" s="706">
        <v>0</v>
      </c>
      <c r="M2865" s="801"/>
      <c r="N2865" s="1644"/>
      <c r="O2865" s="7"/>
      <c r="P2865" s="7"/>
      <c r="Q2865" s="7"/>
    </row>
    <row r="2866" spans="1:17" ht="11.4" customHeight="1">
      <c r="A2866" s="663"/>
      <c r="B2866" s="3155" t="s">
        <v>773</v>
      </c>
      <c r="C2866" s="940" t="s">
        <v>432</v>
      </c>
      <c r="D2866" s="678" t="s">
        <v>1978</v>
      </c>
      <c r="E2866" s="700" t="s">
        <v>3316</v>
      </c>
      <c r="F2866" s="2251">
        <v>1119</v>
      </c>
      <c r="G2866" s="2252" t="s">
        <v>2216</v>
      </c>
      <c r="H2866" s="922"/>
      <c r="I2866" s="701">
        <v>3000</v>
      </c>
      <c r="J2866" s="1654" t="s">
        <v>1134</v>
      </c>
      <c r="K2866" s="792"/>
      <c r="L2866" s="922"/>
      <c r="M2866" s="701"/>
      <c r="N2866" s="1644"/>
      <c r="O2866" s="7"/>
      <c r="P2866" s="7"/>
      <c r="Q2866" s="7"/>
    </row>
    <row r="2867" spans="1:17">
      <c r="A2867" s="683"/>
      <c r="B2867" s="3154" t="s">
        <v>773</v>
      </c>
      <c r="C2867" s="937" t="s">
        <v>432</v>
      </c>
      <c r="D2867" s="719" t="s">
        <v>1978</v>
      </c>
      <c r="E2867" s="720" t="s">
        <v>3316</v>
      </c>
      <c r="F2867" s="2249">
        <v>1147</v>
      </c>
      <c r="G2867" s="2250" t="s">
        <v>428</v>
      </c>
      <c r="H2867" s="706">
        <v>181</v>
      </c>
      <c r="I2867" s="801"/>
      <c r="J2867" s="1654">
        <v>0</v>
      </c>
      <c r="K2867" s="802"/>
      <c r="L2867" s="706">
        <v>0</v>
      </c>
      <c r="M2867" s="801"/>
      <c r="N2867" s="305"/>
      <c r="O2867" s="7"/>
      <c r="P2867" s="7"/>
      <c r="Q2867" s="7"/>
    </row>
    <row r="2868" spans="1:17" ht="30.6">
      <c r="A2868" s="663"/>
      <c r="B2868" s="3155" t="s">
        <v>773</v>
      </c>
      <c r="C2868" s="940" t="s">
        <v>432</v>
      </c>
      <c r="D2868" s="678" t="s">
        <v>1978</v>
      </c>
      <c r="E2868" s="700" t="s">
        <v>3316</v>
      </c>
      <c r="F2868" s="2251">
        <v>1147</v>
      </c>
      <c r="G2868" s="812" t="s">
        <v>2217</v>
      </c>
      <c r="H2868" s="922"/>
      <c r="I2868" s="701">
        <v>181</v>
      </c>
      <c r="J2868" s="1654" t="s">
        <v>1134</v>
      </c>
      <c r="K2868" s="792"/>
      <c r="L2868" s="922"/>
      <c r="M2868" s="701"/>
      <c r="N2868" s="305"/>
      <c r="O2868" s="7"/>
      <c r="P2868" s="7"/>
      <c r="Q2868" s="7"/>
    </row>
    <row r="2869" spans="1:17" ht="20.399999999999999">
      <c r="A2869" s="663"/>
      <c r="B2869" s="3155" t="s">
        <v>773</v>
      </c>
      <c r="C2869" s="940" t="s">
        <v>432</v>
      </c>
      <c r="D2869" s="678" t="s">
        <v>1978</v>
      </c>
      <c r="E2869" s="700" t="s">
        <v>3316</v>
      </c>
      <c r="F2869" s="2251">
        <v>1147</v>
      </c>
      <c r="G2869" s="812" t="s">
        <v>2218</v>
      </c>
      <c r="H2869" s="922"/>
      <c r="I2869" s="701"/>
      <c r="J2869" s="1654" t="s">
        <v>1134</v>
      </c>
      <c r="K2869" s="792"/>
      <c r="L2869" s="922"/>
      <c r="M2869" s="701"/>
      <c r="N2869" s="305"/>
      <c r="O2869" s="7"/>
      <c r="P2869" s="7"/>
      <c r="Q2869" s="7"/>
    </row>
    <row r="2870" spans="1:17">
      <c r="A2870" s="683"/>
      <c r="B2870" s="3154" t="s">
        <v>773</v>
      </c>
      <c r="C2870" s="937" t="s">
        <v>432</v>
      </c>
      <c r="D2870" s="719" t="s">
        <v>1978</v>
      </c>
      <c r="E2870" s="720" t="s">
        <v>3316</v>
      </c>
      <c r="F2870" s="938">
        <v>1148</v>
      </c>
      <c r="G2870" s="939" t="s">
        <v>112</v>
      </c>
      <c r="H2870" s="689">
        <v>9597</v>
      </c>
      <c r="I2870" s="799"/>
      <c r="J2870" s="1494">
        <v>9013</v>
      </c>
      <c r="K2870" s="727"/>
      <c r="L2870" s="689">
        <v>600</v>
      </c>
      <c r="M2870" s="799"/>
      <c r="N2870" s="1644"/>
      <c r="O2870" s="7"/>
      <c r="P2870" s="7"/>
      <c r="Q2870" s="7"/>
    </row>
    <row r="2871" spans="1:17" ht="20.399999999999999">
      <c r="A2871" s="663"/>
      <c r="B2871" s="3155" t="s">
        <v>773</v>
      </c>
      <c r="C2871" s="940" t="s">
        <v>432</v>
      </c>
      <c r="D2871" s="678" t="s">
        <v>1978</v>
      </c>
      <c r="E2871" s="700" t="s">
        <v>3316</v>
      </c>
      <c r="F2871" s="941">
        <v>1148</v>
      </c>
      <c r="G2871" s="2253" t="s">
        <v>2219</v>
      </c>
      <c r="H2871" s="666"/>
      <c r="I2871" s="660">
        <v>9597</v>
      </c>
      <c r="J2871" s="1494"/>
      <c r="K2871" s="667"/>
      <c r="L2871" s="666"/>
      <c r="M2871" s="660">
        <v>600</v>
      </c>
      <c r="N2871" s="1644"/>
      <c r="O2871" s="7"/>
      <c r="P2871" s="7"/>
      <c r="Q2871" s="7"/>
    </row>
    <row r="2872" spans="1:17" ht="51">
      <c r="A2872" s="683"/>
      <c r="B2872" s="3154" t="s">
        <v>773</v>
      </c>
      <c r="C2872" s="937" t="s">
        <v>432</v>
      </c>
      <c r="D2872" s="719" t="s">
        <v>1978</v>
      </c>
      <c r="E2872" s="720" t="s">
        <v>3316</v>
      </c>
      <c r="F2872" s="2249">
        <v>1150</v>
      </c>
      <c r="G2872" s="2250" t="s">
        <v>1041</v>
      </c>
      <c r="H2872" s="706">
        <v>4301</v>
      </c>
      <c r="I2872" s="801"/>
      <c r="J2872" s="1654">
        <v>2215.96</v>
      </c>
      <c r="K2872" s="802"/>
      <c r="L2872" s="706">
        <v>1600</v>
      </c>
      <c r="M2872" s="801"/>
      <c r="N2872" s="1644"/>
      <c r="O2872" s="7"/>
      <c r="P2872" s="7"/>
      <c r="Q2872" s="7"/>
    </row>
    <row r="2873" spans="1:17" ht="20.399999999999999">
      <c r="A2873" s="663"/>
      <c r="B2873" s="3155" t="s">
        <v>773</v>
      </c>
      <c r="C2873" s="940" t="s">
        <v>432</v>
      </c>
      <c r="D2873" s="678" t="s">
        <v>1978</v>
      </c>
      <c r="E2873" s="700" t="s">
        <v>3316</v>
      </c>
      <c r="F2873" s="2251">
        <v>1150</v>
      </c>
      <c r="G2873" s="2255" t="s">
        <v>4249</v>
      </c>
      <c r="H2873" s="922"/>
      <c r="I2873" s="701">
        <v>1341</v>
      </c>
      <c r="J2873" s="1654" t="s">
        <v>1134</v>
      </c>
      <c r="K2873" s="792"/>
      <c r="L2873" s="922"/>
      <c r="M2873" s="701">
        <v>1200</v>
      </c>
      <c r="N2873" s="305"/>
      <c r="O2873" s="7"/>
      <c r="P2873" s="7"/>
      <c r="Q2873" s="7"/>
    </row>
    <row r="2874" spans="1:17" ht="20.399999999999999">
      <c r="A2874" s="663"/>
      <c r="B2874" s="3155" t="s">
        <v>773</v>
      </c>
      <c r="C2874" s="940" t="s">
        <v>432</v>
      </c>
      <c r="D2874" s="678" t="s">
        <v>1978</v>
      </c>
      <c r="E2874" s="700" t="s">
        <v>3316</v>
      </c>
      <c r="F2874" s="2251">
        <v>1150</v>
      </c>
      <c r="G2874" s="2255" t="s">
        <v>4250</v>
      </c>
      <c r="H2874" s="922"/>
      <c r="I2874" s="701">
        <v>560</v>
      </c>
      <c r="J2874" s="1654" t="s">
        <v>1134</v>
      </c>
      <c r="K2874" s="792"/>
      <c r="L2874" s="922"/>
      <c r="M2874" s="701">
        <v>400</v>
      </c>
      <c r="N2874" s="305"/>
      <c r="O2874" s="7"/>
      <c r="P2874" s="7"/>
      <c r="Q2874" s="7"/>
    </row>
    <row r="2875" spans="1:17" ht="20.399999999999999">
      <c r="A2875" s="603"/>
      <c r="B2875" s="3155" t="s">
        <v>773</v>
      </c>
      <c r="C2875" s="940" t="s">
        <v>432</v>
      </c>
      <c r="D2875" s="678" t="s">
        <v>1978</v>
      </c>
      <c r="E2875" s="700" t="s">
        <v>3316</v>
      </c>
      <c r="F2875" s="2251">
        <v>1150</v>
      </c>
      <c r="G2875" s="1448" t="s">
        <v>3107</v>
      </c>
      <c r="H2875" s="1450"/>
      <c r="I2875" s="1165">
        <v>2400</v>
      </c>
      <c r="J2875" s="1654" t="s">
        <v>1134</v>
      </c>
      <c r="K2875" s="1439"/>
      <c r="L2875" s="1450"/>
      <c r="M2875" s="1165"/>
      <c r="N2875" s="305"/>
      <c r="O2875" s="7"/>
      <c r="P2875" s="7"/>
      <c r="Q2875" s="7"/>
    </row>
    <row r="2876" spans="1:17" ht="20.399999999999999">
      <c r="A2876" s="683"/>
      <c r="B2876" s="3154" t="s">
        <v>773</v>
      </c>
      <c r="C2876" s="937" t="s">
        <v>432</v>
      </c>
      <c r="D2876" s="719" t="s">
        <v>1978</v>
      </c>
      <c r="E2876" s="720" t="s">
        <v>3316</v>
      </c>
      <c r="F2876" s="2249">
        <v>1210</v>
      </c>
      <c r="G2876" s="2250" t="s">
        <v>402</v>
      </c>
      <c r="H2876" s="706">
        <v>3465</v>
      </c>
      <c r="I2876" s="801"/>
      <c r="J2876" s="1654">
        <v>2550</v>
      </c>
      <c r="K2876" s="802"/>
      <c r="L2876" s="706">
        <v>528</v>
      </c>
      <c r="M2876" s="801"/>
      <c r="N2876" s="305"/>
      <c r="O2876" s="7"/>
      <c r="P2876" s="7"/>
      <c r="Q2876" s="7"/>
    </row>
    <row r="2877" spans="1:17">
      <c r="A2877" s="663"/>
      <c r="B2877" s="3155" t="s">
        <v>773</v>
      </c>
      <c r="C2877" s="940" t="s">
        <v>432</v>
      </c>
      <c r="D2877" s="678" t="s">
        <v>1978</v>
      </c>
      <c r="E2877" s="700" t="s">
        <v>3316</v>
      </c>
      <c r="F2877" s="2251">
        <v>1210</v>
      </c>
      <c r="G2877" s="812" t="s">
        <v>2220</v>
      </c>
      <c r="H2877" s="922"/>
      <c r="I2877" s="701">
        <v>3014</v>
      </c>
      <c r="J2877" s="1654" t="s">
        <v>1134</v>
      </c>
      <c r="K2877" s="792"/>
      <c r="L2877" s="922"/>
      <c r="M2877" s="2256">
        <v>144</v>
      </c>
      <c r="N2877" s="305"/>
      <c r="O2877" s="7"/>
      <c r="P2877" s="7"/>
      <c r="Q2877" s="7"/>
    </row>
    <row r="2878" spans="1:17">
      <c r="A2878" s="663"/>
      <c r="B2878" s="3155" t="s">
        <v>773</v>
      </c>
      <c r="C2878" s="940" t="s">
        <v>432</v>
      </c>
      <c r="D2878" s="678" t="s">
        <v>1978</v>
      </c>
      <c r="E2878" s="700" t="s">
        <v>3316</v>
      </c>
      <c r="F2878" s="2251">
        <v>1210</v>
      </c>
      <c r="G2878" s="812" t="s">
        <v>2221</v>
      </c>
      <c r="H2878" s="922"/>
      <c r="I2878" s="701">
        <v>451</v>
      </c>
      <c r="J2878" s="1654" t="s">
        <v>1134</v>
      </c>
      <c r="K2878" s="792"/>
      <c r="L2878" s="922"/>
      <c r="M2878" s="2254">
        <v>384</v>
      </c>
      <c r="N2878" s="2150" t="s">
        <v>4129</v>
      </c>
      <c r="O2878" s="7"/>
      <c r="P2878" s="7"/>
      <c r="Q2878" s="7"/>
    </row>
    <row r="2879" spans="1:17">
      <c r="A2879" s="683"/>
      <c r="B2879" s="3154" t="s">
        <v>773</v>
      </c>
      <c r="C2879" s="937" t="s">
        <v>432</v>
      </c>
      <c r="D2879" s="719" t="s">
        <v>1978</v>
      </c>
      <c r="E2879" s="720" t="s">
        <v>3316</v>
      </c>
      <c r="F2879" s="938">
        <v>2233</v>
      </c>
      <c r="G2879" s="939" t="s">
        <v>145</v>
      </c>
      <c r="H2879" s="689">
        <v>162600</v>
      </c>
      <c r="I2879" s="799"/>
      <c r="J2879" s="1494">
        <v>85165.79</v>
      </c>
      <c r="K2879" s="727"/>
      <c r="L2879" s="689">
        <v>3400</v>
      </c>
      <c r="M2879" s="799"/>
      <c r="N2879" s="305"/>
      <c r="O2879" s="7"/>
      <c r="P2879" s="7"/>
      <c r="Q2879" s="7"/>
    </row>
    <row r="2880" spans="1:17" ht="20.399999999999999">
      <c r="A2880" s="663"/>
      <c r="B2880" s="3155" t="s">
        <v>773</v>
      </c>
      <c r="C2880" s="940" t="s">
        <v>320</v>
      </c>
      <c r="D2880" s="678" t="s">
        <v>1978</v>
      </c>
      <c r="E2880" s="700" t="s">
        <v>3316</v>
      </c>
      <c r="F2880" s="679">
        <v>2233</v>
      </c>
      <c r="G2880" s="2246" t="s">
        <v>4251</v>
      </c>
      <c r="H2880" s="666"/>
      <c r="I2880" s="660">
        <v>128250</v>
      </c>
      <c r="J2880" s="1494" t="s">
        <v>1134</v>
      </c>
      <c r="K2880" s="667"/>
      <c r="L2880" s="666"/>
      <c r="M2880" s="2188">
        <v>3000</v>
      </c>
      <c r="N2880" s="1223" t="s">
        <v>2388</v>
      </c>
      <c r="O2880" s="7"/>
      <c r="P2880" s="7"/>
      <c r="Q2880" s="7"/>
    </row>
    <row r="2881" spans="1:17" ht="20.399999999999999">
      <c r="A2881" s="663"/>
      <c r="B2881" s="3155" t="s">
        <v>773</v>
      </c>
      <c r="C2881" s="940" t="s">
        <v>320</v>
      </c>
      <c r="D2881" s="678" t="s">
        <v>1978</v>
      </c>
      <c r="E2881" s="700" t="s">
        <v>3316</v>
      </c>
      <c r="F2881" s="679">
        <v>2233</v>
      </c>
      <c r="G2881" s="2246" t="s">
        <v>4252</v>
      </c>
      <c r="H2881" s="666"/>
      <c r="I2881" s="660">
        <v>36000</v>
      </c>
      <c r="J2881" s="1494" t="s">
        <v>1134</v>
      </c>
      <c r="K2881" s="667"/>
      <c r="L2881" s="666"/>
      <c r="M2881" s="2188">
        <v>400</v>
      </c>
      <c r="N2881" s="1223"/>
      <c r="O2881" s="7"/>
      <c r="P2881" s="7"/>
      <c r="Q2881" s="7"/>
    </row>
    <row r="2882" spans="1:17" ht="20.399999999999999">
      <c r="A2882" s="663"/>
      <c r="B2882" s="3155" t="s">
        <v>773</v>
      </c>
      <c r="C2882" s="940" t="s">
        <v>320</v>
      </c>
      <c r="D2882" s="678" t="s">
        <v>1978</v>
      </c>
      <c r="E2882" s="700" t="s">
        <v>3316</v>
      </c>
      <c r="F2882" s="679">
        <v>2233</v>
      </c>
      <c r="G2882" s="681" t="s">
        <v>2222</v>
      </c>
      <c r="H2882" s="666"/>
      <c r="I2882" s="660">
        <v>750</v>
      </c>
      <c r="J2882" s="1494" t="s">
        <v>1134</v>
      </c>
      <c r="K2882" s="667"/>
      <c r="L2882" s="666"/>
      <c r="M2882" s="676"/>
      <c r="N2882" s="1223"/>
      <c r="O2882" s="187"/>
      <c r="P2882" s="187"/>
      <c r="Q2882" s="187"/>
    </row>
    <row r="2883" spans="1:17" ht="20.399999999999999">
      <c r="A2883" s="603"/>
      <c r="B2883" s="3155" t="s">
        <v>773</v>
      </c>
      <c r="C2883" s="940" t="s">
        <v>320</v>
      </c>
      <c r="D2883" s="678" t="s">
        <v>1978</v>
      </c>
      <c r="E2883" s="700" t="s">
        <v>3316</v>
      </c>
      <c r="F2883" s="679">
        <v>2233</v>
      </c>
      <c r="G2883" s="1133" t="s">
        <v>3101</v>
      </c>
      <c r="H2883" s="1131"/>
      <c r="I2883" s="1130">
        <v>-2400</v>
      </c>
      <c r="J2883" s="1494" t="s">
        <v>1134</v>
      </c>
      <c r="K2883" s="1132"/>
      <c r="L2883" s="1131"/>
      <c r="M2883" s="1130"/>
      <c r="N2883" s="1223"/>
      <c r="O2883" s="187"/>
      <c r="P2883" s="187"/>
      <c r="Q2883" s="187"/>
    </row>
    <row r="2884" spans="1:17">
      <c r="A2884" s="683"/>
      <c r="B2884" s="3154" t="s">
        <v>773</v>
      </c>
      <c r="C2884" s="937" t="s">
        <v>366</v>
      </c>
      <c r="D2884" s="719" t="s">
        <v>1978</v>
      </c>
      <c r="E2884" s="720" t="s">
        <v>3316</v>
      </c>
      <c r="F2884" s="2249">
        <v>2239</v>
      </c>
      <c r="G2884" s="720" t="s">
        <v>1017</v>
      </c>
      <c r="H2884" s="706">
        <v>87300</v>
      </c>
      <c r="I2884" s="801"/>
      <c r="J2884" s="1654">
        <v>18764.3</v>
      </c>
      <c r="K2884" s="802"/>
      <c r="L2884" s="706">
        <v>0</v>
      </c>
      <c r="M2884" s="801"/>
      <c r="N2884" s="1223"/>
      <c r="O2884" s="187"/>
      <c r="P2884" s="187"/>
      <c r="Q2884" s="187"/>
    </row>
    <row r="2885" spans="1:17" ht="20.399999999999999">
      <c r="A2885" s="663"/>
      <c r="B2885" s="3155" t="s">
        <v>773</v>
      </c>
      <c r="C2885" s="940" t="s">
        <v>366</v>
      </c>
      <c r="D2885" s="678" t="s">
        <v>1978</v>
      </c>
      <c r="E2885" s="700" t="s">
        <v>3316</v>
      </c>
      <c r="F2885" s="795">
        <v>2239</v>
      </c>
      <c r="G2885" s="812" t="s">
        <v>2223</v>
      </c>
      <c r="H2885" s="922"/>
      <c r="I2885" s="701">
        <v>87300</v>
      </c>
      <c r="J2885" s="1654" t="s">
        <v>1134</v>
      </c>
      <c r="K2885" s="792"/>
      <c r="L2885" s="922"/>
      <c r="M2885" s="714"/>
      <c r="N2885" s="1056" t="s">
        <v>4130</v>
      </c>
      <c r="O2885" s="187"/>
      <c r="P2885" s="187"/>
      <c r="Q2885" s="187"/>
    </row>
    <row r="2886" spans="1:17">
      <c r="A2886" s="683"/>
      <c r="B2886" s="3154" t="s">
        <v>773</v>
      </c>
      <c r="C2886" s="937" t="s">
        <v>366</v>
      </c>
      <c r="D2886" s="719" t="s">
        <v>1978</v>
      </c>
      <c r="E2886" s="720" t="s">
        <v>3316</v>
      </c>
      <c r="F2886" s="938">
        <v>2239</v>
      </c>
      <c r="G2886" s="939" t="s">
        <v>1107</v>
      </c>
      <c r="H2886" s="689">
        <v>4402</v>
      </c>
      <c r="I2886" s="799"/>
      <c r="J2886" s="1494"/>
      <c r="K2886" s="727"/>
      <c r="L2886" s="689">
        <v>2100</v>
      </c>
      <c r="M2886" s="799"/>
      <c r="N2886" s="1223"/>
      <c r="O2886" s="187"/>
      <c r="P2886" s="187"/>
      <c r="Q2886" s="187"/>
    </row>
    <row r="2887" spans="1:17" ht="20.399999999999999">
      <c r="A2887" s="663"/>
      <c r="B2887" s="3155" t="s">
        <v>773</v>
      </c>
      <c r="C2887" s="940" t="s">
        <v>366</v>
      </c>
      <c r="D2887" s="678" t="s">
        <v>1978</v>
      </c>
      <c r="E2887" s="700" t="s">
        <v>3316</v>
      </c>
      <c r="F2887" s="679">
        <v>2239</v>
      </c>
      <c r="G2887" s="2246" t="s">
        <v>4254</v>
      </c>
      <c r="H2887" s="666"/>
      <c r="I2887" s="660">
        <v>3402</v>
      </c>
      <c r="J2887" s="1494" t="s">
        <v>1134</v>
      </c>
      <c r="K2887" s="667"/>
      <c r="L2887" s="666"/>
      <c r="M2887" s="676">
        <v>2100</v>
      </c>
      <c r="N2887" s="1223"/>
      <c r="O2887" s="7"/>
      <c r="P2887" s="7"/>
      <c r="Q2887" s="7"/>
    </row>
    <row r="2888" spans="1:17" ht="20.399999999999999">
      <c r="A2888" s="663"/>
      <c r="B2888" s="3155" t="s">
        <v>773</v>
      </c>
      <c r="C2888" s="940" t="s">
        <v>320</v>
      </c>
      <c r="D2888" s="678" t="s">
        <v>1978</v>
      </c>
      <c r="E2888" s="700" t="s">
        <v>3316</v>
      </c>
      <c r="F2888" s="679">
        <v>2239</v>
      </c>
      <c r="G2888" s="658" t="s">
        <v>2225</v>
      </c>
      <c r="H2888" s="666"/>
      <c r="I2888" s="660">
        <v>3000</v>
      </c>
      <c r="J2888" s="1494" t="s">
        <v>1134</v>
      </c>
      <c r="K2888" s="667"/>
      <c r="L2888" s="666"/>
      <c r="M2888" s="660"/>
      <c r="N2888" s="305"/>
      <c r="O2888" s="187"/>
      <c r="P2888" s="187"/>
      <c r="Q2888" s="187"/>
    </row>
    <row r="2889" spans="1:17" ht="11.4" customHeight="1">
      <c r="A2889" s="603"/>
      <c r="B2889" s="3155" t="s">
        <v>773</v>
      </c>
      <c r="C2889" s="940" t="s">
        <v>320</v>
      </c>
      <c r="D2889" s="678" t="s">
        <v>1978</v>
      </c>
      <c r="E2889" s="700" t="s">
        <v>3316</v>
      </c>
      <c r="F2889" s="679">
        <v>2239</v>
      </c>
      <c r="G2889" s="2257" t="s">
        <v>3235</v>
      </c>
      <c r="H2889" s="1131"/>
      <c r="I2889" s="1130">
        <v>-2000</v>
      </c>
      <c r="J2889" s="1494" t="s">
        <v>1134</v>
      </c>
      <c r="K2889" s="1132"/>
      <c r="L2889" s="1131"/>
      <c r="M2889" s="1130"/>
      <c r="N2889" s="305"/>
      <c r="O2889" s="187"/>
      <c r="P2889" s="187"/>
      <c r="Q2889" s="187"/>
    </row>
    <row r="2890" spans="1:17">
      <c r="A2890" s="683"/>
      <c r="B2890" s="3154" t="s">
        <v>773</v>
      </c>
      <c r="C2890" s="937" t="s">
        <v>340</v>
      </c>
      <c r="D2890" s="719" t="s">
        <v>1978</v>
      </c>
      <c r="E2890" s="720" t="s">
        <v>3316</v>
      </c>
      <c r="F2890" s="2249">
        <v>2312</v>
      </c>
      <c r="G2890" s="2250" t="s">
        <v>207</v>
      </c>
      <c r="H2890" s="706">
        <v>2890</v>
      </c>
      <c r="I2890" s="801"/>
      <c r="J2890" s="1654">
        <v>0</v>
      </c>
      <c r="K2890" s="802"/>
      <c r="L2890" s="706">
        <v>0</v>
      </c>
      <c r="M2890" s="801"/>
      <c r="N2890" s="305"/>
      <c r="O2890" s="7"/>
      <c r="P2890" s="7"/>
      <c r="Q2890" s="7"/>
    </row>
    <row r="2891" spans="1:17" ht="11.4" customHeight="1">
      <c r="A2891" s="663"/>
      <c r="B2891" s="3155" t="s">
        <v>773</v>
      </c>
      <c r="C2891" s="940" t="s">
        <v>340</v>
      </c>
      <c r="D2891" s="678" t="s">
        <v>1978</v>
      </c>
      <c r="E2891" s="700" t="s">
        <v>3316</v>
      </c>
      <c r="F2891" s="795">
        <v>2312</v>
      </c>
      <c r="G2891" s="812" t="s">
        <v>2224</v>
      </c>
      <c r="H2891" s="922"/>
      <c r="I2891" s="701">
        <v>3000</v>
      </c>
      <c r="J2891" s="1654" t="s">
        <v>1134</v>
      </c>
      <c r="K2891" s="792"/>
      <c r="L2891" s="922"/>
      <c r="M2891" s="714"/>
      <c r="N2891" s="305"/>
      <c r="O2891" s="7"/>
      <c r="P2891" s="7"/>
      <c r="Q2891" s="7"/>
    </row>
    <row r="2892" spans="1:17" ht="20.399999999999999">
      <c r="A2892" s="603"/>
      <c r="B2892" s="3155" t="s">
        <v>773</v>
      </c>
      <c r="C2892" s="940" t="s">
        <v>340</v>
      </c>
      <c r="D2892" s="678" t="s">
        <v>1978</v>
      </c>
      <c r="E2892" s="700" t="s">
        <v>3316</v>
      </c>
      <c r="F2892" s="795">
        <v>2312</v>
      </c>
      <c r="G2892" s="2259" t="s">
        <v>3236</v>
      </c>
      <c r="H2892" s="1450"/>
      <c r="I2892" s="1165">
        <v>-110</v>
      </c>
      <c r="J2892" s="1654" t="s">
        <v>1134</v>
      </c>
      <c r="K2892" s="1439"/>
      <c r="L2892" s="1450"/>
      <c r="M2892" s="1165"/>
      <c r="N2892" s="305"/>
      <c r="O2892" s="7"/>
      <c r="P2892" s="7"/>
      <c r="Q2892" s="7"/>
    </row>
    <row r="2893" spans="1:17" ht="20.399999999999999">
      <c r="A2893" s="683"/>
      <c r="B2893" s="3154" t="s">
        <v>773</v>
      </c>
      <c r="C2893" s="937" t="s">
        <v>340</v>
      </c>
      <c r="D2893" s="719" t="s">
        <v>1978</v>
      </c>
      <c r="E2893" s="720" t="s">
        <v>3316</v>
      </c>
      <c r="F2893" s="2249">
        <v>2314</v>
      </c>
      <c r="G2893" s="2250" t="s">
        <v>1435</v>
      </c>
      <c r="H2893" s="706">
        <v>2487</v>
      </c>
      <c r="I2893" s="801"/>
      <c r="J2893" s="1654">
        <v>2382.41</v>
      </c>
      <c r="K2893" s="802"/>
      <c r="L2893" s="706">
        <v>1540</v>
      </c>
      <c r="M2893" s="801"/>
      <c r="N2893" s="305"/>
      <c r="O2893" s="187"/>
      <c r="P2893" s="187"/>
    </row>
    <row r="2894" spans="1:17" ht="30.6">
      <c r="A2894" s="663"/>
      <c r="B2894" s="3155" t="s">
        <v>773</v>
      </c>
      <c r="C2894" s="940" t="s">
        <v>340</v>
      </c>
      <c r="D2894" s="678" t="s">
        <v>1978</v>
      </c>
      <c r="E2894" s="700" t="s">
        <v>3316</v>
      </c>
      <c r="F2894" s="795">
        <v>2314</v>
      </c>
      <c r="G2894" s="2260" t="s">
        <v>4255</v>
      </c>
      <c r="H2894" s="922"/>
      <c r="I2894" s="701">
        <v>377</v>
      </c>
      <c r="J2894" s="1654" t="s">
        <v>1134</v>
      </c>
      <c r="K2894" s="792"/>
      <c r="L2894" s="922"/>
      <c r="M2894" s="714">
        <v>1540</v>
      </c>
      <c r="N2894" s="305"/>
      <c r="O2894" s="7"/>
      <c r="P2894" s="7"/>
      <c r="Q2894" s="7"/>
    </row>
    <row r="2895" spans="1:17" ht="20.399999999999999">
      <c r="A2895" s="603"/>
      <c r="B2895" s="3155" t="s">
        <v>773</v>
      </c>
      <c r="C2895" s="940" t="s">
        <v>340</v>
      </c>
      <c r="D2895" s="678" t="s">
        <v>1978</v>
      </c>
      <c r="E2895" s="700" t="s">
        <v>3316</v>
      </c>
      <c r="F2895" s="795">
        <v>2314</v>
      </c>
      <c r="G2895" s="2259" t="s">
        <v>3235</v>
      </c>
      <c r="H2895" s="1450"/>
      <c r="I2895" s="1165">
        <v>2000</v>
      </c>
      <c r="J2895" s="1654" t="s">
        <v>1134</v>
      </c>
      <c r="K2895" s="1439"/>
      <c r="L2895" s="1450"/>
      <c r="M2895" s="1165"/>
      <c r="N2895" s="305"/>
      <c r="O2895" s="7"/>
      <c r="P2895" s="7"/>
      <c r="Q2895" s="7"/>
    </row>
    <row r="2896" spans="1:17" ht="20.399999999999999">
      <c r="A2896" s="603"/>
      <c r="B2896" s="3155" t="s">
        <v>773</v>
      </c>
      <c r="C2896" s="940" t="s">
        <v>340</v>
      </c>
      <c r="D2896" s="678" t="s">
        <v>1978</v>
      </c>
      <c r="E2896" s="700" t="s">
        <v>3316</v>
      </c>
      <c r="F2896" s="795">
        <v>2314</v>
      </c>
      <c r="G2896" s="2259" t="s">
        <v>3236</v>
      </c>
      <c r="H2896" s="1450"/>
      <c r="I2896" s="1165">
        <v>110</v>
      </c>
      <c r="J2896" s="1654" t="s">
        <v>1134</v>
      </c>
      <c r="K2896" s="1439"/>
      <c r="L2896" s="1450"/>
      <c r="M2896" s="1165"/>
      <c r="N2896" s="305"/>
      <c r="O2896" s="7"/>
      <c r="P2896" s="7"/>
      <c r="Q2896" s="7"/>
    </row>
    <row r="2897" spans="1:17">
      <c r="A2897" s="683"/>
      <c r="B2897" s="3154" t="s">
        <v>773</v>
      </c>
      <c r="C2897" s="937" t="s">
        <v>340</v>
      </c>
      <c r="D2897" s="719" t="s">
        <v>1978</v>
      </c>
      <c r="E2897" s="720" t="s">
        <v>3316</v>
      </c>
      <c r="F2897" s="2249">
        <v>2322</v>
      </c>
      <c r="G2897" s="2250" t="s">
        <v>191</v>
      </c>
      <c r="H2897" s="706">
        <v>20</v>
      </c>
      <c r="I2897" s="801"/>
      <c r="J2897" s="1654">
        <v>0</v>
      </c>
      <c r="K2897" s="802"/>
      <c r="L2897" s="706">
        <v>0</v>
      </c>
      <c r="M2897" s="801"/>
      <c r="N2897" s="305"/>
      <c r="O2897" s="7"/>
      <c r="P2897" s="7"/>
      <c r="Q2897" s="7"/>
    </row>
    <row r="2898" spans="1:17">
      <c r="A2898" s="663"/>
      <c r="B2898" s="3155" t="s">
        <v>773</v>
      </c>
      <c r="C2898" s="940" t="s">
        <v>340</v>
      </c>
      <c r="D2898" s="678" t="s">
        <v>1978</v>
      </c>
      <c r="E2898" s="700" t="s">
        <v>3316</v>
      </c>
      <c r="F2898" s="795">
        <v>2322</v>
      </c>
      <c r="G2898" s="812" t="s">
        <v>2226</v>
      </c>
      <c r="H2898" s="922"/>
      <c r="I2898" s="701">
        <v>20</v>
      </c>
      <c r="J2898" s="1654" t="s">
        <v>1134</v>
      </c>
      <c r="K2898" s="792"/>
      <c r="L2898" s="922"/>
      <c r="M2898" s="714"/>
      <c r="N2898" s="305"/>
      <c r="O2898" s="7"/>
      <c r="P2898" s="7"/>
      <c r="Q2898" s="7"/>
    </row>
    <row r="2899" spans="1:17">
      <c r="A2899" s="683"/>
      <c r="B2899" s="3154" t="s">
        <v>773</v>
      </c>
      <c r="C2899" s="937" t="s">
        <v>320</v>
      </c>
      <c r="D2899" s="719" t="s">
        <v>1978</v>
      </c>
      <c r="E2899" s="720" t="s">
        <v>3316</v>
      </c>
      <c r="F2899" s="2249">
        <v>2390</v>
      </c>
      <c r="G2899" s="2250" t="s">
        <v>135</v>
      </c>
      <c r="H2899" s="706">
        <v>5034</v>
      </c>
      <c r="I2899" s="801"/>
      <c r="J2899" s="1654">
        <v>2785.95</v>
      </c>
      <c r="K2899" s="802"/>
      <c r="L2899" s="706">
        <v>1620</v>
      </c>
      <c r="M2899" s="801"/>
      <c r="N2899" s="305"/>
      <c r="O2899" s="7"/>
      <c r="P2899" s="7"/>
      <c r="Q2899" s="7"/>
    </row>
    <row r="2900" spans="1:17" ht="20.399999999999999">
      <c r="A2900" s="663"/>
      <c r="B2900" s="3155" t="s">
        <v>773</v>
      </c>
      <c r="C2900" s="940" t="s">
        <v>320</v>
      </c>
      <c r="D2900" s="678" t="s">
        <v>1978</v>
      </c>
      <c r="E2900" s="700" t="s">
        <v>3316</v>
      </c>
      <c r="F2900" s="795">
        <v>2390</v>
      </c>
      <c r="G2900" s="2182" t="s">
        <v>4256</v>
      </c>
      <c r="H2900" s="922"/>
      <c r="I2900" s="701">
        <v>3000</v>
      </c>
      <c r="J2900" s="1654" t="s">
        <v>1134</v>
      </c>
      <c r="K2900" s="792"/>
      <c r="L2900" s="922"/>
      <c r="M2900" s="2188">
        <v>420</v>
      </c>
      <c r="N2900" s="305"/>
      <c r="O2900" s="7"/>
      <c r="P2900" s="7"/>
      <c r="Q2900" s="7"/>
    </row>
    <row r="2901" spans="1:17" ht="20.399999999999999">
      <c r="A2901" s="663"/>
      <c r="B2901" s="3155" t="s">
        <v>773</v>
      </c>
      <c r="C2901" s="940" t="s">
        <v>320</v>
      </c>
      <c r="D2901" s="678" t="s">
        <v>1978</v>
      </c>
      <c r="E2901" s="700" t="s">
        <v>3316</v>
      </c>
      <c r="F2901" s="679">
        <v>2390</v>
      </c>
      <c r="G2901" s="2258" t="s">
        <v>4257</v>
      </c>
      <c r="H2901" s="666"/>
      <c r="I2901" s="660">
        <v>2034</v>
      </c>
      <c r="J2901" s="1494" t="s">
        <v>1134</v>
      </c>
      <c r="K2901" s="667"/>
      <c r="L2901" s="914"/>
      <c r="M2901" s="2188">
        <v>1200</v>
      </c>
      <c r="N2901" s="305"/>
      <c r="O2901" s="7"/>
      <c r="P2901" s="7"/>
      <c r="Q2901" s="7"/>
    </row>
    <row r="2902" spans="1:17">
      <c r="A2902" s="942"/>
      <c r="B2902" s="3129" t="s">
        <v>436</v>
      </c>
      <c r="C2902" s="683" t="s">
        <v>427</v>
      </c>
      <c r="D2902" s="719" t="s">
        <v>1980</v>
      </c>
      <c r="E2902" s="742" t="s">
        <v>1936</v>
      </c>
      <c r="F2902" s="824">
        <v>1119</v>
      </c>
      <c r="G2902" s="800" t="s">
        <v>109</v>
      </c>
      <c r="H2902" s="706">
        <v>143651.04000000004</v>
      </c>
      <c r="I2902" s="706"/>
      <c r="J2902" s="1654">
        <v>80303</v>
      </c>
      <c r="K2902" s="802"/>
      <c r="L2902" s="713">
        <v>110903.59999999998</v>
      </c>
      <c r="M2902" s="706"/>
      <c r="N2902" s="305"/>
      <c r="O2902" s="7"/>
      <c r="P2902" s="7"/>
      <c r="Q2902" s="7"/>
    </row>
    <row r="2903" spans="1:17">
      <c r="A2903" s="810"/>
      <c r="B2903" s="3130" t="s">
        <v>436</v>
      </c>
      <c r="C2903" s="663" t="s">
        <v>427</v>
      </c>
      <c r="D2903" s="678" t="s">
        <v>1980</v>
      </c>
      <c r="E2903" s="700" t="s">
        <v>1936</v>
      </c>
      <c r="F2903" s="795">
        <v>1119</v>
      </c>
      <c r="G2903" s="1149" t="s">
        <v>436</v>
      </c>
      <c r="H2903" s="701"/>
      <c r="I2903" s="701">
        <v>143651.04000000004</v>
      </c>
      <c r="J2903" s="1654" t="s">
        <v>1134</v>
      </c>
      <c r="K2903" s="792"/>
      <c r="L2903" s="714"/>
      <c r="M2903" s="701">
        <v>110903.59999999998</v>
      </c>
      <c r="N2903" s="75"/>
      <c r="O2903" s="7"/>
      <c r="P2903" s="7"/>
      <c r="Q2903" s="7"/>
    </row>
    <row r="2904" spans="1:17">
      <c r="A2904" s="810"/>
      <c r="B2904" s="3130" t="s">
        <v>436</v>
      </c>
      <c r="C2904" s="663" t="s">
        <v>427</v>
      </c>
      <c r="D2904" s="678" t="s">
        <v>1980</v>
      </c>
      <c r="E2904" s="700" t="s">
        <v>1936</v>
      </c>
      <c r="F2904" s="795">
        <v>1119</v>
      </c>
      <c r="G2904" s="812"/>
      <c r="H2904" s="701"/>
      <c r="I2904" s="701"/>
      <c r="J2904" s="1654" t="s">
        <v>1134</v>
      </c>
      <c r="K2904" s="792"/>
      <c r="L2904" s="714"/>
      <c r="M2904" s="701"/>
      <c r="N2904" s="75"/>
      <c r="O2904" s="7"/>
      <c r="P2904" s="7"/>
      <c r="Q2904" s="7"/>
    </row>
    <row r="2905" spans="1:17">
      <c r="A2905" s="942"/>
      <c r="B2905" s="3129" t="s">
        <v>326</v>
      </c>
      <c r="C2905" s="683" t="s">
        <v>321</v>
      </c>
      <c r="D2905" s="719" t="s">
        <v>1980</v>
      </c>
      <c r="E2905" s="720" t="s">
        <v>1937</v>
      </c>
      <c r="F2905" s="824">
        <v>1119</v>
      </c>
      <c r="G2905" s="800" t="s">
        <v>210</v>
      </c>
      <c r="H2905" s="1373">
        <v>76032</v>
      </c>
      <c r="I2905" s="706"/>
      <c r="J2905" s="1654">
        <v>48332.44</v>
      </c>
      <c r="K2905" s="802"/>
      <c r="L2905" s="1373">
        <v>35578.159999999996</v>
      </c>
      <c r="M2905" s="706"/>
      <c r="N2905" s="305"/>
      <c r="O2905" s="7"/>
      <c r="P2905" s="7"/>
      <c r="Q2905" s="7"/>
    </row>
    <row r="2906" spans="1:17">
      <c r="A2906" s="810"/>
      <c r="B2906" s="3130" t="s">
        <v>326</v>
      </c>
      <c r="C2906" s="663" t="s">
        <v>321</v>
      </c>
      <c r="D2906" s="678" t="s">
        <v>1980</v>
      </c>
      <c r="E2906" s="700" t="s">
        <v>1937</v>
      </c>
      <c r="F2906" s="795">
        <v>1119</v>
      </c>
      <c r="G2906" s="1149" t="s">
        <v>2872</v>
      </c>
      <c r="H2906" s="701"/>
      <c r="I2906" s="701">
        <v>179</v>
      </c>
      <c r="J2906" s="1654" t="s">
        <v>1134</v>
      </c>
      <c r="K2906" s="792"/>
      <c r="L2906" s="701"/>
      <c r="M2906" s="701">
        <v>1492</v>
      </c>
      <c r="N2906" s="305"/>
      <c r="O2906" s="7"/>
      <c r="P2906" s="7"/>
      <c r="Q2906" s="7"/>
    </row>
    <row r="2907" spans="1:17">
      <c r="A2907" s="810"/>
      <c r="B2907" s="3130" t="s">
        <v>326</v>
      </c>
      <c r="C2907" s="663" t="s">
        <v>321</v>
      </c>
      <c r="D2907" s="678" t="s">
        <v>1980</v>
      </c>
      <c r="E2907" s="700" t="s">
        <v>1937</v>
      </c>
      <c r="F2907" s="795">
        <v>1119</v>
      </c>
      <c r="G2907" s="1149" t="s">
        <v>748</v>
      </c>
      <c r="H2907" s="701"/>
      <c r="I2907" s="701">
        <v>78172.319999999992</v>
      </c>
      <c r="J2907" s="1654" t="s">
        <v>1134</v>
      </c>
      <c r="K2907" s="792"/>
      <c r="L2907" s="701"/>
      <c r="M2907" s="701">
        <v>34086.159999999996</v>
      </c>
      <c r="N2907" s="305"/>
      <c r="O2907" s="7"/>
      <c r="P2907" s="7"/>
      <c r="Q2907" s="7"/>
    </row>
    <row r="2908" spans="1:17">
      <c r="A2908" s="810"/>
      <c r="B2908" s="3130" t="s">
        <v>326</v>
      </c>
      <c r="C2908" s="663" t="s">
        <v>321</v>
      </c>
      <c r="D2908" s="678" t="s">
        <v>1980</v>
      </c>
      <c r="E2908" s="700" t="s">
        <v>1937</v>
      </c>
      <c r="F2908" s="795">
        <v>1119</v>
      </c>
      <c r="G2908" s="812" t="s">
        <v>2874</v>
      </c>
      <c r="H2908" s="701"/>
      <c r="I2908" s="701">
        <v>-1319.3199999999924</v>
      </c>
      <c r="J2908" s="1654" t="s">
        <v>1134</v>
      </c>
      <c r="K2908" s="792"/>
      <c r="L2908" s="701"/>
      <c r="M2908" s="922"/>
      <c r="N2908" s="305"/>
      <c r="O2908" s="7"/>
      <c r="P2908" s="7"/>
      <c r="Q2908" s="7"/>
    </row>
    <row r="2909" spans="1:17" ht="20.399999999999999">
      <c r="A2909" s="810"/>
      <c r="B2909" s="3130" t="s">
        <v>326</v>
      </c>
      <c r="C2909" s="663" t="s">
        <v>321</v>
      </c>
      <c r="D2909" s="678" t="s">
        <v>1980</v>
      </c>
      <c r="E2909" s="700" t="s">
        <v>1937</v>
      </c>
      <c r="F2909" s="795">
        <v>1119</v>
      </c>
      <c r="G2909" s="1149" t="s">
        <v>3294</v>
      </c>
      <c r="H2909" s="701"/>
      <c r="I2909" s="701">
        <v>-1000</v>
      </c>
      <c r="J2909" s="1654" t="s">
        <v>1134</v>
      </c>
      <c r="K2909" s="792"/>
      <c r="L2909" s="701"/>
      <c r="M2909" s="701"/>
      <c r="N2909" s="305"/>
      <c r="O2909" s="7"/>
      <c r="P2909" s="7"/>
      <c r="Q2909" s="7"/>
    </row>
    <row r="2910" spans="1:17" ht="20.399999999999999">
      <c r="A2910" s="942"/>
      <c r="B2910" s="3129" t="s">
        <v>326</v>
      </c>
      <c r="C2910" s="683" t="s">
        <v>321</v>
      </c>
      <c r="D2910" s="719" t="s">
        <v>1980</v>
      </c>
      <c r="E2910" s="720" t="s">
        <v>1937</v>
      </c>
      <c r="F2910" s="824">
        <v>1146</v>
      </c>
      <c r="G2910" s="800" t="s">
        <v>579</v>
      </c>
      <c r="H2910" s="2514">
        <v>0</v>
      </c>
      <c r="I2910" s="706"/>
      <c r="J2910" s="1654" t="s">
        <v>1134</v>
      </c>
      <c r="K2910" s="802"/>
      <c r="L2910" s="2514">
        <v>0</v>
      </c>
      <c r="M2910" s="706"/>
      <c r="N2910" s="1223"/>
      <c r="O2910" s="187"/>
      <c r="P2910" s="187"/>
      <c r="Q2910" s="187"/>
    </row>
    <row r="2911" spans="1:17">
      <c r="A2911" s="810"/>
      <c r="B2911" s="3130" t="s">
        <v>326</v>
      </c>
      <c r="C2911" s="663" t="s">
        <v>321</v>
      </c>
      <c r="D2911" s="678" t="s">
        <v>1980</v>
      </c>
      <c r="E2911" s="700" t="s">
        <v>1937</v>
      </c>
      <c r="F2911" s="795">
        <v>1146</v>
      </c>
      <c r="G2911" s="1149" t="s">
        <v>748</v>
      </c>
      <c r="H2911" s="701"/>
      <c r="I2911" s="701"/>
      <c r="J2911" s="1654" t="s">
        <v>1134</v>
      </c>
      <c r="K2911" s="792"/>
      <c r="L2911" s="701"/>
      <c r="M2911" s="701"/>
      <c r="N2911" s="1223"/>
      <c r="O2911" s="187"/>
      <c r="P2911" s="187"/>
      <c r="Q2911" s="187"/>
    </row>
    <row r="2912" spans="1:17">
      <c r="A2912" s="942"/>
      <c r="B2912" s="3129" t="s">
        <v>436</v>
      </c>
      <c r="C2912" s="683" t="s">
        <v>427</v>
      </c>
      <c r="D2912" s="719" t="s">
        <v>1980</v>
      </c>
      <c r="E2912" s="720" t="s">
        <v>1936</v>
      </c>
      <c r="F2912" s="824">
        <v>1147</v>
      </c>
      <c r="G2912" s="800" t="s">
        <v>111</v>
      </c>
      <c r="H2912" s="706">
        <v>26244</v>
      </c>
      <c r="I2912" s="706"/>
      <c r="J2912" s="1654">
        <v>6458</v>
      </c>
      <c r="K2912" s="802"/>
      <c r="L2912" s="713">
        <v>15526.5064</v>
      </c>
      <c r="M2912" s="706"/>
      <c r="N2912" s="1223"/>
      <c r="O2912" s="187"/>
      <c r="P2912" s="187"/>
      <c r="Q2912" s="187"/>
    </row>
    <row r="2913" spans="1:17">
      <c r="A2913" s="810"/>
      <c r="B2913" s="3130" t="s">
        <v>436</v>
      </c>
      <c r="C2913" s="663" t="s">
        <v>427</v>
      </c>
      <c r="D2913" s="678" t="s">
        <v>1980</v>
      </c>
      <c r="E2913" s="700" t="s">
        <v>1936</v>
      </c>
      <c r="F2913" s="795">
        <v>1147</v>
      </c>
      <c r="G2913" s="1149" t="s">
        <v>436</v>
      </c>
      <c r="H2913" s="701"/>
      <c r="I2913" s="701">
        <v>28543.74</v>
      </c>
      <c r="J2913" s="1654" t="s">
        <v>1134</v>
      </c>
      <c r="K2913" s="792"/>
      <c r="L2913" s="714"/>
      <c r="M2913" s="701">
        <v>15526.5064</v>
      </c>
      <c r="N2913" s="7"/>
      <c r="O2913" s="187"/>
      <c r="P2913" s="187"/>
      <c r="Q2913" s="187"/>
    </row>
    <row r="2914" spans="1:17" ht="20.399999999999999">
      <c r="A2914" s="810"/>
      <c r="B2914" s="3130" t="s">
        <v>436</v>
      </c>
      <c r="C2914" s="663" t="s">
        <v>427</v>
      </c>
      <c r="D2914" s="678" t="s">
        <v>1980</v>
      </c>
      <c r="E2914" s="700" t="s">
        <v>1936</v>
      </c>
      <c r="F2914" s="795">
        <v>1147</v>
      </c>
      <c r="G2914" s="812" t="s">
        <v>3424</v>
      </c>
      <c r="H2914" s="701"/>
      <c r="I2914" s="701">
        <v>-2300</v>
      </c>
      <c r="J2914" s="1654" t="s">
        <v>1134</v>
      </c>
      <c r="K2914" s="792"/>
      <c r="L2914" s="714"/>
      <c r="M2914" s="701"/>
      <c r="N2914" s="7"/>
      <c r="O2914" s="187"/>
      <c r="P2914" s="187"/>
      <c r="Q2914" s="187"/>
    </row>
    <row r="2915" spans="1:17" ht="20.399999999999999">
      <c r="A2915" s="942"/>
      <c r="B2915" s="3129" t="s">
        <v>326</v>
      </c>
      <c r="C2915" s="683" t="s">
        <v>321</v>
      </c>
      <c r="D2915" s="719" t="s">
        <v>1980</v>
      </c>
      <c r="E2915" s="720" t="s">
        <v>1937</v>
      </c>
      <c r="F2915" s="824">
        <v>1147</v>
      </c>
      <c r="G2915" s="800" t="s">
        <v>583</v>
      </c>
      <c r="H2915" s="2514">
        <v>4000</v>
      </c>
      <c r="I2915" s="706"/>
      <c r="J2915" s="1654">
        <v>2817.66</v>
      </c>
      <c r="K2915" s="802"/>
      <c r="L2915" s="1373">
        <v>3500</v>
      </c>
      <c r="M2915" s="706"/>
      <c r="N2915" s="7"/>
      <c r="O2915" s="187"/>
      <c r="P2915" s="187"/>
      <c r="Q2915" s="187"/>
    </row>
    <row r="2916" spans="1:17" ht="20.399999999999999">
      <c r="A2916" s="810"/>
      <c r="B2916" s="3130" t="s">
        <v>326</v>
      </c>
      <c r="C2916" s="663" t="s">
        <v>321</v>
      </c>
      <c r="D2916" s="678" t="s">
        <v>1980</v>
      </c>
      <c r="E2916" s="700" t="s">
        <v>1937</v>
      </c>
      <c r="F2916" s="795">
        <v>1147</v>
      </c>
      <c r="G2916" s="1149" t="s">
        <v>2011</v>
      </c>
      <c r="H2916" s="701"/>
      <c r="I2916" s="701">
        <v>4000</v>
      </c>
      <c r="J2916" s="1654" t="s">
        <v>1134</v>
      </c>
      <c r="K2916" s="792"/>
      <c r="L2916" s="701"/>
      <c r="M2916" s="701">
        <v>3500</v>
      </c>
      <c r="N2916" s="7"/>
      <c r="O2916" s="187"/>
      <c r="P2916" s="187"/>
      <c r="Q2916" s="187"/>
    </row>
    <row r="2917" spans="1:17">
      <c r="A2917" s="942"/>
      <c r="B2917" s="3129" t="s">
        <v>436</v>
      </c>
      <c r="C2917" s="683" t="s">
        <v>427</v>
      </c>
      <c r="D2917" s="719" t="s">
        <v>1980</v>
      </c>
      <c r="E2917" s="720" t="s">
        <v>1936</v>
      </c>
      <c r="F2917" s="824">
        <v>1148</v>
      </c>
      <c r="G2917" s="800" t="s">
        <v>353</v>
      </c>
      <c r="H2917" s="706">
        <v>0</v>
      </c>
      <c r="I2917" s="706"/>
      <c r="J2917" s="1654" t="s">
        <v>1134</v>
      </c>
      <c r="K2917" s="802"/>
      <c r="L2917" s="713">
        <v>0</v>
      </c>
      <c r="M2917" s="706"/>
      <c r="N2917" s="7"/>
      <c r="O2917" s="187"/>
      <c r="P2917" s="187"/>
      <c r="Q2917" s="187"/>
    </row>
    <row r="2918" spans="1:17">
      <c r="A2918" s="810"/>
      <c r="B2918" s="3130" t="s">
        <v>436</v>
      </c>
      <c r="C2918" s="663" t="s">
        <v>427</v>
      </c>
      <c r="D2918" s="678" t="s">
        <v>1980</v>
      </c>
      <c r="E2918" s="700" t="s">
        <v>1936</v>
      </c>
      <c r="F2918" s="795">
        <v>1148</v>
      </c>
      <c r="G2918" s="957" t="s">
        <v>615</v>
      </c>
      <c r="H2918" s="701"/>
      <c r="I2918" s="701"/>
      <c r="J2918" s="1654" t="s">
        <v>1134</v>
      </c>
      <c r="K2918" s="792"/>
      <c r="L2918" s="714"/>
      <c r="M2918" s="701"/>
      <c r="N2918" s="7"/>
      <c r="O2918" s="187"/>
      <c r="P2918" s="187"/>
      <c r="Q2918" s="187"/>
    </row>
    <row r="2919" spans="1:17">
      <c r="A2919" s="942"/>
      <c r="B2919" s="3129" t="s">
        <v>436</v>
      </c>
      <c r="C2919" s="683" t="s">
        <v>427</v>
      </c>
      <c r="D2919" s="719" t="s">
        <v>1980</v>
      </c>
      <c r="E2919" s="720" t="s">
        <v>1936</v>
      </c>
      <c r="F2919" s="824">
        <v>1210</v>
      </c>
      <c r="G2919" s="800" t="s">
        <v>113</v>
      </c>
      <c r="H2919" s="706">
        <v>41688.668001339996</v>
      </c>
      <c r="I2919" s="706"/>
      <c r="J2919" s="1654">
        <v>22875</v>
      </c>
      <c r="K2919" s="802"/>
      <c r="L2919" s="713">
        <v>30357.081458162396</v>
      </c>
      <c r="M2919" s="706"/>
      <c r="N2919" s="7"/>
      <c r="O2919" s="187"/>
      <c r="P2919" s="187"/>
      <c r="Q2919" s="187"/>
    </row>
    <row r="2920" spans="1:17">
      <c r="A2920" s="810"/>
      <c r="B2920" s="3130" t="s">
        <v>436</v>
      </c>
      <c r="C2920" s="663" t="s">
        <v>427</v>
      </c>
      <c r="D2920" s="678" t="s">
        <v>1980</v>
      </c>
      <c r="E2920" s="700" t="s">
        <v>1936</v>
      </c>
      <c r="F2920" s="795">
        <v>1210</v>
      </c>
      <c r="G2920" s="1149" t="s">
        <v>436</v>
      </c>
      <c r="H2920" s="701"/>
      <c r="I2920" s="701">
        <v>42188.668001339996</v>
      </c>
      <c r="J2920" s="1654" t="s">
        <v>1134</v>
      </c>
      <c r="K2920" s="792"/>
      <c r="L2920" s="714"/>
      <c r="M2920" s="701">
        <v>30357.081458162396</v>
      </c>
      <c r="N2920" s="7"/>
      <c r="O2920" s="187"/>
      <c r="P2920" s="187"/>
      <c r="Q2920" s="187"/>
    </row>
    <row r="2921" spans="1:17" ht="33.75" customHeight="1">
      <c r="A2921" s="810"/>
      <c r="B2921" s="3130" t="s">
        <v>436</v>
      </c>
      <c r="C2921" s="663" t="s">
        <v>427</v>
      </c>
      <c r="D2921" s="678" t="s">
        <v>1980</v>
      </c>
      <c r="E2921" s="700" t="s">
        <v>1936</v>
      </c>
      <c r="F2921" s="795">
        <v>1210</v>
      </c>
      <c r="G2921" s="812" t="s">
        <v>3223</v>
      </c>
      <c r="H2921" s="701"/>
      <c r="I2921" s="701">
        <v>-500</v>
      </c>
      <c r="J2921" s="1654" t="s">
        <v>1134</v>
      </c>
      <c r="K2921" s="792"/>
      <c r="L2921" s="714"/>
      <c r="M2921" s="701"/>
      <c r="N2921" s="7"/>
      <c r="O2921" s="7"/>
      <c r="P2921" s="7"/>
      <c r="Q2921" s="7"/>
    </row>
    <row r="2922" spans="1:17">
      <c r="A2922" s="942"/>
      <c r="B2922" s="3129" t="s">
        <v>326</v>
      </c>
      <c r="C2922" s="683" t="s">
        <v>321</v>
      </c>
      <c r="D2922" s="719" t="s">
        <v>1980</v>
      </c>
      <c r="E2922" s="720" t="s">
        <v>1937</v>
      </c>
      <c r="F2922" s="824">
        <v>1210</v>
      </c>
      <c r="G2922" s="800" t="s">
        <v>211</v>
      </c>
      <c r="H2922" s="1373">
        <v>18073</v>
      </c>
      <c r="I2922" s="706"/>
      <c r="J2922" s="1654">
        <v>12377.11</v>
      </c>
      <c r="K2922" s="802"/>
      <c r="L2922" s="1373">
        <v>5040.9251439999989</v>
      </c>
      <c r="M2922" s="706"/>
      <c r="N2922" s="7"/>
      <c r="O2922" s="202"/>
      <c r="P2922" s="202"/>
      <c r="Q2922" s="202"/>
    </row>
    <row r="2923" spans="1:17" s="88" customFormat="1" ht="13.8">
      <c r="A2923" s="810"/>
      <c r="B2923" s="3130" t="s">
        <v>326</v>
      </c>
      <c r="C2923" s="663" t="s">
        <v>321</v>
      </c>
      <c r="D2923" s="678" t="s">
        <v>1980</v>
      </c>
      <c r="E2923" s="700" t="s">
        <v>1937</v>
      </c>
      <c r="F2923" s="795">
        <v>1210</v>
      </c>
      <c r="G2923" s="1149" t="s">
        <v>748</v>
      </c>
      <c r="H2923" s="701"/>
      <c r="I2923" s="701">
        <v>18440.850287999998</v>
      </c>
      <c r="J2923" s="1654" t="s">
        <v>1134</v>
      </c>
      <c r="K2923" s="792"/>
      <c r="L2923" s="701"/>
      <c r="M2923" s="701">
        <v>5040.9251439999989</v>
      </c>
      <c r="N2923" s="7"/>
    </row>
    <row r="2924" spans="1:17">
      <c r="A2924" s="810"/>
      <c r="B2924" s="3130" t="s">
        <v>326</v>
      </c>
      <c r="C2924" s="663" t="s">
        <v>321</v>
      </c>
      <c r="D2924" s="678" t="s">
        <v>1980</v>
      </c>
      <c r="E2924" s="700" t="s">
        <v>1937</v>
      </c>
      <c r="F2924" s="795">
        <v>1210</v>
      </c>
      <c r="G2924" s="1149" t="s">
        <v>1294</v>
      </c>
      <c r="H2924" s="701"/>
      <c r="I2924" s="701"/>
      <c r="J2924" s="1654" t="s">
        <v>1134</v>
      </c>
      <c r="K2924" s="792"/>
      <c r="L2924" s="701"/>
      <c r="M2924" s="701"/>
      <c r="N2924" s="7"/>
      <c r="O2924" s="7"/>
      <c r="P2924" s="7"/>
      <c r="Q2924" s="7"/>
    </row>
    <row r="2925" spans="1:17" s="88" customFormat="1" ht="13.95" customHeight="1">
      <c r="A2925" s="810"/>
      <c r="B2925" s="3130" t="s">
        <v>326</v>
      </c>
      <c r="C2925" s="663" t="s">
        <v>321</v>
      </c>
      <c r="D2925" s="678" t="s">
        <v>1980</v>
      </c>
      <c r="E2925" s="700" t="s">
        <v>1937</v>
      </c>
      <c r="F2925" s="795">
        <v>1210</v>
      </c>
      <c r="G2925" s="812" t="s">
        <v>2874</v>
      </c>
      <c r="H2925" s="701"/>
      <c r="I2925" s="701">
        <v>-367.85028799999782</v>
      </c>
      <c r="J2925" s="1654" t="s">
        <v>1134</v>
      </c>
      <c r="K2925" s="792"/>
      <c r="L2925" s="701"/>
      <c r="M2925" s="701"/>
      <c r="N2925" s="7"/>
    </row>
    <row r="2926" spans="1:17" s="88" customFormat="1" ht="13.8">
      <c r="A2926" s="942"/>
      <c r="B2926" s="3129" t="s">
        <v>436</v>
      </c>
      <c r="C2926" s="683" t="s">
        <v>427</v>
      </c>
      <c r="D2926" s="719" t="s">
        <v>1980</v>
      </c>
      <c r="E2926" s="720" t="s">
        <v>1936</v>
      </c>
      <c r="F2926" s="824">
        <v>1221</v>
      </c>
      <c r="G2926" s="800" t="s">
        <v>452</v>
      </c>
      <c r="H2926" s="706">
        <v>11855.05937666</v>
      </c>
      <c r="I2926" s="706"/>
      <c r="J2926" s="1654">
        <v>10362</v>
      </c>
      <c r="K2926" s="802"/>
      <c r="L2926" s="713">
        <v>6434.1491575975997</v>
      </c>
      <c r="M2926" s="706"/>
      <c r="N2926" s="7"/>
    </row>
    <row r="2927" spans="1:17" s="88" customFormat="1" ht="13.95" customHeight="1">
      <c r="A2927" s="810"/>
      <c r="B2927" s="3130" t="s">
        <v>436</v>
      </c>
      <c r="C2927" s="663" t="s">
        <v>427</v>
      </c>
      <c r="D2927" s="678" t="s">
        <v>1980</v>
      </c>
      <c r="E2927" s="700" t="s">
        <v>1936</v>
      </c>
      <c r="F2927" s="795">
        <v>1221</v>
      </c>
      <c r="G2927" s="1149" t="s">
        <v>436</v>
      </c>
      <c r="H2927" s="701"/>
      <c r="I2927" s="701">
        <v>9855.0593766599995</v>
      </c>
      <c r="J2927" s="1654" t="s">
        <v>1134</v>
      </c>
      <c r="K2927" s="792"/>
      <c r="L2927" s="714"/>
      <c r="M2927" s="714">
        <v>6434.1491575975997</v>
      </c>
      <c r="N2927" s="305"/>
    </row>
    <row r="2928" spans="1:17" ht="20.399999999999999">
      <c r="A2928" s="810"/>
      <c r="B2928" s="3130" t="s">
        <v>436</v>
      </c>
      <c r="C2928" s="663" t="s">
        <v>427</v>
      </c>
      <c r="D2928" s="678" t="s">
        <v>1980</v>
      </c>
      <c r="E2928" s="700" t="s">
        <v>1936</v>
      </c>
      <c r="F2928" s="795">
        <v>1221</v>
      </c>
      <c r="G2928" s="812" t="s">
        <v>3424</v>
      </c>
      <c r="H2928" s="701"/>
      <c r="I2928" s="701">
        <v>2000</v>
      </c>
      <c r="J2928" s="1654" t="s">
        <v>1134</v>
      </c>
      <c r="K2928" s="792"/>
      <c r="L2928" s="714"/>
      <c r="M2928" s="714"/>
      <c r="N2928" s="305"/>
      <c r="O2928" s="187"/>
      <c r="P2928" s="187"/>
      <c r="Q2928" s="187"/>
    </row>
    <row r="2929" spans="1:17">
      <c r="A2929" s="942"/>
      <c r="B2929" s="3129" t="s">
        <v>326</v>
      </c>
      <c r="C2929" s="683" t="s">
        <v>321</v>
      </c>
      <c r="D2929" s="719" t="s">
        <v>1980</v>
      </c>
      <c r="E2929" s="720" t="s">
        <v>1937</v>
      </c>
      <c r="F2929" s="824">
        <v>1221</v>
      </c>
      <c r="G2929" s="800" t="s">
        <v>453</v>
      </c>
      <c r="H2929" s="1373">
        <v>3000</v>
      </c>
      <c r="I2929" s="706"/>
      <c r="J2929" s="1654">
        <v>2301.65</v>
      </c>
      <c r="K2929" s="802"/>
      <c r="L2929" s="1373">
        <v>3000</v>
      </c>
      <c r="M2929" s="706"/>
      <c r="N2929" s="305"/>
      <c r="O2929" s="187"/>
      <c r="P2929" s="187"/>
      <c r="Q2929" s="187"/>
    </row>
    <row r="2930" spans="1:17" ht="20.399999999999999">
      <c r="A2930" s="810"/>
      <c r="B2930" s="3130" t="s">
        <v>326</v>
      </c>
      <c r="C2930" s="663" t="s">
        <v>321</v>
      </c>
      <c r="D2930" s="678" t="s">
        <v>1980</v>
      </c>
      <c r="E2930" s="700" t="s">
        <v>1937</v>
      </c>
      <c r="F2930" s="795">
        <v>1221</v>
      </c>
      <c r="G2930" s="1149" t="s">
        <v>2012</v>
      </c>
      <c r="H2930" s="701"/>
      <c r="I2930" s="701">
        <v>2000</v>
      </c>
      <c r="J2930" s="1654" t="s">
        <v>1134</v>
      </c>
      <c r="K2930" s="802"/>
      <c r="L2930" s="701"/>
      <c r="M2930" s="701">
        <v>3000</v>
      </c>
      <c r="N2930" s="305"/>
      <c r="O2930" s="187"/>
      <c r="P2930" s="187"/>
      <c r="Q2930" s="187"/>
    </row>
    <row r="2931" spans="1:17" ht="20.399999999999999">
      <c r="A2931" s="810"/>
      <c r="B2931" s="3130" t="s">
        <v>326</v>
      </c>
      <c r="C2931" s="663" t="s">
        <v>321</v>
      </c>
      <c r="D2931" s="678" t="s">
        <v>1980</v>
      </c>
      <c r="E2931" s="700" t="s">
        <v>1937</v>
      </c>
      <c r="F2931" s="795">
        <v>1221</v>
      </c>
      <c r="G2931" s="1149" t="s">
        <v>3294</v>
      </c>
      <c r="H2931" s="701"/>
      <c r="I2931" s="701">
        <v>1000</v>
      </c>
      <c r="J2931" s="1654" t="s">
        <v>1134</v>
      </c>
      <c r="K2931" s="802"/>
      <c r="L2931" s="701"/>
      <c r="M2931" s="701"/>
      <c r="N2931" s="305"/>
      <c r="O2931" s="187"/>
      <c r="P2931" s="187"/>
      <c r="Q2931" s="187"/>
    </row>
    <row r="2932" spans="1:17">
      <c r="A2932" s="942"/>
      <c r="B2932" s="3129" t="s">
        <v>772</v>
      </c>
      <c r="C2932" s="683" t="s">
        <v>427</v>
      </c>
      <c r="D2932" s="719" t="s">
        <v>1980</v>
      </c>
      <c r="E2932" s="720" t="s">
        <v>1936</v>
      </c>
      <c r="F2932" s="824">
        <v>1228</v>
      </c>
      <c r="G2932" s="800" t="s">
        <v>212</v>
      </c>
      <c r="H2932" s="706">
        <v>800</v>
      </c>
      <c r="I2932" s="706"/>
      <c r="J2932" s="1654">
        <v>671</v>
      </c>
      <c r="K2932" s="802"/>
      <c r="L2932" s="713">
        <v>500</v>
      </c>
      <c r="M2932" s="706"/>
      <c r="N2932" s="57"/>
      <c r="O2932" s="187"/>
      <c r="P2932" s="187"/>
      <c r="Q2932" s="187"/>
    </row>
    <row r="2933" spans="1:17" ht="20.399999999999999">
      <c r="A2933" s="810"/>
      <c r="B2933" s="3130" t="s">
        <v>772</v>
      </c>
      <c r="C2933" s="663" t="s">
        <v>427</v>
      </c>
      <c r="D2933" s="678" t="s">
        <v>1980</v>
      </c>
      <c r="E2933" s="700" t="s">
        <v>1936</v>
      </c>
      <c r="F2933" s="795">
        <v>1228</v>
      </c>
      <c r="G2933" s="745" t="s">
        <v>3223</v>
      </c>
      <c r="H2933" s="701"/>
      <c r="I2933" s="701">
        <v>800</v>
      </c>
      <c r="J2933" s="1654" t="s">
        <v>1134</v>
      </c>
      <c r="K2933" s="802"/>
      <c r="L2933" s="714"/>
      <c r="M2933" s="701">
        <v>500</v>
      </c>
      <c r="N2933" s="75"/>
      <c r="O2933" s="187"/>
      <c r="P2933" s="187"/>
      <c r="Q2933" s="187"/>
    </row>
    <row r="2934" spans="1:17">
      <c r="A2934" s="942"/>
      <c r="B2934" s="3129" t="s">
        <v>772</v>
      </c>
      <c r="C2934" s="683" t="s">
        <v>322</v>
      </c>
      <c r="D2934" s="719" t="s">
        <v>1980</v>
      </c>
      <c r="E2934" s="720" t="s">
        <v>1936</v>
      </c>
      <c r="F2934" s="824">
        <v>2235</v>
      </c>
      <c r="G2934" s="800" t="s">
        <v>1139</v>
      </c>
      <c r="H2934" s="706">
        <v>500</v>
      </c>
      <c r="I2934" s="706"/>
      <c r="J2934" s="1654">
        <v>0</v>
      </c>
      <c r="K2934" s="802"/>
      <c r="L2934" s="713">
        <v>500</v>
      </c>
      <c r="M2934" s="706"/>
      <c r="N2934" s="75"/>
      <c r="O2934" s="187"/>
      <c r="P2934" s="187"/>
      <c r="Q2934" s="187"/>
    </row>
    <row r="2935" spans="1:17">
      <c r="A2935" s="810"/>
      <c r="B2935" s="3130" t="s">
        <v>772</v>
      </c>
      <c r="C2935" s="663" t="s">
        <v>322</v>
      </c>
      <c r="D2935" s="678" t="s">
        <v>1980</v>
      </c>
      <c r="E2935" s="700" t="s">
        <v>1936</v>
      </c>
      <c r="F2935" s="795">
        <v>2235</v>
      </c>
      <c r="G2935" s="750" t="s">
        <v>1550</v>
      </c>
      <c r="H2935" s="701"/>
      <c r="I2935" s="701">
        <v>500</v>
      </c>
      <c r="J2935" s="1654" t="s">
        <v>1134</v>
      </c>
      <c r="K2935" s="792"/>
      <c r="L2935" s="714"/>
      <c r="M2935" s="701">
        <v>500</v>
      </c>
      <c r="N2935" s="75"/>
      <c r="O2935" s="187"/>
      <c r="P2935" s="187"/>
      <c r="Q2935" s="187"/>
    </row>
    <row r="2936" spans="1:17" ht="11.4" customHeight="1">
      <c r="A2936" s="720"/>
      <c r="B2936" s="3129" t="s">
        <v>772</v>
      </c>
      <c r="C2936" s="720" t="s">
        <v>322</v>
      </c>
      <c r="D2936" s="823" t="s">
        <v>1980</v>
      </c>
      <c r="E2936" s="720" t="s">
        <v>1936</v>
      </c>
      <c r="F2936" s="824">
        <v>2239</v>
      </c>
      <c r="G2936" s="800" t="s">
        <v>177</v>
      </c>
      <c r="H2936" s="706">
        <v>500</v>
      </c>
      <c r="I2936" s="706"/>
      <c r="J2936" s="1654">
        <v>0</v>
      </c>
      <c r="K2936" s="802"/>
      <c r="L2936" s="713">
        <v>500</v>
      </c>
      <c r="M2936" s="706"/>
      <c r="N2936" s="75"/>
      <c r="O2936" s="187"/>
      <c r="P2936" s="187"/>
      <c r="Q2936" s="187"/>
    </row>
    <row r="2937" spans="1:17" ht="20.399999999999999" customHeight="1">
      <c r="A2937" s="841"/>
      <c r="B2937" s="3137" t="s">
        <v>772</v>
      </c>
      <c r="C2937" s="841" t="s">
        <v>322</v>
      </c>
      <c r="D2937" s="794" t="s">
        <v>1980</v>
      </c>
      <c r="E2937" s="700" t="s">
        <v>1936</v>
      </c>
      <c r="F2937" s="795">
        <v>2239</v>
      </c>
      <c r="G2937" s="750" t="s">
        <v>702</v>
      </c>
      <c r="H2937" s="701"/>
      <c r="I2937" s="701">
        <v>0</v>
      </c>
      <c r="J2937" s="1654" t="s">
        <v>1134</v>
      </c>
      <c r="K2937" s="792"/>
      <c r="L2937" s="714"/>
      <c r="M2937" s="701">
        <v>0</v>
      </c>
      <c r="N2937" s="75"/>
      <c r="O2937" s="187"/>
      <c r="P2937" s="187"/>
      <c r="Q2937" s="187"/>
    </row>
    <row r="2938" spans="1:17" ht="11.4" customHeight="1">
      <c r="A2938" s="700"/>
      <c r="B2938" s="3130" t="s">
        <v>772</v>
      </c>
      <c r="C2938" s="841" t="s">
        <v>322</v>
      </c>
      <c r="D2938" s="794" t="s">
        <v>1980</v>
      </c>
      <c r="E2938" s="700" t="s">
        <v>1936</v>
      </c>
      <c r="F2938" s="795">
        <v>2239</v>
      </c>
      <c r="G2938" s="750" t="s">
        <v>2389</v>
      </c>
      <c r="H2938" s="701"/>
      <c r="I2938" s="701">
        <v>500</v>
      </c>
      <c r="J2938" s="1654" t="s">
        <v>1134</v>
      </c>
      <c r="K2938" s="792"/>
      <c r="L2938" s="714"/>
      <c r="M2938" s="701">
        <v>500</v>
      </c>
      <c r="N2938" s="75"/>
      <c r="O2938" s="7"/>
      <c r="P2938" s="7"/>
      <c r="Q2938" s="7"/>
    </row>
    <row r="2939" spans="1:17" ht="20.399999999999999" customHeight="1">
      <c r="A2939" s="942"/>
      <c r="B2939" s="3129" t="s">
        <v>772</v>
      </c>
      <c r="C2939" s="683" t="s">
        <v>320</v>
      </c>
      <c r="D2939" s="719" t="s">
        <v>1980</v>
      </c>
      <c r="E2939" s="1406" t="s">
        <v>1936</v>
      </c>
      <c r="F2939" s="1690">
        <v>2247</v>
      </c>
      <c r="G2939" s="1691" t="s">
        <v>161</v>
      </c>
      <c r="H2939" s="1692">
        <v>50</v>
      </c>
      <c r="I2939" s="1692"/>
      <c r="J2939" s="1684">
        <v>0</v>
      </c>
      <c r="K2939" s="1694"/>
      <c r="L2939" s="2151">
        <v>0</v>
      </c>
      <c r="M2939" s="1692"/>
      <c r="N2939" s="75"/>
      <c r="O2939" s="7"/>
      <c r="P2939" s="7"/>
      <c r="Q2939" s="7"/>
    </row>
    <row r="2940" spans="1:17" ht="20.399999999999999" customHeight="1">
      <c r="A2940" s="810"/>
      <c r="B2940" s="3130" t="s">
        <v>772</v>
      </c>
      <c r="C2940" s="663" t="s">
        <v>427</v>
      </c>
      <c r="D2940" s="678" t="s">
        <v>1980</v>
      </c>
      <c r="E2940" s="1407" t="s">
        <v>1936</v>
      </c>
      <c r="F2940" s="1413">
        <v>2247</v>
      </c>
      <c r="G2940" s="2152" t="s">
        <v>2714</v>
      </c>
      <c r="H2940" s="1713"/>
      <c r="I2940" s="1713">
        <v>250</v>
      </c>
      <c r="J2940" s="1684" t="s">
        <v>1134</v>
      </c>
      <c r="K2940" s="2153"/>
      <c r="L2940" s="2154"/>
      <c r="M2940" s="2154"/>
      <c r="N2940" s="75"/>
      <c r="O2940" s="7"/>
      <c r="P2940" s="7"/>
      <c r="Q2940" s="7"/>
    </row>
    <row r="2941" spans="1:17" ht="81.599999999999994">
      <c r="A2941" s="1564"/>
      <c r="B2941" s="3130" t="s">
        <v>772</v>
      </c>
      <c r="C2941" s="663" t="s">
        <v>427</v>
      </c>
      <c r="D2941" s="678" t="s">
        <v>1980</v>
      </c>
      <c r="E2941" s="1407" t="s">
        <v>1936</v>
      </c>
      <c r="F2941" s="1413">
        <v>2247</v>
      </c>
      <c r="G2941" s="2155" t="s">
        <v>3368</v>
      </c>
      <c r="H2941" s="1805"/>
      <c r="I2941" s="1805">
        <v>-200</v>
      </c>
      <c r="J2941" s="1806"/>
      <c r="K2941" s="2156"/>
      <c r="L2941" s="2157"/>
      <c r="M2941" s="2157"/>
      <c r="N2941" s="75"/>
      <c r="O2941" s="7"/>
      <c r="P2941" s="7"/>
      <c r="Q2941" s="7"/>
    </row>
    <row r="2942" spans="1:17" ht="20.399999999999999" customHeight="1">
      <c r="A2942" s="942"/>
      <c r="B2942" s="3129" t="s">
        <v>772</v>
      </c>
      <c r="C2942" s="683" t="s">
        <v>320</v>
      </c>
      <c r="D2942" s="719" t="s">
        <v>1980</v>
      </c>
      <c r="E2942" s="1406" t="s">
        <v>1936</v>
      </c>
      <c r="F2942" s="1690">
        <v>2249</v>
      </c>
      <c r="G2942" s="1691" t="s">
        <v>282</v>
      </c>
      <c r="H2942" s="1692">
        <v>2000</v>
      </c>
      <c r="I2942" s="1692" t="s">
        <v>1134</v>
      </c>
      <c r="J2942" s="1684">
        <v>1080</v>
      </c>
      <c r="K2942" s="1694"/>
      <c r="L2942" s="2151">
        <v>1800</v>
      </c>
      <c r="M2942" s="1692"/>
      <c r="N2942" s="75"/>
      <c r="O2942" s="7"/>
      <c r="P2942" s="7"/>
      <c r="Q2942" s="7"/>
    </row>
    <row r="2943" spans="1:17">
      <c r="A2943" s="810"/>
      <c r="B2943" s="3130" t="s">
        <v>772</v>
      </c>
      <c r="C2943" s="663" t="s">
        <v>427</v>
      </c>
      <c r="D2943" s="678" t="s">
        <v>1980</v>
      </c>
      <c r="E2943" s="1407" t="s">
        <v>1936</v>
      </c>
      <c r="F2943" s="1413">
        <v>2249</v>
      </c>
      <c r="G2943" s="2152" t="s">
        <v>702</v>
      </c>
      <c r="H2943" s="1713"/>
      <c r="I2943" s="1683">
        <v>2000</v>
      </c>
      <c r="J2943" s="1684" t="s">
        <v>1134</v>
      </c>
      <c r="K2943" s="1685"/>
      <c r="L2943" s="2158"/>
      <c r="M2943" s="1683">
        <v>1800</v>
      </c>
      <c r="N2943" s="75"/>
      <c r="O2943" s="7"/>
      <c r="P2943" s="7"/>
      <c r="Q2943" s="7"/>
    </row>
    <row r="2944" spans="1:17" ht="11.4" customHeight="1">
      <c r="A2944" s="683"/>
      <c r="B2944" s="3129" t="s">
        <v>772</v>
      </c>
      <c r="C2944" s="683" t="s">
        <v>322</v>
      </c>
      <c r="D2944" s="719" t="s">
        <v>1980</v>
      </c>
      <c r="E2944" s="1406" t="s">
        <v>1936</v>
      </c>
      <c r="F2944" s="1698">
        <v>2311</v>
      </c>
      <c r="G2944" s="1691" t="s">
        <v>354</v>
      </c>
      <c r="H2944" s="1692">
        <v>414</v>
      </c>
      <c r="I2944" s="1692"/>
      <c r="J2944" s="1684">
        <v>0</v>
      </c>
      <c r="K2944" s="1694"/>
      <c r="L2944" s="2151">
        <v>700</v>
      </c>
      <c r="M2944" s="1692"/>
      <c r="N2944" s="75"/>
      <c r="O2944" s="7"/>
      <c r="P2944" s="7"/>
      <c r="Q2944" s="7"/>
    </row>
    <row r="2945" spans="1:17">
      <c r="A2945" s="663"/>
      <c r="B2945" s="3130" t="s">
        <v>772</v>
      </c>
      <c r="C2945" s="663" t="s">
        <v>322</v>
      </c>
      <c r="D2945" s="678" t="s">
        <v>1980</v>
      </c>
      <c r="E2945" s="1407" t="s">
        <v>1936</v>
      </c>
      <c r="F2945" s="1413">
        <v>2311</v>
      </c>
      <c r="G2945" s="818" t="s">
        <v>1551</v>
      </c>
      <c r="H2945" s="1683"/>
      <c r="I2945" s="1683">
        <v>700</v>
      </c>
      <c r="J2945" s="1684" t="s">
        <v>1134</v>
      </c>
      <c r="K2945" s="1685"/>
      <c r="L2945" s="2158"/>
      <c r="M2945" s="1683">
        <v>700</v>
      </c>
      <c r="N2945" s="75"/>
      <c r="O2945" s="7"/>
      <c r="P2945" s="7"/>
      <c r="Q2945" s="7"/>
    </row>
    <row r="2946" spans="1:17" ht="20.399999999999999">
      <c r="A2946" s="1263"/>
      <c r="B2946" s="3130" t="s">
        <v>772</v>
      </c>
      <c r="C2946" s="663" t="s">
        <v>322</v>
      </c>
      <c r="D2946" s="678" t="s">
        <v>1980</v>
      </c>
      <c r="E2946" s="1407" t="s">
        <v>1936</v>
      </c>
      <c r="F2946" s="1413">
        <v>2311</v>
      </c>
      <c r="G2946" s="1695" t="s">
        <v>3034</v>
      </c>
      <c r="H2946" s="1696"/>
      <c r="I2946" s="1696">
        <v>-286</v>
      </c>
      <c r="J2946" s="1684" t="s">
        <v>1134</v>
      </c>
      <c r="K2946" s="1697"/>
      <c r="L2946" s="2159"/>
      <c r="M2946" s="1696"/>
      <c r="N2946" s="75"/>
      <c r="O2946" s="7"/>
      <c r="P2946" s="7"/>
      <c r="Q2946" s="7"/>
    </row>
    <row r="2947" spans="1:17">
      <c r="A2947" s="683"/>
      <c r="B2947" s="3129" t="s">
        <v>772</v>
      </c>
      <c r="C2947" s="683" t="s">
        <v>324</v>
      </c>
      <c r="D2947" s="719" t="s">
        <v>1980</v>
      </c>
      <c r="E2947" s="720" t="s">
        <v>1936</v>
      </c>
      <c r="F2947" s="824">
        <v>2312</v>
      </c>
      <c r="G2947" s="800" t="s">
        <v>219</v>
      </c>
      <c r="H2947" s="706">
        <v>444</v>
      </c>
      <c r="I2947" s="706"/>
      <c r="J2947" s="1654">
        <v>66.58</v>
      </c>
      <c r="K2947" s="802"/>
      <c r="L2947" s="713">
        <v>200</v>
      </c>
      <c r="M2947" s="706"/>
      <c r="N2947" s="75"/>
      <c r="O2947" s="7"/>
      <c r="P2947" s="7"/>
      <c r="Q2947" s="7"/>
    </row>
    <row r="2948" spans="1:17">
      <c r="A2948" s="663"/>
      <c r="B2948" s="3130" t="s">
        <v>772</v>
      </c>
      <c r="C2948" s="663" t="s">
        <v>324</v>
      </c>
      <c r="D2948" s="678" t="s">
        <v>1980</v>
      </c>
      <c r="E2948" s="700" t="s">
        <v>1936</v>
      </c>
      <c r="F2948" s="795">
        <v>2312</v>
      </c>
      <c r="G2948" s="999" t="s">
        <v>207</v>
      </c>
      <c r="H2948" s="701"/>
      <c r="I2948" s="701">
        <v>200</v>
      </c>
      <c r="J2948" s="1654" t="s">
        <v>1134</v>
      </c>
      <c r="K2948" s="792"/>
      <c r="L2948" s="714"/>
      <c r="M2948" s="1321">
        <v>200</v>
      </c>
      <c r="N2948" s="75"/>
      <c r="O2948" s="7"/>
      <c r="P2948" s="7"/>
      <c r="Q2948" s="7"/>
    </row>
    <row r="2949" spans="1:17" ht="11.4" customHeight="1">
      <c r="A2949" s="1263"/>
      <c r="B2949" s="3130" t="s">
        <v>772</v>
      </c>
      <c r="C2949" s="663" t="s">
        <v>324</v>
      </c>
      <c r="D2949" s="678" t="s">
        <v>1980</v>
      </c>
      <c r="E2949" s="700" t="s">
        <v>1936</v>
      </c>
      <c r="F2949" s="795">
        <v>2312</v>
      </c>
      <c r="G2949" s="1330" t="s">
        <v>3034</v>
      </c>
      <c r="H2949" s="1265"/>
      <c r="I2949" s="1265">
        <v>286</v>
      </c>
      <c r="J2949" s="1654" t="s">
        <v>1134</v>
      </c>
      <c r="K2949" s="1329"/>
      <c r="L2949" s="1381"/>
      <c r="M2949" s="1265"/>
      <c r="N2949" s="75"/>
      <c r="O2949" s="7"/>
      <c r="P2949" s="7"/>
      <c r="Q2949" s="7"/>
    </row>
    <row r="2950" spans="1:17" ht="20.399999999999999">
      <c r="A2950" s="1495"/>
      <c r="B2950" s="3130" t="s">
        <v>772</v>
      </c>
      <c r="C2950" s="663" t="s">
        <v>324</v>
      </c>
      <c r="D2950" s="678" t="s">
        <v>1980</v>
      </c>
      <c r="E2950" s="700" t="s">
        <v>1936</v>
      </c>
      <c r="F2950" s="795">
        <v>2312</v>
      </c>
      <c r="G2950" s="1569" t="s">
        <v>3425</v>
      </c>
      <c r="H2950" s="1557"/>
      <c r="I2950" s="1557">
        <v>-42</v>
      </c>
      <c r="J2950" s="1655"/>
      <c r="K2950" s="1563"/>
      <c r="L2950" s="1596"/>
      <c r="M2950" s="1557"/>
      <c r="N2950" s="75"/>
      <c r="O2950" s="7"/>
      <c r="P2950" s="7"/>
      <c r="Q2950" s="7"/>
    </row>
    <row r="2951" spans="1:17" ht="20.399999999999999">
      <c r="A2951" s="683"/>
      <c r="B2951" s="3129" t="s">
        <v>772</v>
      </c>
      <c r="C2951" s="683" t="s">
        <v>324</v>
      </c>
      <c r="D2951" s="719" t="s">
        <v>1980</v>
      </c>
      <c r="E2951" s="720" t="s">
        <v>1936</v>
      </c>
      <c r="F2951" s="824">
        <v>2314</v>
      </c>
      <c r="G2951" s="800" t="s">
        <v>1435</v>
      </c>
      <c r="H2951" s="706">
        <v>200</v>
      </c>
      <c r="I2951" s="706"/>
      <c r="J2951" s="1654">
        <v>176.4</v>
      </c>
      <c r="K2951" s="802"/>
      <c r="L2951" s="713">
        <v>200</v>
      </c>
      <c r="M2951" s="706"/>
      <c r="N2951" s="75"/>
      <c r="O2951" s="7"/>
      <c r="P2951" s="7"/>
      <c r="Q2951" s="7"/>
    </row>
    <row r="2952" spans="1:17">
      <c r="A2952" s="663"/>
      <c r="B2952" s="3130" t="s">
        <v>772</v>
      </c>
      <c r="C2952" s="663" t="s">
        <v>324</v>
      </c>
      <c r="D2952" s="678" t="s">
        <v>1980</v>
      </c>
      <c r="E2952" s="700" t="s">
        <v>1936</v>
      </c>
      <c r="F2952" s="795">
        <v>2314</v>
      </c>
      <c r="G2952" s="1008" t="s">
        <v>1552</v>
      </c>
      <c r="H2952" s="701"/>
      <c r="I2952" s="701">
        <v>200</v>
      </c>
      <c r="J2952" s="1654" t="s">
        <v>1134</v>
      </c>
      <c r="K2952" s="792"/>
      <c r="L2952" s="714"/>
      <c r="M2952" s="1321">
        <v>200</v>
      </c>
      <c r="N2952" s="305"/>
      <c r="O2952" s="7"/>
      <c r="P2952" s="7"/>
      <c r="Q2952" s="7"/>
    </row>
    <row r="2953" spans="1:17">
      <c r="A2953" s="683"/>
      <c r="B2953" s="3129" t="s">
        <v>772</v>
      </c>
      <c r="C2953" s="683" t="s">
        <v>322</v>
      </c>
      <c r="D2953" s="719" t="s">
        <v>1980</v>
      </c>
      <c r="E2953" s="720" t="s">
        <v>1936</v>
      </c>
      <c r="F2953" s="824">
        <v>2341</v>
      </c>
      <c r="G2953" s="800" t="s">
        <v>208</v>
      </c>
      <c r="H2953" s="706">
        <v>342</v>
      </c>
      <c r="I2953" s="706"/>
      <c r="J2953" s="1654">
        <v>0</v>
      </c>
      <c r="K2953" s="802"/>
      <c r="L2953" s="713">
        <v>300</v>
      </c>
      <c r="M2953" s="706"/>
      <c r="N2953" s="305"/>
      <c r="O2953" s="7"/>
      <c r="P2953" s="7"/>
      <c r="Q2953" s="7"/>
    </row>
    <row r="2954" spans="1:17">
      <c r="A2954" s="663"/>
      <c r="B2954" s="3130" t="s">
        <v>772</v>
      </c>
      <c r="C2954" s="663" t="s">
        <v>322</v>
      </c>
      <c r="D2954" s="678" t="s">
        <v>1980</v>
      </c>
      <c r="E2954" s="700" t="s">
        <v>1936</v>
      </c>
      <c r="F2954" s="795">
        <v>2341</v>
      </c>
      <c r="G2954" s="1008" t="s">
        <v>576</v>
      </c>
      <c r="H2954" s="701"/>
      <c r="I2954" s="701">
        <v>300</v>
      </c>
      <c r="J2954" s="1654" t="s">
        <v>1134</v>
      </c>
      <c r="K2954" s="792"/>
      <c r="L2954" s="714"/>
      <c r="M2954" s="701">
        <v>300</v>
      </c>
      <c r="N2954" s="305"/>
      <c r="O2954" s="7"/>
      <c r="P2954" s="7"/>
      <c r="Q2954" s="7"/>
    </row>
    <row r="2955" spans="1:17" ht="20.399999999999999">
      <c r="A2955" s="1495"/>
      <c r="B2955" s="3130" t="s">
        <v>772</v>
      </c>
      <c r="C2955" s="663" t="s">
        <v>324</v>
      </c>
      <c r="D2955" s="678" t="s">
        <v>1980</v>
      </c>
      <c r="E2955" s="700" t="s">
        <v>1936</v>
      </c>
      <c r="F2955" s="795">
        <v>2341</v>
      </c>
      <c r="G2955" s="1569" t="s">
        <v>3425</v>
      </c>
      <c r="H2955" s="1557"/>
      <c r="I2955" s="1557">
        <v>42</v>
      </c>
      <c r="J2955" s="1655"/>
      <c r="K2955" s="1563"/>
      <c r="L2955" s="1596"/>
      <c r="M2955" s="1557"/>
      <c r="N2955" s="305"/>
      <c r="O2955" s="7"/>
      <c r="P2955" s="7"/>
      <c r="Q2955" s="7"/>
    </row>
    <row r="2956" spans="1:17">
      <c r="A2956" s="683"/>
      <c r="B2956" s="3129" t="s">
        <v>772</v>
      </c>
      <c r="C2956" s="683" t="s">
        <v>322</v>
      </c>
      <c r="D2956" s="719" t="s">
        <v>1980</v>
      </c>
      <c r="E2956" s="720" t="s">
        <v>1936</v>
      </c>
      <c r="F2956" s="824">
        <v>2370</v>
      </c>
      <c r="G2956" s="800" t="s">
        <v>223</v>
      </c>
      <c r="H2956" s="706">
        <v>3000</v>
      </c>
      <c r="I2956" s="706"/>
      <c r="J2956" s="1654">
        <v>1268</v>
      </c>
      <c r="K2956" s="802"/>
      <c r="L2956" s="713">
        <v>2100</v>
      </c>
      <c r="M2956" s="706"/>
      <c r="N2956" s="305"/>
      <c r="O2956" s="7"/>
      <c r="P2956" s="7"/>
      <c r="Q2956" s="7"/>
    </row>
    <row r="2957" spans="1:17">
      <c r="A2957" s="663"/>
      <c r="B2957" s="3130" t="s">
        <v>772</v>
      </c>
      <c r="C2957" s="663" t="s">
        <v>322</v>
      </c>
      <c r="D2957" s="678" t="s">
        <v>1980</v>
      </c>
      <c r="E2957" s="700" t="s">
        <v>1936</v>
      </c>
      <c r="F2957" s="795">
        <v>2370</v>
      </c>
      <c r="G2957" s="750" t="s">
        <v>881</v>
      </c>
      <c r="H2957" s="701"/>
      <c r="I2957" s="701">
        <v>900</v>
      </c>
      <c r="J2957" s="1654" t="s">
        <v>1134</v>
      </c>
      <c r="K2957" s="792"/>
      <c r="L2957" s="714"/>
      <c r="M2957" s="1672">
        <v>900</v>
      </c>
      <c r="N2957" s="305"/>
      <c r="O2957" s="7"/>
      <c r="P2957" s="7"/>
      <c r="Q2957" s="7"/>
    </row>
    <row r="2958" spans="1:17">
      <c r="A2958" s="663"/>
      <c r="B2958" s="3130" t="s">
        <v>772</v>
      </c>
      <c r="C2958" s="663" t="s">
        <v>322</v>
      </c>
      <c r="D2958" s="678" t="s">
        <v>1980</v>
      </c>
      <c r="E2958" s="700" t="s">
        <v>1936</v>
      </c>
      <c r="F2958" s="795">
        <v>2370</v>
      </c>
      <c r="G2958" s="750" t="s">
        <v>882</v>
      </c>
      <c r="H2958" s="701"/>
      <c r="I2958" s="701">
        <v>900</v>
      </c>
      <c r="J2958" s="1654" t="s">
        <v>1134</v>
      </c>
      <c r="K2958" s="792"/>
      <c r="L2958" s="714"/>
      <c r="M2958" s="1672">
        <v>900</v>
      </c>
      <c r="N2958" s="75"/>
      <c r="O2958" s="7"/>
      <c r="P2958" s="7"/>
      <c r="Q2958" s="7"/>
    </row>
    <row r="2959" spans="1:17">
      <c r="A2959" s="663"/>
      <c r="B2959" s="3130" t="s">
        <v>772</v>
      </c>
      <c r="C2959" s="663" t="s">
        <v>322</v>
      </c>
      <c r="D2959" s="678" t="s">
        <v>1980</v>
      </c>
      <c r="E2959" s="700" t="s">
        <v>1936</v>
      </c>
      <c r="F2959" s="795">
        <v>2370</v>
      </c>
      <c r="G2959" s="750" t="s">
        <v>883</v>
      </c>
      <c r="H2959" s="701"/>
      <c r="I2959" s="701">
        <v>900</v>
      </c>
      <c r="J2959" s="1654" t="s">
        <v>1134</v>
      </c>
      <c r="K2959" s="792"/>
      <c r="L2959" s="714"/>
      <c r="M2959" s="701"/>
      <c r="N2959" s="75"/>
      <c r="O2959" s="7"/>
      <c r="P2959" s="7"/>
      <c r="Q2959" s="7"/>
    </row>
    <row r="2960" spans="1:17">
      <c r="A2960" s="663"/>
      <c r="B2960" s="3130" t="s">
        <v>772</v>
      </c>
      <c r="C2960" s="663" t="s">
        <v>322</v>
      </c>
      <c r="D2960" s="678" t="s">
        <v>1980</v>
      </c>
      <c r="E2960" s="700" t="s">
        <v>1936</v>
      </c>
      <c r="F2960" s="795">
        <v>2370</v>
      </c>
      <c r="G2960" s="750" t="s">
        <v>884</v>
      </c>
      <c r="H2960" s="701"/>
      <c r="I2960" s="701">
        <v>150</v>
      </c>
      <c r="J2960" s="1654" t="s">
        <v>1134</v>
      </c>
      <c r="K2960" s="792"/>
      <c r="L2960" s="714"/>
      <c r="M2960" s="701">
        <v>150</v>
      </c>
      <c r="N2960" s="75"/>
      <c r="O2960" s="7"/>
      <c r="P2960" s="7"/>
      <c r="Q2960" s="7"/>
    </row>
    <row r="2961" spans="1:17">
      <c r="A2961" s="663"/>
      <c r="B2961" s="3130" t="s">
        <v>772</v>
      </c>
      <c r="C2961" s="663" t="s">
        <v>322</v>
      </c>
      <c r="D2961" s="678" t="s">
        <v>1980</v>
      </c>
      <c r="E2961" s="700" t="s">
        <v>1936</v>
      </c>
      <c r="F2961" s="795">
        <v>2370</v>
      </c>
      <c r="G2961" s="750" t="s">
        <v>885</v>
      </c>
      <c r="H2961" s="701"/>
      <c r="I2961" s="701">
        <v>150</v>
      </c>
      <c r="J2961" s="1654" t="s">
        <v>1134</v>
      </c>
      <c r="K2961" s="792"/>
      <c r="L2961" s="714"/>
      <c r="M2961" s="701">
        <v>150</v>
      </c>
      <c r="N2961" s="75"/>
      <c r="O2961" s="7"/>
      <c r="P2961" s="7"/>
      <c r="Q2961" s="7"/>
    </row>
    <row r="2962" spans="1:17">
      <c r="A2962" s="683"/>
      <c r="B2962" s="3129" t="s">
        <v>326</v>
      </c>
      <c r="C2962" s="683" t="s">
        <v>321</v>
      </c>
      <c r="D2962" s="719" t="s">
        <v>1980</v>
      </c>
      <c r="E2962" s="720" t="s">
        <v>1937</v>
      </c>
      <c r="F2962" s="685">
        <v>2370</v>
      </c>
      <c r="G2962" s="686" t="s">
        <v>223</v>
      </c>
      <c r="H2962" s="1303">
        <v>1940</v>
      </c>
      <c r="I2962" s="689"/>
      <c r="J2962" s="1494">
        <v>0</v>
      </c>
      <c r="K2962" s="661"/>
      <c r="L2962" s="1303">
        <v>1992</v>
      </c>
      <c r="M2962" s="689"/>
      <c r="N2962" s="75"/>
      <c r="O2962" s="7"/>
      <c r="P2962" s="7"/>
      <c r="Q2962" s="7"/>
    </row>
    <row r="2963" spans="1:17">
      <c r="A2963" s="663"/>
      <c r="B2963" s="3130" t="s">
        <v>326</v>
      </c>
      <c r="C2963" s="663" t="s">
        <v>321</v>
      </c>
      <c r="D2963" s="678" t="s">
        <v>1980</v>
      </c>
      <c r="E2963" s="700" t="s">
        <v>1937</v>
      </c>
      <c r="F2963" s="679">
        <v>2370</v>
      </c>
      <c r="G2963" s="759" t="s">
        <v>1294</v>
      </c>
      <c r="H2963" s="660"/>
      <c r="I2963" s="660"/>
      <c r="J2963" s="1494" t="s">
        <v>1134</v>
      </c>
      <c r="K2963" s="661"/>
      <c r="L2963" s="660"/>
      <c r="M2963" s="660">
        <v>1992</v>
      </c>
      <c r="N2963" s="75"/>
      <c r="O2963" s="7"/>
      <c r="P2963" s="7"/>
      <c r="Q2963" s="7"/>
    </row>
    <row r="2964" spans="1:17">
      <c r="A2964" s="663"/>
      <c r="B2964" s="3130" t="s">
        <v>326</v>
      </c>
      <c r="C2964" s="663" t="s">
        <v>321</v>
      </c>
      <c r="D2964" s="678" t="s">
        <v>1980</v>
      </c>
      <c r="E2964" s="700" t="s">
        <v>1937</v>
      </c>
      <c r="F2964" s="679">
        <v>2370</v>
      </c>
      <c r="G2964" s="759" t="s">
        <v>3054</v>
      </c>
      <c r="H2964" s="660"/>
      <c r="I2964" s="660">
        <v>1940</v>
      </c>
      <c r="J2964" s="1494" t="s">
        <v>1134</v>
      </c>
      <c r="K2964" s="661"/>
      <c r="L2964" s="660"/>
      <c r="M2964" s="660"/>
      <c r="N2964" s="305"/>
      <c r="O2964" s="7"/>
      <c r="P2964" s="7"/>
      <c r="Q2964" s="7"/>
    </row>
    <row r="2965" spans="1:17">
      <c r="A2965" s="683"/>
      <c r="B2965" s="3129" t="s">
        <v>774</v>
      </c>
      <c r="C2965" s="720" t="s">
        <v>324</v>
      </c>
      <c r="D2965" s="823" t="s">
        <v>1980</v>
      </c>
      <c r="E2965" s="720" t="s">
        <v>1936</v>
      </c>
      <c r="F2965" s="824">
        <v>5233</v>
      </c>
      <c r="G2965" s="800" t="s">
        <v>280</v>
      </c>
      <c r="H2965" s="706">
        <v>300</v>
      </c>
      <c r="I2965" s="706"/>
      <c r="J2965" s="1654">
        <v>0</v>
      </c>
      <c r="K2965" s="802"/>
      <c r="L2965" s="713">
        <v>300</v>
      </c>
      <c r="M2965" s="2033"/>
      <c r="N2965" s="305"/>
      <c r="O2965" s="7"/>
      <c r="P2965" s="7"/>
      <c r="Q2965" s="7"/>
    </row>
    <row r="2966" spans="1:17">
      <c r="A2966" s="663"/>
      <c r="B2966" s="3130" t="s">
        <v>774</v>
      </c>
      <c r="C2966" s="700" t="s">
        <v>324</v>
      </c>
      <c r="D2966" s="794" t="s">
        <v>1980</v>
      </c>
      <c r="E2966" s="700" t="s">
        <v>1936</v>
      </c>
      <c r="F2966" s="795">
        <v>5233</v>
      </c>
      <c r="G2966" s="750" t="s">
        <v>886</v>
      </c>
      <c r="H2966" s="701"/>
      <c r="I2966" s="701">
        <v>200</v>
      </c>
      <c r="J2966" s="1654" t="s">
        <v>1134</v>
      </c>
      <c r="K2966" s="792"/>
      <c r="L2966" s="714"/>
      <c r="M2966" s="790">
        <v>200</v>
      </c>
      <c r="N2966" s="305"/>
      <c r="O2966" s="7"/>
      <c r="P2966" s="7"/>
      <c r="Q2966" s="7"/>
    </row>
    <row r="2967" spans="1:17">
      <c r="A2967" s="663"/>
      <c r="B2967" s="3130" t="s">
        <v>774</v>
      </c>
      <c r="C2967" s="700" t="s">
        <v>324</v>
      </c>
      <c r="D2967" s="794" t="s">
        <v>1980</v>
      </c>
      <c r="E2967" s="700" t="s">
        <v>1936</v>
      </c>
      <c r="F2967" s="795">
        <v>5233</v>
      </c>
      <c r="G2967" s="750" t="s">
        <v>880</v>
      </c>
      <c r="H2967" s="701"/>
      <c r="I2967" s="701">
        <v>100</v>
      </c>
      <c r="J2967" s="1654" t="s">
        <v>1134</v>
      </c>
      <c r="K2967" s="792"/>
      <c r="L2967" s="714"/>
      <c r="M2967" s="790">
        <v>100</v>
      </c>
      <c r="N2967" s="305"/>
      <c r="O2967" s="7"/>
      <c r="P2967" s="7"/>
      <c r="Q2967" s="7"/>
    </row>
    <row r="2968" spans="1:17">
      <c r="A2968" s="720"/>
      <c r="B2968" s="3129" t="s">
        <v>774</v>
      </c>
      <c r="C2968" s="720" t="s">
        <v>324</v>
      </c>
      <c r="D2968" s="823" t="s">
        <v>1980</v>
      </c>
      <c r="E2968" s="720" t="s">
        <v>1936</v>
      </c>
      <c r="F2968" s="824">
        <v>5239</v>
      </c>
      <c r="G2968" s="800" t="s">
        <v>138</v>
      </c>
      <c r="H2968" s="706">
        <v>0</v>
      </c>
      <c r="I2968" s="706"/>
      <c r="J2968" s="1654" t="s">
        <v>1134</v>
      </c>
      <c r="K2968" s="802"/>
      <c r="L2968" s="713">
        <v>0</v>
      </c>
      <c r="M2968" s="706"/>
      <c r="N2968" s="75"/>
      <c r="O2968" s="7"/>
      <c r="P2968" s="7"/>
      <c r="Q2968" s="7"/>
    </row>
    <row r="2969" spans="1:17">
      <c r="A2969" s="700"/>
      <c r="B2969" s="3130" t="s">
        <v>774</v>
      </c>
      <c r="C2969" s="700" t="s">
        <v>324</v>
      </c>
      <c r="D2969" s="794" t="s">
        <v>1980</v>
      </c>
      <c r="E2969" s="700" t="s">
        <v>1936</v>
      </c>
      <c r="F2969" s="795">
        <v>5239</v>
      </c>
      <c r="G2969" s="750"/>
      <c r="H2969" s="701"/>
      <c r="I2969" s="701"/>
      <c r="J2969" s="1654" t="s">
        <v>1134</v>
      </c>
      <c r="K2969" s="792"/>
      <c r="L2969" s="714"/>
      <c r="M2969" s="790"/>
      <c r="N2969" s="75"/>
      <c r="O2969" s="7"/>
      <c r="P2969" s="7"/>
      <c r="Q2969" s="7"/>
    </row>
    <row r="2970" spans="1:17">
      <c r="A2970" s="683"/>
      <c r="B2970" s="3129" t="s">
        <v>1211</v>
      </c>
      <c r="C2970" s="683" t="s">
        <v>324</v>
      </c>
      <c r="D2970" s="719" t="s">
        <v>1980</v>
      </c>
      <c r="E2970" s="1406" t="s">
        <v>1936</v>
      </c>
      <c r="F2970" s="1698">
        <v>7230</v>
      </c>
      <c r="G2970" s="1691" t="s">
        <v>1027</v>
      </c>
      <c r="H2970" s="1692">
        <v>15656</v>
      </c>
      <c r="I2970" s="1692"/>
      <c r="J2970" s="1684">
        <v>13049</v>
      </c>
      <c r="K2970" s="1694"/>
      <c r="L2970" s="2151">
        <v>17871</v>
      </c>
      <c r="M2970" s="1692"/>
      <c r="N2970" s="75"/>
      <c r="O2970" s="7"/>
      <c r="P2970" s="7"/>
      <c r="Q2970" s="7"/>
    </row>
    <row r="2971" spans="1:17">
      <c r="A2971" s="663"/>
      <c r="B2971" s="3130" t="s">
        <v>2534</v>
      </c>
      <c r="C2971" s="663" t="s">
        <v>324</v>
      </c>
      <c r="D2971" s="678" t="s">
        <v>1980</v>
      </c>
      <c r="E2971" s="1407" t="s">
        <v>1936</v>
      </c>
      <c r="F2971" s="1413">
        <v>7230</v>
      </c>
      <c r="G2971" s="1803" t="s">
        <v>436</v>
      </c>
      <c r="H2971" s="1683"/>
      <c r="I2971" s="1683">
        <v>12586</v>
      </c>
      <c r="J2971" s="1684" t="s">
        <v>1134</v>
      </c>
      <c r="K2971" s="1685"/>
      <c r="L2971" s="2158"/>
      <c r="M2971" s="2355">
        <v>14801</v>
      </c>
      <c r="N2971" s="75"/>
      <c r="O2971" s="7"/>
      <c r="P2971" s="7"/>
      <c r="Q2971" s="7"/>
    </row>
    <row r="2972" spans="1:17">
      <c r="A2972" s="663"/>
      <c r="B2972" s="3130" t="s">
        <v>1211</v>
      </c>
      <c r="C2972" s="663" t="s">
        <v>324</v>
      </c>
      <c r="D2972" s="678" t="s">
        <v>1980</v>
      </c>
      <c r="E2972" s="1407" t="s">
        <v>1936</v>
      </c>
      <c r="F2972" s="1413">
        <v>7230</v>
      </c>
      <c r="G2972" s="1803" t="s">
        <v>772</v>
      </c>
      <c r="H2972" s="1683"/>
      <c r="I2972" s="1683">
        <v>3070</v>
      </c>
      <c r="J2972" s="1684" t="s">
        <v>1134</v>
      </c>
      <c r="K2972" s="1685"/>
      <c r="L2972" s="2158"/>
      <c r="M2972" s="2355">
        <v>3070</v>
      </c>
      <c r="N2972" s="305"/>
      <c r="O2972" s="7"/>
      <c r="P2972" s="7"/>
      <c r="Q2972" s="7"/>
    </row>
    <row r="2973" spans="1:17">
      <c r="A2973" s="1575"/>
      <c r="B2973" s="3147" t="s">
        <v>365</v>
      </c>
      <c r="C2973" s="1575"/>
      <c r="D2973" s="1585" t="s">
        <v>1980</v>
      </c>
      <c r="E2973" s="1584" t="s">
        <v>3373</v>
      </c>
      <c r="F2973" s="1577">
        <v>1119</v>
      </c>
      <c r="G2973" s="1578" t="s">
        <v>142</v>
      </c>
      <c r="H2973" s="1587">
        <v>98</v>
      </c>
      <c r="I2973" s="1587"/>
      <c r="J2973" s="1587"/>
      <c r="K2973" s="1567"/>
      <c r="L2973" s="1588">
        <v>98</v>
      </c>
      <c r="M2973" s="1589"/>
      <c r="N2973" s="305"/>
      <c r="O2973" s="7"/>
      <c r="P2973" s="7"/>
      <c r="Q2973" s="7"/>
    </row>
    <row r="2974" spans="1:17">
      <c r="A2974" s="1495"/>
      <c r="B2974" s="3138" t="s">
        <v>365</v>
      </c>
      <c r="C2974" s="1495"/>
      <c r="D2974" s="1561" t="s">
        <v>1980</v>
      </c>
      <c r="E2974" s="1559" t="s">
        <v>3373</v>
      </c>
      <c r="F2974" s="1574">
        <v>1119</v>
      </c>
      <c r="G2974" s="1548" t="s">
        <v>436</v>
      </c>
      <c r="H2974" s="1549"/>
      <c r="I2974" s="1549">
        <v>98</v>
      </c>
      <c r="J2974" s="1549"/>
      <c r="K2974" s="1551"/>
      <c r="L2974" s="1581"/>
      <c r="M2974" s="3090">
        <v>98</v>
      </c>
      <c r="N2974" s="305"/>
      <c r="O2974" s="7"/>
      <c r="P2974" s="7"/>
      <c r="Q2974" s="7"/>
    </row>
    <row r="2975" spans="1:17" ht="20.399999999999999">
      <c r="A2975" s="1575"/>
      <c r="B2975" s="3147" t="s">
        <v>365</v>
      </c>
      <c r="C2975" s="1575"/>
      <c r="D2975" s="1585" t="s">
        <v>1980</v>
      </c>
      <c r="E2975" s="1584" t="s">
        <v>3373</v>
      </c>
      <c r="F2975" s="1577">
        <v>1210</v>
      </c>
      <c r="G2975" s="1578" t="s">
        <v>402</v>
      </c>
      <c r="H2975" s="1587">
        <v>23</v>
      </c>
      <c r="I2975" s="1587"/>
      <c r="J2975" s="1587"/>
      <c r="K2975" s="1567"/>
      <c r="L2975" s="1588">
        <v>23</v>
      </c>
      <c r="M2975" s="1587"/>
      <c r="N2975" s="75"/>
      <c r="O2975" s="7"/>
      <c r="P2975" s="7"/>
      <c r="Q2975" s="7"/>
    </row>
    <row r="2976" spans="1:17">
      <c r="A2976" s="1495"/>
      <c r="B2976" s="3138" t="s">
        <v>365</v>
      </c>
      <c r="C2976" s="1495"/>
      <c r="D2976" s="1561" t="s">
        <v>1980</v>
      </c>
      <c r="E2976" s="1559" t="s">
        <v>3373</v>
      </c>
      <c r="F2976" s="1574">
        <v>1210</v>
      </c>
      <c r="G2976" s="1548"/>
      <c r="H2976" s="1549"/>
      <c r="I2976" s="1549">
        <v>23</v>
      </c>
      <c r="J2976" s="1549"/>
      <c r="K2976" s="1551"/>
      <c r="L2976" s="1581"/>
      <c r="M2976" s="1591">
        <v>23</v>
      </c>
      <c r="N2976" s="75"/>
      <c r="O2976" s="7"/>
      <c r="P2976" s="7"/>
      <c r="Q2976" s="7"/>
    </row>
    <row r="2977" spans="1:17">
      <c r="A2977" s="1575"/>
      <c r="B2977" s="3147" t="s">
        <v>365</v>
      </c>
      <c r="C2977" s="1575"/>
      <c r="D2977" s="1585" t="s">
        <v>1980</v>
      </c>
      <c r="E2977" s="1584" t="s">
        <v>3373</v>
      </c>
      <c r="F2977" s="1577">
        <v>2239</v>
      </c>
      <c r="G2977" s="1578" t="s">
        <v>1017</v>
      </c>
      <c r="H2977" s="1587">
        <v>1100</v>
      </c>
      <c r="I2977" s="1587"/>
      <c r="J2977" s="1587"/>
      <c r="K2977" s="1567"/>
      <c r="L2977" s="1588">
        <v>1100</v>
      </c>
      <c r="M2977" s="1587"/>
      <c r="N2977" s="305"/>
      <c r="O2977" s="7"/>
      <c r="P2977" s="7"/>
      <c r="Q2977" s="7"/>
    </row>
    <row r="2978" spans="1:17">
      <c r="A2978" s="1495"/>
      <c r="B2978" s="3138" t="s">
        <v>365</v>
      </c>
      <c r="C2978" s="1495"/>
      <c r="D2978" s="1561" t="s">
        <v>1980</v>
      </c>
      <c r="E2978" s="1559" t="s">
        <v>3373</v>
      </c>
      <c r="F2978" s="1574">
        <v>2239</v>
      </c>
      <c r="G2978" s="1583" t="s">
        <v>1295</v>
      </c>
      <c r="H2978" s="1549"/>
      <c r="I2978" s="1549">
        <v>1100</v>
      </c>
      <c r="J2978" s="1549"/>
      <c r="K2978" s="1551"/>
      <c r="L2978" s="1581"/>
      <c r="M2978" s="1591">
        <v>1100</v>
      </c>
      <c r="N2978" s="305"/>
      <c r="O2978" s="7"/>
      <c r="P2978" s="7"/>
      <c r="Q2978" s="7"/>
    </row>
    <row r="2979" spans="1:17">
      <c r="A2979" s="1495"/>
      <c r="B2979" s="3138" t="s">
        <v>365</v>
      </c>
      <c r="C2979" s="1495"/>
      <c r="D2979" s="1561" t="s">
        <v>1980</v>
      </c>
      <c r="E2979" s="1559" t="s">
        <v>3373</v>
      </c>
      <c r="F2979" s="1574">
        <v>2239</v>
      </c>
      <c r="G2979" s="1583" t="s">
        <v>319</v>
      </c>
      <c r="H2979" s="1549"/>
      <c r="I2979" s="1549"/>
      <c r="J2979" s="1549"/>
      <c r="K2979" s="1551"/>
      <c r="L2979" s="1581"/>
      <c r="M2979" s="1591">
        <v>121</v>
      </c>
      <c r="N2979" s="305"/>
      <c r="O2979" s="7"/>
      <c r="P2979" s="7"/>
      <c r="Q2979" s="7"/>
    </row>
    <row r="2980" spans="1:17">
      <c r="A2980" s="1495"/>
      <c r="B2980" s="3138" t="s">
        <v>365</v>
      </c>
      <c r="C2980" s="1495"/>
      <c r="D2980" s="1561" t="s">
        <v>1980</v>
      </c>
      <c r="E2980" s="1559" t="s">
        <v>3373</v>
      </c>
      <c r="F2980" s="1574">
        <v>2239</v>
      </c>
      <c r="G2980" s="1583" t="s">
        <v>5219</v>
      </c>
      <c r="H2980" s="1549"/>
      <c r="I2980" s="1549"/>
      <c r="J2980" s="1549"/>
      <c r="K2980" s="1551"/>
      <c r="L2980" s="1581"/>
      <c r="M2980" s="1591">
        <v>-121</v>
      </c>
      <c r="N2980" s="57"/>
      <c r="O2980" s="7"/>
      <c r="P2980" s="7"/>
      <c r="Q2980" s="7"/>
    </row>
    <row r="2981" spans="1:17">
      <c r="A2981" s="1575"/>
      <c r="B2981" s="3147" t="s">
        <v>365</v>
      </c>
      <c r="C2981" s="1575"/>
      <c r="D2981" s="1585" t="s">
        <v>1980</v>
      </c>
      <c r="E2981" s="1584" t="s">
        <v>3372</v>
      </c>
      <c r="F2981" s="1577">
        <v>1119</v>
      </c>
      <c r="G2981" s="1578" t="s">
        <v>142</v>
      </c>
      <c r="H2981" s="1587">
        <v>3668</v>
      </c>
      <c r="I2981" s="1587"/>
      <c r="J2981" s="1587"/>
      <c r="K2981" s="1567"/>
      <c r="L2981" s="1588">
        <v>3669</v>
      </c>
      <c r="M2981" s="1589"/>
      <c r="N2981" s="305"/>
      <c r="O2981" s="7"/>
      <c r="P2981" s="7"/>
      <c r="Q2981" s="7"/>
    </row>
    <row r="2982" spans="1:17">
      <c r="A2982" s="1495"/>
      <c r="B2982" s="3138" t="s">
        <v>365</v>
      </c>
      <c r="C2982" s="1495"/>
      <c r="D2982" s="1561" t="s">
        <v>1980</v>
      </c>
      <c r="E2982" s="1559" t="s">
        <v>3372</v>
      </c>
      <c r="F2982" s="1574">
        <v>1119</v>
      </c>
      <c r="G2982" s="1548" t="s">
        <v>436</v>
      </c>
      <c r="H2982" s="1549"/>
      <c r="I2982" s="1549">
        <v>3668</v>
      </c>
      <c r="J2982" s="1549"/>
      <c r="K2982" s="1551"/>
      <c r="L2982" s="1581"/>
      <c r="M2982" s="1591">
        <v>3669</v>
      </c>
      <c r="N2982" s="305"/>
      <c r="O2982" s="7"/>
      <c r="P2982" s="7"/>
      <c r="Q2982" s="7"/>
    </row>
    <row r="2983" spans="1:17" ht="20.399999999999999">
      <c r="A2983" s="1575"/>
      <c r="B2983" s="3147" t="s">
        <v>365</v>
      </c>
      <c r="C2983" s="1575"/>
      <c r="D2983" s="1585" t="s">
        <v>1980</v>
      </c>
      <c r="E2983" s="1584" t="s">
        <v>3372</v>
      </c>
      <c r="F2983" s="1577">
        <v>1210</v>
      </c>
      <c r="G2983" s="1578" t="s">
        <v>402</v>
      </c>
      <c r="H2983" s="1587">
        <v>866</v>
      </c>
      <c r="I2983" s="1587"/>
      <c r="J2983" s="1587"/>
      <c r="K2983" s="1567"/>
      <c r="L2983" s="1588">
        <v>865</v>
      </c>
      <c r="M2983" s="1587"/>
      <c r="N2983" s="305"/>
      <c r="O2983" s="7"/>
      <c r="P2983" s="7"/>
      <c r="Q2983" s="7"/>
    </row>
    <row r="2984" spans="1:17">
      <c r="A2984" s="1495"/>
      <c r="B2984" s="3138" t="s">
        <v>365</v>
      </c>
      <c r="C2984" s="1495"/>
      <c r="D2984" s="1561" t="s">
        <v>1980</v>
      </c>
      <c r="E2984" s="1559" t="s">
        <v>3372</v>
      </c>
      <c r="F2984" s="1574">
        <v>1210</v>
      </c>
      <c r="G2984" s="1548"/>
      <c r="H2984" s="1549"/>
      <c r="I2984" s="1549">
        <v>866</v>
      </c>
      <c r="J2984" s="1549"/>
      <c r="K2984" s="1551"/>
      <c r="L2984" s="1581"/>
      <c r="M2984" s="1591">
        <v>865</v>
      </c>
      <c r="N2984" s="305"/>
      <c r="O2984" s="7"/>
      <c r="P2984" s="7"/>
      <c r="Q2984" s="7"/>
    </row>
    <row r="2985" spans="1:17">
      <c r="A2985" s="1575"/>
      <c r="B2985" s="3147" t="s">
        <v>365</v>
      </c>
      <c r="C2985" s="1575"/>
      <c r="D2985" s="1585" t="s">
        <v>1980</v>
      </c>
      <c r="E2985" s="1584" t="s">
        <v>3372</v>
      </c>
      <c r="F2985" s="1577">
        <v>2239</v>
      </c>
      <c r="G2985" s="1578" t="s">
        <v>1017</v>
      </c>
      <c r="H2985" s="1587">
        <v>41220</v>
      </c>
      <c r="I2985" s="1587"/>
      <c r="J2985" s="1587"/>
      <c r="K2985" s="1567"/>
      <c r="L2985" s="1588">
        <v>37842</v>
      </c>
      <c r="M2985" s="1587"/>
      <c r="N2985" s="75"/>
      <c r="O2985" s="7"/>
      <c r="P2985" s="7"/>
      <c r="Q2985" s="7"/>
    </row>
    <row r="2986" spans="1:17">
      <c r="A2986" s="1495"/>
      <c r="B2986" s="3138" t="s">
        <v>365</v>
      </c>
      <c r="C2986" s="1495"/>
      <c r="D2986" s="1561" t="s">
        <v>1980</v>
      </c>
      <c r="E2986" s="1559" t="s">
        <v>3372</v>
      </c>
      <c r="F2986" s="1574">
        <v>2239</v>
      </c>
      <c r="G2986" s="1583" t="s">
        <v>1295</v>
      </c>
      <c r="H2986" s="1549"/>
      <c r="I2986" s="1549">
        <v>41220</v>
      </c>
      <c r="J2986" s="1549"/>
      <c r="K2986" s="1551"/>
      <c r="L2986" s="1581"/>
      <c r="M2986" s="1591">
        <v>37842</v>
      </c>
      <c r="N2986" s="75"/>
      <c r="O2986" s="7"/>
      <c r="P2986" s="7"/>
      <c r="Q2986" s="7"/>
    </row>
    <row r="2987" spans="1:17">
      <c r="A2987" s="1495"/>
      <c r="B2987" s="3138" t="s">
        <v>365</v>
      </c>
      <c r="C2987" s="1495"/>
      <c r="D2987" s="1561" t="s">
        <v>1980</v>
      </c>
      <c r="E2987" s="1559" t="s">
        <v>3372</v>
      </c>
      <c r="F2987" s="1574">
        <v>2239</v>
      </c>
      <c r="G2987" s="1583" t="s">
        <v>319</v>
      </c>
      <c r="H2987" s="1549"/>
      <c r="I2987" s="1549"/>
      <c r="J2987" s="1549"/>
      <c r="K2987" s="1551"/>
      <c r="L2987" s="1581"/>
      <c r="M2987" s="1591">
        <v>4534</v>
      </c>
      <c r="N2987" s="75"/>
      <c r="O2987" s="7"/>
      <c r="P2987" s="7"/>
      <c r="Q2987" s="7"/>
    </row>
    <row r="2988" spans="1:17">
      <c r="A2988" s="1495"/>
      <c r="B2988" s="3138" t="s">
        <v>365</v>
      </c>
      <c r="C2988" s="1495"/>
      <c r="D2988" s="1561" t="s">
        <v>1980</v>
      </c>
      <c r="E2988" s="1559" t="s">
        <v>3372</v>
      </c>
      <c r="F2988" s="1574">
        <v>2239</v>
      </c>
      <c r="G2988" s="1583" t="s">
        <v>5219</v>
      </c>
      <c r="H2988" s="1549"/>
      <c r="I2988" s="1549"/>
      <c r="J2988" s="1549"/>
      <c r="K2988" s="1551"/>
      <c r="L2988" s="1581"/>
      <c r="M2988" s="1591">
        <v>-4534</v>
      </c>
      <c r="N2988" s="75"/>
      <c r="O2988" s="7"/>
      <c r="P2988" s="7"/>
      <c r="Q2988" s="7"/>
    </row>
    <row r="2989" spans="1:17" ht="20.399999999999999">
      <c r="A2989" s="683"/>
      <c r="B2989" s="3129" t="s">
        <v>436</v>
      </c>
      <c r="C2989" s="683" t="s">
        <v>432</v>
      </c>
      <c r="D2989" s="719" t="s">
        <v>1980</v>
      </c>
      <c r="E2989" s="742" t="s">
        <v>420</v>
      </c>
      <c r="F2989" s="824">
        <v>1119</v>
      </c>
      <c r="G2989" s="800" t="s">
        <v>264</v>
      </c>
      <c r="H2989" s="776">
        <v>259343.03200000001</v>
      </c>
      <c r="I2989" s="779"/>
      <c r="J2989" s="1654">
        <v>169063</v>
      </c>
      <c r="K2989" s="780"/>
      <c r="L2989" s="776">
        <v>286327.2</v>
      </c>
      <c r="M2989" s="777"/>
      <c r="N2989" s="75"/>
      <c r="O2989" s="7"/>
      <c r="P2989" s="7"/>
      <c r="Q2989" s="7"/>
    </row>
    <row r="2990" spans="1:17">
      <c r="A2990" s="774"/>
      <c r="B2990" s="3130" t="s">
        <v>436</v>
      </c>
      <c r="C2990" s="663" t="s">
        <v>432</v>
      </c>
      <c r="D2990" s="678" t="s">
        <v>1980</v>
      </c>
      <c r="E2990" s="700" t="s">
        <v>420</v>
      </c>
      <c r="F2990" s="795">
        <v>1119</v>
      </c>
      <c r="G2990" s="812" t="s">
        <v>1709</v>
      </c>
      <c r="H2990" s="771"/>
      <c r="I2990" s="773">
        <v>224737.03200000001</v>
      </c>
      <c r="J2990" s="1654"/>
      <c r="K2990" s="780"/>
      <c r="L2990" s="771"/>
      <c r="M2990" s="770">
        <v>286327.2</v>
      </c>
      <c r="N2990" s="75"/>
      <c r="O2990" s="7"/>
      <c r="P2990" s="7"/>
      <c r="Q2990" s="7"/>
    </row>
    <row r="2991" spans="1:17" ht="40.799999999999997">
      <c r="A2991" s="1353"/>
      <c r="B2991" s="3130" t="s">
        <v>436</v>
      </c>
      <c r="C2991" s="663" t="s">
        <v>432</v>
      </c>
      <c r="D2991" s="678" t="s">
        <v>1980</v>
      </c>
      <c r="E2991" s="700" t="s">
        <v>420</v>
      </c>
      <c r="F2991" s="795">
        <v>1119</v>
      </c>
      <c r="G2991" s="2245" t="s">
        <v>2986</v>
      </c>
      <c r="H2991" s="1432"/>
      <c r="I2991" s="1399">
        <v>34306</v>
      </c>
      <c r="J2991" s="1654" t="s">
        <v>1134</v>
      </c>
      <c r="K2991" s="1433"/>
      <c r="L2991" s="1432"/>
      <c r="M2991" s="2315"/>
      <c r="N2991" s="75"/>
      <c r="O2991" s="7"/>
      <c r="P2991" s="7"/>
      <c r="Q2991" s="7"/>
    </row>
    <row r="2992" spans="1:17" ht="11.4" customHeight="1">
      <c r="A2992" s="774"/>
      <c r="B2992" s="3130" t="s">
        <v>436</v>
      </c>
      <c r="C2992" s="663" t="s">
        <v>432</v>
      </c>
      <c r="D2992" s="678" t="s">
        <v>1980</v>
      </c>
      <c r="E2992" s="700" t="s">
        <v>420</v>
      </c>
      <c r="F2992" s="795">
        <v>1119</v>
      </c>
      <c r="G2992" s="812" t="s">
        <v>3108</v>
      </c>
      <c r="H2992" s="771"/>
      <c r="I2992" s="773">
        <v>300</v>
      </c>
      <c r="J2992" s="1654" t="s">
        <v>1134</v>
      </c>
      <c r="K2992" s="780"/>
      <c r="L2992" s="771"/>
      <c r="M2992" s="770"/>
      <c r="N2992" s="75"/>
      <c r="O2992" s="7"/>
      <c r="P2992" s="7"/>
      <c r="Q2992" s="7"/>
    </row>
    <row r="2993" spans="1:17">
      <c r="A2993" s="683"/>
      <c r="B2993" s="3129" t="s">
        <v>365</v>
      </c>
      <c r="C2993" s="683" t="s">
        <v>807</v>
      </c>
      <c r="D2993" s="719" t="s">
        <v>1980</v>
      </c>
      <c r="E2993" s="720" t="s">
        <v>1940</v>
      </c>
      <c r="F2993" s="824">
        <v>1119</v>
      </c>
      <c r="G2993" s="800" t="s">
        <v>466</v>
      </c>
      <c r="H2993" s="776">
        <v>0</v>
      </c>
      <c r="I2993" s="777"/>
      <c r="J2993" s="1654" t="s">
        <v>1134</v>
      </c>
      <c r="K2993" s="780"/>
      <c r="L2993" s="776">
        <v>0</v>
      </c>
      <c r="M2993" s="1324"/>
      <c r="N2993" s="75"/>
      <c r="O2993" s="7"/>
      <c r="P2993" s="7"/>
      <c r="Q2993" s="7"/>
    </row>
    <row r="2994" spans="1:17">
      <c r="A2994" s="760"/>
      <c r="B2994" s="3130" t="s">
        <v>365</v>
      </c>
      <c r="C2994" s="663" t="s">
        <v>807</v>
      </c>
      <c r="D2994" s="678" t="s">
        <v>1980</v>
      </c>
      <c r="E2994" s="700" t="s">
        <v>1940</v>
      </c>
      <c r="F2994" s="795">
        <v>1119</v>
      </c>
      <c r="G2994" s="812" t="s">
        <v>673</v>
      </c>
      <c r="H2994" s="701"/>
      <c r="I2994" s="701"/>
      <c r="J2994" s="1654" t="s">
        <v>1134</v>
      </c>
      <c r="K2994" s="792"/>
      <c r="L2994" s="701"/>
      <c r="M2994" s="701"/>
      <c r="N2994" s="75"/>
      <c r="O2994" s="187"/>
      <c r="P2994" s="187"/>
      <c r="Q2994" s="187"/>
    </row>
    <row r="2995" spans="1:17" ht="14.4">
      <c r="A2995" s="683"/>
      <c r="B2995" s="3129" t="s">
        <v>326</v>
      </c>
      <c r="C2995" s="683" t="s">
        <v>321</v>
      </c>
      <c r="D2995" s="719" t="s">
        <v>1980</v>
      </c>
      <c r="E2995" s="1406" t="s">
        <v>1938</v>
      </c>
      <c r="F2995" s="1698">
        <v>1119</v>
      </c>
      <c r="G2995" s="1691" t="s">
        <v>265</v>
      </c>
      <c r="H2995" s="1307">
        <v>3223110</v>
      </c>
      <c r="I2995" s="1308"/>
      <c r="J2995" s="1494">
        <v>1811085.98</v>
      </c>
      <c r="K2995" s="3029"/>
      <c r="L2995" s="3033">
        <v>3470252.5774739054</v>
      </c>
      <c r="M2995" s="3028"/>
      <c r="N2995" s="75"/>
      <c r="O2995" s="3"/>
      <c r="P2995" s="3"/>
      <c r="Q2995" s="3"/>
    </row>
    <row r="2996" spans="1:17">
      <c r="A2996" s="774"/>
      <c r="B2996" s="3130" t="s">
        <v>326</v>
      </c>
      <c r="C2996" s="663" t="s">
        <v>321</v>
      </c>
      <c r="D2996" s="678" t="s">
        <v>1980</v>
      </c>
      <c r="E2996" s="1407" t="s">
        <v>1938</v>
      </c>
      <c r="F2996" s="1413">
        <v>1119</v>
      </c>
      <c r="G2996" s="3034" t="s">
        <v>1293</v>
      </c>
      <c r="H2996" s="1309"/>
      <c r="I2996" s="764">
        <v>18192</v>
      </c>
      <c r="J2996" s="1494" t="s">
        <v>1134</v>
      </c>
      <c r="K2996" s="3029"/>
      <c r="L2996" s="3030"/>
      <c r="M2996" s="3031">
        <v>40583</v>
      </c>
      <c r="N2996" s="75"/>
      <c r="O2996" s="187"/>
      <c r="P2996" s="187"/>
      <c r="Q2996" s="187"/>
    </row>
    <row r="2997" spans="1:17">
      <c r="A2997" s="3015"/>
      <c r="B2997" s="3130" t="s">
        <v>326</v>
      </c>
      <c r="C2997" s="663" t="s">
        <v>321</v>
      </c>
      <c r="D2997" s="678" t="s">
        <v>1980</v>
      </c>
      <c r="E2997" s="1407" t="s">
        <v>1938</v>
      </c>
      <c r="F2997" s="1413">
        <v>1119</v>
      </c>
      <c r="G2997" s="3034" t="s">
        <v>5177</v>
      </c>
      <c r="H2997" s="3016"/>
      <c r="I2997" s="3017"/>
      <c r="J2997" s="2607"/>
      <c r="K2997" s="3036"/>
      <c r="L2997" s="3037"/>
      <c r="M2997" s="3038">
        <v>12</v>
      </c>
      <c r="N2997" s="75"/>
      <c r="O2997" s="7"/>
      <c r="P2997" s="7"/>
      <c r="Q2997" s="7"/>
    </row>
    <row r="2998" spans="1:17">
      <c r="A2998" s="663"/>
      <c r="B2998" s="3130" t="s">
        <v>326</v>
      </c>
      <c r="C2998" s="663" t="s">
        <v>321</v>
      </c>
      <c r="D2998" s="678" t="s">
        <v>1980</v>
      </c>
      <c r="E2998" s="1407" t="s">
        <v>1938</v>
      </c>
      <c r="F2998" s="1413">
        <v>1119</v>
      </c>
      <c r="G2998" s="1803" t="s">
        <v>2878</v>
      </c>
      <c r="H2998" s="1310"/>
      <c r="I2998" s="874">
        <v>2113464</v>
      </c>
      <c r="J2998" s="1494" t="s">
        <v>1134</v>
      </c>
      <c r="K2998" s="1685"/>
      <c r="L2998" s="2135"/>
      <c r="M2998" s="2266">
        <v>2278421.8787927823</v>
      </c>
      <c r="N2998" s="75"/>
      <c r="O2998" s="7"/>
      <c r="P2998" s="7"/>
      <c r="Q2998" s="7"/>
    </row>
    <row r="2999" spans="1:17">
      <c r="A2999" s="774"/>
      <c r="B2999" s="3130" t="s">
        <v>326</v>
      </c>
      <c r="C2999" s="663" t="s">
        <v>321</v>
      </c>
      <c r="D2999" s="678" t="s">
        <v>1980</v>
      </c>
      <c r="E2999" s="1407" t="s">
        <v>1938</v>
      </c>
      <c r="F2999" s="1413">
        <v>1119</v>
      </c>
      <c r="G2999" s="1803" t="s">
        <v>2877</v>
      </c>
      <c r="H2999" s="1309"/>
      <c r="I2999" s="764">
        <v>1083732</v>
      </c>
      <c r="J2999" s="1494" t="s">
        <v>1134</v>
      </c>
      <c r="K2999" s="3029"/>
      <c r="L2999" s="3030"/>
      <c r="M2999" s="2266">
        <v>1145210.9393963912</v>
      </c>
      <c r="N2999" s="75"/>
      <c r="O2999" s="7"/>
      <c r="P2999" s="7"/>
      <c r="Q2999" s="7"/>
    </row>
    <row r="3000" spans="1:17">
      <c r="A3000" s="774"/>
      <c r="B3000" s="3130" t="s">
        <v>326</v>
      </c>
      <c r="C3000" s="663" t="s">
        <v>321</v>
      </c>
      <c r="D3000" s="678" t="s">
        <v>1980</v>
      </c>
      <c r="E3000" s="1407" t="s">
        <v>1938</v>
      </c>
      <c r="F3000" s="1413">
        <v>1119</v>
      </c>
      <c r="G3000" s="1803" t="s">
        <v>2879</v>
      </c>
      <c r="H3000" s="1309"/>
      <c r="I3000" s="764">
        <v>5890</v>
      </c>
      <c r="J3000" s="1494" t="s">
        <v>1134</v>
      </c>
      <c r="K3000" s="3029"/>
      <c r="L3000" s="3030"/>
      <c r="M3000" s="2266">
        <v>4016.5061898211829</v>
      </c>
      <c r="N3000" s="75"/>
      <c r="O3000" s="7"/>
      <c r="P3000" s="7"/>
      <c r="Q3000" s="7"/>
    </row>
    <row r="3001" spans="1:17">
      <c r="A3001" s="774"/>
      <c r="B3001" s="3130" t="s">
        <v>326</v>
      </c>
      <c r="C3001" s="663" t="s">
        <v>321</v>
      </c>
      <c r="D3001" s="678" t="s">
        <v>1980</v>
      </c>
      <c r="E3001" s="1407" t="s">
        <v>1938</v>
      </c>
      <c r="F3001" s="1413">
        <v>1119</v>
      </c>
      <c r="G3001" s="1803" t="s">
        <v>2880</v>
      </c>
      <c r="H3001" s="1309"/>
      <c r="I3001" s="764">
        <v>2945</v>
      </c>
      <c r="J3001" s="1494" t="s">
        <v>1134</v>
      </c>
      <c r="K3001" s="3029"/>
      <c r="L3001" s="3030"/>
      <c r="M3001" s="2266">
        <v>2008.2530949105915</v>
      </c>
      <c r="N3001" s="75"/>
      <c r="O3001" s="7"/>
      <c r="P3001" s="7"/>
      <c r="Q3001" s="7"/>
    </row>
    <row r="3002" spans="1:17" ht="30.6">
      <c r="A3002" s="1353"/>
      <c r="B3002" s="3130" t="s">
        <v>326</v>
      </c>
      <c r="C3002" s="663" t="s">
        <v>321</v>
      </c>
      <c r="D3002" s="678" t="s">
        <v>1980</v>
      </c>
      <c r="E3002" s="1407" t="s">
        <v>1938</v>
      </c>
      <c r="F3002" s="1413">
        <v>1119</v>
      </c>
      <c r="G3002" s="3035" t="s">
        <v>2976</v>
      </c>
      <c r="H3002" s="1430"/>
      <c r="I3002" s="1431">
        <v>-1113</v>
      </c>
      <c r="J3002" s="1494" t="s">
        <v>1134</v>
      </c>
      <c r="K3002" s="3039"/>
      <c r="L3002" s="3040"/>
      <c r="M3002" s="2273"/>
      <c r="N3002" s="305"/>
      <c r="O3002" s="3"/>
      <c r="P3002" s="3"/>
      <c r="Q3002" s="3"/>
    </row>
    <row r="3003" spans="1:17" ht="30.6">
      <c r="A3003" s="774"/>
      <c r="B3003" s="3130" t="s">
        <v>326</v>
      </c>
      <c r="C3003" s="663" t="s">
        <v>321</v>
      </c>
      <c r="D3003" s="678" t="s">
        <v>1980</v>
      </c>
      <c r="E3003" s="1407" t="s">
        <v>1938</v>
      </c>
      <c r="F3003" s="1413">
        <v>1119</v>
      </c>
      <c r="G3003" s="1803" t="s">
        <v>2037</v>
      </c>
      <c r="H3003" s="1309"/>
      <c r="I3003" s="764"/>
      <c r="J3003" s="1494" t="s">
        <v>1134</v>
      </c>
      <c r="K3003" s="3029"/>
      <c r="L3003" s="3030"/>
      <c r="M3003" s="2266"/>
      <c r="N3003" s="305"/>
      <c r="O3003" s="3"/>
      <c r="P3003" s="3"/>
      <c r="Q3003" s="3"/>
    </row>
    <row r="3004" spans="1:17">
      <c r="A3004" s="774"/>
      <c r="B3004" s="3130" t="s">
        <v>326</v>
      </c>
      <c r="C3004" s="663" t="s">
        <v>321</v>
      </c>
      <c r="D3004" s="678" t="s">
        <v>1980</v>
      </c>
      <c r="E3004" s="1407" t="s">
        <v>1938</v>
      </c>
      <c r="F3004" s="1413">
        <v>1119</v>
      </c>
      <c r="G3004" s="1803" t="s">
        <v>2013</v>
      </c>
      <c r="H3004" s="1309"/>
      <c r="I3004" s="764"/>
      <c r="J3004" s="1494" t="s">
        <v>1134</v>
      </c>
      <c r="K3004" s="3029"/>
      <c r="L3004" s="3030"/>
      <c r="M3004" s="2266"/>
      <c r="N3004" s="305"/>
      <c r="O3004" s="3"/>
      <c r="P3004" s="3"/>
      <c r="Q3004" s="3"/>
    </row>
    <row r="3005" spans="1:17" ht="30.6">
      <c r="A3005" s="683"/>
      <c r="B3005" s="3129" t="s">
        <v>326</v>
      </c>
      <c r="C3005" s="683" t="s">
        <v>321</v>
      </c>
      <c r="D3005" s="719" t="s">
        <v>1980</v>
      </c>
      <c r="E3005" s="1406" t="s">
        <v>1938</v>
      </c>
      <c r="F3005" s="1698">
        <v>7245</v>
      </c>
      <c r="G3005" s="1691" t="s">
        <v>521</v>
      </c>
      <c r="H3005" s="1307">
        <v>0</v>
      </c>
      <c r="I3005" s="1308"/>
      <c r="J3005" s="1494" t="s">
        <v>1134</v>
      </c>
      <c r="K3005" s="3029"/>
      <c r="L3005" s="3033">
        <v>0</v>
      </c>
      <c r="M3005" s="1319"/>
      <c r="N3005" s="75"/>
      <c r="O3005" s="7"/>
      <c r="P3005" s="7"/>
      <c r="Q3005" s="7"/>
    </row>
    <row r="3006" spans="1:17">
      <c r="A3006" s="774"/>
      <c r="B3006" s="3130" t="s">
        <v>326</v>
      </c>
      <c r="C3006" s="663" t="s">
        <v>321</v>
      </c>
      <c r="D3006" s="678" t="s">
        <v>1980</v>
      </c>
      <c r="E3006" s="1407" t="s">
        <v>1938</v>
      </c>
      <c r="F3006" s="1413">
        <v>7245</v>
      </c>
      <c r="G3006" s="1803" t="s">
        <v>2013</v>
      </c>
      <c r="H3006" s="1309"/>
      <c r="I3006" s="764"/>
      <c r="J3006" s="1494" t="s">
        <v>1134</v>
      </c>
      <c r="K3006" s="3029"/>
      <c r="L3006" s="3030"/>
      <c r="M3006" s="3042"/>
      <c r="N3006" s="75"/>
      <c r="O3006" s="7"/>
      <c r="P3006" s="7"/>
      <c r="Q3006" s="7"/>
    </row>
    <row r="3007" spans="1:17" ht="20.399999999999999">
      <c r="A3007" s="683"/>
      <c r="B3007" s="3129" t="s">
        <v>326</v>
      </c>
      <c r="C3007" s="683" t="s">
        <v>321</v>
      </c>
      <c r="D3007" s="719" t="s">
        <v>1980</v>
      </c>
      <c r="E3007" s="720" t="s">
        <v>1939</v>
      </c>
      <c r="F3007" s="824">
        <v>1119</v>
      </c>
      <c r="G3007" s="800" t="s">
        <v>696</v>
      </c>
      <c r="H3007" s="1322">
        <v>213558</v>
      </c>
      <c r="I3007" s="777"/>
      <c r="J3007" s="1494">
        <v>126509.87</v>
      </c>
      <c r="K3007" s="1312"/>
      <c r="L3007" s="3122">
        <v>231722.99829355127</v>
      </c>
      <c r="M3007" s="947"/>
      <c r="N3007" s="75"/>
      <c r="O3007" s="7"/>
      <c r="P3007" s="7"/>
      <c r="Q3007" s="7"/>
    </row>
    <row r="3008" spans="1:17">
      <c r="A3008" s="774"/>
      <c r="B3008" s="3130" t="s">
        <v>326</v>
      </c>
      <c r="C3008" s="663" t="s">
        <v>321</v>
      </c>
      <c r="D3008" s="678" t="s">
        <v>1980</v>
      </c>
      <c r="E3008" s="700" t="s">
        <v>1939</v>
      </c>
      <c r="F3008" s="795">
        <v>1119</v>
      </c>
      <c r="G3008" s="1323" t="s">
        <v>1293</v>
      </c>
      <c r="H3008" s="771"/>
      <c r="I3008" s="770">
        <v>-14</v>
      </c>
      <c r="J3008" s="1494" t="s">
        <v>1134</v>
      </c>
      <c r="K3008" s="1312"/>
      <c r="L3008" s="1309"/>
      <c r="M3008" s="2274">
        <v>3721</v>
      </c>
      <c r="N3008" s="305"/>
      <c r="O3008" s="7"/>
      <c r="P3008" s="7"/>
      <c r="Q3008" s="7"/>
    </row>
    <row r="3009" spans="1:17">
      <c r="A3009" s="774"/>
      <c r="B3009" s="3130" t="s">
        <v>326</v>
      </c>
      <c r="C3009" s="663" t="s">
        <v>321</v>
      </c>
      <c r="D3009" s="678" t="s">
        <v>1980</v>
      </c>
      <c r="E3009" s="700" t="s">
        <v>1939</v>
      </c>
      <c r="F3009" s="795">
        <v>1119</v>
      </c>
      <c r="G3009" s="812" t="s">
        <v>2878</v>
      </c>
      <c r="H3009" s="771"/>
      <c r="I3009" s="770">
        <v>110682</v>
      </c>
      <c r="J3009" s="1494" t="s">
        <v>1134</v>
      </c>
      <c r="K3009" s="1312"/>
      <c r="L3009" s="1309"/>
      <c r="M3009" s="2274">
        <v>154001.00277773282</v>
      </c>
      <c r="N3009" s="305"/>
      <c r="O3009" s="7"/>
      <c r="P3009" s="7"/>
      <c r="Q3009" s="7"/>
    </row>
    <row r="3010" spans="1:17">
      <c r="A3010" s="774"/>
      <c r="B3010" s="3130" t="s">
        <v>326</v>
      </c>
      <c r="C3010" s="663" t="s">
        <v>321</v>
      </c>
      <c r="D3010" s="678" t="s">
        <v>1980</v>
      </c>
      <c r="E3010" s="700" t="s">
        <v>1939</v>
      </c>
      <c r="F3010" s="795">
        <v>1119</v>
      </c>
      <c r="G3010" s="812" t="s">
        <v>2877</v>
      </c>
      <c r="H3010" s="771"/>
      <c r="I3010" s="770">
        <v>55473</v>
      </c>
      <c r="J3010" s="1494" t="s">
        <v>1134</v>
      </c>
      <c r="K3010" s="1312"/>
      <c r="L3010" s="1309"/>
      <c r="M3010" s="2274">
        <v>77000.995515818431</v>
      </c>
      <c r="N3010" s="125"/>
      <c r="O3010" s="7"/>
      <c r="P3010" s="7"/>
      <c r="Q3010" s="7"/>
    </row>
    <row r="3011" spans="1:17" ht="20.399999999999999">
      <c r="A3011" s="774"/>
      <c r="B3011" s="3130" t="s">
        <v>326</v>
      </c>
      <c r="C3011" s="663" t="s">
        <v>321</v>
      </c>
      <c r="D3011" s="678" t="s">
        <v>1980</v>
      </c>
      <c r="E3011" s="700" t="s">
        <v>1939</v>
      </c>
      <c r="F3011" s="795">
        <v>1119</v>
      </c>
      <c r="G3011" s="812" t="s">
        <v>5234</v>
      </c>
      <c r="H3011" s="771"/>
      <c r="I3011" s="770">
        <v>48417</v>
      </c>
      <c r="J3011" s="1494" t="s">
        <v>1134</v>
      </c>
      <c r="K3011" s="1312"/>
      <c r="L3011" s="1309"/>
      <c r="M3011" s="2274">
        <v>-2000</v>
      </c>
      <c r="N3011" s="125"/>
      <c r="O3011" s="7"/>
      <c r="P3011" s="7"/>
      <c r="Q3011" s="7"/>
    </row>
    <row r="3012" spans="1:17" ht="20.399999999999999">
      <c r="A3012" s="774"/>
      <c r="B3012" s="3130" t="s">
        <v>326</v>
      </c>
      <c r="C3012" s="663" t="s">
        <v>321</v>
      </c>
      <c r="D3012" s="678" t="s">
        <v>1980</v>
      </c>
      <c r="E3012" s="700" t="s">
        <v>1939</v>
      </c>
      <c r="F3012" s="795">
        <v>1119</v>
      </c>
      <c r="G3012" s="812" t="s">
        <v>3064</v>
      </c>
      <c r="H3012" s="771"/>
      <c r="I3012" s="770">
        <v>-1000</v>
      </c>
      <c r="J3012" s="1494" t="s">
        <v>1134</v>
      </c>
      <c r="K3012" s="1312"/>
      <c r="L3012" s="1309"/>
      <c r="M3012" s="2274">
        <v>-1000</v>
      </c>
      <c r="N3012" s="125"/>
      <c r="O3012" s="7"/>
      <c r="P3012" s="7"/>
      <c r="Q3012" s="7"/>
    </row>
    <row r="3013" spans="1:17">
      <c r="A3013" s="683"/>
      <c r="B3013" s="3129" t="s">
        <v>326</v>
      </c>
      <c r="C3013" s="683" t="s">
        <v>321</v>
      </c>
      <c r="D3013" s="719" t="s">
        <v>1980</v>
      </c>
      <c r="E3013" s="720" t="s">
        <v>1939</v>
      </c>
      <c r="F3013" s="824">
        <v>1147</v>
      </c>
      <c r="G3013" s="800" t="s">
        <v>428</v>
      </c>
      <c r="H3013" s="1322">
        <v>264</v>
      </c>
      <c r="I3013" s="777"/>
      <c r="J3013" s="1494">
        <v>1817.43</v>
      </c>
      <c r="K3013" s="1312"/>
      <c r="L3013" s="3122">
        <v>2000</v>
      </c>
      <c r="M3013" s="3120"/>
      <c r="N3013" s="305"/>
      <c r="O3013" s="3"/>
      <c r="P3013" s="3"/>
      <c r="Q3013" s="3"/>
    </row>
    <row r="3014" spans="1:17">
      <c r="A3014" s="774"/>
      <c r="B3014" s="3130" t="s">
        <v>326</v>
      </c>
      <c r="C3014" s="663" t="s">
        <v>321</v>
      </c>
      <c r="D3014" s="678" t="s">
        <v>1980</v>
      </c>
      <c r="E3014" s="700" t="s">
        <v>1939</v>
      </c>
      <c r="F3014" s="795">
        <v>1147</v>
      </c>
      <c r="G3014" s="812" t="s">
        <v>722</v>
      </c>
      <c r="H3014" s="771"/>
      <c r="I3014" s="770">
        <v>264</v>
      </c>
      <c r="J3014" s="1494" t="s">
        <v>1134</v>
      </c>
      <c r="K3014" s="1312"/>
      <c r="L3014" s="1309"/>
      <c r="M3014" s="2274">
        <v>2000</v>
      </c>
      <c r="N3014" s="305"/>
      <c r="O3014" s="7"/>
      <c r="P3014" s="7"/>
      <c r="Q3014" s="7"/>
    </row>
    <row r="3015" spans="1:17">
      <c r="A3015" s="683"/>
      <c r="B3015" s="3129" t="s">
        <v>436</v>
      </c>
      <c r="C3015" s="683" t="s">
        <v>432</v>
      </c>
      <c r="D3015" s="719" t="s">
        <v>1980</v>
      </c>
      <c r="E3015" s="720" t="s">
        <v>420</v>
      </c>
      <c r="F3015" s="824">
        <v>1141</v>
      </c>
      <c r="G3015" s="800" t="s">
        <v>149</v>
      </c>
      <c r="H3015" s="776">
        <v>4100</v>
      </c>
      <c r="I3015" s="779"/>
      <c r="J3015" s="1654">
        <v>0</v>
      </c>
      <c r="K3015" s="780"/>
      <c r="L3015" s="775">
        <v>4100</v>
      </c>
      <c r="M3015" s="777"/>
      <c r="N3015" s="305"/>
      <c r="O3015" s="3"/>
      <c r="P3015" s="3"/>
      <c r="Q3015" s="3"/>
    </row>
    <row r="3016" spans="1:17">
      <c r="A3016" s="774"/>
      <c r="B3016" s="3130" t="s">
        <v>436</v>
      </c>
      <c r="C3016" s="663" t="s">
        <v>432</v>
      </c>
      <c r="D3016" s="678" t="s">
        <v>1980</v>
      </c>
      <c r="E3016" s="700" t="s">
        <v>420</v>
      </c>
      <c r="F3016" s="795">
        <v>1141</v>
      </c>
      <c r="G3016" s="812" t="s">
        <v>436</v>
      </c>
      <c r="H3016" s="771"/>
      <c r="I3016" s="773">
        <v>4100</v>
      </c>
      <c r="J3016" s="1654" t="s">
        <v>1134</v>
      </c>
      <c r="K3016" s="780"/>
      <c r="L3016" s="771"/>
      <c r="M3016" s="770">
        <v>4100</v>
      </c>
      <c r="N3016" s="305" t="s">
        <v>2417</v>
      </c>
      <c r="O3016" s="7"/>
      <c r="P3016" s="7"/>
      <c r="Q3016" s="7"/>
    </row>
    <row r="3017" spans="1:17" ht="20.399999999999999">
      <c r="A3017" s="683"/>
      <c r="B3017" s="3129" t="s">
        <v>436</v>
      </c>
      <c r="C3017" s="683" t="s">
        <v>432</v>
      </c>
      <c r="D3017" s="719" t="s">
        <v>1980</v>
      </c>
      <c r="E3017" s="720" t="s">
        <v>420</v>
      </c>
      <c r="F3017" s="824">
        <v>1142</v>
      </c>
      <c r="G3017" s="800" t="s">
        <v>110</v>
      </c>
      <c r="H3017" s="776">
        <v>2500</v>
      </c>
      <c r="I3017" s="779"/>
      <c r="J3017" s="1654">
        <v>740.16</v>
      </c>
      <c r="K3017" s="780"/>
      <c r="L3017" s="775">
        <v>2500</v>
      </c>
      <c r="M3017" s="777"/>
      <c r="N3017" s="305"/>
      <c r="O3017" s="7"/>
      <c r="P3017" s="7"/>
      <c r="Q3017" s="7"/>
    </row>
    <row r="3018" spans="1:17">
      <c r="A3018" s="774"/>
      <c r="B3018" s="3130" t="s">
        <v>436</v>
      </c>
      <c r="C3018" s="663" t="s">
        <v>432</v>
      </c>
      <c r="D3018" s="678" t="s">
        <v>1980</v>
      </c>
      <c r="E3018" s="700" t="s">
        <v>420</v>
      </c>
      <c r="F3018" s="795">
        <v>1142</v>
      </c>
      <c r="G3018" s="812" t="s">
        <v>436</v>
      </c>
      <c r="H3018" s="771"/>
      <c r="I3018" s="773">
        <v>2500</v>
      </c>
      <c r="J3018" s="1654" t="s">
        <v>1134</v>
      </c>
      <c r="K3018" s="780"/>
      <c r="L3018" s="771"/>
      <c r="M3018" s="770">
        <v>2500</v>
      </c>
      <c r="N3018" s="305"/>
      <c r="O3018" s="7"/>
      <c r="P3018" s="7"/>
      <c r="Q3018" s="7"/>
    </row>
    <row r="3019" spans="1:17">
      <c r="A3019" s="683"/>
      <c r="B3019" s="3129" t="s">
        <v>436</v>
      </c>
      <c r="C3019" s="683" t="s">
        <v>432</v>
      </c>
      <c r="D3019" s="719" t="s">
        <v>1980</v>
      </c>
      <c r="E3019" s="720" t="s">
        <v>420</v>
      </c>
      <c r="F3019" s="824">
        <v>1145</v>
      </c>
      <c r="G3019" s="800" t="s">
        <v>581</v>
      </c>
      <c r="H3019" s="776">
        <v>1500</v>
      </c>
      <c r="I3019" s="779"/>
      <c r="J3019" s="1654">
        <v>1215</v>
      </c>
      <c r="K3019" s="780"/>
      <c r="L3019" s="775">
        <v>0</v>
      </c>
      <c r="M3019" s="777"/>
      <c r="N3019" s="1056" t="s">
        <v>3564</v>
      </c>
      <c r="O3019" s="7"/>
      <c r="P3019" s="7"/>
      <c r="Q3019" s="7"/>
    </row>
    <row r="3020" spans="1:17" ht="20.399999999999999">
      <c r="A3020" s="774"/>
      <c r="B3020" s="3130" t="s">
        <v>436</v>
      </c>
      <c r="C3020" s="663" t="s">
        <v>432</v>
      </c>
      <c r="D3020" s="678" t="s">
        <v>1980</v>
      </c>
      <c r="E3020" s="700" t="s">
        <v>420</v>
      </c>
      <c r="F3020" s="795">
        <v>1145</v>
      </c>
      <c r="G3020" s="812" t="s">
        <v>3065</v>
      </c>
      <c r="H3020" s="772"/>
      <c r="I3020" s="773">
        <v>1500</v>
      </c>
      <c r="J3020" s="1654" t="s">
        <v>1134</v>
      </c>
      <c r="K3020" s="780"/>
      <c r="L3020" s="771"/>
      <c r="M3020" s="770"/>
      <c r="N3020" s="305"/>
      <c r="O3020" s="7"/>
      <c r="P3020" s="7"/>
      <c r="Q3020" s="7"/>
    </row>
    <row r="3021" spans="1:17">
      <c r="A3021" s="683"/>
      <c r="B3021" s="3129" t="s">
        <v>326</v>
      </c>
      <c r="C3021" s="683" t="s">
        <v>321</v>
      </c>
      <c r="D3021" s="719" t="s">
        <v>1980</v>
      </c>
      <c r="E3021" s="1406" t="s">
        <v>1938</v>
      </c>
      <c r="F3021" s="1698">
        <v>1146</v>
      </c>
      <c r="G3021" s="1691" t="s">
        <v>581</v>
      </c>
      <c r="H3021" s="765">
        <v>7000</v>
      </c>
      <c r="I3021" s="766"/>
      <c r="J3021" s="1494">
        <v>6105.74</v>
      </c>
      <c r="K3021" s="2052"/>
      <c r="L3021" s="3028">
        <v>7000</v>
      </c>
      <c r="M3021" s="777"/>
      <c r="N3021" s="305"/>
      <c r="O3021" s="7"/>
      <c r="P3021" s="7"/>
      <c r="Q3021" s="7"/>
    </row>
    <row r="3022" spans="1:17">
      <c r="A3022" s="774"/>
      <c r="B3022" s="3130" t="s">
        <v>326</v>
      </c>
      <c r="C3022" s="663" t="s">
        <v>321</v>
      </c>
      <c r="D3022" s="678" t="s">
        <v>1980</v>
      </c>
      <c r="E3022" s="1407" t="s">
        <v>1938</v>
      </c>
      <c r="F3022" s="1413">
        <v>1146</v>
      </c>
      <c r="G3022" s="1803" t="s">
        <v>748</v>
      </c>
      <c r="H3022" s="1159"/>
      <c r="I3022" s="764">
        <v>7000</v>
      </c>
      <c r="J3022" s="1494" t="s">
        <v>1134</v>
      </c>
      <c r="K3022" s="2052"/>
      <c r="L3022" s="3030"/>
      <c r="M3022" s="770">
        <v>7000</v>
      </c>
      <c r="N3022" s="1056" t="s">
        <v>3564</v>
      </c>
      <c r="O3022" s="7"/>
      <c r="P3022" s="7"/>
      <c r="Q3022" s="7"/>
    </row>
    <row r="3023" spans="1:17">
      <c r="A3023" s="683"/>
      <c r="B3023" s="3129" t="s">
        <v>326</v>
      </c>
      <c r="C3023" s="683" t="s">
        <v>321</v>
      </c>
      <c r="D3023" s="719" t="s">
        <v>1980</v>
      </c>
      <c r="E3023" s="1406" t="s">
        <v>1938</v>
      </c>
      <c r="F3023" s="1698">
        <v>1147</v>
      </c>
      <c r="G3023" s="1691" t="s">
        <v>367</v>
      </c>
      <c r="H3023" s="765">
        <v>144000</v>
      </c>
      <c r="I3023" s="766"/>
      <c r="J3023" s="1494">
        <v>203815.15</v>
      </c>
      <c r="K3023" s="2052"/>
      <c r="L3023" s="3028">
        <v>140000</v>
      </c>
      <c r="M3023" s="777"/>
      <c r="N3023" s="305"/>
      <c r="O3023" s="3"/>
      <c r="P3023" s="3"/>
      <c r="Q3023" s="3"/>
    </row>
    <row r="3024" spans="1:17">
      <c r="A3024" s="774"/>
      <c r="B3024" s="3130" t="s">
        <v>326</v>
      </c>
      <c r="C3024" s="663" t="s">
        <v>321</v>
      </c>
      <c r="D3024" s="678" t="s">
        <v>1980</v>
      </c>
      <c r="E3024" s="1407" t="s">
        <v>1938</v>
      </c>
      <c r="F3024" s="1413">
        <v>1147</v>
      </c>
      <c r="G3024" s="1803" t="s">
        <v>2878</v>
      </c>
      <c r="H3024" s="767"/>
      <c r="I3024" s="1309">
        <v>95000</v>
      </c>
      <c r="J3024" s="1494" t="s">
        <v>1134</v>
      </c>
      <c r="K3024" s="3032"/>
      <c r="L3024" s="1407"/>
      <c r="M3024" s="962">
        <v>95000</v>
      </c>
      <c r="N3024" s="305"/>
      <c r="O3024" s="7"/>
      <c r="P3024" s="7"/>
      <c r="Q3024" s="7"/>
    </row>
    <row r="3025" spans="1:17">
      <c r="A3025" s="774"/>
      <c r="B3025" s="3130" t="s">
        <v>326</v>
      </c>
      <c r="C3025" s="663" t="s">
        <v>321</v>
      </c>
      <c r="D3025" s="678" t="s">
        <v>1980</v>
      </c>
      <c r="E3025" s="1407" t="s">
        <v>1938</v>
      </c>
      <c r="F3025" s="1413">
        <v>1147</v>
      </c>
      <c r="G3025" s="1803" t="s">
        <v>2877</v>
      </c>
      <c r="H3025" s="1159"/>
      <c r="I3025" s="764">
        <v>45000</v>
      </c>
      <c r="J3025" s="1494" t="s">
        <v>1134</v>
      </c>
      <c r="K3025" s="2052"/>
      <c r="L3025" s="3030"/>
      <c r="M3025" s="770">
        <v>45000</v>
      </c>
      <c r="N3025" s="1056" t="s">
        <v>3564</v>
      </c>
      <c r="O3025" s="7"/>
      <c r="P3025" s="7"/>
      <c r="Q3025" s="7"/>
    </row>
    <row r="3026" spans="1:17">
      <c r="A3026" s="774"/>
      <c r="B3026" s="3130" t="s">
        <v>326</v>
      </c>
      <c r="C3026" s="663" t="s">
        <v>321</v>
      </c>
      <c r="D3026" s="678" t="s">
        <v>1980</v>
      </c>
      <c r="E3026" s="1407" t="s">
        <v>1938</v>
      </c>
      <c r="F3026" s="1413">
        <v>1147</v>
      </c>
      <c r="G3026" s="1803" t="s">
        <v>3057</v>
      </c>
      <c r="H3026" s="1159"/>
      <c r="I3026" s="764">
        <v>4000</v>
      </c>
      <c r="J3026" s="1494" t="s">
        <v>1134</v>
      </c>
      <c r="K3026" s="2052"/>
      <c r="L3026" s="3030"/>
      <c r="M3026" s="770"/>
      <c r="N3026" s="305"/>
      <c r="O3026" s="7"/>
      <c r="P3026" s="7"/>
      <c r="Q3026" s="7"/>
    </row>
    <row r="3027" spans="1:17">
      <c r="A3027" s="683"/>
      <c r="B3027" s="3129" t="s">
        <v>436</v>
      </c>
      <c r="C3027" s="683" t="s">
        <v>432</v>
      </c>
      <c r="D3027" s="719" t="s">
        <v>1980</v>
      </c>
      <c r="E3027" s="720" t="s">
        <v>420</v>
      </c>
      <c r="F3027" s="824">
        <v>1147</v>
      </c>
      <c r="G3027" s="800" t="s">
        <v>367</v>
      </c>
      <c r="H3027" s="776">
        <v>25788</v>
      </c>
      <c r="I3027" s="779"/>
      <c r="J3027" s="1654">
        <v>13612</v>
      </c>
      <c r="K3027" s="780"/>
      <c r="L3027" s="775">
        <v>24634.309999999998</v>
      </c>
      <c r="M3027" s="777"/>
      <c r="N3027" s="305"/>
      <c r="O3027" s="7"/>
      <c r="P3027" s="7"/>
      <c r="Q3027" s="7"/>
    </row>
    <row r="3028" spans="1:17">
      <c r="A3028" s="774"/>
      <c r="B3028" s="3130" t="s">
        <v>436</v>
      </c>
      <c r="C3028" s="663" t="s">
        <v>432</v>
      </c>
      <c r="D3028" s="678" t="s">
        <v>1980</v>
      </c>
      <c r="E3028" s="700" t="s">
        <v>420</v>
      </c>
      <c r="F3028" s="795">
        <v>1147</v>
      </c>
      <c r="G3028" s="812" t="s">
        <v>1709</v>
      </c>
      <c r="H3028" s="771"/>
      <c r="I3028" s="773">
        <v>27688.315800000004</v>
      </c>
      <c r="J3028" s="1654" t="s">
        <v>1134</v>
      </c>
      <c r="K3028" s="780"/>
      <c r="L3028" s="771"/>
      <c r="M3028" s="770">
        <v>24634.309999999998</v>
      </c>
      <c r="N3028" s="1056" t="s">
        <v>3564</v>
      </c>
      <c r="O3028" s="7"/>
      <c r="P3028" s="7"/>
      <c r="Q3028" s="7"/>
    </row>
    <row r="3029" spans="1:17" ht="20.399999999999999">
      <c r="A3029" s="774"/>
      <c r="B3029" s="3130" t="s">
        <v>436</v>
      </c>
      <c r="C3029" s="663" t="s">
        <v>432</v>
      </c>
      <c r="D3029" s="678" t="s">
        <v>1980</v>
      </c>
      <c r="E3029" s="700" t="s">
        <v>420</v>
      </c>
      <c r="F3029" s="795">
        <v>1147</v>
      </c>
      <c r="G3029" s="812" t="s">
        <v>4042</v>
      </c>
      <c r="H3029" s="771"/>
      <c r="I3029" s="773">
        <v>-400</v>
      </c>
      <c r="J3029" s="1654" t="s">
        <v>1134</v>
      </c>
      <c r="K3029" s="780"/>
      <c r="L3029" s="771"/>
      <c r="M3029" s="770"/>
      <c r="N3029" s="305"/>
      <c r="O3029" s="7"/>
      <c r="P3029" s="7"/>
      <c r="Q3029" s="7"/>
    </row>
    <row r="3030" spans="1:17" ht="20.399999999999999">
      <c r="A3030" s="774"/>
      <c r="B3030" s="3130" t="s">
        <v>436</v>
      </c>
      <c r="C3030" s="663" t="s">
        <v>432</v>
      </c>
      <c r="D3030" s="678" t="s">
        <v>1980</v>
      </c>
      <c r="E3030" s="700" t="s">
        <v>420</v>
      </c>
      <c r="F3030" s="795">
        <v>1147</v>
      </c>
      <c r="G3030" s="812" t="s">
        <v>3065</v>
      </c>
      <c r="H3030" s="771"/>
      <c r="I3030" s="773">
        <v>-1500</v>
      </c>
      <c r="J3030" s="1654" t="s">
        <v>1134</v>
      </c>
      <c r="K3030" s="780"/>
      <c r="L3030" s="771"/>
      <c r="M3030" s="770"/>
      <c r="N3030" s="57"/>
      <c r="O3030" s="7"/>
      <c r="P3030" s="7"/>
      <c r="Q3030" s="7"/>
    </row>
    <row r="3031" spans="1:17" s="88" customFormat="1" ht="13.8">
      <c r="A3031" s="683"/>
      <c r="B3031" s="3129" t="s">
        <v>326</v>
      </c>
      <c r="C3031" s="683" t="s">
        <v>321</v>
      </c>
      <c r="D3031" s="719" t="s">
        <v>1980</v>
      </c>
      <c r="E3031" s="1406" t="s">
        <v>1938</v>
      </c>
      <c r="F3031" s="1698">
        <v>1148</v>
      </c>
      <c r="G3031" s="1691" t="s">
        <v>368</v>
      </c>
      <c r="H3031" s="1307">
        <v>47000</v>
      </c>
      <c r="I3031" s="766"/>
      <c r="J3031" s="1494">
        <v>4225</v>
      </c>
      <c r="K3031" s="2052"/>
      <c r="L3031" s="3028">
        <v>51000</v>
      </c>
      <c r="M3031" s="777"/>
      <c r="N3031" s="305"/>
    </row>
    <row r="3032" spans="1:17" s="88" customFormat="1" ht="13.8">
      <c r="A3032" s="663"/>
      <c r="B3032" s="3130" t="s">
        <v>326</v>
      </c>
      <c r="C3032" s="663" t="s">
        <v>321</v>
      </c>
      <c r="D3032" s="678" t="s">
        <v>1980</v>
      </c>
      <c r="E3032" s="1407" t="s">
        <v>1938</v>
      </c>
      <c r="F3032" s="1413">
        <v>1148</v>
      </c>
      <c r="G3032" s="1803" t="s">
        <v>2878</v>
      </c>
      <c r="H3032" s="952"/>
      <c r="I3032" s="952">
        <v>34000</v>
      </c>
      <c r="J3032" s="1494" t="s">
        <v>1134</v>
      </c>
      <c r="K3032" s="2052"/>
      <c r="L3032" s="1420"/>
      <c r="M3032" s="773">
        <v>34000</v>
      </c>
      <c r="N3032" s="57"/>
    </row>
    <row r="3033" spans="1:17" s="88" customFormat="1" ht="13.8">
      <c r="A3033" s="663"/>
      <c r="B3033" s="3130" t="s">
        <v>326</v>
      </c>
      <c r="C3033" s="663" t="s">
        <v>321</v>
      </c>
      <c r="D3033" s="678" t="s">
        <v>1980</v>
      </c>
      <c r="E3033" s="1407" t="s">
        <v>1938</v>
      </c>
      <c r="F3033" s="1413">
        <v>1148</v>
      </c>
      <c r="G3033" s="1803" t="s">
        <v>2877</v>
      </c>
      <c r="H3033" s="952"/>
      <c r="I3033" s="952">
        <v>17000</v>
      </c>
      <c r="J3033" s="1494" t="s">
        <v>1134</v>
      </c>
      <c r="K3033" s="2052"/>
      <c r="L3033" s="1420"/>
      <c r="M3033" s="773">
        <v>17000</v>
      </c>
      <c r="N3033" s="57"/>
    </row>
    <row r="3034" spans="1:17">
      <c r="A3034" s="663"/>
      <c r="B3034" s="3130" t="s">
        <v>326</v>
      </c>
      <c r="C3034" s="663" t="s">
        <v>321</v>
      </c>
      <c r="D3034" s="678" t="s">
        <v>1980</v>
      </c>
      <c r="E3034" s="1407" t="s">
        <v>1938</v>
      </c>
      <c r="F3034" s="1413">
        <v>1148</v>
      </c>
      <c r="G3034" s="1803" t="s">
        <v>3057</v>
      </c>
      <c r="H3034" s="952"/>
      <c r="I3034" s="952">
        <v>-4000</v>
      </c>
      <c r="J3034" s="1494" t="s">
        <v>1134</v>
      </c>
      <c r="K3034" s="2052"/>
      <c r="L3034" s="1420"/>
      <c r="M3034" s="773"/>
      <c r="N3034" s="305"/>
      <c r="O3034" s="3"/>
      <c r="P3034" s="3"/>
      <c r="Q3034" s="3"/>
    </row>
    <row r="3035" spans="1:17">
      <c r="A3035" s="683"/>
      <c r="B3035" s="3129" t="s">
        <v>436</v>
      </c>
      <c r="C3035" s="683" t="s">
        <v>432</v>
      </c>
      <c r="D3035" s="719" t="s">
        <v>1980</v>
      </c>
      <c r="E3035" s="720" t="s">
        <v>420</v>
      </c>
      <c r="F3035" s="824">
        <v>1148</v>
      </c>
      <c r="G3035" s="800" t="s">
        <v>368</v>
      </c>
      <c r="H3035" s="776">
        <v>5000</v>
      </c>
      <c r="I3035" s="781"/>
      <c r="J3035" s="1654">
        <v>2975</v>
      </c>
      <c r="K3035" s="780"/>
      <c r="L3035" s="776">
        <v>5000</v>
      </c>
      <c r="M3035" s="782"/>
      <c r="N3035" s="57"/>
      <c r="O3035" s="7"/>
      <c r="P3035" s="7"/>
      <c r="Q3035" s="7"/>
    </row>
    <row r="3036" spans="1:17" s="88" customFormat="1" ht="13.8">
      <c r="A3036" s="774"/>
      <c r="B3036" s="3130" t="s">
        <v>436</v>
      </c>
      <c r="C3036" s="663" t="s">
        <v>432</v>
      </c>
      <c r="D3036" s="678" t="s">
        <v>1980</v>
      </c>
      <c r="E3036" s="700" t="s">
        <v>420</v>
      </c>
      <c r="F3036" s="795">
        <v>1148</v>
      </c>
      <c r="G3036" s="812" t="s">
        <v>436</v>
      </c>
      <c r="H3036" s="771"/>
      <c r="I3036" s="773">
        <v>5000</v>
      </c>
      <c r="J3036" s="1654" t="s">
        <v>1134</v>
      </c>
      <c r="K3036" s="780"/>
      <c r="L3036" s="771"/>
      <c r="M3036" s="770">
        <v>5000</v>
      </c>
      <c r="N3036" s="57"/>
    </row>
    <row r="3037" spans="1:17" s="88" customFormat="1" ht="13.8">
      <c r="A3037" s="774"/>
      <c r="B3037" s="3130" t="s">
        <v>436</v>
      </c>
      <c r="C3037" s="663" t="s">
        <v>432</v>
      </c>
      <c r="D3037" s="678" t="s">
        <v>1980</v>
      </c>
      <c r="E3037" s="700" t="s">
        <v>420</v>
      </c>
      <c r="F3037" s="795">
        <v>1148</v>
      </c>
      <c r="G3037" s="812"/>
      <c r="H3037" s="771"/>
      <c r="I3037" s="773"/>
      <c r="J3037" s="1654" t="s">
        <v>1134</v>
      </c>
      <c r="K3037" s="780"/>
      <c r="L3037" s="771"/>
      <c r="M3037" s="770"/>
      <c r="N3037" s="57"/>
    </row>
    <row r="3038" spans="1:17" s="88" customFormat="1" ht="20.399999999999999">
      <c r="A3038" s="683"/>
      <c r="B3038" s="3129" t="s">
        <v>326</v>
      </c>
      <c r="C3038" s="683" t="s">
        <v>321</v>
      </c>
      <c r="D3038" s="719" t="s">
        <v>1980</v>
      </c>
      <c r="E3038" s="840" t="s">
        <v>1938</v>
      </c>
      <c r="F3038" s="685">
        <v>1150</v>
      </c>
      <c r="G3038" s="686" t="s">
        <v>403</v>
      </c>
      <c r="H3038" s="765">
        <v>0</v>
      </c>
      <c r="I3038" s="782"/>
      <c r="J3038" s="1494" t="s">
        <v>1134</v>
      </c>
      <c r="K3038" s="949"/>
      <c r="L3038" s="948">
        <v>0</v>
      </c>
      <c r="M3038" s="782"/>
      <c r="N3038" s="305"/>
    </row>
    <row r="3039" spans="1:17" s="88" customFormat="1" ht="13.8">
      <c r="A3039" s="663"/>
      <c r="B3039" s="3130" t="s">
        <v>326</v>
      </c>
      <c r="C3039" s="663" t="s">
        <v>321</v>
      </c>
      <c r="D3039" s="678" t="s">
        <v>1980</v>
      </c>
      <c r="E3039" s="839" t="s">
        <v>1938</v>
      </c>
      <c r="F3039" s="679">
        <v>1150</v>
      </c>
      <c r="G3039" s="750"/>
      <c r="H3039" s="952"/>
      <c r="I3039" s="783"/>
      <c r="J3039" s="1494" t="s">
        <v>1134</v>
      </c>
      <c r="K3039" s="768"/>
      <c r="L3039" s="950"/>
      <c r="M3039" s="783"/>
      <c r="N3039" s="2042" t="s">
        <v>4047</v>
      </c>
    </row>
    <row r="3040" spans="1:17" s="88" customFormat="1" ht="20.399999999999999">
      <c r="A3040" s="683"/>
      <c r="B3040" s="3129" t="s">
        <v>772</v>
      </c>
      <c r="C3040" s="683" t="s">
        <v>320</v>
      </c>
      <c r="D3040" s="719" t="s">
        <v>1980</v>
      </c>
      <c r="E3040" s="720" t="s">
        <v>420</v>
      </c>
      <c r="F3040" s="824">
        <v>1150</v>
      </c>
      <c r="G3040" s="800" t="s">
        <v>403</v>
      </c>
      <c r="H3040" s="776">
        <v>400</v>
      </c>
      <c r="I3040" s="781"/>
      <c r="J3040" s="1654">
        <v>400</v>
      </c>
      <c r="K3040" s="780"/>
      <c r="L3040" s="776">
        <v>0</v>
      </c>
      <c r="M3040" s="782"/>
      <c r="N3040" s="2044" t="s">
        <v>1571</v>
      </c>
    </row>
    <row r="3041" spans="1:17" ht="20.399999999999999">
      <c r="A3041" s="663"/>
      <c r="B3041" s="3130" t="s">
        <v>772</v>
      </c>
      <c r="C3041" s="663" t="s">
        <v>320</v>
      </c>
      <c r="D3041" s="678" t="s">
        <v>1980</v>
      </c>
      <c r="E3041" s="700" t="s">
        <v>420</v>
      </c>
      <c r="F3041" s="795">
        <v>1150</v>
      </c>
      <c r="G3041" s="812" t="s">
        <v>4042</v>
      </c>
      <c r="H3041" s="783"/>
      <c r="I3041" s="714">
        <v>400</v>
      </c>
      <c r="J3041" s="1654" t="s">
        <v>1134</v>
      </c>
      <c r="K3041" s="784"/>
      <c r="L3041" s="783"/>
      <c r="M3041" s="770"/>
      <c r="N3041" s="2044"/>
      <c r="O3041" s="7"/>
      <c r="P3041" s="7"/>
      <c r="Q3041" s="7"/>
    </row>
    <row r="3042" spans="1:17">
      <c r="A3042" s="683"/>
      <c r="B3042" s="3129" t="s">
        <v>365</v>
      </c>
      <c r="C3042" s="683" t="s">
        <v>807</v>
      </c>
      <c r="D3042" s="719" t="s">
        <v>1980</v>
      </c>
      <c r="E3042" s="720" t="s">
        <v>1940</v>
      </c>
      <c r="F3042" s="824">
        <v>1210</v>
      </c>
      <c r="G3042" s="800" t="s">
        <v>266</v>
      </c>
      <c r="H3042" s="776">
        <v>0</v>
      </c>
      <c r="I3042" s="777"/>
      <c r="J3042" s="1654" t="s">
        <v>1134</v>
      </c>
      <c r="K3042" s="780"/>
      <c r="L3042" s="776">
        <v>0</v>
      </c>
      <c r="M3042" s="1324"/>
      <c r="N3042" s="305"/>
      <c r="O3042" s="7"/>
      <c r="P3042" s="7"/>
      <c r="Q3042" s="7"/>
    </row>
    <row r="3043" spans="1:17">
      <c r="A3043" s="760"/>
      <c r="B3043" s="3130" t="s">
        <v>365</v>
      </c>
      <c r="C3043" s="663" t="s">
        <v>807</v>
      </c>
      <c r="D3043" s="678" t="s">
        <v>1980</v>
      </c>
      <c r="E3043" s="700" t="s">
        <v>1940</v>
      </c>
      <c r="F3043" s="795">
        <v>1210</v>
      </c>
      <c r="G3043" s="812" t="s">
        <v>673</v>
      </c>
      <c r="H3043" s="701"/>
      <c r="I3043" s="701"/>
      <c r="J3043" s="1654" t="s">
        <v>1134</v>
      </c>
      <c r="K3043" s="792"/>
      <c r="L3043" s="701"/>
      <c r="M3043" s="701"/>
      <c r="N3043" s="305"/>
      <c r="O3043" s="7"/>
      <c r="P3043" s="7"/>
      <c r="Q3043" s="7"/>
    </row>
    <row r="3044" spans="1:17">
      <c r="A3044" s="683"/>
      <c r="B3044" s="3129" t="s">
        <v>436</v>
      </c>
      <c r="C3044" s="683" t="s">
        <v>432</v>
      </c>
      <c r="D3044" s="719" t="s">
        <v>1980</v>
      </c>
      <c r="E3044" s="720" t="s">
        <v>420</v>
      </c>
      <c r="F3044" s="824">
        <v>1210</v>
      </c>
      <c r="G3044" s="800" t="s">
        <v>266</v>
      </c>
      <c r="H3044" s="776">
        <v>68239.40442523401</v>
      </c>
      <c r="I3044" s="779"/>
      <c r="J3044" s="1654">
        <v>45014</v>
      </c>
      <c r="K3044" s="780"/>
      <c r="L3044" s="776">
        <v>74961.287080049995</v>
      </c>
      <c r="M3044" s="777"/>
      <c r="N3044" s="305"/>
      <c r="O3044" s="7"/>
      <c r="P3044" s="7"/>
      <c r="Q3044" s="7"/>
    </row>
    <row r="3045" spans="1:17">
      <c r="A3045" s="774"/>
      <c r="B3045" s="3130" t="s">
        <v>436</v>
      </c>
      <c r="C3045" s="663" t="s">
        <v>432</v>
      </c>
      <c r="D3045" s="678" t="s">
        <v>1980</v>
      </c>
      <c r="E3045" s="700" t="s">
        <v>420</v>
      </c>
      <c r="F3045" s="795">
        <v>1210</v>
      </c>
      <c r="G3045" s="812" t="s">
        <v>436</v>
      </c>
      <c r="H3045" s="771"/>
      <c r="I3045" s="773">
        <v>60146.404425234003</v>
      </c>
      <c r="J3045" s="1654" t="s">
        <v>1134</v>
      </c>
      <c r="K3045" s="780"/>
      <c r="L3045" s="771"/>
      <c r="M3045" s="770">
        <v>74961.287080049995</v>
      </c>
      <c r="N3045" s="2048"/>
      <c r="O3045" s="7"/>
      <c r="P3045" s="7"/>
      <c r="Q3045" s="7"/>
    </row>
    <row r="3046" spans="1:17" ht="40.799999999999997">
      <c r="A3046" s="1353"/>
      <c r="B3046" s="3130" t="s">
        <v>436</v>
      </c>
      <c r="C3046" s="663" t="s">
        <v>432</v>
      </c>
      <c r="D3046" s="678" t="s">
        <v>1980</v>
      </c>
      <c r="E3046" s="700" t="s">
        <v>420</v>
      </c>
      <c r="F3046" s="795">
        <v>1210</v>
      </c>
      <c r="G3046" s="2245" t="s">
        <v>2986</v>
      </c>
      <c r="H3046" s="1432"/>
      <c r="I3046" s="1399">
        <v>8093</v>
      </c>
      <c r="J3046" s="1654" t="s">
        <v>1134</v>
      </c>
      <c r="K3046" s="1433"/>
      <c r="L3046" s="1432"/>
      <c r="M3046" s="2315"/>
      <c r="N3046" s="2048"/>
      <c r="O3046" s="7"/>
      <c r="P3046" s="7"/>
      <c r="Q3046" s="7"/>
    </row>
    <row r="3047" spans="1:17">
      <c r="A3047" s="774"/>
      <c r="B3047" s="3130" t="s">
        <v>436</v>
      </c>
      <c r="C3047" s="663" t="s">
        <v>432</v>
      </c>
      <c r="D3047" s="678" t="s">
        <v>1980</v>
      </c>
      <c r="E3047" s="700" t="s">
        <v>420</v>
      </c>
      <c r="F3047" s="795">
        <v>1210</v>
      </c>
      <c r="G3047" s="812" t="s">
        <v>4043</v>
      </c>
      <c r="H3047" s="771"/>
      <c r="I3047" s="773"/>
      <c r="J3047" s="1654" t="s">
        <v>1134</v>
      </c>
      <c r="K3047" s="780"/>
      <c r="L3047" s="771"/>
      <c r="M3047" s="770"/>
      <c r="N3047" s="466" t="s">
        <v>4051</v>
      </c>
      <c r="O3047" s="7"/>
      <c r="P3047" s="7"/>
      <c r="Q3047" s="7"/>
    </row>
    <row r="3048" spans="1:17">
      <c r="A3048" s="683"/>
      <c r="B3048" s="3129" t="s">
        <v>326</v>
      </c>
      <c r="C3048" s="683" t="s">
        <v>321</v>
      </c>
      <c r="D3048" s="719" t="s">
        <v>1980</v>
      </c>
      <c r="E3048" s="1406" t="s">
        <v>1938</v>
      </c>
      <c r="F3048" s="1698">
        <v>1210</v>
      </c>
      <c r="G3048" s="1691" t="s">
        <v>204</v>
      </c>
      <c r="H3048" s="1307">
        <v>751256.01097621897</v>
      </c>
      <c r="I3048" s="766"/>
      <c r="J3048" s="1494">
        <v>481657.81</v>
      </c>
      <c r="K3048" s="3029"/>
      <c r="L3048" s="3028">
        <v>808964.42252609436</v>
      </c>
      <c r="M3048" s="777"/>
      <c r="N3048" s="2050" t="s">
        <v>4049</v>
      </c>
      <c r="O3048" s="7"/>
      <c r="P3048" s="7"/>
      <c r="Q3048" s="7"/>
    </row>
    <row r="3049" spans="1:17">
      <c r="A3049" s="774"/>
      <c r="B3049" s="3130" t="s">
        <v>326</v>
      </c>
      <c r="C3049" s="663" t="s">
        <v>321</v>
      </c>
      <c r="D3049" s="678" t="s">
        <v>1980</v>
      </c>
      <c r="E3049" s="1407" t="s">
        <v>1938</v>
      </c>
      <c r="F3049" s="1413">
        <v>1210</v>
      </c>
      <c r="G3049" s="1803" t="s">
        <v>2878</v>
      </c>
      <c r="H3049" s="1309"/>
      <c r="I3049" s="764">
        <v>499048.00125522399</v>
      </c>
      <c r="J3049" s="1494" t="s">
        <v>1134</v>
      </c>
      <c r="K3049" s="3029"/>
      <c r="L3049" s="3030"/>
      <c r="M3049" s="714">
        <v>537962.12120721745</v>
      </c>
      <c r="N3049" s="381"/>
      <c r="O3049" s="7"/>
      <c r="P3049" s="7"/>
      <c r="Q3049" s="7"/>
    </row>
    <row r="3050" spans="1:17">
      <c r="A3050" s="663"/>
      <c r="B3050" s="3130" t="s">
        <v>326</v>
      </c>
      <c r="C3050" s="663" t="s">
        <v>321</v>
      </c>
      <c r="D3050" s="678" t="s">
        <v>1980</v>
      </c>
      <c r="E3050" s="1407" t="s">
        <v>1938</v>
      </c>
      <c r="F3050" s="1413">
        <v>1210</v>
      </c>
      <c r="G3050" s="1803" t="s">
        <v>2877</v>
      </c>
      <c r="H3050" s="952"/>
      <c r="I3050" s="701">
        <v>250123.99988461199</v>
      </c>
      <c r="J3050" s="1494" t="s">
        <v>1134</v>
      </c>
      <c r="K3050" s="3029"/>
      <c r="L3050" s="1420"/>
      <c r="M3050" s="714">
        <v>269581.06060360873</v>
      </c>
      <c r="N3050" s="381"/>
      <c r="O3050" s="3"/>
      <c r="P3050" s="3"/>
      <c r="Q3050" s="3"/>
    </row>
    <row r="3051" spans="1:17">
      <c r="A3051" s="663"/>
      <c r="B3051" s="3130" t="s">
        <v>326</v>
      </c>
      <c r="C3051" s="663" t="s">
        <v>321</v>
      </c>
      <c r="D3051" s="678" t="s">
        <v>1980</v>
      </c>
      <c r="E3051" s="1407" t="s">
        <v>1938</v>
      </c>
      <c r="F3051" s="1413">
        <v>1210</v>
      </c>
      <c r="G3051" s="1803" t="s">
        <v>2879</v>
      </c>
      <c r="H3051" s="952"/>
      <c r="I3051" s="701">
        <v>1389.0049162553605</v>
      </c>
      <c r="J3051" s="1494" t="s">
        <v>1134</v>
      </c>
      <c r="K3051" s="3029"/>
      <c r="L3051" s="1420"/>
      <c r="M3051" s="2266">
        <v>947.49381017881706</v>
      </c>
      <c r="N3051" s="381"/>
      <c r="O3051" s="7"/>
      <c r="P3051" s="7"/>
      <c r="Q3051" s="7"/>
    </row>
    <row r="3052" spans="1:17">
      <c r="A3052" s="774"/>
      <c r="B3052" s="3130" t="s">
        <v>326</v>
      </c>
      <c r="C3052" s="663" t="s">
        <v>321</v>
      </c>
      <c r="D3052" s="678" t="s">
        <v>1980</v>
      </c>
      <c r="E3052" s="1407" t="s">
        <v>1938</v>
      </c>
      <c r="F3052" s="1413">
        <v>1210</v>
      </c>
      <c r="G3052" s="1803" t="s">
        <v>2880</v>
      </c>
      <c r="H3052" s="1309"/>
      <c r="I3052" s="764">
        <v>695.00492012768018</v>
      </c>
      <c r="J3052" s="1494" t="s">
        <v>1134</v>
      </c>
      <c r="K3052" s="3029"/>
      <c r="L3052" s="3030"/>
      <c r="M3052" s="2266">
        <v>473.74690508940853</v>
      </c>
      <c r="N3052" s="381"/>
      <c r="O3052" s="7"/>
      <c r="P3052" s="7"/>
      <c r="Q3052" s="7"/>
    </row>
    <row r="3053" spans="1:17">
      <c r="A3053" s="663"/>
      <c r="B3053" s="3130" t="s">
        <v>326</v>
      </c>
      <c r="C3053" s="663" t="s">
        <v>321</v>
      </c>
      <c r="D3053" s="678" t="s">
        <v>1980</v>
      </c>
      <c r="E3053" s="1407" t="s">
        <v>1938</v>
      </c>
      <c r="F3053" s="1413">
        <v>1210</v>
      </c>
      <c r="G3053" s="1803"/>
      <c r="H3053" s="952"/>
      <c r="I3053" s="701"/>
      <c r="J3053" s="1494" t="s">
        <v>1134</v>
      </c>
      <c r="K3053" s="3029"/>
      <c r="L3053" s="1420"/>
      <c r="M3053" s="701"/>
      <c r="N3053" s="381"/>
      <c r="O3053" s="7"/>
      <c r="P3053" s="7"/>
      <c r="Q3053" s="7"/>
    </row>
    <row r="3054" spans="1:17">
      <c r="A3054" s="683"/>
      <c r="B3054" s="3129" t="s">
        <v>326</v>
      </c>
      <c r="C3054" s="683" t="s">
        <v>321</v>
      </c>
      <c r="D3054" s="719" t="s">
        <v>1980</v>
      </c>
      <c r="E3054" s="720" t="s">
        <v>1939</v>
      </c>
      <c r="F3054" s="824">
        <v>1148</v>
      </c>
      <c r="G3054" s="800" t="s">
        <v>1074</v>
      </c>
      <c r="H3054" s="1322">
        <v>1000</v>
      </c>
      <c r="I3054" s="777"/>
      <c r="J3054" s="1494">
        <v>560</v>
      </c>
      <c r="K3054" s="1312"/>
      <c r="L3054" s="3122">
        <v>1000</v>
      </c>
      <c r="M3054" s="3120"/>
      <c r="N3054" s="381"/>
      <c r="O3054" s="7"/>
      <c r="P3054" s="7"/>
      <c r="Q3054" s="7"/>
    </row>
    <row r="3055" spans="1:17" ht="20.399999999999999">
      <c r="A3055" s="774"/>
      <c r="B3055" s="3130" t="s">
        <v>326</v>
      </c>
      <c r="C3055" s="663" t="s">
        <v>321</v>
      </c>
      <c r="D3055" s="678" t="s">
        <v>1980</v>
      </c>
      <c r="E3055" s="700" t="s">
        <v>1939</v>
      </c>
      <c r="F3055" s="795">
        <v>1148</v>
      </c>
      <c r="G3055" s="812" t="s">
        <v>3064</v>
      </c>
      <c r="H3055" s="771"/>
      <c r="I3055" s="770">
        <v>1000</v>
      </c>
      <c r="J3055" s="1494" t="s">
        <v>1134</v>
      </c>
      <c r="K3055" s="1312"/>
      <c r="L3055" s="1309"/>
      <c r="M3055" s="2274">
        <v>1000</v>
      </c>
      <c r="N3055" s="381"/>
      <c r="O3055" s="7"/>
      <c r="P3055" s="7"/>
      <c r="Q3055" s="7"/>
    </row>
    <row r="3056" spans="1:17">
      <c r="A3056" s="720"/>
      <c r="B3056" s="3129" t="s">
        <v>326</v>
      </c>
      <c r="C3056" s="720" t="s">
        <v>321</v>
      </c>
      <c r="D3056" s="823" t="s">
        <v>1980</v>
      </c>
      <c r="E3056" s="720" t="s">
        <v>1939</v>
      </c>
      <c r="F3056" s="824">
        <v>1210</v>
      </c>
      <c r="G3056" s="800" t="s">
        <v>267</v>
      </c>
      <c r="H3056" s="1322">
        <v>47680</v>
      </c>
      <c r="I3056" s="777"/>
      <c r="J3056" s="1494">
        <v>30799.89</v>
      </c>
      <c r="K3056" s="1312"/>
      <c r="L3056" s="3122">
        <v>51494.001706448747</v>
      </c>
      <c r="M3056" s="1474"/>
      <c r="N3056" s="1224"/>
      <c r="O3056" s="7"/>
      <c r="P3056" s="7"/>
      <c r="Q3056" s="7"/>
    </row>
    <row r="3057" spans="1:17">
      <c r="A3057" s="700"/>
      <c r="B3057" s="3130" t="s">
        <v>326</v>
      </c>
      <c r="C3057" s="700" t="s">
        <v>321</v>
      </c>
      <c r="D3057" s="794" t="s">
        <v>1980</v>
      </c>
      <c r="E3057" s="700" t="s">
        <v>1939</v>
      </c>
      <c r="F3057" s="795">
        <v>1210</v>
      </c>
      <c r="G3057" s="812" t="s">
        <v>1294</v>
      </c>
      <c r="H3057" s="783"/>
      <c r="I3057" s="783"/>
      <c r="J3057" s="1494" t="s">
        <v>1134</v>
      </c>
      <c r="K3057" s="1312"/>
      <c r="L3057" s="952"/>
      <c r="M3057" s="798"/>
      <c r="N3057" s="1223" t="s">
        <v>4052</v>
      </c>
      <c r="O3057" s="7"/>
      <c r="P3057" s="7"/>
      <c r="Q3057" s="7"/>
    </row>
    <row r="3058" spans="1:17">
      <c r="A3058" s="700"/>
      <c r="B3058" s="3130" t="s">
        <v>326</v>
      </c>
      <c r="C3058" s="700" t="s">
        <v>321</v>
      </c>
      <c r="D3058" s="794" t="s">
        <v>1980</v>
      </c>
      <c r="E3058" s="700" t="s">
        <v>1939</v>
      </c>
      <c r="F3058" s="795">
        <v>1210</v>
      </c>
      <c r="G3058" s="812" t="s">
        <v>2878</v>
      </c>
      <c r="H3058" s="783"/>
      <c r="I3058" s="783">
        <v>24672</v>
      </c>
      <c r="J3058" s="1494" t="s">
        <v>1134</v>
      </c>
      <c r="K3058" s="1312"/>
      <c r="L3058" s="952"/>
      <c r="M3058" s="676">
        <v>36328.997222267179</v>
      </c>
      <c r="N3058" s="1223" t="s">
        <v>4053</v>
      </c>
      <c r="O3058" s="7"/>
      <c r="P3058" s="7"/>
      <c r="Q3058" s="7"/>
    </row>
    <row r="3059" spans="1:17">
      <c r="A3059" s="700"/>
      <c r="B3059" s="3130" t="s">
        <v>326</v>
      </c>
      <c r="C3059" s="700" t="s">
        <v>321</v>
      </c>
      <c r="D3059" s="794" t="s">
        <v>1980</v>
      </c>
      <c r="E3059" s="700" t="s">
        <v>1939</v>
      </c>
      <c r="F3059" s="795">
        <v>1210</v>
      </c>
      <c r="G3059" s="812" t="s">
        <v>2877</v>
      </c>
      <c r="H3059" s="783"/>
      <c r="I3059" s="783">
        <v>11586</v>
      </c>
      <c r="J3059" s="1494" t="s">
        <v>1134</v>
      </c>
      <c r="K3059" s="1312"/>
      <c r="L3059" s="952"/>
      <c r="M3059" s="676">
        <v>18165.004484181569</v>
      </c>
      <c r="N3059" s="1223"/>
      <c r="O3059" s="7"/>
      <c r="P3059" s="7"/>
      <c r="Q3059" s="7"/>
    </row>
    <row r="3060" spans="1:17">
      <c r="A3060" s="774"/>
      <c r="B3060" s="3130" t="s">
        <v>326</v>
      </c>
      <c r="C3060" s="700" t="s">
        <v>321</v>
      </c>
      <c r="D3060" s="794" t="s">
        <v>1980</v>
      </c>
      <c r="E3060" s="700" t="s">
        <v>1939</v>
      </c>
      <c r="F3060" s="795">
        <v>1210</v>
      </c>
      <c r="G3060" s="812" t="s">
        <v>5235</v>
      </c>
      <c r="H3060" s="771"/>
      <c r="I3060" s="770">
        <v>11422</v>
      </c>
      <c r="J3060" s="1494" t="s">
        <v>1134</v>
      </c>
      <c r="K3060" s="1312"/>
      <c r="L3060" s="1309"/>
      <c r="M3060" s="2274">
        <v>-1500</v>
      </c>
      <c r="N3060" s="1223"/>
      <c r="O3060" s="7"/>
      <c r="P3060" s="7"/>
      <c r="Q3060" s="7"/>
    </row>
    <row r="3061" spans="1:17">
      <c r="A3061" s="774"/>
      <c r="B3061" s="3130" t="s">
        <v>326</v>
      </c>
      <c r="C3061" s="700" t="s">
        <v>321</v>
      </c>
      <c r="D3061" s="794" t="s">
        <v>1980</v>
      </c>
      <c r="E3061" s="700" t="s">
        <v>1939</v>
      </c>
      <c r="F3061" s="795">
        <v>1210</v>
      </c>
      <c r="G3061" s="812" t="s">
        <v>5236</v>
      </c>
      <c r="H3061" s="771"/>
      <c r="I3061" s="770"/>
      <c r="J3061" s="1494" t="s">
        <v>1134</v>
      </c>
      <c r="K3061" s="1312"/>
      <c r="L3061" s="1309"/>
      <c r="M3061" s="2274">
        <v>-1500</v>
      </c>
      <c r="N3061" s="1223"/>
      <c r="O3061" s="7"/>
      <c r="P3061" s="7"/>
      <c r="Q3061" s="7"/>
    </row>
    <row r="3062" spans="1:17" ht="30.6">
      <c r="A3062" s="720"/>
      <c r="B3062" s="3129" t="s">
        <v>326</v>
      </c>
      <c r="C3062" s="720" t="s">
        <v>321</v>
      </c>
      <c r="D3062" s="823" t="s">
        <v>1980</v>
      </c>
      <c r="E3062" s="720" t="s">
        <v>1939</v>
      </c>
      <c r="F3062" s="824">
        <v>1221</v>
      </c>
      <c r="G3062" s="800" t="s">
        <v>150</v>
      </c>
      <c r="H3062" s="1322">
        <v>3000</v>
      </c>
      <c r="I3062" s="777"/>
      <c r="J3062" s="1494">
        <v>2956.79</v>
      </c>
      <c r="K3062" s="1312"/>
      <c r="L3062" s="3122">
        <v>3000</v>
      </c>
      <c r="M3062" s="3121"/>
      <c r="N3062" s="1223"/>
      <c r="O3062" s="7"/>
      <c r="P3062" s="7"/>
      <c r="Q3062" s="7"/>
    </row>
    <row r="3063" spans="1:17">
      <c r="A3063" s="700"/>
      <c r="B3063" s="3130" t="s">
        <v>326</v>
      </c>
      <c r="C3063" s="700" t="s">
        <v>321</v>
      </c>
      <c r="D3063" s="794" t="s">
        <v>1980</v>
      </c>
      <c r="E3063" s="700" t="s">
        <v>1939</v>
      </c>
      <c r="F3063" s="795">
        <v>1221</v>
      </c>
      <c r="G3063" s="812" t="s">
        <v>2878</v>
      </c>
      <c r="H3063" s="783"/>
      <c r="I3063" s="783">
        <v>1500</v>
      </c>
      <c r="J3063" s="1494" t="s">
        <v>1134</v>
      </c>
      <c r="K3063" s="1312"/>
      <c r="L3063" s="952"/>
      <c r="M3063" s="676">
        <v>1500</v>
      </c>
      <c r="N3063" s="1223"/>
      <c r="O3063" s="7"/>
      <c r="P3063" s="7"/>
      <c r="Q3063" s="7"/>
    </row>
    <row r="3064" spans="1:17">
      <c r="A3064" s="700"/>
      <c r="B3064" s="3130" t="s">
        <v>326</v>
      </c>
      <c r="C3064" s="700" t="s">
        <v>321</v>
      </c>
      <c r="D3064" s="794" t="s">
        <v>1980</v>
      </c>
      <c r="E3064" s="700" t="s">
        <v>1939</v>
      </c>
      <c r="F3064" s="795">
        <v>1221</v>
      </c>
      <c r="G3064" s="812" t="s">
        <v>2877</v>
      </c>
      <c r="H3064" s="783"/>
      <c r="I3064" s="783">
        <v>1500</v>
      </c>
      <c r="J3064" s="1494" t="s">
        <v>1134</v>
      </c>
      <c r="K3064" s="1312"/>
      <c r="L3064" s="952"/>
      <c r="M3064" s="676">
        <v>1500</v>
      </c>
      <c r="N3064" s="1223"/>
      <c r="O3064" s="7"/>
      <c r="P3064" s="7"/>
      <c r="Q3064" s="7"/>
    </row>
    <row r="3065" spans="1:17" ht="40.799999999999997">
      <c r="A3065" s="683"/>
      <c r="B3065" s="3129" t="s">
        <v>436</v>
      </c>
      <c r="C3065" s="683" t="s">
        <v>432</v>
      </c>
      <c r="D3065" s="719" t="s">
        <v>1980</v>
      </c>
      <c r="E3065" s="720" t="s">
        <v>420</v>
      </c>
      <c r="F3065" s="824">
        <v>1221</v>
      </c>
      <c r="G3065" s="800" t="s">
        <v>268</v>
      </c>
      <c r="H3065" s="776">
        <v>12529.695864486001</v>
      </c>
      <c r="I3065" s="779"/>
      <c r="J3065" s="1654">
        <v>9987</v>
      </c>
      <c r="K3065" s="780"/>
      <c r="L3065" s="775">
        <v>15875.630898949999</v>
      </c>
      <c r="M3065" s="777"/>
      <c r="N3065" s="1223"/>
      <c r="O3065" s="7"/>
      <c r="P3065" s="7"/>
      <c r="Q3065" s="7"/>
    </row>
    <row r="3066" spans="1:17">
      <c r="A3066" s="774"/>
      <c r="B3066" s="3130" t="s">
        <v>436</v>
      </c>
      <c r="C3066" s="663" t="s">
        <v>432</v>
      </c>
      <c r="D3066" s="678" t="s">
        <v>1980</v>
      </c>
      <c r="E3066" s="700" t="s">
        <v>420</v>
      </c>
      <c r="F3066" s="795">
        <v>1221</v>
      </c>
      <c r="G3066" s="812" t="s">
        <v>436</v>
      </c>
      <c r="H3066" s="771"/>
      <c r="I3066" s="773">
        <v>12529.695864486001</v>
      </c>
      <c r="J3066" s="1654" t="s">
        <v>1134</v>
      </c>
      <c r="K3066" s="780"/>
      <c r="L3066" s="771"/>
      <c r="M3066" s="770">
        <v>15875.630898949999</v>
      </c>
      <c r="N3066" s="1223"/>
      <c r="O3066" s="7"/>
      <c r="P3066" s="7"/>
      <c r="Q3066" s="7"/>
    </row>
    <row r="3067" spans="1:17">
      <c r="A3067" s="774"/>
      <c r="B3067" s="3130" t="s">
        <v>436</v>
      </c>
      <c r="C3067" s="663" t="s">
        <v>432</v>
      </c>
      <c r="D3067" s="678" t="s">
        <v>1980</v>
      </c>
      <c r="E3067" s="700" t="s">
        <v>420</v>
      </c>
      <c r="F3067" s="795">
        <v>1221</v>
      </c>
      <c r="G3067" s="812" t="s">
        <v>436</v>
      </c>
      <c r="H3067" s="771"/>
      <c r="I3067" s="773"/>
      <c r="J3067" s="1654" t="s">
        <v>1134</v>
      </c>
      <c r="K3067" s="780"/>
      <c r="L3067" s="771"/>
      <c r="M3067" s="770"/>
      <c r="N3067" s="1223"/>
      <c r="O3067" s="7"/>
      <c r="P3067" s="7"/>
      <c r="Q3067" s="7"/>
    </row>
    <row r="3068" spans="1:17" ht="40.799999999999997">
      <c r="A3068" s="683"/>
      <c r="B3068" s="3129" t="s">
        <v>326</v>
      </c>
      <c r="C3068" s="720" t="s">
        <v>321</v>
      </c>
      <c r="D3068" s="823" t="s">
        <v>1980</v>
      </c>
      <c r="E3068" s="1406" t="s">
        <v>1938</v>
      </c>
      <c r="F3068" s="1698">
        <v>1221</v>
      </c>
      <c r="G3068" s="1691" t="s">
        <v>397</v>
      </c>
      <c r="H3068" s="1319">
        <v>46000</v>
      </c>
      <c r="I3068" s="777"/>
      <c r="J3068" s="1494">
        <v>43823.71</v>
      </c>
      <c r="K3068" s="2052"/>
      <c r="L3068" s="3028">
        <v>46000</v>
      </c>
      <c r="M3068" s="777"/>
      <c r="N3068" s="1223"/>
      <c r="O3068" s="7"/>
      <c r="P3068" s="7"/>
      <c r="Q3068" s="7"/>
    </row>
    <row r="3069" spans="1:17">
      <c r="A3069" s="663"/>
      <c r="B3069" s="3130" t="s">
        <v>326</v>
      </c>
      <c r="C3069" s="700" t="s">
        <v>321</v>
      </c>
      <c r="D3069" s="794" t="s">
        <v>1980</v>
      </c>
      <c r="E3069" s="1407" t="s">
        <v>1938</v>
      </c>
      <c r="F3069" s="1413">
        <v>1221</v>
      </c>
      <c r="G3069" s="1803" t="s">
        <v>2878</v>
      </c>
      <c r="H3069" s="787"/>
      <c r="I3069" s="772">
        <v>31000</v>
      </c>
      <c r="J3069" s="1494" t="s">
        <v>1134</v>
      </c>
      <c r="K3069" s="2052"/>
      <c r="L3069" s="2136"/>
      <c r="M3069" s="3043">
        <v>31000</v>
      </c>
      <c r="N3069" s="1223"/>
      <c r="O3069" s="7"/>
      <c r="P3069" s="7"/>
      <c r="Q3069" s="7"/>
    </row>
    <row r="3070" spans="1:17">
      <c r="A3070" s="663"/>
      <c r="B3070" s="3130" t="s">
        <v>326</v>
      </c>
      <c r="C3070" s="700" t="s">
        <v>321</v>
      </c>
      <c r="D3070" s="794" t="s">
        <v>1980</v>
      </c>
      <c r="E3070" s="1407" t="s">
        <v>1938</v>
      </c>
      <c r="F3070" s="1413">
        <v>1221</v>
      </c>
      <c r="G3070" s="1803" t="s">
        <v>2877</v>
      </c>
      <c r="H3070" s="787"/>
      <c r="I3070" s="772">
        <v>15000</v>
      </c>
      <c r="J3070" s="1494" t="s">
        <v>1134</v>
      </c>
      <c r="K3070" s="2052"/>
      <c r="L3070" s="2136"/>
      <c r="M3070" s="3043">
        <v>15000</v>
      </c>
      <c r="N3070" s="75"/>
      <c r="O3070" s="7"/>
      <c r="P3070" s="7"/>
      <c r="Q3070" s="7"/>
    </row>
    <row r="3071" spans="1:17">
      <c r="A3071" s="683"/>
      <c r="B3071" s="3129" t="s">
        <v>436</v>
      </c>
      <c r="C3071" s="683" t="s">
        <v>432</v>
      </c>
      <c r="D3071" s="719" t="s">
        <v>1980</v>
      </c>
      <c r="E3071" s="720" t="s">
        <v>420</v>
      </c>
      <c r="F3071" s="824">
        <v>1223</v>
      </c>
      <c r="G3071" s="800" t="s">
        <v>1137</v>
      </c>
      <c r="H3071" s="776">
        <v>6000</v>
      </c>
      <c r="I3071" s="779"/>
      <c r="J3071" s="1654">
        <v>0</v>
      </c>
      <c r="K3071" s="780"/>
      <c r="L3071" s="775">
        <v>3000</v>
      </c>
      <c r="M3071" s="777"/>
      <c r="N3071" s="1490"/>
      <c r="O3071" s="7"/>
      <c r="P3071" s="7"/>
      <c r="Q3071" s="7"/>
    </row>
    <row r="3072" spans="1:17">
      <c r="A3072" s="774"/>
      <c r="B3072" s="3130" t="s">
        <v>436</v>
      </c>
      <c r="C3072" s="663" t="s">
        <v>432</v>
      </c>
      <c r="D3072" s="678" t="s">
        <v>1980</v>
      </c>
      <c r="E3072" s="700" t="s">
        <v>420</v>
      </c>
      <c r="F3072" s="795">
        <v>1223</v>
      </c>
      <c r="G3072" s="812" t="s">
        <v>1549</v>
      </c>
      <c r="H3072" s="771"/>
      <c r="I3072" s="773">
        <v>6000</v>
      </c>
      <c r="J3072" s="1654" t="s">
        <v>1134</v>
      </c>
      <c r="K3072" s="780"/>
      <c r="L3072" s="771"/>
      <c r="M3072" s="2718">
        <v>3000</v>
      </c>
      <c r="N3072" s="75"/>
      <c r="O3072" s="7"/>
      <c r="P3072" s="7"/>
      <c r="Q3072" s="7"/>
    </row>
    <row r="3073" spans="1:17">
      <c r="A3073" s="683"/>
      <c r="B3073" s="3129" t="s">
        <v>326</v>
      </c>
      <c r="C3073" s="720" t="s">
        <v>321</v>
      </c>
      <c r="D3073" s="823" t="s">
        <v>1980</v>
      </c>
      <c r="E3073" s="1406" t="s">
        <v>1938</v>
      </c>
      <c r="F3073" s="824">
        <v>1228</v>
      </c>
      <c r="G3073" s="720" t="s">
        <v>246</v>
      </c>
      <c r="H3073" s="1319">
        <v>800</v>
      </c>
      <c r="I3073" s="782"/>
      <c r="J3073" s="1494">
        <v>500</v>
      </c>
      <c r="K3073" s="780"/>
      <c r="L3073" s="3041">
        <v>800</v>
      </c>
      <c r="M3073" s="713"/>
      <c r="N3073" s="75"/>
      <c r="O3073" s="7"/>
      <c r="P3073" s="7"/>
    </row>
    <row r="3074" spans="1:17">
      <c r="A3074" s="663"/>
      <c r="B3074" s="3130" t="s">
        <v>326</v>
      </c>
      <c r="C3074" s="700" t="s">
        <v>321</v>
      </c>
      <c r="D3074" s="794" t="s">
        <v>1980</v>
      </c>
      <c r="E3074" s="1407" t="s">
        <v>1938</v>
      </c>
      <c r="F3074" s="795">
        <v>1228</v>
      </c>
      <c r="G3074" s="812" t="s">
        <v>2878</v>
      </c>
      <c r="H3074" s="771"/>
      <c r="I3074" s="783">
        <v>600</v>
      </c>
      <c r="J3074" s="1494" t="s">
        <v>1134</v>
      </c>
      <c r="K3074" s="784"/>
      <c r="L3074" s="945"/>
      <c r="M3074" s="714">
        <v>600</v>
      </c>
      <c r="N3074" s="75"/>
      <c r="O3074" s="7"/>
      <c r="P3074" s="7"/>
      <c r="Q3074" s="7"/>
    </row>
    <row r="3075" spans="1:17">
      <c r="A3075" s="663"/>
      <c r="B3075" s="3130" t="s">
        <v>326</v>
      </c>
      <c r="C3075" s="700" t="s">
        <v>321</v>
      </c>
      <c r="D3075" s="794" t="s">
        <v>1980</v>
      </c>
      <c r="E3075" s="1407" t="s">
        <v>1938</v>
      </c>
      <c r="F3075" s="795">
        <v>1228</v>
      </c>
      <c r="G3075" s="812" t="s">
        <v>2877</v>
      </c>
      <c r="H3075" s="771"/>
      <c r="I3075" s="783">
        <v>200</v>
      </c>
      <c r="J3075" s="1494" t="s">
        <v>1134</v>
      </c>
      <c r="K3075" s="784"/>
      <c r="L3075" s="945"/>
      <c r="M3075" s="714">
        <v>200</v>
      </c>
      <c r="N3075" s="75"/>
      <c r="O3075" s="7"/>
      <c r="P3075" s="7"/>
      <c r="Q3075" s="7"/>
    </row>
    <row r="3076" spans="1:17">
      <c r="A3076" s="683"/>
      <c r="B3076" s="3129" t="s">
        <v>436</v>
      </c>
      <c r="C3076" s="683" t="s">
        <v>427</v>
      </c>
      <c r="D3076" s="719" t="s">
        <v>1980</v>
      </c>
      <c r="E3076" s="720" t="s">
        <v>420</v>
      </c>
      <c r="F3076" s="824">
        <v>1227</v>
      </c>
      <c r="G3076" s="2038" t="s">
        <v>246</v>
      </c>
      <c r="H3076" s="776">
        <v>1000</v>
      </c>
      <c r="I3076" s="785"/>
      <c r="J3076" s="1654">
        <v>1000</v>
      </c>
      <c r="K3076" s="780"/>
      <c r="L3076" s="776">
        <v>0</v>
      </c>
      <c r="M3076" s="782"/>
      <c r="N3076" s="177"/>
      <c r="O3076" s="7"/>
      <c r="P3076" s="7"/>
      <c r="Q3076" s="7"/>
    </row>
    <row r="3077" spans="1:17" ht="20.399999999999999">
      <c r="A3077" s="663"/>
      <c r="B3077" s="3130" t="s">
        <v>436</v>
      </c>
      <c r="C3077" s="663" t="s">
        <v>427</v>
      </c>
      <c r="D3077" s="678" t="s">
        <v>1980</v>
      </c>
      <c r="E3077" s="700" t="s">
        <v>420</v>
      </c>
      <c r="F3077" s="795">
        <v>1227</v>
      </c>
      <c r="G3077" s="750" t="s">
        <v>3019</v>
      </c>
      <c r="H3077" s="771"/>
      <c r="I3077" s="714">
        <v>1000</v>
      </c>
      <c r="J3077" s="1654" t="s">
        <v>1134</v>
      </c>
      <c r="K3077" s="784"/>
      <c r="L3077" s="771"/>
      <c r="M3077" s="770"/>
      <c r="N3077" s="125"/>
      <c r="O3077" s="7"/>
      <c r="P3077" s="7"/>
      <c r="Q3077" s="7"/>
    </row>
    <row r="3078" spans="1:17">
      <c r="A3078" s="683"/>
      <c r="B3078" s="3129" t="s">
        <v>436</v>
      </c>
      <c r="C3078" s="683" t="s">
        <v>427</v>
      </c>
      <c r="D3078" s="719" t="s">
        <v>1980</v>
      </c>
      <c r="E3078" s="720" t="s">
        <v>420</v>
      </c>
      <c r="F3078" s="824">
        <v>1228</v>
      </c>
      <c r="G3078" s="720" t="s">
        <v>246</v>
      </c>
      <c r="H3078" s="776">
        <v>5600</v>
      </c>
      <c r="I3078" s="785"/>
      <c r="J3078" s="1654">
        <v>2200</v>
      </c>
      <c r="K3078" s="780"/>
      <c r="L3078" s="776">
        <v>7800</v>
      </c>
      <c r="M3078" s="782"/>
      <c r="N3078" s="125"/>
      <c r="O3078" s="7"/>
      <c r="P3078" s="7"/>
      <c r="Q3078" s="7"/>
    </row>
    <row r="3079" spans="1:17" ht="20.399999999999999">
      <c r="A3079" s="663"/>
      <c r="B3079" s="3130" t="s">
        <v>436</v>
      </c>
      <c r="C3079" s="663" t="s">
        <v>427</v>
      </c>
      <c r="D3079" s="678" t="s">
        <v>1980</v>
      </c>
      <c r="E3079" s="700" t="s">
        <v>420</v>
      </c>
      <c r="F3079" s="795">
        <v>1228</v>
      </c>
      <c r="G3079" s="750" t="s">
        <v>1577</v>
      </c>
      <c r="H3079" s="786"/>
      <c r="I3079" s="773">
        <v>3000</v>
      </c>
      <c r="J3079" s="1654" t="s">
        <v>1134</v>
      </c>
      <c r="K3079" s="784"/>
      <c r="L3079" s="786"/>
      <c r="M3079" s="2036">
        <v>3000</v>
      </c>
      <c r="N3079" s="125"/>
      <c r="O3079" s="7"/>
      <c r="P3079" s="7"/>
      <c r="Q3079" s="7"/>
    </row>
    <row r="3080" spans="1:17" ht="20.399999999999999">
      <c r="A3080" s="663"/>
      <c r="B3080" s="3130" t="s">
        <v>436</v>
      </c>
      <c r="C3080" s="663" t="s">
        <v>427</v>
      </c>
      <c r="D3080" s="678" t="s">
        <v>1980</v>
      </c>
      <c r="E3080" s="700" t="s">
        <v>420</v>
      </c>
      <c r="F3080" s="795">
        <v>1228</v>
      </c>
      <c r="G3080" s="1153" t="s">
        <v>4046</v>
      </c>
      <c r="H3080" s="1165"/>
      <c r="I3080" s="1165">
        <v>3600</v>
      </c>
      <c r="J3080" s="1654" t="s">
        <v>1134</v>
      </c>
      <c r="K3080" s="1439"/>
      <c r="L3080" s="1165"/>
      <c r="M3080" s="2037">
        <v>4800</v>
      </c>
      <c r="N3080" s="125"/>
      <c r="O3080" s="7"/>
      <c r="P3080" s="7"/>
      <c r="Q3080" s="7"/>
    </row>
    <row r="3081" spans="1:17" ht="20.399999999999999">
      <c r="A3081" s="1263"/>
      <c r="B3081" s="3130" t="s">
        <v>436</v>
      </c>
      <c r="C3081" s="663" t="s">
        <v>427</v>
      </c>
      <c r="D3081" s="678" t="s">
        <v>1980</v>
      </c>
      <c r="E3081" s="700" t="s">
        <v>420</v>
      </c>
      <c r="F3081" s="795">
        <v>1228</v>
      </c>
      <c r="G3081" s="1330" t="s">
        <v>3019</v>
      </c>
      <c r="H3081" s="1265"/>
      <c r="I3081" s="1265">
        <v>-1000</v>
      </c>
      <c r="J3081" s="1654" t="s">
        <v>1134</v>
      </c>
      <c r="K3081" s="1329"/>
      <c r="L3081" s="1265"/>
      <c r="M3081" s="1265"/>
      <c r="N3081" s="125"/>
      <c r="O3081" s="7"/>
      <c r="P3081" s="7"/>
      <c r="Q3081" s="7"/>
    </row>
    <row r="3082" spans="1:17">
      <c r="A3082" s="683"/>
      <c r="B3082" s="3129" t="s">
        <v>772</v>
      </c>
      <c r="C3082" s="683" t="s">
        <v>322</v>
      </c>
      <c r="D3082" s="719" t="s">
        <v>1980</v>
      </c>
      <c r="E3082" s="720" t="s">
        <v>420</v>
      </c>
      <c r="F3082" s="824">
        <v>2111</v>
      </c>
      <c r="G3082" s="800" t="s">
        <v>1190</v>
      </c>
      <c r="H3082" s="775">
        <v>64</v>
      </c>
      <c r="I3082" s="779"/>
      <c r="J3082" s="1654">
        <v>64</v>
      </c>
      <c r="K3082" s="780"/>
      <c r="L3082" s="776">
        <v>400</v>
      </c>
      <c r="M3082" s="777"/>
      <c r="N3082" s="125"/>
      <c r="O3082" s="7"/>
      <c r="P3082" s="7"/>
      <c r="Q3082" s="7"/>
    </row>
    <row r="3083" spans="1:17">
      <c r="A3083" s="663"/>
      <c r="B3083" s="3130" t="s">
        <v>772</v>
      </c>
      <c r="C3083" s="663" t="s">
        <v>322</v>
      </c>
      <c r="D3083" s="678" t="s">
        <v>1980</v>
      </c>
      <c r="E3083" s="700" t="s">
        <v>420</v>
      </c>
      <c r="F3083" s="795">
        <v>2111</v>
      </c>
      <c r="G3083" s="2039" t="s">
        <v>2175</v>
      </c>
      <c r="H3083" s="787"/>
      <c r="I3083" s="772">
        <v>48</v>
      </c>
      <c r="J3083" s="1565" t="s">
        <v>1134</v>
      </c>
      <c r="K3083" s="784"/>
      <c r="L3083" s="787"/>
      <c r="M3083" s="2040">
        <v>400</v>
      </c>
      <c r="N3083" s="125"/>
      <c r="O3083" s="7"/>
      <c r="P3083" s="7"/>
      <c r="Q3083" s="7"/>
    </row>
    <row r="3084" spans="1:17">
      <c r="A3084" s="1495"/>
      <c r="B3084" s="3138" t="s">
        <v>772</v>
      </c>
      <c r="C3084" s="1495" t="s">
        <v>322</v>
      </c>
      <c r="D3084" s="1561" t="s">
        <v>1980</v>
      </c>
      <c r="E3084" s="1590" t="s">
        <v>420</v>
      </c>
      <c r="F3084" s="1562">
        <v>2111</v>
      </c>
      <c r="G3084" s="2041" t="s">
        <v>3420</v>
      </c>
      <c r="H3084" s="1630"/>
      <c r="I3084" s="1631">
        <v>16</v>
      </c>
      <c r="J3084" s="1565"/>
      <c r="K3084" s="1566"/>
      <c r="L3084" s="1630"/>
      <c r="M3084" s="1632"/>
      <c r="N3084" s="125"/>
      <c r="O3084" s="7"/>
      <c r="P3084" s="7"/>
      <c r="Q3084" s="7"/>
    </row>
    <row r="3085" spans="1:17" ht="20.399999999999999">
      <c r="A3085" s="683"/>
      <c r="B3085" s="3129" t="s">
        <v>772</v>
      </c>
      <c r="C3085" s="683" t="s">
        <v>322</v>
      </c>
      <c r="D3085" s="719" t="s">
        <v>1980</v>
      </c>
      <c r="E3085" s="720" t="s">
        <v>420</v>
      </c>
      <c r="F3085" s="824">
        <v>2112</v>
      </c>
      <c r="G3085" s="800" t="s">
        <v>1043</v>
      </c>
      <c r="H3085" s="775">
        <v>382</v>
      </c>
      <c r="I3085" s="779"/>
      <c r="J3085" s="1654">
        <v>382</v>
      </c>
      <c r="K3085" s="780"/>
      <c r="L3085" s="776">
        <v>300</v>
      </c>
      <c r="M3085" s="777"/>
      <c r="N3085" s="125"/>
      <c r="O3085" s="7"/>
      <c r="P3085" s="7"/>
      <c r="Q3085" s="7"/>
    </row>
    <row r="3086" spans="1:17">
      <c r="A3086" s="663"/>
      <c r="B3086" s="3130" t="s">
        <v>772</v>
      </c>
      <c r="C3086" s="663" t="s">
        <v>322</v>
      </c>
      <c r="D3086" s="678" t="s">
        <v>1980</v>
      </c>
      <c r="E3086" s="700" t="s">
        <v>420</v>
      </c>
      <c r="F3086" s="795">
        <v>2112</v>
      </c>
      <c r="G3086" s="2039" t="s">
        <v>2418</v>
      </c>
      <c r="H3086" s="787"/>
      <c r="I3086" s="772">
        <v>360</v>
      </c>
      <c r="J3086" s="1654" t="s">
        <v>1134</v>
      </c>
      <c r="K3086" s="784"/>
      <c r="L3086" s="787"/>
      <c r="M3086" s="2040">
        <v>300</v>
      </c>
      <c r="N3086" s="125"/>
      <c r="O3086" s="7"/>
      <c r="P3086" s="7"/>
      <c r="Q3086" s="7"/>
    </row>
    <row r="3087" spans="1:17">
      <c r="A3087" s="1495"/>
      <c r="B3087" s="3138" t="s">
        <v>772</v>
      </c>
      <c r="C3087" s="1495" t="s">
        <v>322</v>
      </c>
      <c r="D3087" s="1561" t="s">
        <v>1980</v>
      </c>
      <c r="E3087" s="1590" t="s">
        <v>420</v>
      </c>
      <c r="F3087" s="1562">
        <v>2112</v>
      </c>
      <c r="G3087" s="2041" t="s">
        <v>3421</v>
      </c>
      <c r="H3087" s="1630"/>
      <c r="I3087" s="1631">
        <v>22</v>
      </c>
      <c r="J3087" s="1565"/>
      <c r="K3087" s="1566"/>
      <c r="L3087" s="1630"/>
      <c r="M3087" s="1632"/>
      <c r="N3087" s="125"/>
      <c r="O3087" s="7"/>
      <c r="P3087" s="7"/>
      <c r="Q3087" s="7"/>
    </row>
    <row r="3088" spans="1:17">
      <c r="A3088" s="683"/>
      <c r="B3088" s="3129" t="s">
        <v>772</v>
      </c>
      <c r="C3088" s="683" t="s">
        <v>322</v>
      </c>
      <c r="D3088" s="719" t="s">
        <v>1980</v>
      </c>
      <c r="E3088" s="720" t="s">
        <v>420</v>
      </c>
      <c r="F3088" s="824">
        <v>2121</v>
      </c>
      <c r="G3088" s="800" t="s">
        <v>1049</v>
      </c>
      <c r="H3088" s="775">
        <v>484</v>
      </c>
      <c r="I3088" s="779"/>
      <c r="J3088" s="1654">
        <v>240</v>
      </c>
      <c r="K3088" s="780"/>
      <c r="L3088" s="776">
        <v>300</v>
      </c>
      <c r="M3088" s="777"/>
      <c r="N3088" s="125"/>
      <c r="O3088" s="7"/>
      <c r="P3088" s="7"/>
      <c r="Q3088" s="7"/>
    </row>
    <row r="3089" spans="1:17">
      <c r="A3089" s="663"/>
      <c r="B3089" s="3130" t="s">
        <v>772</v>
      </c>
      <c r="C3089" s="663" t="s">
        <v>322</v>
      </c>
      <c r="D3089" s="678" t="s">
        <v>1980</v>
      </c>
      <c r="E3089" s="700" t="s">
        <v>420</v>
      </c>
      <c r="F3089" s="795">
        <v>2121</v>
      </c>
      <c r="G3089" s="750" t="s">
        <v>2419</v>
      </c>
      <c r="H3089" s="787"/>
      <c r="I3089" s="772">
        <v>500</v>
      </c>
      <c r="J3089" s="1654" t="s">
        <v>1134</v>
      </c>
      <c r="K3089" s="784"/>
      <c r="L3089" s="787"/>
      <c r="M3089" s="2040">
        <v>300</v>
      </c>
      <c r="N3089" s="125"/>
      <c r="O3089" s="7"/>
      <c r="P3089" s="7"/>
      <c r="Q3089" s="7"/>
    </row>
    <row r="3090" spans="1:17">
      <c r="A3090" s="1495"/>
      <c r="B3090" s="3138" t="s">
        <v>772</v>
      </c>
      <c r="C3090" s="1495" t="s">
        <v>322</v>
      </c>
      <c r="D3090" s="1561" t="s">
        <v>1980</v>
      </c>
      <c r="E3090" s="1590" t="s">
        <v>420</v>
      </c>
      <c r="F3090" s="1562">
        <v>2121</v>
      </c>
      <c r="G3090" s="2041" t="s">
        <v>3420</v>
      </c>
      <c r="H3090" s="1630"/>
      <c r="I3090" s="1631">
        <v>-16</v>
      </c>
      <c r="J3090" s="1565"/>
      <c r="K3090" s="1566"/>
      <c r="L3090" s="1630"/>
      <c r="M3090" s="1632"/>
      <c r="N3090" s="125"/>
      <c r="O3090" s="7"/>
      <c r="P3090" s="7"/>
      <c r="Q3090" s="7"/>
    </row>
    <row r="3091" spans="1:17" ht="20.399999999999999">
      <c r="A3091" s="683"/>
      <c r="B3091" s="3129" t="s">
        <v>772</v>
      </c>
      <c r="C3091" s="683" t="s">
        <v>322</v>
      </c>
      <c r="D3091" s="719" t="s">
        <v>1980</v>
      </c>
      <c r="E3091" s="720" t="s">
        <v>420</v>
      </c>
      <c r="F3091" s="824">
        <v>2122</v>
      </c>
      <c r="G3091" s="800" t="s">
        <v>1057</v>
      </c>
      <c r="H3091" s="775">
        <v>478</v>
      </c>
      <c r="I3091" s="779"/>
      <c r="J3091" s="1654">
        <v>120</v>
      </c>
      <c r="K3091" s="780"/>
      <c r="L3091" s="776">
        <v>500</v>
      </c>
      <c r="M3091" s="777"/>
      <c r="N3091" s="125"/>
      <c r="O3091" s="7"/>
      <c r="P3091" s="7"/>
      <c r="Q3091" s="7"/>
    </row>
    <row r="3092" spans="1:17">
      <c r="A3092" s="663"/>
      <c r="B3092" s="3130" t="s">
        <v>772</v>
      </c>
      <c r="C3092" s="663" t="s">
        <v>322</v>
      </c>
      <c r="D3092" s="678" t="s">
        <v>1980</v>
      </c>
      <c r="E3092" s="700" t="s">
        <v>420</v>
      </c>
      <c r="F3092" s="795">
        <v>2122</v>
      </c>
      <c r="G3092" s="750" t="s">
        <v>2419</v>
      </c>
      <c r="H3092" s="787"/>
      <c r="I3092" s="772">
        <v>500</v>
      </c>
      <c r="J3092" s="1654" t="s">
        <v>1134</v>
      </c>
      <c r="K3092" s="784"/>
      <c r="L3092" s="787"/>
      <c r="M3092" s="2040">
        <v>500</v>
      </c>
      <c r="N3092" s="125"/>
      <c r="O3092" s="7"/>
      <c r="P3092" s="7"/>
      <c r="Q3092" s="7"/>
    </row>
    <row r="3093" spans="1:17">
      <c r="A3093" s="1556"/>
      <c r="B3093" s="3130" t="s">
        <v>772</v>
      </c>
      <c r="C3093" s="663" t="s">
        <v>322</v>
      </c>
      <c r="D3093" s="678" t="s">
        <v>1980</v>
      </c>
      <c r="E3093" s="700" t="s">
        <v>420</v>
      </c>
      <c r="F3093" s="795">
        <v>2122</v>
      </c>
      <c r="G3093" s="2041" t="s">
        <v>3421</v>
      </c>
      <c r="H3093" s="1557"/>
      <c r="I3093" s="1557">
        <v>-22</v>
      </c>
      <c r="J3093" s="1655"/>
      <c r="K3093" s="1563"/>
      <c r="L3093" s="1557"/>
      <c r="M3093" s="1557"/>
      <c r="N3093" s="125"/>
      <c r="O3093" s="7"/>
      <c r="P3093" s="7"/>
      <c r="Q3093" s="7"/>
    </row>
    <row r="3094" spans="1:17">
      <c r="A3094" s="683"/>
      <c r="B3094" s="3129" t="s">
        <v>365</v>
      </c>
      <c r="C3094" s="683" t="s">
        <v>807</v>
      </c>
      <c r="D3094" s="719" t="s">
        <v>1980</v>
      </c>
      <c r="E3094" s="720" t="s">
        <v>1940</v>
      </c>
      <c r="F3094" s="824">
        <v>2121</v>
      </c>
      <c r="G3094" s="800" t="s">
        <v>510</v>
      </c>
      <c r="H3094" s="775">
        <v>17897</v>
      </c>
      <c r="I3094" s="777"/>
      <c r="J3094" s="1654">
        <v>5010</v>
      </c>
      <c r="K3094" s="780"/>
      <c r="L3094" s="775">
        <v>0</v>
      </c>
      <c r="M3094" s="1324"/>
      <c r="N3094" s="125"/>
      <c r="O3094" s="7"/>
      <c r="P3094" s="7"/>
      <c r="Q3094" s="7"/>
    </row>
    <row r="3095" spans="1:17">
      <c r="A3095" s="760"/>
      <c r="B3095" s="3130" t="s">
        <v>365</v>
      </c>
      <c r="C3095" s="663" t="s">
        <v>807</v>
      </c>
      <c r="D3095" s="678" t="s">
        <v>1980</v>
      </c>
      <c r="E3095" s="700" t="s">
        <v>1940</v>
      </c>
      <c r="F3095" s="795">
        <v>2121</v>
      </c>
      <c r="G3095" s="812" t="s">
        <v>2915</v>
      </c>
      <c r="H3095" s="701"/>
      <c r="I3095" s="701">
        <v>17897</v>
      </c>
      <c r="J3095" s="1654" t="s">
        <v>1134</v>
      </c>
      <c r="K3095" s="792"/>
      <c r="L3095" s="701"/>
      <c r="M3095" s="701"/>
      <c r="N3095" s="125"/>
      <c r="O3095" s="7"/>
      <c r="P3095" s="7"/>
      <c r="Q3095" s="7"/>
    </row>
    <row r="3096" spans="1:17">
      <c r="A3096" s="760"/>
      <c r="B3096" s="3130" t="s">
        <v>365</v>
      </c>
      <c r="C3096" s="663" t="s">
        <v>807</v>
      </c>
      <c r="D3096" s="678" t="s">
        <v>1980</v>
      </c>
      <c r="E3096" s="700" t="s">
        <v>1940</v>
      </c>
      <c r="F3096" s="795">
        <v>2121</v>
      </c>
      <c r="G3096" s="812"/>
      <c r="H3096" s="701"/>
      <c r="I3096" s="701"/>
      <c r="J3096" s="1654" t="s">
        <v>1134</v>
      </c>
      <c r="K3096" s="792"/>
      <c r="L3096" s="701"/>
      <c r="M3096" s="701"/>
      <c r="N3096" s="125"/>
      <c r="O3096" s="7"/>
      <c r="P3096" s="7"/>
      <c r="Q3096" s="7"/>
    </row>
    <row r="3097" spans="1:17">
      <c r="A3097" s="683"/>
      <c r="B3097" s="3129" t="s">
        <v>365</v>
      </c>
      <c r="C3097" s="683" t="s">
        <v>807</v>
      </c>
      <c r="D3097" s="719" t="s">
        <v>1980</v>
      </c>
      <c r="E3097" s="720" t="s">
        <v>1940</v>
      </c>
      <c r="F3097" s="824">
        <v>2122</v>
      </c>
      <c r="G3097" s="800" t="s">
        <v>511</v>
      </c>
      <c r="H3097" s="775">
        <v>34052</v>
      </c>
      <c r="I3097" s="777"/>
      <c r="J3097" s="1654">
        <v>22341.47</v>
      </c>
      <c r="K3097" s="780"/>
      <c r="L3097" s="775">
        <v>70991</v>
      </c>
      <c r="M3097" s="1324"/>
      <c r="N3097" s="654"/>
      <c r="O3097" s="7"/>
      <c r="P3097" s="7"/>
      <c r="Q3097" s="7"/>
    </row>
    <row r="3098" spans="1:17">
      <c r="A3098" s="760"/>
      <c r="B3098" s="3130" t="s">
        <v>365</v>
      </c>
      <c r="C3098" s="663" t="s">
        <v>807</v>
      </c>
      <c r="D3098" s="678" t="s">
        <v>1980</v>
      </c>
      <c r="E3098" s="700" t="s">
        <v>1940</v>
      </c>
      <c r="F3098" s="795">
        <v>2122</v>
      </c>
      <c r="G3098" s="812" t="s">
        <v>5179</v>
      </c>
      <c r="H3098" s="701"/>
      <c r="I3098" s="701"/>
      <c r="J3098" s="1654" t="s">
        <v>1134</v>
      </c>
      <c r="K3098" s="792"/>
      <c r="L3098" s="701"/>
      <c r="M3098" s="701">
        <v>70991</v>
      </c>
      <c r="N3098" s="654"/>
      <c r="O3098" s="7"/>
      <c r="P3098" s="7"/>
      <c r="Q3098" s="7"/>
    </row>
    <row r="3099" spans="1:17" ht="30.6">
      <c r="A3099" s="760"/>
      <c r="B3099" s="3130" t="s">
        <v>365</v>
      </c>
      <c r="C3099" s="663" t="s">
        <v>807</v>
      </c>
      <c r="D3099" s="678" t="s">
        <v>1980</v>
      </c>
      <c r="E3099" s="700" t="s">
        <v>1940</v>
      </c>
      <c r="F3099" s="795">
        <v>2122</v>
      </c>
      <c r="G3099" s="812" t="s">
        <v>5223</v>
      </c>
      <c r="H3099" s="701"/>
      <c r="I3099" s="701">
        <v>34052</v>
      </c>
      <c r="J3099" s="1654" t="s">
        <v>1134</v>
      </c>
      <c r="K3099" s="792"/>
      <c r="L3099" s="701"/>
      <c r="M3099" s="701">
        <v>-18295</v>
      </c>
      <c r="N3099" s="177"/>
      <c r="O3099" s="7"/>
      <c r="P3099" s="7"/>
      <c r="Q3099" s="7"/>
    </row>
    <row r="3100" spans="1:17" ht="30.6">
      <c r="A3100" s="760"/>
      <c r="B3100" s="3130" t="s">
        <v>365</v>
      </c>
      <c r="C3100" s="663" t="s">
        <v>807</v>
      </c>
      <c r="D3100" s="678" t="s">
        <v>1980</v>
      </c>
      <c r="E3100" s="700" t="s">
        <v>1940</v>
      </c>
      <c r="F3100" s="795">
        <v>2122</v>
      </c>
      <c r="G3100" s="812" t="s">
        <v>1555</v>
      </c>
      <c r="H3100" s="701"/>
      <c r="I3100" s="701"/>
      <c r="J3100" s="1654" t="s">
        <v>1134</v>
      </c>
      <c r="K3100" s="792"/>
      <c r="L3100" s="701"/>
      <c r="M3100" s="701">
        <v>18295</v>
      </c>
      <c r="N3100" s="2044" t="s">
        <v>4093</v>
      </c>
      <c r="O3100" s="7"/>
      <c r="P3100" s="7"/>
      <c r="Q3100" s="7"/>
    </row>
    <row r="3101" spans="1:17" ht="30.6">
      <c r="A3101" s="760"/>
      <c r="B3101" s="3130" t="s">
        <v>365</v>
      </c>
      <c r="C3101" s="663" t="s">
        <v>807</v>
      </c>
      <c r="D3101" s="678" t="s">
        <v>1980</v>
      </c>
      <c r="E3101" s="700" t="s">
        <v>1940</v>
      </c>
      <c r="F3101" s="795">
        <v>2122</v>
      </c>
      <c r="G3101" s="812" t="s">
        <v>1868</v>
      </c>
      <c r="H3101" s="701"/>
      <c r="I3101" s="701"/>
      <c r="J3101" s="1654" t="s">
        <v>1134</v>
      </c>
      <c r="K3101" s="792"/>
      <c r="L3101" s="701"/>
      <c r="M3101" s="701"/>
      <c r="N3101" s="2044" t="s">
        <v>4094</v>
      </c>
      <c r="O3101" s="7"/>
      <c r="P3101" s="7"/>
      <c r="Q3101" s="7"/>
    </row>
    <row r="3102" spans="1:17">
      <c r="A3102" s="683"/>
      <c r="B3102" s="3129" t="s">
        <v>772</v>
      </c>
      <c r="C3102" s="683" t="s">
        <v>320</v>
      </c>
      <c r="D3102" s="719" t="s">
        <v>1980</v>
      </c>
      <c r="E3102" s="720" t="s">
        <v>420</v>
      </c>
      <c r="F3102" s="685">
        <v>2210</v>
      </c>
      <c r="G3102" s="686" t="s">
        <v>572</v>
      </c>
      <c r="H3102" s="776">
        <v>6996</v>
      </c>
      <c r="I3102" s="779"/>
      <c r="J3102" s="1494">
        <v>6448</v>
      </c>
      <c r="K3102" s="780"/>
      <c r="L3102" s="765">
        <v>8000</v>
      </c>
      <c r="M3102" s="947"/>
      <c r="N3102" s="305"/>
      <c r="O3102" s="7"/>
      <c r="P3102" s="7"/>
      <c r="Q3102" s="7"/>
    </row>
    <row r="3103" spans="1:17">
      <c r="A3103" s="663"/>
      <c r="B3103" s="3156" t="s">
        <v>772</v>
      </c>
      <c r="C3103" s="952" t="s">
        <v>320</v>
      </c>
      <c r="D3103" s="678" t="s">
        <v>1980</v>
      </c>
      <c r="E3103" s="700" t="s">
        <v>420</v>
      </c>
      <c r="F3103" s="679">
        <v>2210</v>
      </c>
      <c r="G3103" s="953" t="s">
        <v>1568</v>
      </c>
      <c r="H3103" s="778"/>
      <c r="I3103" s="773">
        <v>960</v>
      </c>
      <c r="J3103" s="1494" t="s">
        <v>1134</v>
      </c>
      <c r="K3103" s="784"/>
      <c r="L3103" s="958"/>
      <c r="M3103" s="2805">
        <v>1964</v>
      </c>
      <c r="N3103" s="57"/>
      <c r="O3103" s="7"/>
      <c r="P3103" s="7"/>
      <c r="Q3103" s="7"/>
    </row>
    <row r="3104" spans="1:17">
      <c r="A3104" s="663"/>
      <c r="B3104" s="3156" t="s">
        <v>772</v>
      </c>
      <c r="C3104" s="952" t="s">
        <v>320</v>
      </c>
      <c r="D3104" s="678" t="s">
        <v>1980</v>
      </c>
      <c r="E3104" s="700" t="s">
        <v>420</v>
      </c>
      <c r="F3104" s="679">
        <v>2210</v>
      </c>
      <c r="G3104" s="762" t="s">
        <v>1570</v>
      </c>
      <c r="H3104" s="778"/>
      <c r="I3104" s="773">
        <v>5736</v>
      </c>
      <c r="J3104" s="1494" t="s">
        <v>1134</v>
      </c>
      <c r="K3104" s="784"/>
      <c r="L3104" s="958"/>
      <c r="M3104" s="2043">
        <v>5736</v>
      </c>
      <c r="N3104" s="177"/>
      <c r="O3104" s="7"/>
      <c r="P3104" s="7"/>
      <c r="Q3104" s="7"/>
    </row>
    <row r="3105" spans="1:17">
      <c r="A3105" s="663"/>
      <c r="B3105" s="3156" t="s">
        <v>772</v>
      </c>
      <c r="C3105" s="952" t="s">
        <v>320</v>
      </c>
      <c r="D3105" s="678" t="s">
        <v>1980</v>
      </c>
      <c r="E3105" s="700" t="s">
        <v>420</v>
      </c>
      <c r="F3105" s="679">
        <v>2210</v>
      </c>
      <c r="G3105" s="762" t="s">
        <v>391</v>
      </c>
      <c r="H3105" s="778"/>
      <c r="I3105" s="772">
        <v>300</v>
      </c>
      <c r="J3105" s="1494" t="s">
        <v>1134</v>
      </c>
      <c r="K3105" s="784"/>
      <c r="L3105" s="958"/>
      <c r="M3105" s="2045">
        <v>300</v>
      </c>
      <c r="N3105" s="2073" t="s">
        <v>709</v>
      </c>
      <c r="O3105" s="7"/>
      <c r="P3105" s="7"/>
      <c r="Q3105" s="7"/>
    </row>
    <row r="3106" spans="1:17">
      <c r="A3106" s="683"/>
      <c r="B3106" s="3129" t="s">
        <v>772</v>
      </c>
      <c r="C3106" s="683" t="s">
        <v>320</v>
      </c>
      <c r="D3106" s="719" t="s">
        <v>1980</v>
      </c>
      <c r="E3106" s="720" t="s">
        <v>420</v>
      </c>
      <c r="F3106" s="824">
        <v>2223</v>
      </c>
      <c r="G3106" s="800" t="s">
        <v>154</v>
      </c>
      <c r="H3106" s="776">
        <v>78760</v>
      </c>
      <c r="I3106" s="779"/>
      <c r="J3106" s="1654">
        <v>43327</v>
      </c>
      <c r="K3106" s="780"/>
      <c r="L3106" s="776">
        <v>80160</v>
      </c>
      <c r="M3106" s="777"/>
      <c r="N3106" s="1912"/>
      <c r="O3106" s="7"/>
      <c r="P3106" s="7"/>
      <c r="Q3106" s="7"/>
    </row>
    <row r="3107" spans="1:17">
      <c r="A3107" s="663"/>
      <c r="B3107" s="3130" t="s">
        <v>772</v>
      </c>
      <c r="C3107" s="954" t="s">
        <v>320</v>
      </c>
      <c r="D3107" s="678" t="s">
        <v>1980</v>
      </c>
      <c r="E3107" s="700" t="s">
        <v>420</v>
      </c>
      <c r="F3107" s="795">
        <v>2223</v>
      </c>
      <c r="G3107" s="750" t="s">
        <v>179</v>
      </c>
      <c r="H3107" s="778"/>
      <c r="I3107" s="773">
        <v>80160</v>
      </c>
      <c r="J3107" s="1654" t="s">
        <v>1134</v>
      </c>
      <c r="K3107" s="784"/>
      <c r="L3107" s="786"/>
      <c r="M3107" s="772">
        <v>80160</v>
      </c>
      <c r="N3107" s="1912"/>
      <c r="O3107" s="7"/>
      <c r="P3107" s="7"/>
      <c r="Q3107" s="7"/>
    </row>
    <row r="3108" spans="1:17" ht="20.399999999999999">
      <c r="A3108" s="603"/>
      <c r="B3108" s="3130" t="s">
        <v>772</v>
      </c>
      <c r="C3108" s="954" t="s">
        <v>320</v>
      </c>
      <c r="D3108" s="678" t="s">
        <v>1980</v>
      </c>
      <c r="E3108" s="700" t="s">
        <v>420</v>
      </c>
      <c r="F3108" s="795">
        <v>2223</v>
      </c>
      <c r="G3108" s="1153" t="s">
        <v>4044</v>
      </c>
      <c r="H3108" s="1155"/>
      <c r="I3108" s="1156">
        <v>-1400</v>
      </c>
      <c r="J3108" s="1654" t="s">
        <v>1134</v>
      </c>
      <c r="K3108" s="1157"/>
      <c r="L3108" s="2046"/>
      <c r="M3108" s="2047"/>
      <c r="N3108" s="1912"/>
      <c r="O3108" s="7"/>
      <c r="P3108" s="7"/>
      <c r="Q3108" s="7"/>
    </row>
    <row r="3109" spans="1:17" ht="30.6">
      <c r="A3109" s="683"/>
      <c r="B3109" s="3129" t="s">
        <v>772</v>
      </c>
      <c r="C3109" s="683" t="s">
        <v>322</v>
      </c>
      <c r="D3109" s="719" t="s">
        <v>1980</v>
      </c>
      <c r="E3109" s="720" t="s">
        <v>420</v>
      </c>
      <c r="F3109" s="824">
        <v>2232</v>
      </c>
      <c r="G3109" s="800" t="s">
        <v>1316</v>
      </c>
      <c r="H3109" s="776">
        <v>2250</v>
      </c>
      <c r="I3109" s="779"/>
      <c r="J3109" s="1654">
        <v>1178.74</v>
      </c>
      <c r="K3109" s="780"/>
      <c r="L3109" s="776">
        <v>2640</v>
      </c>
      <c r="M3109" s="777"/>
      <c r="N3109" s="1912"/>
      <c r="O3109" s="7"/>
      <c r="P3109" s="7"/>
      <c r="Q3109" s="7"/>
    </row>
    <row r="3110" spans="1:17">
      <c r="A3110" s="663"/>
      <c r="B3110" s="3130" t="s">
        <v>772</v>
      </c>
      <c r="C3110" s="663" t="s">
        <v>322</v>
      </c>
      <c r="D3110" s="678" t="s">
        <v>1980</v>
      </c>
      <c r="E3110" s="700" t="s">
        <v>420</v>
      </c>
      <c r="F3110" s="795">
        <v>2232</v>
      </c>
      <c r="G3110" s="2039" t="s">
        <v>4048</v>
      </c>
      <c r="H3110" s="778"/>
      <c r="I3110" s="773">
        <v>2250</v>
      </c>
      <c r="J3110" s="1654" t="s">
        <v>1134</v>
      </c>
      <c r="K3110" s="784"/>
      <c r="L3110" s="778"/>
      <c r="M3110" s="770">
        <v>2640</v>
      </c>
      <c r="N3110" s="1912"/>
      <c r="O3110" s="7"/>
      <c r="P3110" s="7"/>
      <c r="Q3110" s="7"/>
    </row>
    <row r="3111" spans="1:17">
      <c r="A3111" s="683"/>
      <c r="B3111" s="3129" t="s">
        <v>772</v>
      </c>
      <c r="C3111" s="683" t="s">
        <v>322</v>
      </c>
      <c r="D3111" s="719" t="s">
        <v>1980</v>
      </c>
      <c r="E3111" s="720" t="s">
        <v>420</v>
      </c>
      <c r="F3111" s="824">
        <v>2233</v>
      </c>
      <c r="G3111" s="800" t="s">
        <v>216</v>
      </c>
      <c r="H3111" s="776">
        <v>50309</v>
      </c>
      <c r="I3111" s="779"/>
      <c r="J3111" s="1654">
        <v>26426</v>
      </c>
      <c r="K3111" s="780"/>
      <c r="L3111" s="776">
        <v>52500</v>
      </c>
      <c r="M3111" s="777"/>
      <c r="N3111" s="1912"/>
      <c r="O3111" s="7"/>
      <c r="P3111" s="7"/>
      <c r="Q3111" s="7"/>
    </row>
    <row r="3112" spans="1:17" ht="20.399999999999999">
      <c r="A3112" s="663"/>
      <c r="B3112" s="3130" t="s">
        <v>772</v>
      </c>
      <c r="C3112" s="663" t="s">
        <v>322</v>
      </c>
      <c r="D3112" s="678" t="s">
        <v>1980</v>
      </c>
      <c r="E3112" s="700" t="s">
        <v>420</v>
      </c>
      <c r="F3112" s="795">
        <v>2233</v>
      </c>
      <c r="G3112" s="2049" t="s">
        <v>1572</v>
      </c>
      <c r="H3112" s="778"/>
      <c r="I3112" s="773">
        <v>31000</v>
      </c>
      <c r="J3112" s="1654" t="s">
        <v>1134</v>
      </c>
      <c r="K3112" s="784"/>
      <c r="L3112" s="778"/>
      <c r="M3112" s="770">
        <v>33000</v>
      </c>
      <c r="N3112" s="1223"/>
      <c r="O3112" s="7"/>
      <c r="P3112" s="7"/>
      <c r="Q3112" s="7"/>
    </row>
    <row r="3113" spans="1:17">
      <c r="A3113" s="663"/>
      <c r="B3113" s="3130" t="s">
        <v>772</v>
      </c>
      <c r="C3113" s="663" t="s">
        <v>322</v>
      </c>
      <c r="D3113" s="678" t="s">
        <v>1980</v>
      </c>
      <c r="E3113" s="700" t="s">
        <v>420</v>
      </c>
      <c r="F3113" s="795">
        <v>2233</v>
      </c>
      <c r="G3113" s="957" t="s">
        <v>1574</v>
      </c>
      <c r="H3113" s="778"/>
      <c r="I3113" s="773">
        <v>2000</v>
      </c>
      <c r="J3113" s="1654" t="s">
        <v>1134</v>
      </c>
      <c r="K3113" s="784"/>
      <c r="L3113" s="778"/>
      <c r="M3113" s="770"/>
      <c r="N3113" s="1224"/>
      <c r="O3113" s="7"/>
      <c r="P3113" s="7"/>
      <c r="Q3113" s="7"/>
    </row>
    <row r="3114" spans="1:17">
      <c r="A3114" s="663"/>
      <c r="B3114" s="3130" t="s">
        <v>772</v>
      </c>
      <c r="C3114" s="663" t="s">
        <v>322</v>
      </c>
      <c r="D3114" s="678" t="s">
        <v>1980</v>
      </c>
      <c r="E3114" s="700" t="s">
        <v>420</v>
      </c>
      <c r="F3114" s="795">
        <v>2233</v>
      </c>
      <c r="G3114" s="957" t="s">
        <v>2420</v>
      </c>
      <c r="H3114" s="778"/>
      <c r="I3114" s="773">
        <v>8400</v>
      </c>
      <c r="J3114" s="1654" t="s">
        <v>1134</v>
      </c>
      <c r="K3114" s="784"/>
      <c r="L3114" s="778"/>
      <c r="M3114" s="770">
        <v>3650</v>
      </c>
      <c r="N3114" s="176" t="s">
        <v>4071</v>
      </c>
      <c r="O3114" s="7"/>
      <c r="P3114" s="7"/>
      <c r="Q3114" s="7"/>
    </row>
    <row r="3115" spans="1:17">
      <c r="A3115" s="663"/>
      <c r="B3115" s="3130" t="s">
        <v>772</v>
      </c>
      <c r="C3115" s="663" t="s">
        <v>322</v>
      </c>
      <c r="D3115" s="678" t="s">
        <v>1980</v>
      </c>
      <c r="E3115" s="700" t="s">
        <v>420</v>
      </c>
      <c r="F3115" s="795">
        <v>2233</v>
      </c>
      <c r="G3115" s="957" t="s">
        <v>2421</v>
      </c>
      <c r="H3115" s="778"/>
      <c r="I3115" s="773">
        <v>400</v>
      </c>
      <c r="J3115" s="1654" t="s">
        <v>1134</v>
      </c>
      <c r="K3115" s="784"/>
      <c r="L3115" s="778"/>
      <c r="M3115" s="770">
        <v>400</v>
      </c>
      <c r="N3115" s="1223" t="s">
        <v>4070</v>
      </c>
      <c r="O3115" s="7"/>
      <c r="P3115" s="7"/>
      <c r="Q3115" s="7"/>
    </row>
    <row r="3116" spans="1:17" ht="20.399999999999999">
      <c r="A3116" s="663"/>
      <c r="B3116" s="3130" t="s">
        <v>772</v>
      </c>
      <c r="C3116" s="663" t="s">
        <v>322</v>
      </c>
      <c r="D3116" s="678" t="s">
        <v>1980</v>
      </c>
      <c r="E3116" s="700" t="s">
        <v>420</v>
      </c>
      <c r="F3116" s="795">
        <v>2233</v>
      </c>
      <c r="G3116" s="2049" t="s">
        <v>4050</v>
      </c>
      <c r="H3116" s="778"/>
      <c r="I3116" s="773">
        <v>1000</v>
      </c>
      <c r="J3116" s="1654" t="s">
        <v>1134</v>
      </c>
      <c r="K3116" s="784"/>
      <c r="L3116" s="778"/>
      <c r="M3116" s="770">
        <v>1500</v>
      </c>
      <c r="N3116" s="1223"/>
      <c r="O3116" s="7"/>
      <c r="P3116" s="7"/>
      <c r="Q3116" s="7"/>
    </row>
    <row r="3117" spans="1:17">
      <c r="A3117" s="663"/>
      <c r="B3117" s="3130" t="s">
        <v>772</v>
      </c>
      <c r="C3117" s="663" t="s">
        <v>322</v>
      </c>
      <c r="D3117" s="678" t="s">
        <v>1980</v>
      </c>
      <c r="E3117" s="700" t="s">
        <v>420</v>
      </c>
      <c r="F3117" s="795">
        <v>2233</v>
      </c>
      <c r="G3117" s="2049" t="s">
        <v>2422</v>
      </c>
      <c r="H3117" s="778"/>
      <c r="I3117" s="773">
        <v>50</v>
      </c>
      <c r="J3117" s="1654" t="s">
        <v>1134</v>
      </c>
      <c r="K3117" s="784"/>
      <c r="L3117" s="778"/>
      <c r="M3117" s="770"/>
      <c r="N3117" s="1223"/>
      <c r="O3117" s="7"/>
      <c r="P3117" s="7"/>
      <c r="Q3117" s="7"/>
    </row>
    <row r="3118" spans="1:17">
      <c r="A3118" s="663"/>
      <c r="B3118" s="3130" t="s">
        <v>772</v>
      </c>
      <c r="C3118" s="663" t="s">
        <v>322</v>
      </c>
      <c r="D3118" s="678" t="s">
        <v>1980</v>
      </c>
      <c r="E3118" s="700" t="s">
        <v>420</v>
      </c>
      <c r="F3118" s="795">
        <v>2233</v>
      </c>
      <c r="G3118" s="1703" t="s">
        <v>1573</v>
      </c>
      <c r="H3118" s="778"/>
      <c r="I3118" s="773">
        <v>9650</v>
      </c>
      <c r="J3118" s="1654" t="s">
        <v>1134</v>
      </c>
      <c r="K3118" s="784"/>
      <c r="L3118" s="778"/>
      <c r="M3118" s="773">
        <v>13950</v>
      </c>
      <c r="N3118" s="1223"/>
      <c r="O3118" s="7"/>
      <c r="P3118" s="7"/>
      <c r="Q3118" s="7"/>
    </row>
    <row r="3119" spans="1:17" ht="20.399999999999999">
      <c r="A3119" s="663"/>
      <c r="B3119" s="3130" t="s">
        <v>772</v>
      </c>
      <c r="C3119" s="663" t="s">
        <v>322</v>
      </c>
      <c r="D3119" s="678" t="s">
        <v>1980</v>
      </c>
      <c r="E3119" s="700" t="s">
        <v>420</v>
      </c>
      <c r="F3119" s="795">
        <v>2233</v>
      </c>
      <c r="G3119" s="750" t="s">
        <v>3275</v>
      </c>
      <c r="H3119" s="778"/>
      <c r="I3119" s="773">
        <v>-2191</v>
      </c>
      <c r="J3119" s="1654" t="s">
        <v>1134</v>
      </c>
      <c r="K3119" s="784"/>
      <c r="L3119" s="778"/>
      <c r="M3119" s="773"/>
      <c r="N3119" s="1223"/>
      <c r="O3119" s="7"/>
      <c r="P3119" s="7"/>
      <c r="Q3119" s="7"/>
    </row>
    <row r="3120" spans="1:17">
      <c r="A3120" s="683"/>
      <c r="B3120" s="3129" t="s">
        <v>772</v>
      </c>
      <c r="C3120" s="683" t="s">
        <v>322</v>
      </c>
      <c r="D3120" s="719" t="s">
        <v>1980</v>
      </c>
      <c r="E3120" s="1406" t="s">
        <v>420</v>
      </c>
      <c r="F3120" s="1698">
        <v>2234</v>
      </c>
      <c r="G3120" s="1691" t="s">
        <v>120</v>
      </c>
      <c r="H3120" s="1692">
        <v>9250</v>
      </c>
      <c r="I3120" s="2051"/>
      <c r="J3120" s="1684">
        <v>6962</v>
      </c>
      <c r="K3120" s="2052"/>
      <c r="L3120" s="1692">
        <v>6750</v>
      </c>
      <c r="M3120" s="2053"/>
      <c r="N3120" s="1223"/>
      <c r="O3120" s="7"/>
      <c r="P3120" s="7"/>
      <c r="Q3120" s="7"/>
    </row>
    <row r="3121" spans="1:17" ht="20.399999999999999">
      <c r="A3121" s="663"/>
      <c r="B3121" s="3130" t="s">
        <v>772</v>
      </c>
      <c r="C3121" s="663" t="s">
        <v>322</v>
      </c>
      <c r="D3121" s="678" t="s">
        <v>1980</v>
      </c>
      <c r="E3121" s="1407" t="s">
        <v>420</v>
      </c>
      <c r="F3121" s="1413">
        <v>2234</v>
      </c>
      <c r="G3121" s="818" t="s">
        <v>1575</v>
      </c>
      <c r="H3121" s="2054"/>
      <c r="I3121" s="2055">
        <v>5250</v>
      </c>
      <c r="J3121" s="1684" t="s">
        <v>1134</v>
      </c>
      <c r="K3121" s="2056"/>
      <c r="L3121" s="2054"/>
      <c r="M3121" s="2057">
        <v>5750</v>
      </c>
      <c r="N3121" s="176" t="s">
        <v>4079</v>
      </c>
      <c r="O3121" s="7"/>
      <c r="P3121" s="7"/>
      <c r="Q3121" s="7"/>
    </row>
    <row r="3122" spans="1:17" ht="30.6">
      <c r="A3122" s="663"/>
      <c r="B3122" s="3130" t="s">
        <v>772</v>
      </c>
      <c r="C3122" s="663" t="s">
        <v>322</v>
      </c>
      <c r="D3122" s="678" t="s">
        <v>1980</v>
      </c>
      <c r="E3122" s="1407" t="s">
        <v>420</v>
      </c>
      <c r="F3122" s="1413">
        <v>2234</v>
      </c>
      <c r="G3122" s="818" t="s">
        <v>1576</v>
      </c>
      <c r="H3122" s="2054"/>
      <c r="I3122" s="2055">
        <v>4000</v>
      </c>
      <c r="J3122" s="1684" t="s">
        <v>1134</v>
      </c>
      <c r="K3122" s="2056"/>
      <c r="L3122" s="2054"/>
      <c r="M3122" s="2057">
        <v>1000</v>
      </c>
      <c r="N3122" s="655" t="s">
        <v>2432</v>
      </c>
      <c r="O3122" s="7"/>
      <c r="P3122" s="7"/>
      <c r="Q3122" s="7"/>
    </row>
    <row r="3123" spans="1:17">
      <c r="A3123" s="683"/>
      <c r="B3123" s="3129" t="s">
        <v>772</v>
      </c>
      <c r="C3123" s="683" t="s">
        <v>322</v>
      </c>
      <c r="D3123" s="719" t="s">
        <v>1980</v>
      </c>
      <c r="E3123" s="1406" t="s">
        <v>420</v>
      </c>
      <c r="F3123" s="1698">
        <v>2235</v>
      </c>
      <c r="G3123" s="1691" t="s">
        <v>931</v>
      </c>
      <c r="H3123" s="1692">
        <v>8500</v>
      </c>
      <c r="I3123" s="2051"/>
      <c r="J3123" s="1684">
        <v>4351</v>
      </c>
      <c r="K3123" s="2052"/>
      <c r="L3123" s="1692">
        <v>10559</v>
      </c>
      <c r="M3123" s="2053"/>
      <c r="N3123" s="176"/>
      <c r="O3123" s="7"/>
      <c r="P3123" s="7"/>
      <c r="Q3123" s="7"/>
    </row>
    <row r="3124" spans="1:17">
      <c r="A3124" s="663"/>
      <c r="B3124" s="3137" t="s">
        <v>772</v>
      </c>
      <c r="C3124" s="774" t="s">
        <v>322</v>
      </c>
      <c r="D3124" s="678" t="s">
        <v>1980</v>
      </c>
      <c r="E3124" s="1407" t="s">
        <v>420</v>
      </c>
      <c r="F3124" s="1413">
        <v>2235</v>
      </c>
      <c r="G3124" s="2063" t="s">
        <v>1579</v>
      </c>
      <c r="H3124" s="2064"/>
      <c r="I3124" s="2055">
        <v>8500</v>
      </c>
      <c r="J3124" s="1684" t="s">
        <v>1134</v>
      </c>
      <c r="K3124" s="2056"/>
      <c r="L3124" s="2064"/>
      <c r="M3124" s="2065">
        <v>2000</v>
      </c>
      <c r="N3124" s="176"/>
      <c r="O3124" s="3"/>
      <c r="P3124" s="3"/>
      <c r="Q3124" s="3"/>
    </row>
    <row r="3125" spans="1:17">
      <c r="A3125" s="663"/>
      <c r="B3125" s="3137" t="s">
        <v>772</v>
      </c>
      <c r="C3125" s="774" t="s">
        <v>322</v>
      </c>
      <c r="D3125" s="678" t="s">
        <v>1980</v>
      </c>
      <c r="E3125" s="1407" t="s">
        <v>420</v>
      </c>
      <c r="F3125" s="1413">
        <v>2235</v>
      </c>
      <c r="G3125" s="2063" t="s">
        <v>4054</v>
      </c>
      <c r="H3125" s="2064"/>
      <c r="I3125" s="2065"/>
      <c r="J3125" s="1684" t="s">
        <v>1134</v>
      </c>
      <c r="K3125" s="2056"/>
      <c r="L3125" s="2064"/>
      <c r="M3125" s="2065">
        <v>4000</v>
      </c>
      <c r="N3125" s="176"/>
      <c r="O3125" s="7"/>
      <c r="P3125" s="7"/>
      <c r="Q3125" s="7"/>
    </row>
    <row r="3126" spans="1:17">
      <c r="A3126" s="663"/>
      <c r="B3126" s="3137" t="s">
        <v>772</v>
      </c>
      <c r="C3126" s="774" t="s">
        <v>322</v>
      </c>
      <c r="D3126" s="678" t="s">
        <v>1980</v>
      </c>
      <c r="E3126" s="1407" t="s">
        <v>420</v>
      </c>
      <c r="F3126" s="1413">
        <v>2235</v>
      </c>
      <c r="G3126" s="2063" t="s">
        <v>4055</v>
      </c>
      <c r="H3126" s="2064"/>
      <c r="I3126" s="2065"/>
      <c r="J3126" s="1684" t="s">
        <v>1134</v>
      </c>
      <c r="K3126" s="2056"/>
      <c r="L3126" s="2064"/>
      <c r="M3126" s="2065">
        <v>1800</v>
      </c>
      <c r="N3126" s="176"/>
      <c r="O3126" s="3"/>
      <c r="P3126" s="3"/>
      <c r="Q3126" s="3"/>
    </row>
    <row r="3127" spans="1:17">
      <c r="A3127" s="663"/>
      <c r="B3127" s="3137" t="s">
        <v>772</v>
      </c>
      <c r="C3127" s="774" t="s">
        <v>322</v>
      </c>
      <c r="D3127" s="678" t="s">
        <v>1980</v>
      </c>
      <c r="E3127" s="1407" t="s">
        <v>420</v>
      </c>
      <c r="F3127" s="1413">
        <v>2235</v>
      </c>
      <c r="G3127" s="2063" t="s">
        <v>4056</v>
      </c>
      <c r="H3127" s="2064"/>
      <c r="I3127" s="2065"/>
      <c r="J3127" s="1684" t="s">
        <v>1134</v>
      </c>
      <c r="K3127" s="2056"/>
      <c r="L3127" s="2064"/>
      <c r="M3127" s="2065">
        <v>540</v>
      </c>
      <c r="N3127" s="176"/>
      <c r="O3127" s="7"/>
      <c r="P3127" s="7"/>
      <c r="Q3127" s="7"/>
    </row>
    <row r="3128" spans="1:17" ht="20.399999999999999">
      <c r="A3128" s="663"/>
      <c r="B3128" s="3137" t="s">
        <v>772</v>
      </c>
      <c r="C3128" s="774" t="s">
        <v>322</v>
      </c>
      <c r="D3128" s="678" t="s">
        <v>1980</v>
      </c>
      <c r="E3128" s="1407" t="s">
        <v>420</v>
      </c>
      <c r="F3128" s="1413">
        <v>2235</v>
      </c>
      <c r="G3128" s="2063" t="s">
        <v>4057</v>
      </c>
      <c r="H3128" s="2064"/>
      <c r="I3128" s="2065"/>
      <c r="J3128" s="1684" t="s">
        <v>1134</v>
      </c>
      <c r="K3128" s="2056"/>
      <c r="L3128" s="2064"/>
      <c r="M3128" s="2065">
        <v>219</v>
      </c>
      <c r="N3128" s="176" t="s">
        <v>4073</v>
      </c>
      <c r="O3128" s="3"/>
      <c r="P3128" s="3"/>
      <c r="Q3128" s="3"/>
    </row>
    <row r="3129" spans="1:17" ht="20.399999999999999">
      <c r="A3129" s="663"/>
      <c r="B3129" s="3137" t="s">
        <v>772</v>
      </c>
      <c r="C3129" s="774" t="s">
        <v>322</v>
      </c>
      <c r="D3129" s="678" t="s">
        <v>1980</v>
      </c>
      <c r="E3129" s="1407" t="s">
        <v>420</v>
      </c>
      <c r="F3129" s="1413">
        <v>2235</v>
      </c>
      <c r="G3129" s="2063" t="s">
        <v>4058</v>
      </c>
      <c r="H3129" s="2064"/>
      <c r="I3129" s="2065"/>
      <c r="J3129" s="1684" t="s">
        <v>1134</v>
      </c>
      <c r="K3129" s="2056"/>
      <c r="L3129" s="2064"/>
      <c r="M3129" s="2065">
        <v>600</v>
      </c>
      <c r="N3129" s="176"/>
      <c r="O3129" s="7"/>
      <c r="P3129" s="7"/>
      <c r="Q3129" s="7"/>
    </row>
    <row r="3130" spans="1:17" ht="20.399999999999999">
      <c r="A3130" s="663"/>
      <c r="B3130" s="3137" t="s">
        <v>772</v>
      </c>
      <c r="C3130" s="774" t="s">
        <v>322</v>
      </c>
      <c r="D3130" s="678" t="s">
        <v>1980</v>
      </c>
      <c r="E3130" s="1407" t="s">
        <v>420</v>
      </c>
      <c r="F3130" s="1413">
        <v>2235</v>
      </c>
      <c r="G3130" s="2063" t="s">
        <v>4059</v>
      </c>
      <c r="H3130" s="2064"/>
      <c r="I3130" s="2065"/>
      <c r="J3130" s="1684" t="s">
        <v>1134</v>
      </c>
      <c r="K3130" s="2056"/>
      <c r="L3130" s="2064"/>
      <c r="M3130" s="2065">
        <v>500</v>
      </c>
      <c r="N3130" s="176"/>
      <c r="O3130" s="3"/>
      <c r="P3130" s="3"/>
      <c r="Q3130" s="3"/>
    </row>
    <row r="3131" spans="1:17" ht="45" customHeight="1">
      <c r="A3131" s="663"/>
      <c r="B3131" s="3137" t="s">
        <v>772</v>
      </c>
      <c r="C3131" s="774" t="s">
        <v>322</v>
      </c>
      <c r="D3131" s="678" t="s">
        <v>1980</v>
      </c>
      <c r="E3131" s="1407" t="s">
        <v>420</v>
      </c>
      <c r="F3131" s="1413">
        <v>2235</v>
      </c>
      <c r="G3131" s="2063" t="s">
        <v>4060</v>
      </c>
      <c r="H3131" s="2064"/>
      <c r="I3131" s="2065"/>
      <c r="J3131" s="1684" t="s">
        <v>1134</v>
      </c>
      <c r="K3131" s="2056"/>
      <c r="L3131" s="2064"/>
      <c r="M3131" s="2065">
        <v>600</v>
      </c>
      <c r="N3131" s="655" t="s">
        <v>2436</v>
      </c>
      <c r="O3131" s="7"/>
      <c r="P3131" s="7"/>
      <c r="Q3131" s="7"/>
    </row>
    <row r="3132" spans="1:17">
      <c r="A3132" s="663"/>
      <c r="B3132" s="3137" t="s">
        <v>772</v>
      </c>
      <c r="C3132" s="774" t="s">
        <v>322</v>
      </c>
      <c r="D3132" s="678" t="s">
        <v>1980</v>
      </c>
      <c r="E3132" s="1407" t="s">
        <v>420</v>
      </c>
      <c r="F3132" s="1413">
        <v>2235</v>
      </c>
      <c r="G3132" s="2063" t="s">
        <v>4061</v>
      </c>
      <c r="H3132" s="2064"/>
      <c r="I3132" s="2065"/>
      <c r="J3132" s="1684" t="s">
        <v>1134</v>
      </c>
      <c r="K3132" s="2056"/>
      <c r="L3132" s="2064"/>
      <c r="M3132" s="2065">
        <v>300</v>
      </c>
      <c r="N3132" s="655" t="s">
        <v>2437</v>
      </c>
      <c r="O3132" s="3"/>
      <c r="P3132" s="3"/>
      <c r="Q3132" s="3"/>
    </row>
    <row r="3133" spans="1:17" ht="45" customHeight="1">
      <c r="A3133" s="663"/>
      <c r="B3133" s="3137" t="s">
        <v>772</v>
      </c>
      <c r="C3133" s="774" t="s">
        <v>322</v>
      </c>
      <c r="D3133" s="678" t="s">
        <v>1980</v>
      </c>
      <c r="E3133" s="1407" t="s">
        <v>420</v>
      </c>
      <c r="F3133" s="1413">
        <v>2235</v>
      </c>
      <c r="G3133" s="2063"/>
      <c r="H3133" s="2064"/>
      <c r="I3133" s="2065"/>
      <c r="J3133" s="1684" t="s">
        <v>1134</v>
      </c>
      <c r="K3133" s="2056"/>
      <c r="L3133" s="2064"/>
      <c r="M3133" s="2065"/>
      <c r="N3133" s="655" t="s">
        <v>2438</v>
      </c>
      <c r="O3133" s="7"/>
      <c r="P3133" s="7"/>
      <c r="Q3133" s="7"/>
    </row>
    <row r="3134" spans="1:17" ht="20.399999999999999">
      <c r="A3134" s="683"/>
      <c r="B3134" s="3129" t="s">
        <v>326</v>
      </c>
      <c r="C3134" s="683" t="s">
        <v>321</v>
      </c>
      <c r="D3134" s="719" t="s">
        <v>1980</v>
      </c>
      <c r="E3134" s="720" t="s">
        <v>1939</v>
      </c>
      <c r="F3134" s="824">
        <v>2239</v>
      </c>
      <c r="G3134" s="800" t="s">
        <v>696</v>
      </c>
      <c r="H3134" s="1322">
        <v>125655</v>
      </c>
      <c r="I3134" s="777"/>
      <c r="J3134" s="1494">
        <v>66080.78</v>
      </c>
      <c r="K3134" s="1312"/>
      <c r="L3134" s="3122">
        <v>134358</v>
      </c>
      <c r="M3134" s="766"/>
      <c r="N3134" s="655"/>
      <c r="O3134" s="7"/>
      <c r="P3134" s="7"/>
      <c r="Q3134" s="7"/>
    </row>
    <row r="3135" spans="1:17">
      <c r="A3135" s="841"/>
      <c r="B3135" s="3130" t="s">
        <v>326</v>
      </c>
      <c r="C3135" s="700" t="s">
        <v>321</v>
      </c>
      <c r="D3135" s="794" t="s">
        <v>1980</v>
      </c>
      <c r="E3135" s="700" t="s">
        <v>1939</v>
      </c>
      <c r="F3135" s="795">
        <v>2239</v>
      </c>
      <c r="G3135" s="812" t="s">
        <v>2873</v>
      </c>
      <c r="H3135" s="771"/>
      <c r="I3135" s="770">
        <v>468</v>
      </c>
      <c r="J3135" s="1494" t="s">
        <v>1134</v>
      </c>
      <c r="K3135" s="1312"/>
      <c r="L3135" s="1309"/>
      <c r="M3135" s="2274">
        <v>1619</v>
      </c>
      <c r="N3135" s="655"/>
      <c r="O3135" s="7"/>
      <c r="P3135" s="7"/>
      <c r="Q3135" s="7"/>
    </row>
    <row r="3136" spans="1:17">
      <c r="A3136" s="774"/>
      <c r="B3136" s="3130" t="s">
        <v>326</v>
      </c>
      <c r="C3136" s="663" t="s">
        <v>321</v>
      </c>
      <c r="D3136" s="678" t="s">
        <v>1980</v>
      </c>
      <c r="E3136" s="700" t="s">
        <v>1939</v>
      </c>
      <c r="F3136" s="795">
        <v>2239</v>
      </c>
      <c r="G3136" s="812" t="s">
        <v>2878</v>
      </c>
      <c r="H3136" s="771"/>
      <c r="I3136" s="770">
        <v>76741</v>
      </c>
      <c r="J3136" s="1494" t="s">
        <v>1134</v>
      </c>
      <c r="K3136" s="1312"/>
      <c r="L3136" s="1309"/>
      <c r="M3136" s="2274">
        <v>88493</v>
      </c>
      <c r="N3136" s="2044"/>
      <c r="O3136" s="7"/>
      <c r="P3136" s="7"/>
      <c r="Q3136" s="7"/>
    </row>
    <row r="3137" spans="1:17">
      <c r="A3137" s="774"/>
      <c r="B3137" s="3130" t="s">
        <v>326</v>
      </c>
      <c r="C3137" s="663" t="s">
        <v>321</v>
      </c>
      <c r="D3137" s="678" t="s">
        <v>1980</v>
      </c>
      <c r="E3137" s="700" t="s">
        <v>1939</v>
      </c>
      <c r="F3137" s="795">
        <v>2239</v>
      </c>
      <c r="G3137" s="812" t="s">
        <v>2877</v>
      </c>
      <c r="H3137" s="771"/>
      <c r="I3137" s="770">
        <v>38371</v>
      </c>
      <c r="J3137" s="1494" t="s">
        <v>1134</v>
      </c>
      <c r="K3137" s="1312"/>
      <c r="L3137" s="1309"/>
      <c r="M3137" s="874">
        <v>44246</v>
      </c>
      <c r="N3137" s="2044"/>
      <c r="O3137" s="7"/>
      <c r="P3137" s="7"/>
      <c r="Q3137" s="7"/>
    </row>
    <row r="3138" spans="1:17" ht="20.399999999999999">
      <c r="A3138" s="774"/>
      <c r="B3138" s="3130" t="s">
        <v>326</v>
      </c>
      <c r="C3138" s="663" t="s">
        <v>321</v>
      </c>
      <c r="D3138" s="678" t="s">
        <v>1980</v>
      </c>
      <c r="E3138" s="700" t="s">
        <v>1939</v>
      </c>
      <c r="F3138" s="795">
        <v>2239</v>
      </c>
      <c r="G3138" s="812" t="s">
        <v>2972</v>
      </c>
      <c r="H3138" s="771"/>
      <c r="I3138" s="770">
        <v>10075</v>
      </c>
      <c r="J3138" s="1494" t="s">
        <v>1134</v>
      </c>
      <c r="K3138" s="1312"/>
      <c r="L3138" s="1309"/>
      <c r="M3138" s="874"/>
      <c r="N3138" s="2044"/>
      <c r="O3138" s="3"/>
      <c r="P3138" s="3"/>
      <c r="Q3138" s="3"/>
    </row>
    <row r="3139" spans="1:17" ht="20.399999999999999">
      <c r="A3139" s="774"/>
      <c r="B3139" s="3130" t="s">
        <v>326</v>
      </c>
      <c r="C3139" s="663" t="s">
        <v>321</v>
      </c>
      <c r="D3139" s="678" t="s">
        <v>1980</v>
      </c>
      <c r="E3139" s="700" t="s">
        <v>1939</v>
      </c>
      <c r="F3139" s="795">
        <v>2239</v>
      </c>
      <c r="G3139" s="812" t="s">
        <v>2041</v>
      </c>
      <c r="H3139" s="771"/>
      <c r="I3139" s="770"/>
      <c r="J3139" s="1494" t="s">
        <v>1134</v>
      </c>
      <c r="K3139" s="1312"/>
      <c r="L3139" s="1309"/>
      <c r="M3139" s="874"/>
      <c r="N3139" s="2044" t="s">
        <v>4078</v>
      </c>
      <c r="O3139" s="7"/>
      <c r="P3139" s="7"/>
      <c r="Q3139" s="7"/>
    </row>
    <row r="3140" spans="1:17">
      <c r="A3140" s="683"/>
      <c r="B3140" s="3129" t="s">
        <v>772</v>
      </c>
      <c r="C3140" s="683" t="s">
        <v>322</v>
      </c>
      <c r="D3140" s="719" t="s">
        <v>1980</v>
      </c>
      <c r="E3140" s="1406" t="s">
        <v>420</v>
      </c>
      <c r="F3140" s="685">
        <v>2239</v>
      </c>
      <c r="G3140" s="686" t="s">
        <v>144</v>
      </c>
      <c r="H3140" s="776">
        <v>27785</v>
      </c>
      <c r="I3140" s="779"/>
      <c r="J3140" s="1494">
        <v>18999</v>
      </c>
      <c r="K3140" s="780"/>
      <c r="L3140" s="2068">
        <v>34142</v>
      </c>
      <c r="M3140" s="2069"/>
      <c r="N3140" s="1224"/>
      <c r="O3140" s="3"/>
      <c r="P3140" s="3"/>
      <c r="Q3140" s="3"/>
    </row>
    <row r="3141" spans="1:17">
      <c r="A3141" s="663" t="s">
        <v>570</v>
      </c>
      <c r="B3141" s="3130" t="s">
        <v>772</v>
      </c>
      <c r="C3141" s="663" t="s">
        <v>322</v>
      </c>
      <c r="D3141" s="678" t="s">
        <v>1980</v>
      </c>
      <c r="E3141" s="1407" t="s">
        <v>420</v>
      </c>
      <c r="F3141" s="679">
        <v>2239</v>
      </c>
      <c r="G3141" s="1671" t="s">
        <v>269</v>
      </c>
      <c r="H3141" s="778"/>
      <c r="I3141" s="773">
        <v>1000</v>
      </c>
      <c r="J3141" s="1494" t="s">
        <v>1134</v>
      </c>
      <c r="K3141" s="784"/>
      <c r="L3141" s="958"/>
      <c r="M3141" s="2067">
        <v>1000</v>
      </c>
      <c r="N3141" s="1224" t="s">
        <v>2439</v>
      </c>
      <c r="O3141" s="7"/>
      <c r="P3141" s="7"/>
      <c r="Q3141" s="7"/>
    </row>
    <row r="3142" spans="1:17">
      <c r="A3142" s="663"/>
      <c r="B3142" s="3130" t="s">
        <v>772</v>
      </c>
      <c r="C3142" s="663" t="s">
        <v>322</v>
      </c>
      <c r="D3142" s="678" t="s">
        <v>1980</v>
      </c>
      <c r="E3142" s="1407" t="s">
        <v>420</v>
      </c>
      <c r="F3142" s="679">
        <v>2239</v>
      </c>
      <c r="G3142" s="2066" t="s">
        <v>625</v>
      </c>
      <c r="H3142" s="778"/>
      <c r="I3142" s="773">
        <v>100</v>
      </c>
      <c r="J3142" s="1494" t="s">
        <v>1134</v>
      </c>
      <c r="K3142" s="784"/>
      <c r="L3142" s="958"/>
      <c r="M3142" s="2067">
        <v>100</v>
      </c>
      <c r="N3142" s="1224"/>
      <c r="O3142" s="3"/>
      <c r="P3142" s="3"/>
      <c r="Q3142" s="3"/>
    </row>
    <row r="3143" spans="1:17" ht="20.399999999999999">
      <c r="A3143" s="663"/>
      <c r="B3143" s="3130" t="s">
        <v>772</v>
      </c>
      <c r="C3143" s="663" t="s">
        <v>322</v>
      </c>
      <c r="D3143" s="678" t="s">
        <v>1980</v>
      </c>
      <c r="E3143" s="1407" t="s">
        <v>420</v>
      </c>
      <c r="F3143" s="679">
        <v>2239</v>
      </c>
      <c r="G3143" s="1671" t="s">
        <v>358</v>
      </c>
      <c r="H3143" s="778"/>
      <c r="I3143" s="773">
        <v>200</v>
      </c>
      <c r="J3143" s="1494">
        <v>121.38</v>
      </c>
      <c r="K3143" s="784"/>
      <c r="L3143" s="958"/>
      <c r="M3143" s="2067">
        <v>200</v>
      </c>
      <c r="N3143" s="2044" t="s">
        <v>4094</v>
      </c>
      <c r="O3143" s="7"/>
      <c r="P3143" s="7"/>
      <c r="Q3143" s="7"/>
    </row>
    <row r="3144" spans="1:17">
      <c r="A3144" s="663"/>
      <c r="B3144" s="3130" t="s">
        <v>772</v>
      </c>
      <c r="C3144" s="663" t="s">
        <v>322</v>
      </c>
      <c r="D3144" s="678" t="s">
        <v>1980</v>
      </c>
      <c r="E3144" s="1407" t="s">
        <v>420</v>
      </c>
      <c r="F3144" s="679">
        <v>2239</v>
      </c>
      <c r="G3144" s="1671" t="s">
        <v>332</v>
      </c>
      <c r="H3144" s="778"/>
      <c r="I3144" s="773">
        <v>480</v>
      </c>
      <c r="J3144" s="1494">
        <v>500</v>
      </c>
      <c r="K3144" s="784"/>
      <c r="L3144" s="958"/>
      <c r="M3144" s="2067">
        <v>480</v>
      </c>
      <c r="N3144" s="1224"/>
      <c r="O3144" s="3"/>
      <c r="P3144" s="3"/>
      <c r="Q3144" s="3"/>
    </row>
    <row r="3145" spans="1:17" ht="20.399999999999999">
      <c r="A3145" s="663"/>
      <c r="B3145" s="3130" t="s">
        <v>772</v>
      </c>
      <c r="C3145" s="663" t="s">
        <v>322</v>
      </c>
      <c r="D3145" s="678" t="s">
        <v>1980</v>
      </c>
      <c r="E3145" s="1407" t="s">
        <v>420</v>
      </c>
      <c r="F3145" s="679">
        <v>2239</v>
      </c>
      <c r="G3145" s="665" t="s">
        <v>2423</v>
      </c>
      <c r="H3145" s="778"/>
      <c r="I3145" s="773">
        <v>4500</v>
      </c>
      <c r="J3145" s="1494">
        <v>2250</v>
      </c>
      <c r="K3145" s="784"/>
      <c r="L3145" s="958"/>
      <c r="M3145" s="2067">
        <v>4500</v>
      </c>
      <c r="N3145" s="2098"/>
      <c r="O3145" s="7"/>
      <c r="P3145" s="7"/>
      <c r="Q3145" s="7"/>
    </row>
    <row r="3146" spans="1:17">
      <c r="A3146" s="663"/>
      <c r="B3146" s="3130" t="s">
        <v>772</v>
      </c>
      <c r="C3146" s="663" t="s">
        <v>322</v>
      </c>
      <c r="D3146" s="678" t="s">
        <v>1980</v>
      </c>
      <c r="E3146" s="1407" t="s">
        <v>420</v>
      </c>
      <c r="F3146" s="679">
        <v>2239</v>
      </c>
      <c r="G3146" s="665" t="s">
        <v>2719</v>
      </c>
      <c r="H3146" s="778"/>
      <c r="I3146" s="773">
        <v>80</v>
      </c>
      <c r="J3146" s="1494" t="s">
        <v>1134</v>
      </c>
      <c r="K3146" s="784"/>
      <c r="L3146" s="958"/>
      <c r="M3146" s="2067">
        <v>80</v>
      </c>
      <c r="N3146" s="2098"/>
      <c r="O3146" s="3"/>
      <c r="P3146" s="3"/>
      <c r="Q3146" s="3"/>
    </row>
    <row r="3147" spans="1:17">
      <c r="A3147" s="663"/>
      <c r="B3147" s="3130" t="s">
        <v>772</v>
      </c>
      <c r="C3147" s="663" t="s">
        <v>322</v>
      </c>
      <c r="D3147" s="678" t="s">
        <v>1980</v>
      </c>
      <c r="E3147" s="1407" t="s">
        <v>420</v>
      </c>
      <c r="F3147" s="679">
        <v>2239</v>
      </c>
      <c r="G3147" s="665" t="s">
        <v>2720</v>
      </c>
      <c r="H3147" s="778"/>
      <c r="I3147" s="773">
        <v>90</v>
      </c>
      <c r="J3147" s="1494" t="s">
        <v>1134</v>
      </c>
      <c r="K3147" s="784"/>
      <c r="L3147" s="958"/>
      <c r="M3147" s="2067">
        <v>90</v>
      </c>
      <c r="N3147" s="2098"/>
      <c r="O3147" s="7"/>
      <c r="P3147" s="7"/>
      <c r="Q3147" s="7"/>
    </row>
    <row r="3148" spans="1:17" ht="20.399999999999999">
      <c r="A3148" s="663"/>
      <c r="B3148" s="3130" t="s">
        <v>772</v>
      </c>
      <c r="C3148" s="663" t="s">
        <v>322</v>
      </c>
      <c r="D3148" s="678" t="s">
        <v>1980</v>
      </c>
      <c r="E3148" s="1407" t="s">
        <v>420</v>
      </c>
      <c r="F3148" s="679">
        <v>2239</v>
      </c>
      <c r="G3148" s="665" t="s">
        <v>4062</v>
      </c>
      <c r="H3148" s="778"/>
      <c r="I3148" s="773">
        <v>200</v>
      </c>
      <c r="J3148" s="1494" t="s">
        <v>1134</v>
      </c>
      <c r="K3148" s="784"/>
      <c r="L3148" s="958"/>
      <c r="M3148" s="2067"/>
      <c r="N3148" s="2098"/>
      <c r="O3148" s="3"/>
      <c r="P3148" s="3"/>
      <c r="Q3148" s="3"/>
    </row>
    <row r="3149" spans="1:17" ht="20.399999999999999">
      <c r="A3149" s="663"/>
      <c r="B3149" s="3130" t="s">
        <v>772</v>
      </c>
      <c r="C3149" s="663" t="s">
        <v>322</v>
      </c>
      <c r="D3149" s="678" t="s">
        <v>1980</v>
      </c>
      <c r="E3149" s="1407" t="s">
        <v>420</v>
      </c>
      <c r="F3149" s="679">
        <v>2239</v>
      </c>
      <c r="G3149" s="665" t="s">
        <v>2425</v>
      </c>
      <c r="H3149" s="778"/>
      <c r="I3149" s="773">
        <v>250</v>
      </c>
      <c r="J3149" s="1494" t="s">
        <v>1134</v>
      </c>
      <c r="K3149" s="784"/>
      <c r="L3149" s="958"/>
      <c r="M3149" s="2067">
        <v>250</v>
      </c>
      <c r="N3149" s="2098"/>
      <c r="O3149" s="7"/>
      <c r="P3149" s="7"/>
      <c r="Q3149" s="7"/>
    </row>
    <row r="3150" spans="1:17" ht="20.399999999999999">
      <c r="A3150" s="663"/>
      <c r="B3150" s="3130" t="s">
        <v>772</v>
      </c>
      <c r="C3150" s="663" t="s">
        <v>322</v>
      </c>
      <c r="D3150" s="678" t="s">
        <v>1980</v>
      </c>
      <c r="E3150" s="1407" t="s">
        <v>420</v>
      </c>
      <c r="F3150" s="679">
        <v>2239</v>
      </c>
      <c r="G3150" s="665" t="s">
        <v>2426</v>
      </c>
      <c r="H3150" s="778"/>
      <c r="I3150" s="773">
        <v>150</v>
      </c>
      <c r="J3150" s="1494" t="s">
        <v>1134</v>
      </c>
      <c r="K3150" s="784"/>
      <c r="L3150" s="958"/>
      <c r="M3150" s="946"/>
      <c r="N3150" s="2098"/>
      <c r="O3150" s="7"/>
      <c r="P3150" s="7"/>
      <c r="Q3150" s="7"/>
    </row>
    <row r="3151" spans="1:17">
      <c r="A3151" s="663"/>
      <c r="B3151" s="3130" t="s">
        <v>772</v>
      </c>
      <c r="C3151" s="663" t="s">
        <v>322</v>
      </c>
      <c r="D3151" s="678" t="s">
        <v>1980</v>
      </c>
      <c r="E3151" s="1407" t="s">
        <v>420</v>
      </c>
      <c r="F3151" s="679">
        <v>2239</v>
      </c>
      <c r="G3151" s="665" t="s">
        <v>2427</v>
      </c>
      <c r="H3151" s="778"/>
      <c r="I3151" s="773">
        <v>75</v>
      </c>
      <c r="J3151" s="1494" t="s">
        <v>1134</v>
      </c>
      <c r="K3151" s="784"/>
      <c r="L3151" s="958"/>
      <c r="M3151" s="946"/>
      <c r="N3151" s="305" t="s">
        <v>4398</v>
      </c>
      <c r="O3151" s="7"/>
      <c r="P3151" s="7"/>
      <c r="Q3151" s="7"/>
    </row>
    <row r="3152" spans="1:17" ht="20.399999999999999">
      <c r="A3152" s="663"/>
      <c r="B3152" s="3130" t="s">
        <v>772</v>
      </c>
      <c r="C3152" s="663" t="s">
        <v>322</v>
      </c>
      <c r="D3152" s="678" t="s">
        <v>1980</v>
      </c>
      <c r="E3152" s="1407" t="s">
        <v>420</v>
      </c>
      <c r="F3152" s="679">
        <v>2239</v>
      </c>
      <c r="G3152" s="665" t="s">
        <v>2428</v>
      </c>
      <c r="H3152" s="778"/>
      <c r="I3152" s="773">
        <v>240</v>
      </c>
      <c r="J3152" s="1494" t="s">
        <v>1134</v>
      </c>
      <c r="K3152" s="784"/>
      <c r="L3152" s="958"/>
      <c r="M3152" s="946"/>
      <c r="N3152" s="2098"/>
    </row>
    <row r="3153" spans="1:32">
      <c r="A3153" s="663"/>
      <c r="B3153" s="3130" t="s">
        <v>772</v>
      </c>
      <c r="C3153" s="663" t="s">
        <v>322</v>
      </c>
      <c r="D3153" s="678" t="s">
        <v>1980</v>
      </c>
      <c r="E3153" s="1407" t="s">
        <v>420</v>
      </c>
      <c r="F3153" s="679">
        <v>2239</v>
      </c>
      <c r="G3153" s="665" t="s">
        <v>2429</v>
      </c>
      <c r="H3153" s="778"/>
      <c r="I3153" s="773">
        <v>250</v>
      </c>
      <c r="J3153" s="1494" t="s">
        <v>1134</v>
      </c>
      <c r="K3153" s="784"/>
      <c r="L3153" s="958"/>
      <c r="M3153" s="946"/>
      <c r="N3153" s="2098"/>
    </row>
    <row r="3154" spans="1:32">
      <c r="A3154" s="663"/>
      <c r="B3154" s="3130" t="s">
        <v>772</v>
      </c>
      <c r="C3154" s="663" t="s">
        <v>322</v>
      </c>
      <c r="D3154" s="678" t="s">
        <v>1980</v>
      </c>
      <c r="E3154" s="1407" t="s">
        <v>420</v>
      </c>
      <c r="F3154" s="679">
        <v>2239</v>
      </c>
      <c r="G3154" s="665" t="s">
        <v>2430</v>
      </c>
      <c r="H3154" s="778"/>
      <c r="I3154" s="773">
        <v>100</v>
      </c>
      <c r="J3154" s="1494" t="s">
        <v>1134</v>
      </c>
      <c r="K3154" s="784"/>
      <c r="L3154" s="958"/>
      <c r="M3154" s="946"/>
      <c r="N3154" s="2044"/>
    </row>
    <row r="3155" spans="1:32">
      <c r="A3155" s="774"/>
      <c r="B3155" s="3137" t="s">
        <v>772</v>
      </c>
      <c r="C3155" s="774" t="s">
        <v>322</v>
      </c>
      <c r="D3155" s="678" t="s">
        <v>1980</v>
      </c>
      <c r="E3155" s="1407" t="s">
        <v>420</v>
      </c>
      <c r="F3155" s="679">
        <v>2239</v>
      </c>
      <c r="G3155" s="1671" t="s">
        <v>1578</v>
      </c>
      <c r="H3155" s="778"/>
      <c r="I3155" s="773">
        <v>300</v>
      </c>
      <c r="J3155" s="1494" t="s">
        <v>1134</v>
      </c>
      <c r="K3155" s="784"/>
      <c r="L3155" s="958"/>
      <c r="M3155" s="2067">
        <v>300</v>
      </c>
      <c r="N3155" s="2042" t="s">
        <v>4381</v>
      </c>
    </row>
    <row r="3156" spans="1:32" ht="30.6">
      <c r="A3156" s="663"/>
      <c r="B3156" s="3130" t="s">
        <v>772</v>
      </c>
      <c r="C3156" s="663" t="s">
        <v>322</v>
      </c>
      <c r="D3156" s="678" t="s">
        <v>1980</v>
      </c>
      <c r="E3156" s="1407" t="s">
        <v>420</v>
      </c>
      <c r="F3156" s="679">
        <v>2239</v>
      </c>
      <c r="G3156" s="1671" t="s">
        <v>417</v>
      </c>
      <c r="H3156" s="778"/>
      <c r="I3156" s="773">
        <v>1000</v>
      </c>
      <c r="J3156" s="1494" t="s">
        <v>1134</v>
      </c>
      <c r="K3156" s="784"/>
      <c r="L3156" s="958"/>
      <c r="M3156" s="2067">
        <v>1000</v>
      </c>
      <c r="N3156" s="2042" t="s">
        <v>4381</v>
      </c>
      <c r="O3156" s="3"/>
      <c r="P3156" s="3"/>
      <c r="Q3156" s="3"/>
    </row>
    <row r="3157" spans="1:32" ht="20.399999999999999">
      <c r="A3157" s="663"/>
      <c r="B3157" s="3130" t="s">
        <v>772</v>
      </c>
      <c r="C3157" s="663" t="s">
        <v>322</v>
      </c>
      <c r="D3157" s="678" t="s">
        <v>1980</v>
      </c>
      <c r="E3157" s="1407" t="s">
        <v>420</v>
      </c>
      <c r="F3157" s="679">
        <v>2239</v>
      </c>
      <c r="G3157" s="1671" t="s">
        <v>393</v>
      </c>
      <c r="H3157" s="778"/>
      <c r="I3157" s="773">
        <v>200</v>
      </c>
      <c r="J3157" s="1494" t="s">
        <v>1134</v>
      </c>
      <c r="K3157" s="784"/>
      <c r="L3157" s="958"/>
      <c r="M3157" s="2067">
        <v>200</v>
      </c>
      <c r="N3157" s="2042" t="s">
        <v>4381</v>
      </c>
      <c r="O3157" s="7"/>
      <c r="P3157" s="7"/>
      <c r="Q3157" s="7"/>
    </row>
    <row r="3158" spans="1:32" ht="40.799999999999997">
      <c r="A3158" s="774"/>
      <c r="B3158" s="3130" t="s">
        <v>772</v>
      </c>
      <c r="C3158" s="663" t="s">
        <v>322</v>
      </c>
      <c r="D3158" s="678" t="s">
        <v>1980</v>
      </c>
      <c r="E3158" s="1407" t="s">
        <v>420</v>
      </c>
      <c r="F3158" s="679">
        <v>2239</v>
      </c>
      <c r="G3158" s="2066" t="s">
        <v>1114</v>
      </c>
      <c r="H3158" s="778"/>
      <c r="I3158" s="773">
        <v>300</v>
      </c>
      <c r="J3158" s="1494" t="s">
        <v>1134</v>
      </c>
      <c r="K3158" s="784"/>
      <c r="L3158" s="958"/>
      <c r="M3158" s="2067">
        <v>300</v>
      </c>
      <c r="N3158" s="2042" t="s">
        <v>4381</v>
      </c>
      <c r="O3158" s="4"/>
      <c r="P3158" s="4"/>
      <c r="Q3158" s="4"/>
      <c r="R3158" s="4"/>
      <c r="S3158" s="4"/>
      <c r="T3158" s="4"/>
      <c r="U3158" s="4"/>
      <c r="V3158" s="4"/>
      <c r="W3158" s="4"/>
      <c r="X3158" s="4"/>
      <c r="Y3158" s="4"/>
      <c r="Z3158" s="4"/>
      <c r="AA3158" s="4"/>
      <c r="AB3158" s="4"/>
      <c r="AC3158" s="4"/>
      <c r="AD3158" s="4"/>
      <c r="AE3158" s="4"/>
      <c r="AF3158" s="4"/>
    </row>
    <row r="3159" spans="1:32" ht="20.399999999999999">
      <c r="A3159" s="774"/>
      <c r="B3159" s="3130" t="s">
        <v>772</v>
      </c>
      <c r="C3159" s="663" t="s">
        <v>322</v>
      </c>
      <c r="D3159" s="678" t="s">
        <v>1980</v>
      </c>
      <c r="E3159" s="1407" t="s">
        <v>420</v>
      </c>
      <c r="F3159" s="679">
        <v>2239</v>
      </c>
      <c r="G3159" s="1671" t="s">
        <v>4063</v>
      </c>
      <c r="H3159" s="778"/>
      <c r="I3159" s="773">
        <v>400</v>
      </c>
      <c r="J3159" s="1494" t="s">
        <v>1134</v>
      </c>
      <c r="K3159" s="784"/>
      <c r="L3159" s="958"/>
      <c r="M3159" s="2067"/>
      <c r="N3159" s="2042" t="s">
        <v>4381</v>
      </c>
      <c r="O3159" s="7"/>
      <c r="P3159" s="7"/>
      <c r="Q3159" s="7"/>
    </row>
    <row r="3160" spans="1:32" ht="20.399999999999999">
      <c r="A3160" s="774"/>
      <c r="B3160" s="3130" t="s">
        <v>772</v>
      </c>
      <c r="C3160" s="663" t="s">
        <v>322</v>
      </c>
      <c r="D3160" s="678" t="s">
        <v>1980</v>
      </c>
      <c r="E3160" s="1407" t="s">
        <v>420</v>
      </c>
      <c r="F3160" s="679">
        <v>2239</v>
      </c>
      <c r="G3160" s="1671" t="s">
        <v>4064</v>
      </c>
      <c r="H3160" s="778"/>
      <c r="I3160" s="773">
        <v>870</v>
      </c>
      <c r="J3160" s="1494">
        <v>165</v>
      </c>
      <c r="K3160" s="784"/>
      <c r="L3160" s="958"/>
      <c r="M3160" s="2067"/>
      <c r="N3160" s="2042" t="s">
        <v>4381</v>
      </c>
      <c r="O3160" s="3"/>
      <c r="P3160" s="3"/>
      <c r="Q3160" s="3"/>
    </row>
    <row r="3161" spans="1:32" ht="40.799999999999997">
      <c r="A3161" s="774"/>
      <c r="B3161" s="3130" t="s">
        <v>772</v>
      </c>
      <c r="C3161" s="700" t="s">
        <v>322</v>
      </c>
      <c r="D3161" s="794" t="s">
        <v>1980</v>
      </c>
      <c r="E3161" s="1407" t="s">
        <v>420</v>
      </c>
      <c r="F3161" s="795">
        <v>2239</v>
      </c>
      <c r="G3161" s="1703" t="s">
        <v>1264</v>
      </c>
      <c r="H3161" s="778"/>
      <c r="I3161" s="773">
        <v>17000</v>
      </c>
      <c r="J3161" s="1494">
        <v>16022.35</v>
      </c>
      <c r="K3161" s="784"/>
      <c r="L3161" s="958"/>
      <c r="M3161" s="2067">
        <v>25000</v>
      </c>
      <c r="N3161" s="2042" t="s">
        <v>4381</v>
      </c>
      <c r="O3161" s="7"/>
      <c r="P3161" s="7"/>
      <c r="Q3161" s="7"/>
    </row>
    <row r="3162" spans="1:32">
      <c r="A3162" s="2058"/>
      <c r="B3162" s="3130" t="s">
        <v>772</v>
      </c>
      <c r="C3162" s="700" t="s">
        <v>322</v>
      </c>
      <c r="D3162" s="794" t="s">
        <v>1980</v>
      </c>
      <c r="E3162" s="1407" t="s">
        <v>420</v>
      </c>
      <c r="F3162" s="795">
        <v>2239</v>
      </c>
      <c r="G3162" s="1703" t="s">
        <v>4065</v>
      </c>
      <c r="H3162" s="2059"/>
      <c r="I3162" s="2060"/>
      <c r="J3162" s="1673"/>
      <c r="K3162" s="2061"/>
      <c r="L3162" s="2062"/>
      <c r="M3162" s="2067">
        <v>642</v>
      </c>
      <c r="N3162" s="2044"/>
      <c r="O3162" s="3"/>
      <c r="P3162" s="3"/>
      <c r="Q3162" s="3"/>
    </row>
    <row r="3163" spans="1:32">
      <c r="A3163" s="683"/>
      <c r="B3163" s="3129" t="s">
        <v>773</v>
      </c>
      <c r="C3163" s="683" t="s">
        <v>322</v>
      </c>
      <c r="D3163" s="719" t="s">
        <v>1980</v>
      </c>
      <c r="E3163" s="1406" t="s">
        <v>420</v>
      </c>
      <c r="F3163" s="685">
        <v>2239</v>
      </c>
      <c r="G3163" s="686" t="s">
        <v>144</v>
      </c>
      <c r="H3163" s="776"/>
      <c r="I3163" s="779"/>
      <c r="J3163" s="1494">
        <v>18999</v>
      </c>
      <c r="K3163" s="780"/>
      <c r="L3163" s="2068">
        <v>2866.6666666666665</v>
      </c>
      <c r="M3163" s="2069"/>
      <c r="N3163" s="2098"/>
      <c r="O3163" s="7"/>
      <c r="P3163" s="7"/>
      <c r="Q3163" s="7"/>
    </row>
    <row r="3164" spans="1:32">
      <c r="A3164" s="2058"/>
      <c r="B3164" s="3130" t="s">
        <v>773</v>
      </c>
      <c r="C3164" s="700" t="s">
        <v>322</v>
      </c>
      <c r="D3164" s="794" t="s">
        <v>1980</v>
      </c>
      <c r="E3164" s="1407" t="s">
        <v>420</v>
      </c>
      <c r="F3164" s="795">
        <v>2239</v>
      </c>
      <c r="G3164" s="1703" t="s">
        <v>4067</v>
      </c>
      <c r="H3164" s="2059"/>
      <c r="I3164" s="2060"/>
      <c r="J3164" s="1673"/>
      <c r="K3164" s="2061"/>
      <c r="L3164" s="2062"/>
      <c r="M3164" s="2035">
        <v>300</v>
      </c>
      <c r="N3164" s="2098"/>
      <c r="O3164" s="3"/>
      <c r="P3164" s="3"/>
      <c r="Q3164" s="3"/>
    </row>
    <row r="3165" spans="1:32">
      <c r="A3165" s="774"/>
      <c r="B3165" s="3130" t="s">
        <v>773</v>
      </c>
      <c r="C3165" s="663" t="s">
        <v>322</v>
      </c>
      <c r="D3165" s="678" t="s">
        <v>1980</v>
      </c>
      <c r="E3165" s="1407" t="s">
        <v>420</v>
      </c>
      <c r="F3165" s="679">
        <v>2239</v>
      </c>
      <c r="G3165" s="1671" t="s">
        <v>4068</v>
      </c>
      <c r="H3165" s="778"/>
      <c r="I3165" s="773"/>
      <c r="J3165" s="1494"/>
      <c r="K3165" s="784"/>
      <c r="L3165" s="958"/>
      <c r="M3165" s="2828">
        <v>2566.6666666666665</v>
      </c>
      <c r="N3165" s="1224"/>
      <c r="O3165" s="3"/>
      <c r="P3165" s="3"/>
      <c r="Q3165" s="3"/>
    </row>
    <row r="3166" spans="1:32" ht="20.399999999999999">
      <c r="A3166" s="683"/>
      <c r="B3166" s="3129" t="s">
        <v>365</v>
      </c>
      <c r="C3166" s="683" t="s">
        <v>807</v>
      </c>
      <c r="D3166" s="719" t="s">
        <v>1980</v>
      </c>
      <c r="E3166" s="720" t="s">
        <v>1940</v>
      </c>
      <c r="F3166" s="824">
        <v>2239</v>
      </c>
      <c r="G3166" s="800" t="s">
        <v>509</v>
      </c>
      <c r="H3166" s="776">
        <v>0</v>
      </c>
      <c r="I3166" s="777"/>
      <c r="J3166" s="1654" t="s">
        <v>1134</v>
      </c>
      <c r="K3166" s="780"/>
      <c r="L3166" s="776">
        <v>0</v>
      </c>
      <c r="M3166" s="1324"/>
      <c r="N3166" s="1224"/>
      <c r="O3166" s="7"/>
      <c r="P3166" s="7"/>
      <c r="Q3166" s="7"/>
    </row>
    <row r="3167" spans="1:32" ht="20.399999999999999">
      <c r="A3167" s="760"/>
      <c r="B3167" s="3130" t="s">
        <v>365</v>
      </c>
      <c r="C3167" s="663" t="s">
        <v>807</v>
      </c>
      <c r="D3167" s="678" t="s">
        <v>1980</v>
      </c>
      <c r="E3167" s="700" t="s">
        <v>1940</v>
      </c>
      <c r="F3167" s="795">
        <v>2239</v>
      </c>
      <c r="G3167" s="812" t="s">
        <v>1311</v>
      </c>
      <c r="H3167" s="701"/>
      <c r="I3167" s="701"/>
      <c r="J3167" s="1654" t="s">
        <v>1134</v>
      </c>
      <c r="K3167" s="792"/>
      <c r="L3167" s="701"/>
      <c r="M3167" s="701"/>
      <c r="N3167" s="1224"/>
      <c r="O3167" s="3"/>
      <c r="P3167" s="3"/>
      <c r="Q3167" s="3"/>
    </row>
    <row r="3168" spans="1:32">
      <c r="A3168" s="683"/>
      <c r="B3168" s="3129" t="s">
        <v>772</v>
      </c>
      <c r="C3168" s="683" t="s">
        <v>434</v>
      </c>
      <c r="D3168" s="719" t="s">
        <v>1980</v>
      </c>
      <c r="E3168" s="1406" t="s">
        <v>420</v>
      </c>
      <c r="F3168" s="685">
        <v>2241</v>
      </c>
      <c r="G3168" s="683" t="s">
        <v>1141</v>
      </c>
      <c r="H3168" s="775">
        <v>0</v>
      </c>
      <c r="I3168" s="779"/>
      <c r="J3168" s="1494" t="s">
        <v>1134</v>
      </c>
      <c r="K3168" s="780"/>
      <c r="L3168" s="2070">
        <v>0</v>
      </c>
      <c r="M3168" s="2069"/>
      <c r="N3168" s="1224"/>
      <c r="O3168" s="4"/>
      <c r="P3168" s="4"/>
      <c r="Q3168" s="4"/>
      <c r="R3168" s="4"/>
      <c r="S3168" s="4"/>
      <c r="T3168" s="4"/>
      <c r="U3168" s="4"/>
      <c r="V3168" s="4"/>
      <c r="W3168" s="4"/>
      <c r="X3168" s="4"/>
      <c r="Y3168" s="4"/>
      <c r="Z3168" s="4"/>
      <c r="AA3168" s="4"/>
      <c r="AB3168" s="4"/>
      <c r="AC3168" s="4"/>
      <c r="AD3168" s="4"/>
      <c r="AE3168" s="4"/>
      <c r="AF3168" s="4"/>
    </row>
    <row r="3169" spans="1:32">
      <c r="A3169" s="663" t="s">
        <v>566</v>
      </c>
      <c r="B3169" s="3130" t="s">
        <v>772</v>
      </c>
      <c r="C3169" s="663" t="s">
        <v>434</v>
      </c>
      <c r="D3169" s="678" t="s">
        <v>1980</v>
      </c>
      <c r="E3169" s="1407" t="s">
        <v>420</v>
      </c>
      <c r="F3169" s="679">
        <v>2241</v>
      </c>
      <c r="G3169" s="743"/>
      <c r="H3169" s="778"/>
      <c r="I3169" s="787"/>
      <c r="J3169" s="1494" t="s">
        <v>1134</v>
      </c>
      <c r="K3169" s="784"/>
      <c r="L3169" s="2071"/>
      <c r="M3169" s="2072"/>
      <c r="N3169" s="1224"/>
      <c r="O3169" s="7"/>
      <c r="P3169" s="7"/>
      <c r="Q3169" s="7"/>
    </row>
    <row r="3170" spans="1:32">
      <c r="A3170" s="683"/>
      <c r="B3170" s="3129" t="s">
        <v>772</v>
      </c>
      <c r="C3170" s="683" t="s">
        <v>320</v>
      </c>
      <c r="D3170" s="719" t="s">
        <v>1980</v>
      </c>
      <c r="E3170" s="1406" t="s">
        <v>420</v>
      </c>
      <c r="F3170" s="1698">
        <v>2243</v>
      </c>
      <c r="G3170" s="1691" t="s">
        <v>270</v>
      </c>
      <c r="H3170" s="2074">
        <v>2600</v>
      </c>
      <c r="I3170" s="2075"/>
      <c r="J3170" s="1684">
        <v>2021</v>
      </c>
      <c r="K3170" s="2052"/>
      <c r="L3170" s="2074">
        <v>2600</v>
      </c>
      <c r="M3170" s="2076"/>
      <c r="N3170" s="1224"/>
      <c r="O3170" s="4"/>
      <c r="P3170" s="4"/>
      <c r="Q3170" s="4"/>
      <c r="R3170" s="4"/>
      <c r="S3170" s="4"/>
      <c r="T3170" s="4"/>
      <c r="U3170" s="4"/>
      <c r="V3170" s="4"/>
      <c r="W3170" s="4"/>
      <c r="X3170" s="4"/>
      <c r="Y3170" s="4"/>
      <c r="Z3170" s="4"/>
      <c r="AA3170" s="4"/>
      <c r="AB3170" s="4"/>
      <c r="AC3170" s="4"/>
      <c r="AD3170" s="4"/>
      <c r="AE3170" s="4"/>
      <c r="AF3170" s="4"/>
    </row>
    <row r="3171" spans="1:32" ht="30.6">
      <c r="A3171" s="663" t="s">
        <v>570</v>
      </c>
      <c r="B3171" s="3130" t="s">
        <v>772</v>
      </c>
      <c r="C3171" s="663" t="s">
        <v>320</v>
      </c>
      <c r="D3171" s="678" t="s">
        <v>1980</v>
      </c>
      <c r="E3171" s="1407" t="s">
        <v>420</v>
      </c>
      <c r="F3171" s="1413">
        <v>2243</v>
      </c>
      <c r="G3171" s="1699" t="s">
        <v>435</v>
      </c>
      <c r="H3171" s="2064"/>
      <c r="I3171" s="2055">
        <v>1500</v>
      </c>
      <c r="J3171" s="1684" t="s">
        <v>1134</v>
      </c>
      <c r="K3171" s="2056"/>
      <c r="L3171" s="2064"/>
      <c r="M3171" s="2077">
        <v>1400</v>
      </c>
      <c r="N3171" s="1224"/>
      <c r="O3171" s="187"/>
      <c r="P3171" s="187"/>
      <c r="Q3171" s="187"/>
      <c r="R3171" s="187"/>
      <c r="S3171" s="187"/>
      <c r="T3171" s="187"/>
      <c r="U3171" s="187"/>
      <c r="V3171" s="187"/>
      <c r="W3171" s="187"/>
      <c r="X3171" s="187"/>
      <c r="Y3171" s="187"/>
      <c r="Z3171" s="187"/>
      <c r="AA3171" s="187"/>
      <c r="AB3171" s="187"/>
      <c r="AC3171" s="187"/>
      <c r="AD3171" s="187"/>
      <c r="AE3171" s="187"/>
      <c r="AF3171" s="187"/>
    </row>
    <row r="3172" spans="1:32">
      <c r="A3172" s="663"/>
      <c r="B3172" s="3130" t="s">
        <v>772</v>
      </c>
      <c r="C3172" s="663" t="s">
        <v>320</v>
      </c>
      <c r="D3172" s="678" t="s">
        <v>1980</v>
      </c>
      <c r="E3172" s="1407" t="s">
        <v>420</v>
      </c>
      <c r="F3172" s="1413">
        <v>2243</v>
      </c>
      <c r="G3172" s="1699" t="s">
        <v>4069</v>
      </c>
      <c r="H3172" s="2064"/>
      <c r="I3172" s="2055">
        <v>200</v>
      </c>
      <c r="J3172" s="1684" t="s">
        <v>1134</v>
      </c>
      <c r="K3172" s="2056"/>
      <c r="L3172" s="2064"/>
      <c r="M3172" s="2077">
        <v>300</v>
      </c>
      <c r="N3172" s="1224"/>
      <c r="O3172" s="187"/>
      <c r="P3172" s="187"/>
      <c r="Q3172" s="187"/>
      <c r="R3172" s="187"/>
      <c r="S3172" s="187"/>
      <c r="T3172" s="187"/>
      <c r="U3172" s="187"/>
      <c r="V3172" s="187"/>
      <c r="W3172" s="187"/>
      <c r="X3172" s="187"/>
      <c r="Y3172" s="187"/>
      <c r="Z3172" s="187"/>
      <c r="AA3172" s="187"/>
      <c r="AB3172" s="187"/>
      <c r="AC3172" s="187"/>
      <c r="AD3172" s="187"/>
      <c r="AE3172" s="187"/>
      <c r="AF3172" s="187"/>
    </row>
    <row r="3173" spans="1:32">
      <c r="A3173" s="663"/>
      <c r="B3173" s="3130" t="s">
        <v>772</v>
      </c>
      <c r="C3173" s="663" t="s">
        <v>320</v>
      </c>
      <c r="D3173" s="678" t="s">
        <v>1980</v>
      </c>
      <c r="E3173" s="1407" t="s">
        <v>420</v>
      </c>
      <c r="F3173" s="1413">
        <v>2243</v>
      </c>
      <c r="G3173" s="1699" t="s">
        <v>392</v>
      </c>
      <c r="H3173" s="2064"/>
      <c r="I3173" s="2055">
        <v>300</v>
      </c>
      <c r="J3173" s="1684" t="s">
        <v>1134</v>
      </c>
      <c r="K3173" s="2056"/>
      <c r="L3173" s="2064"/>
      <c r="M3173" s="2077">
        <v>300</v>
      </c>
      <c r="N3173" s="1224"/>
      <c r="O3173" s="7"/>
      <c r="P3173" s="7"/>
      <c r="Q3173" s="7"/>
    </row>
    <row r="3174" spans="1:32">
      <c r="A3174" s="663"/>
      <c r="B3174" s="3130" t="s">
        <v>772</v>
      </c>
      <c r="C3174" s="663" t="s">
        <v>320</v>
      </c>
      <c r="D3174" s="678" t="s">
        <v>1980</v>
      </c>
      <c r="E3174" s="1407" t="s">
        <v>420</v>
      </c>
      <c r="F3174" s="1413">
        <v>2243</v>
      </c>
      <c r="G3174" s="1699" t="s">
        <v>674</v>
      </c>
      <c r="H3174" s="2064"/>
      <c r="I3174" s="2055">
        <v>200</v>
      </c>
      <c r="J3174" s="1684" t="s">
        <v>1134</v>
      </c>
      <c r="K3174" s="2056"/>
      <c r="L3174" s="2064"/>
      <c r="M3174" s="2077">
        <v>300</v>
      </c>
      <c r="N3174" s="1224"/>
      <c r="O3174" s="3"/>
      <c r="P3174" s="3"/>
      <c r="Q3174" s="3"/>
    </row>
    <row r="3175" spans="1:32" ht="20.399999999999999">
      <c r="A3175" s="663"/>
      <c r="B3175" s="3130" t="s">
        <v>772</v>
      </c>
      <c r="C3175" s="663" t="s">
        <v>320</v>
      </c>
      <c r="D3175" s="678" t="s">
        <v>1980</v>
      </c>
      <c r="E3175" s="1407" t="s">
        <v>420</v>
      </c>
      <c r="F3175" s="1413">
        <v>2243</v>
      </c>
      <c r="G3175" s="1699" t="s">
        <v>675</v>
      </c>
      <c r="H3175" s="2064"/>
      <c r="I3175" s="2055">
        <v>400</v>
      </c>
      <c r="J3175" s="1684" t="s">
        <v>1134</v>
      </c>
      <c r="K3175" s="2056"/>
      <c r="L3175" s="2064"/>
      <c r="M3175" s="2077">
        <v>300</v>
      </c>
      <c r="N3175" s="1224"/>
      <c r="O3175" s="7"/>
      <c r="P3175" s="7"/>
      <c r="Q3175" s="7"/>
    </row>
    <row r="3176" spans="1:32">
      <c r="A3176" s="683"/>
      <c r="B3176" s="3129" t="s">
        <v>772</v>
      </c>
      <c r="C3176" s="683" t="s">
        <v>327</v>
      </c>
      <c r="D3176" s="719" t="s">
        <v>1980</v>
      </c>
      <c r="E3176" s="1406" t="s">
        <v>420</v>
      </c>
      <c r="F3176" s="1698">
        <v>2244</v>
      </c>
      <c r="G3176" s="1691" t="s">
        <v>160</v>
      </c>
      <c r="H3176" s="2074">
        <v>0</v>
      </c>
      <c r="I3176" s="2075"/>
      <c r="J3176" s="1684" t="s">
        <v>1134</v>
      </c>
      <c r="K3176" s="2052"/>
      <c r="L3176" s="2074">
        <v>0</v>
      </c>
      <c r="M3176" s="2076"/>
      <c r="N3176" s="2098"/>
      <c r="O3176" s="7"/>
      <c r="P3176" s="7"/>
      <c r="Q3176" s="7"/>
    </row>
    <row r="3177" spans="1:32">
      <c r="A3177" s="663"/>
      <c r="B3177" s="3130" t="s">
        <v>772</v>
      </c>
      <c r="C3177" s="663" t="s">
        <v>327</v>
      </c>
      <c r="D3177" s="678" t="s">
        <v>1980</v>
      </c>
      <c r="E3177" s="1407" t="s">
        <v>420</v>
      </c>
      <c r="F3177" s="1413">
        <v>2244</v>
      </c>
      <c r="G3177" s="2063"/>
      <c r="H3177" s="2064"/>
      <c r="I3177" s="2055"/>
      <c r="J3177" s="1684" t="s">
        <v>1134</v>
      </c>
      <c r="K3177" s="2056"/>
      <c r="L3177" s="2064"/>
      <c r="M3177" s="2057"/>
      <c r="N3177" s="2098" t="s">
        <v>4093</v>
      </c>
      <c r="O3177" s="7"/>
      <c r="P3177" s="7"/>
      <c r="Q3177" s="7"/>
    </row>
    <row r="3178" spans="1:32">
      <c r="A3178" s="683"/>
      <c r="B3178" s="3129" t="s">
        <v>772</v>
      </c>
      <c r="C3178" s="683" t="s">
        <v>327</v>
      </c>
      <c r="D3178" s="719" t="s">
        <v>1980</v>
      </c>
      <c r="E3178" s="1406" t="s">
        <v>420</v>
      </c>
      <c r="F3178" s="1698">
        <v>2247</v>
      </c>
      <c r="G3178" s="1691" t="s">
        <v>185</v>
      </c>
      <c r="H3178" s="2074">
        <v>44650</v>
      </c>
      <c r="I3178" s="2075"/>
      <c r="J3178" s="1684">
        <v>27595</v>
      </c>
      <c r="K3178" s="2052"/>
      <c r="L3178" s="2074">
        <v>46000</v>
      </c>
      <c r="M3178" s="2076"/>
      <c r="N3178" s="2098" t="s">
        <v>4094</v>
      </c>
      <c r="O3178" s="4"/>
      <c r="P3178" s="4"/>
      <c r="Q3178" s="4"/>
      <c r="R3178" s="4"/>
      <c r="S3178" s="4"/>
      <c r="T3178" s="4"/>
      <c r="U3178" s="4"/>
      <c r="V3178" s="4"/>
      <c r="W3178" s="4"/>
      <c r="X3178" s="4"/>
      <c r="Y3178" s="4"/>
      <c r="Z3178" s="4"/>
      <c r="AA3178" s="4"/>
      <c r="AB3178" s="4"/>
      <c r="AC3178" s="4"/>
      <c r="AD3178" s="4"/>
      <c r="AE3178" s="4"/>
    </row>
    <row r="3179" spans="1:32">
      <c r="A3179" s="663"/>
      <c r="B3179" s="3130" t="s">
        <v>772</v>
      </c>
      <c r="C3179" s="663" t="s">
        <v>327</v>
      </c>
      <c r="D3179" s="678" t="s">
        <v>1980</v>
      </c>
      <c r="E3179" s="1407" t="s">
        <v>420</v>
      </c>
      <c r="F3179" s="1413">
        <v>2247</v>
      </c>
      <c r="G3179" s="818" t="s">
        <v>2431</v>
      </c>
      <c r="H3179" s="2064"/>
      <c r="I3179" s="2055">
        <v>42000</v>
      </c>
      <c r="J3179" s="1684" t="s">
        <v>1134</v>
      </c>
      <c r="K3179" s="2056"/>
      <c r="L3179" s="2064"/>
      <c r="M3179" s="2057">
        <v>46000</v>
      </c>
      <c r="N3179" s="1065"/>
      <c r="O3179" s="7"/>
      <c r="P3179" s="7"/>
      <c r="Q3179" s="7"/>
    </row>
    <row r="3180" spans="1:32" ht="30.6">
      <c r="A3180" s="603"/>
      <c r="B3180" s="3130" t="s">
        <v>772</v>
      </c>
      <c r="C3180" s="663" t="s">
        <v>327</v>
      </c>
      <c r="D3180" s="678" t="s">
        <v>1980</v>
      </c>
      <c r="E3180" s="1407" t="s">
        <v>420</v>
      </c>
      <c r="F3180" s="1413">
        <v>2247</v>
      </c>
      <c r="G3180" s="1821" t="s">
        <v>2715</v>
      </c>
      <c r="H3180" s="2081"/>
      <c r="I3180" s="2082">
        <v>4500</v>
      </c>
      <c r="J3180" s="1684" t="s">
        <v>1134</v>
      </c>
      <c r="K3180" s="2083"/>
      <c r="L3180" s="2081"/>
      <c r="M3180" s="2081"/>
      <c r="N3180" s="1065"/>
      <c r="O3180" s="7"/>
      <c r="P3180" s="7"/>
      <c r="Q3180" s="7"/>
    </row>
    <row r="3181" spans="1:32" ht="20.399999999999999">
      <c r="A3181" s="603"/>
      <c r="B3181" s="3130" t="s">
        <v>772</v>
      </c>
      <c r="C3181" s="663" t="s">
        <v>327</v>
      </c>
      <c r="D3181" s="678" t="s">
        <v>1980</v>
      </c>
      <c r="E3181" s="1407" t="s">
        <v>420</v>
      </c>
      <c r="F3181" s="1413">
        <v>2247</v>
      </c>
      <c r="G3181" s="1821" t="s">
        <v>2716</v>
      </c>
      <c r="H3181" s="2081"/>
      <c r="I3181" s="2082">
        <v>6750</v>
      </c>
      <c r="J3181" s="1684" t="s">
        <v>1134</v>
      </c>
      <c r="K3181" s="2083"/>
      <c r="L3181" s="2081"/>
      <c r="M3181" s="2081"/>
      <c r="N3181" s="1065"/>
      <c r="O3181" s="4"/>
      <c r="P3181" s="4"/>
      <c r="Q3181" s="4"/>
      <c r="R3181" s="4"/>
      <c r="S3181" s="4"/>
      <c r="T3181" s="4"/>
      <c r="U3181" s="4"/>
      <c r="V3181" s="4"/>
      <c r="W3181" s="4"/>
      <c r="X3181" s="4"/>
      <c r="Y3181" s="4"/>
      <c r="Z3181" s="4"/>
      <c r="AA3181" s="4"/>
      <c r="AB3181" s="4"/>
      <c r="AC3181" s="4"/>
      <c r="AD3181" s="4"/>
      <c r="AE3181" s="4"/>
      <c r="AF3181" s="4"/>
    </row>
    <row r="3182" spans="1:32" ht="71.400000000000006">
      <c r="A3182" s="1495"/>
      <c r="B3182" s="3130" t="s">
        <v>772</v>
      </c>
      <c r="C3182" s="663" t="s">
        <v>327</v>
      </c>
      <c r="D3182" s="678" t="s">
        <v>1980</v>
      </c>
      <c r="E3182" s="1407" t="s">
        <v>420</v>
      </c>
      <c r="F3182" s="1413">
        <v>2247</v>
      </c>
      <c r="G3182" s="2084" t="s">
        <v>3369</v>
      </c>
      <c r="H3182" s="2085"/>
      <c r="I3182" s="2086">
        <v>-8600</v>
      </c>
      <c r="J3182" s="1806"/>
      <c r="K3182" s="2087"/>
      <c r="L3182" s="2085"/>
      <c r="M3182" s="2085"/>
      <c r="N3182" s="1065"/>
      <c r="O3182" s="4"/>
      <c r="P3182" s="4"/>
      <c r="Q3182" s="4"/>
      <c r="R3182" s="4"/>
      <c r="S3182" s="4"/>
      <c r="T3182" s="4"/>
      <c r="U3182" s="4"/>
      <c r="V3182" s="4"/>
      <c r="W3182" s="4"/>
      <c r="X3182" s="4"/>
      <c r="Y3182" s="4"/>
      <c r="Z3182" s="4"/>
      <c r="AA3182" s="4"/>
      <c r="AB3182" s="4"/>
      <c r="AC3182" s="4"/>
      <c r="AD3182" s="4"/>
      <c r="AE3182" s="4"/>
      <c r="AF3182" s="4"/>
    </row>
    <row r="3183" spans="1:32">
      <c r="A3183" s="683"/>
      <c r="B3183" s="3129" t="s">
        <v>772</v>
      </c>
      <c r="C3183" s="683" t="s">
        <v>327</v>
      </c>
      <c r="D3183" s="719" t="s">
        <v>1980</v>
      </c>
      <c r="E3183" s="1406" t="s">
        <v>420</v>
      </c>
      <c r="F3183" s="1698">
        <v>2249</v>
      </c>
      <c r="G3183" s="1691" t="s">
        <v>163</v>
      </c>
      <c r="H3183" s="2074">
        <v>0</v>
      </c>
      <c r="I3183" s="2075"/>
      <c r="J3183" s="1684" t="s">
        <v>1134</v>
      </c>
      <c r="K3183" s="2052"/>
      <c r="L3183" s="2076">
        <v>0</v>
      </c>
      <c r="M3183" s="2076"/>
      <c r="N3183" s="1065"/>
      <c r="O3183" s="187"/>
      <c r="P3183" s="187"/>
      <c r="Q3183" s="187"/>
      <c r="R3183" s="187"/>
      <c r="S3183" s="187"/>
      <c r="T3183" s="187"/>
      <c r="U3183" s="187"/>
      <c r="V3183" s="187"/>
      <c r="W3183" s="187"/>
      <c r="X3183" s="187"/>
      <c r="Y3183" s="187"/>
      <c r="Z3183" s="187"/>
      <c r="AA3183" s="187"/>
      <c r="AB3183" s="187"/>
      <c r="AC3183" s="187"/>
      <c r="AD3183" s="187"/>
      <c r="AE3183" s="187"/>
      <c r="AF3183" s="187"/>
    </row>
    <row r="3184" spans="1:32">
      <c r="A3184" s="663" t="s">
        <v>709</v>
      </c>
      <c r="B3184" s="3130" t="s">
        <v>772</v>
      </c>
      <c r="C3184" s="663" t="s">
        <v>327</v>
      </c>
      <c r="D3184" s="678" t="s">
        <v>1980</v>
      </c>
      <c r="E3184" s="1407" t="s">
        <v>420</v>
      </c>
      <c r="F3184" s="1413">
        <v>2249</v>
      </c>
      <c r="G3184" s="2063"/>
      <c r="H3184" s="2064"/>
      <c r="I3184" s="2055"/>
      <c r="J3184" s="1684" t="s">
        <v>1134</v>
      </c>
      <c r="K3184" s="2056"/>
      <c r="L3184" s="2064"/>
      <c r="M3184" s="2088"/>
      <c r="N3184" s="1223"/>
      <c r="O3184" s="187"/>
      <c r="P3184" s="187"/>
      <c r="Q3184" s="187"/>
      <c r="R3184" s="187"/>
      <c r="S3184" s="187"/>
      <c r="T3184" s="187"/>
      <c r="U3184" s="187"/>
      <c r="V3184" s="187"/>
      <c r="W3184" s="187"/>
      <c r="X3184" s="187"/>
      <c r="Y3184" s="187"/>
      <c r="Z3184" s="187"/>
      <c r="AA3184" s="187"/>
      <c r="AB3184" s="187"/>
      <c r="AC3184" s="187"/>
      <c r="AD3184" s="187"/>
      <c r="AE3184" s="187"/>
      <c r="AF3184" s="187"/>
    </row>
    <row r="3185" spans="1:32">
      <c r="A3185" s="683"/>
      <c r="B3185" s="3129" t="s">
        <v>772</v>
      </c>
      <c r="C3185" s="683" t="s">
        <v>322</v>
      </c>
      <c r="D3185" s="719" t="s">
        <v>1980</v>
      </c>
      <c r="E3185" s="1406" t="s">
        <v>420</v>
      </c>
      <c r="F3185" s="694">
        <v>2250</v>
      </c>
      <c r="G3185" s="686" t="s">
        <v>124</v>
      </c>
      <c r="H3185" s="776">
        <v>49719</v>
      </c>
      <c r="I3185" s="779"/>
      <c r="J3185" s="1494">
        <v>47316</v>
      </c>
      <c r="K3185" s="780"/>
      <c r="L3185" s="2068">
        <v>69809</v>
      </c>
      <c r="M3185" s="947"/>
      <c r="N3185" s="1223"/>
      <c r="O3185" s="4"/>
      <c r="P3185" s="4"/>
      <c r="Q3185" s="4"/>
      <c r="R3185" s="4"/>
      <c r="S3185" s="4"/>
      <c r="T3185" s="4"/>
      <c r="U3185" s="4"/>
      <c r="V3185" s="4"/>
      <c r="W3185" s="4"/>
      <c r="X3185" s="4"/>
      <c r="Y3185" s="4"/>
      <c r="Z3185" s="4"/>
      <c r="AA3185" s="4"/>
      <c r="AB3185" s="4"/>
      <c r="AC3185" s="4"/>
      <c r="AD3185" s="4"/>
      <c r="AE3185" s="4"/>
      <c r="AF3185" s="4"/>
    </row>
    <row r="3186" spans="1:32" ht="20.399999999999999">
      <c r="A3186" s="663" t="s">
        <v>570</v>
      </c>
      <c r="B3186" s="3130" t="s">
        <v>772</v>
      </c>
      <c r="C3186" s="663" t="s">
        <v>322</v>
      </c>
      <c r="D3186" s="678" t="s">
        <v>1980</v>
      </c>
      <c r="E3186" s="1407" t="s">
        <v>420</v>
      </c>
      <c r="F3186" s="679">
        <v>2250</v>
      </c>
      <c r="G3186" s="2066" t="s">
        <v>4072</v>
      </c>
      <c r="H3186" s="778"/>
      <c r="I3186" s="772">
        <v>11000</v>
      </c>
      <c r="J3186" s="1494" t="s">
        <v>1134</v>
      </c>
      <c r="K3186" s="784"/>
      <c r="L3186" s="1475"/>
      <c r="M3186" s="2090">
        <v>14000</v>
      </c>
      <c r="N3186" s="1223"/>
      <c r="O3186" s="4"/>
      <c r="P3186" s="4"/>
      <c r="Q3186" s="4"/>
      <c r="R3186" s="4"/>
      <c r="S3186" s="4"/>
      <c r="T3186" s="4"/>
      <c r="U3186" s="4"/>
      <c r="V3186" s="4"/>
      <c r="W3186" s="4"/>
      <c r="X3186" s="4"/>
      <c r="Y3186" s="4"/>
      <c r="Z3186" s="4"/>
      <c r="AA3186" s="4"/>
      <c r="AB3186" s="4"/>
      <c r="AC3186" s="4"/>
      <c r="AD3186" s="4"/>
      <c r="AE3186" s="4"/>
    </row>
    <row r="3187" spans="1:32" ht="20.399999999999999">
      <c r="A3187" s="663"/>
      <c r="B3187" s="3156" t="s">
        <v>772</v>
      </c>
      <c r="C3187" s="952" t="s">
        <v>320</v>
      </c>
      <c r="D3187" s="678" t="s">
        <v>1980</v>
      </c>
      <c r="E3187" s="1407" t="s">
        <v>420</v>
      </c>
      <c r="F3187" s="679">
        <v>2250</v>
      </c>
      <c r="G3187" s="2089" t="s">
        <v>1569</v>
      </c>
      <c r="H3187" s="778"/>
      <c r="I3187" s="773">
        <v>562</v>
      </c>
      <c r="J3187" s="1494" t="s">
        <v>1134</v>
      </c>
      <c r="K3187" s="784"/>
      <c r="L3187" s="958"/>
      <c r="M3187" s="2091">
        <v>1745</v>
      </c>
      <c r="N3187" s="1223"/>
      <c r="O3187" s="4"/>
      <c r="P3187" s="4"/>
      <c r="Q3187" s="4"/>
      <c r="R3187" s="4"/>
      <c r="S3187" s="4"/>
      <c r="T3187" s="4"/>
      <c r="U3187" s="4"/>
      <c r="V3187" s="4"/>
      <c r="W3187" s="4"/>
      <c r="X3187" s="4"/>
      <c r="Y3187" s="4"/>
      <c r="Z3187" s="4"/>
      <c r="AA3187" s="4"/>
      <c r="AB3187" s="4"/>
      <c r="AC3187" s="4"/>
      <c r="AD3187" s="4"/>
      <c r="AE3187" s="4"/>
      <c r="AF3187" s="4"/>
    </row>
    <row r="3188" spans="1:32">
      <c r="A3188" s="663" t="s">
        <v>570</v>
      </c>
      <c r="B3188" s="3130" t="s">
        <v>772</v>
      </c>
      <c r="C3188" s="663" t="s">
        <v>322</v>
      </c>
      <c r="D3188" s="678" t="s">
        <v>1980</v>
      </c>
      <c r="E3188" s="1407" t="s">
        <v>420</v>
      </c>
      <c r="F3188" s="679">
        <v>2250</v>
      </c>
      <c r="G3188" s="2066" t="s">
        <v>2435</v>
      </c>
      <c r="H3188" s="778"/>
      <c r="I3188" s="772">
        <v>250</v>
      </c>
      <c r="J3188" s="1494" t="s">
        <v>1134</v>
      </c>
      <c r="K3188" s="784"/>
      <c r="L3188" s="1475"/>
      <c r="M3188" s="2090">
        <v>250</v>
      </c>
      <c r="N3188" s="1223"/>
      <c r="O3188" s="4"/>
      <c r="P3188" s="4"/>
      <c r="Q3188" s="4"/>
      <c r="R3188" s="4"/>
      <c r="S3188" s="4"/>
      <c r="T3188" s="4"/>
      <c r="U3188" s="4"/>
      <c r="V3188" s="4"/>
      <c r="W3188" s="4"/>
      <c r="X3188" s="4"/>
      <c r="Y3188" s="4"/>
      <c r="Z3188" s="4"/>
      <c r="AA3188" s="4"/>
      <c r="AB3188" s="4"/>
      <c r="AC3188" s="4"/>
      <c r="AD3188" s="4"/>
      <c r="AE3188" s="4"/>
    </row>
    <row r="3189" spans="1:32" ht="20.399999999999999">
      <c r="A3189" s="663" t="s">
        <v>570</v>
      </c>
      <c r="B3189" s="3130" t="s">
        <v>772</v>
      </c>
      <c r="C3189" s="663" t="s">
        <v>322</v>
      </c>
      <c r="D3189" s="678" t="s">
        <v>1980</v>
      </c>
      <c r="E3189" s="1407" t="s">
        <v>420</v>
      </c>
      <c r="F3189" s="679">
        <v>2250</v>
      </c>
      <c r="G3189" s="2066" t="s">
        <v>458</v>
      </c>
      <c r="H3189" s="778"/>
      <c r="I3189" s="772">
        <v>242</v>
      </c>
      <c r="J3189" s="1494" t="s">
        <v>1134</v>
      </c>
      <c r="K3189" s="784"/>
      <c r="L3189" s="1475"/>
      <c r="M3189" s="2090">
        <v>242</v>
      </c>
      <c r="N3189" s="1223"/>
      <c r="O3189" s="4"/>
      <c r="P3189" s="4"/>
      <c r="Q3189" s="4"/>
      <c r="R3189" s="4"/>
      <c r="S3189" s="4"/>
      <c r="T3189" s="4"/>
      <c r="U3189" s="4"/>
      <c r="V3189" s="4"/>
      <c r="W3189" s="4"/>
      <c r="X3189" s="4"/>
      <c r="Y3189" s="4"/>
      <c r="Z3189" s="4"/>
      <c r="AA3189" s="4"/>
      <c r="AB3189" s="4"/>
      <c r="AC3189" s="4"/>
      <c r="AD3189" s="4"/>
      <c r="AE3189" s="4"/>
      <c r="AF3189" s="4"/>
    </row>
    <row r="3190" spans="1:32">
      <c r="A3190" s="663" t="s">
        <v>570</v>
      </c>
      <c r="B3190" s="3130" t="s">
        <v>772</v>
      </c>
      <c r="C3190" s="663" t="s">
        <v>322</v>
      </c>
      <c r="D3190" s="678" t="s">
        <v>1980</v>
      </c>
      <c r="E3190" s="1407" t="s">
        <v>420</v>
      </c>
      <c r="F3190" s="679">
        <v>2250</v>
      </c>
      <c r="G3190" s="2066" t="s">
        <v>618</v>
      </c>
      <c r="H3190" s="778"/>
      <c r="I3190" s="772">
        <v>300</v>
      </c>
      <c r="J3190" s="1494" t="s">
        <v>1134</v>
      </c>
      <c r="K3190" s="784"/>
      <c r="L3190" s="1475"/>
      <c r="M3190" s="2090">
        <v>300</v>
      </c>
      <c r="N3190" s="1223"/>
      <c r="O3190" s="4"/>
      <c r="P3190" s="4"/>
      <c r="Q3190" s="4"/>
      <c r="R3190" s="4"/>
      <c r="S3190" s="4"/>
      <c r="T3190" s="4"/>
      <c r="U3190" s="4"/>
      <c r="V3190" s="4"/>
      <c r="W3190" s="4"/>
      <c r="X3190" s="4"/>
      <c r="Y3190" s="4"/>
      <c r="Z3190" s="4"/>
      <c r="AA3190" s="4"/>
      <c r="AB3190" s="4"/>
      <c r="AC3190" s="4"/>
      <c r="AD3190" s="4"/>
      <c r="AE3190" s="4"/>
    </row>
    <row r="3191" spans="1:32" ht="20.399999999999999">
      <c r="A3191" s="663" t="s">
        <v>570</v>
      </c>
      <c r="B3191" s="3130" t="s">
        <v>772</v>
      </c>
      <c r="C3191" s="663" t="s">
        <v>322</v>
      </c>
      <c r="D3191" s="678" t="s">
        <v>1980</v>
      </c>
      <c r="E3191" s="1407" t="s">
        <v>420</v>
      </c>
      <c r="F3191" s="679">
        <v>2250</v>
      </c>
      <c r="G3191" s="2066" t="s">
        <v>1582</v>
      </c>
      <c r="H3191" s="778"/>
      <c r="I3191" s="772">
        <v>199</v>
      </c>
      <c r="J3191" s="1494" t="s">
        <v>1134</v>
      </c>
      <c r="K3191" s="784"/>
      <c r="L3191" s="1475"/>
      <c r="M3191" s="2092">
        <v>199</v>
      </c>
      <c r="N3191" s="1223"/>
      <c r="O3191" s="4"/>
      <c r="P3191" s="4"/>
      <c r="Q3191" s="4"/>
      <c r="R3191" s="4"/>
      <c r="S3191" s="4"/>
      <c r="T3191" s="4"/>
      <c r="U3191" s="4"/>
      <c r="V3191" s="4"/>
      <c r="W3191" s="4"/>
      <c r="X3191" s="4"/>
      <c r="Y3191" s="4"/>
      <c r="Z3191" s="4"/>
      <c r="AA3191" s="4"/>
      <c r="AB3191" s="4"/>
      <c r="AC3191" s="4"/>
      <c r="AD3191" s="4"/>
      <c r="AE3191" s="4"/>
      <c r="AF3191" s="4"/>
    </row>
    <row r="3192" spans="1:32">
      <c r="A3192" s="774"/>
      <c r="B3192" s="3130" t="s">
        <v>772</v>
      </c>
      <c r="C3192" s="663" t="s">
        <v>322</v>
      </c>
      <c r="D3192" s="678" t="s">
        <v>1980</v>
      </c>
      <c r="E3192" s="1407" t="s">
        <v>420</v>
      </c>
      <c r="F3192" s="679">
        <v>2250</v>
      </c>
      <c r="G3192" s="1671" t="s">
        <v>2433</v>
      </c>
      <c r="H3192" s="778"/>
      <c r="I3192" s="773">
        <v>102</v>
      </c>
      <c r="J3192" s="1494" t="s">
        <v>1134</v>
      </c>
      <c r="K3192" s="784"/>
      <c r="L3192" s="1476"/>
      <c r="M3192" s="2093">
        <v>0</v>
      </c>
      <c r="N3192" s="1223"/>
      <c r="O3192" s="4"/>
      <c r="P3192" s="4"/>
      <c r="Q3192" s="4"/>
      <c r="R3192" s="4"/>
      <c r="S3192" s="4"/>
      <c r="T3192" s="4"/>
      <c r="U3192" s="4"/>
      <c r="V3192" s="4"/>
      <c r="W3192" s="4"/>
      <c r="X3192" s="4"/>
      <c r="Y3192" s="4"/>
      <c r="Z3192" s="4"/>
      <c r="AA3192" s="4"/>
      <c r="AB3192" s="4"/>
      <c r="AC3192" s="4"/>
      <c r="AD3192" s="4"/>
      <c r="AE3192" s="4"/>
      <c r="AF3192" s="4"/>
    </row>
    <row r="3193" spans="1:32" ht="21" thickBot="1">
      <c r="A3193" s="1353"/>
      <c r="B3193" s="3130" t="s">
        <v>772</v>
      </c>
      <c r="C3193" s="663" t="s">
        <v>322</v>
      </c>
      <c r="D3193" s="678" t="s">
        <v>1980</v>
      </c>
      <c r="E3193" s="1407" t="s">
        <v>420</v>
      </c>
      <c r="F3193" s="679">
        <v>2250</v>
      </c>
      <c r="G3193" s="1264" t="s">
        <v>3018</v>
      </c>
      <c r="H3193" s="1398"/>
      <c r="I3193" s="1399">
        <v>-140</v>
      </c>
      <c r="J3193" s="1494" t="s">
        <v>1134</v>
      </c>
      <c r="K3193" s="1400"/>
      <c r="L3193" s="1476"/>
      <c r="M3193" s="1477"/>
      <c r="N3193" s="1223"/>
      <c r="O3193" s="4"/>
      <c r="P3193" s="4"/>
      <c r="Q3193" s="4"/>
      <c r="R3193" s="4"/>
      <c r="S3193" s="4"/>
      <c r="T3193" s="4"/>
      <c r="U3193" s="4"/>
      <c r="V3193" s="4"/>
      <c r="W3193" s="4"/>
      <c r="X3193" s="4"/>
      <c r="Y3193" s="4"/>
      <c r="Z3193" s="4"/>
      <c r="AA3193" s="4"/>
      <c r="AB3193" s="4"/>
      <c r="AC3193" s="4"/>
      <c r="AD3193" s="4"/>
      <c r="AE3193" s="4"/>
      <c r="AF3193" s="4"/>
    </row>
    <row r="3194" spans="1:32">
      <c r="A3194" s="663"/>
      <c r="B3194" s="3130" t="s">
        <v>772</v>
      </c>
      <c r="C3194" s="663" t="s">
        <v>322</v>
      </c>
      <c r="D3194" s="678" t="s">
        <v>1980</v>
      </c>
      <c r="E3194" s="1407" t="s">
        <v>420</v>
      </c>
      <c r="F3194" s="679">
        <v>2250</v>
      </c>
      <c r="G3194" s="1671" t="s">
        <v>619</v>
      </c>
      <c r="H3194" s="778"/>
      <c r="I3194" s="773">
        <v>499</v>
      </c>
      <c r="J3194" s="1494" t="s">
        <v>1134</v>
      </c>
      <c r="K3194" s="784"/>
      <c r="L3194" s="945"/>
      <c r="M3194" s="2094">
        <v>550</v>
      </c>
      <c r="N3194" s="1223"/>
      <c r="O3194" s="4"/>
      <c r="P3194" s="4"/>
      <c r="Q3194" s="4"/>
      <c r="R3194" s="4"/>
      <c r="S3194" s="4"/>
      <c r="T3194" s="4"/>
      <c r="U3194" s="4"/>
      <c r="V3194" s="4"/>
      <c r="W3194" s="4"/>
      <c r="X3194" s="4"/>
      <c r="Y3194" s="4"/>
      <c r="Z3194" s="4"/>
      <c r="AA3194" s="4"/>
      <c r="AB3194" s="4"/>
      <c r="AC3194" s="4"/>
      <c r="AD3194" s="4"/>
      <c r="AE3194" s="4"/>
      <c r="AF3194" s="4"/>
    </row>
    <row r="3195" spans="1:32">
      <c r="A3195" s="663"/>
      <c r="B3195" s="3130" t="s">
        <v>772</v>
      </c>
      <c r="C3195" s="663" t="s">
        <v>322</v>
      </c>
      <c r="D3195" s="678" t="s">
        <v>1980</v>
      </c>
      <c r="E3195" s="1407" t="s">
        <v>420</v>
      </c>
      <c r="F3195" s="679">
        <v>2250</v>
      </c>
      <c r="G3195" s="1671" t="s">
        <v>620</v>
      </c>
      <c r="H3195" s="778"/>
      <c r="I3195" s="773">
        <v>3000</v>
      </c>
      <c r="J3195" s="1494" t="s">
        <v>1134</v>
      </c>
      <c r="K3195" s="784"/>
      <c r="L3195" s="958"/>
      <c r="M3195" s="2095">
        <v>3000</v>
      </c>
      <c r="N3195" s="1223"/>
      <c r="O3195" s="4"/>
      <c r="P3195" s="4"/>
      <c r="Q3195" s="4"/>
      <c r="R3195" s="4"/>
      <c r="S3195" s="4"/>
      <c r="T3195" s="4"/>
      <c r="U3195" s="4"/>
      <c r="V3195" s="4"/>
      <c r="W3195" s="4"/>
      <c r="X3195" s="4"/>
      <c r="Y3195" s="4"/>
      <c r="Z3195" s="4"/>
      <c r="AA3195" s="4"/>
      <c r="AB3195" s="4"/>
      <c r="AC3195" s="4"/>
      <c r="AD3195" s="4"/>
      <c r="AE3195" s="4"/>
      <c r="AF3195" s="4"/>
    </row>
    <row r="3196" spans="1:32">
      <c r="A3196" s="663"/>
      <c r="B3196" s="3130" t="s">
        <v>772</v>
      </c>
      <c r="C3196" s="663" t="s">
        <v>322</v>
      </c>
      <c r="D3196" s="678" t="s">
        <v>1980</v>
      </c>
      <c r="E3196" s="1407" t="s">
        <v>420</v>
      </c>
      <c r="F3196" s="679">
        <v>2250</v>
      </c>
      <c r="G3196" s="1671" t="s">
        <v>621</v>
      </c>
      <c r="H3196" s="778"/>
      <c r="I3196" s="773">
        <v>17084</v>
      </c>
      <c r="J3196" s="1494" t="s">
        <v>1134</v>
      </c>
      <c r="K3196" s="784"/>
      <c r="L3196" s="958"/>
      <c r="M3196" s="2095">
        <v>25800</v>
      </c>
      <c r="N3196" s="1223"/>
      <c r="O3196" s="4"/>
      <c r="P3196" s="4"/>
      <c r="Q3196" s="4"/>
      <c r="R3196" s="4"/>
      <c r="S3196" s="4"/>
      <c r="T3196" s="4"/>
      <c r="U3196" s="4"/>
      <c r="V3196" s="4"/>
      <c r="W3196" s="4"/>
      <c r="X3196" s="4"/>
      <c r="Y3196" s="4"/>
      <c r="Z3196" s="4"/>
      <c r="AA3196" s="4"/>
      <c r="AB3196" s="4"/>
      <c r="AC3196" s="4"/>
      <c r="AD3196" s="4"/>
      <c r="AE3196" s="4"/>
      <c r="AF3196" s="4"/>
    </row>
    <row r="3197" spans="1:32">
      <c r="A3197" s="663"/>
      <c r="B3197" s="3130" t="s">
        <v>772</v>
      </c>
      <c r="C3197" s="663" t="s">
        <v>322</v>
      </c>
      <c r="D3197" s="678" t="s">
        <v>1980</v>
      </c>
      <c r="E3197" s="1407" t="s">
        <v>420</v>
      </c>
      <c r="F3197" s="679">
        <v>2250</v>
      </c>
      <c r="G3197" s="1671" t="s">
        <v>879</v>
      </c>
      <c r="H3197" s="778"/>
      <c r="I3197" s="773">
        <v>12828</v>
      </c>
      <c r="J3197" s="1494" t="s">
        <v>1134</v>
      </c>
      <c r="K3197" s="784"/>
      <c r="L3197" s="958"/>
      <c r="M3197" s="2095">
        <v>12900</v>
      </c>
      <c r="N3197" s="1223"/>
      <c r="O3197" s="7"/>
      <c r="P3197" s="7"/>
      <c r="Q3197" s="7"/>
    </row>
    <row r="3198" spans="1:32" ht="20.399999999999999">
      <c r="A3198" s="663"/>
      <c r="B3198" s="3130" t="s">
        <v>772</v>
      </c>
      <c r="C3198" s="663" t="s">
        <v>322</v>
      </c>
      <c r="D3198" s="678" t="s">
        <v>1980</v>
      </c>
      <c r="E3198" s="1407" t="s">
        <v>420</v>
      </c>
      <c r="F3198" s="679">
        <v>2250</v>
      </c>
      <c r="G3198" s="1671" t="s">
        <v>2434</v>
      </c>
      <c r="H3198" s="778"/>
      <c r="I3198" s="773">
        <v>850</v>
      </c>
      <c r="J3198" s="1494" t="s">
        <v>1134</v>
      </c>
      <c r="K3198" s="784"/>
      <c r="L3198" s="958"/>
      <c r="M3198" s="2096">
        <v>850</v>
      </c>
      <c r="N3198" s="1223"/>
      <c r="O3198" s="4"/>
      <c r="P3198" s="4"/>
      <c r="Q3198" s="4"/>
      <c r="R3198" s="4"/>
      <c r="S3198" s="4"/>
      <c r="T3198" s="4"/>
      <c r="U3198" s="4"/>
      <c r="V3198" s="4"/>
      <c r="W3198" s="4"/>
      <c r="X3198" s="4"/>
      <c r="Y3198" s="4"/>
      <c r="Z3198" s="4"/>
      <c r="AA3198" s="4"/>
      <c r="AB3198" s="4"/>
      <c r="AC3198" s="4"/>
      <c r="AD3198" s="4"/>
      <c r="AE3198" s="4"/>
      <c r="AF3198" s="4"/>
    </row>
    <row r="3199" spans="1:32">
      <c r="A3199" s="663"/>
      <c r="B3199" s="3130" t="s">
        <v>772</v>
      </c>
      <c r="C3199" s="663" t="s">
        <v>322</v>
      </c>
      <c r="D3199" s="678" t="s">
        <v>1980</v>
      </c>
      <c r="E3199" s="1407" t="s">
        <v>420</v>
      </c>
      <c r="F3199" s="679">
        <v>2250</v>
      </c>
      <c r="G3199" s="1671" t="s">
        <v>1118</v>
      </c>
      <c r="H3199" s="778"/>
      <c r="I3199" s="773">
        <v>2943</v>
      </c>
      <c r="J3199" s="1494" t="s">
        <v>1134</v>
      </c>
      <c r="K3199" s="784"/>
      <c r="L3199" s="958"/>
      <c r="M3199" s="2096">
        <v>2943</v>
      </c>
      <c r="N3199" s="1223"/>
      <c r="O3199" s="7"/>
      <c r="P3199" s="7"/>
      <c r="Q3199" s="7"/>
    </row>
    <row r="3200" spans="1:32">
      <c r="A3200" s="663"/>
      <c r="B3200" s="3130" t="s">
        <v>772</v>
      </c>
      <c r="C3200" s="663" t="s">
        <v>322</v>
      </c>
      <c r="D3200" s="678" t="s">
        <v>1980</v>
      </c>
      <c r="E3200" s="1407" t="s">
        <v>420</v>
      </c>
      <c r="F3200" s="679">
        <v>2250</v>
      </c>
      <c r="G3200" s="1671" t="s">
        <v>4074</v>
      </c>
      <c r="H3200" s="2059"/>
      <c r="I3200" s="2060"/>
      <c r="J3200" s="1673"/>
      <c r="K3200" s="2061"/>
      <c r="L3200" s="2062"/>
      <c r="M3200" s="2096">
        <v>680</v>
      </c>
      <c r="N3200" s="1223"/>
      <c r="O3200" s="4"/>
      <c r="P3200" s="4"/>
      <c r="Q3200" s="4"/>
      <c r="R3200" s="4"/>
      <c r="S3200" s="4"/>
      <c r="T3200" s="4"/>
      <c r="U3200" s="4"/>
      <c r="V3200" s="4"/>
      <c r="W3200" s="4"/>
      <c r="X3200" s="4"/>
      <c r="Y3200" s="4"/>
      <c r="Z3200" s="4"/>
      <c r="AA3200" s="4"/>
      <c r="AB3200" s="4"/>
      <c r="AC3200" s="4"/>
      <c r="AD3200" s="4"/>
      <c r="AE3200" s="4"/>
      <c r="AF3200" s="4"/>
    </row>
    <row r="3201" spans="1:32">
      <c r="A3201" s="663"/>
      <c r="B3201" s="3130" t="s">
        <v>772</v>
      </c>
      <c r="C3201" s="663" t="s">
        <v>322</v>
      </c>
      <c r="D3201" s="678" t="s">
        <v>1980</v>
      </c>
      <c r="E3201" s="1407" t="s">
        <v>420</v>
      </c>
      <c r="F3201" s="679">
        <v>2250</v>
      </c>
      <c r="G3201" s="2066" t="s">
        <v>4075</v>
      </c>
      <c r="H3201" s="2059"/>
      <c r="I3201" s="2060"/>
      <c r="J3201" s="1673"/>
      <c r="K3201" s="2061"/>
      <c r="L3201" s="2062"/>
      <c r="M3201" s="2045">
        <v>850</v>
      </c>
      <c r="N3201" s="1223"/>
      <c r="O3201" s="4"/>
      <c r="P3201" s="4"/>
      <c r="Q3201" s="4"/>
      <c r="R3201" s="4"/>
      <c r="S3201" s="4"/>
      <c r="T3201" s="4"/>
      <c r="U3201" s="4"/>
      <c r="V3201" s="4"/>
      <c r="W3201" s="4"/>
      <c r="X3201" s="4"/>
      <c r="Y3201" s="4"/>
      <c r="Z3201" s="4"/>
      <c r="AA3201" s="4"/>
      <c r="AB3201" s="4"/>
      <c r="AC3201" s="4"/>
      <c r="AD3201" s="4"/>
      <c r="AE3201" s="4"/>
      <c r="AF3201" s="4"/>
    </row>
    <row r="3202" spans="1:32" ht="20.399999999999999">
      <c r="A3202" s="663"/>
      <c r="B3202" s="3130" t="s">
        <v>772</v>
      </c>
      <c r="C3202" s="663" t="s">
        <v>322</v>
      </c>
      <c r="D3202" s="678" t="s">
        <v>1980</v>
      </c>
      <c r="E3202" s="1407" t="s">
        <v>420</v>
      </c>
      <c r="F3202" s="679">
        <v>2250</v>
      </c>
      <c r="G3202" s="1671" t="s">
        <v>4076</v>
      </c>
      <c r="H3202" s="2059"/>
      <c r="I3202" s="2060"/>
      <c r="J3202" s="1673"/>
      <c r="K3202" s="2061"/>
      <c r="L3202" s="2062"/>
      <c r="M3202" s="2829">
        <v>2500</v>
      </c>
      <c r="N3202" s="1223"/>
      <c r="O3202" s="7"/>
      <c r="P3202" s="7"/>
      <c r="Q3202" s="7"/>
    </row>
    <row r="3203" spans="1:32" ht="30.6">
      <c r="A3203" s="663"/>
      <c r="B3203" s="3130" t="s">
        <v>772</v>
      </c>
      <c r="C3203" s="663" t="s">
        <v>322</v>
      </c>
      <c r="D3203" s="678" t="s">
        <v>1980</v>
      </c>
      <c r="E3203" s="1407" t="s">
        <v>420</v>
      </c>
      <c r="F3203" s="679">
        <v>2250</v>
      </c>
      <c r="G3203" s="1671" t="s">
        <v>4077</v>
      </c>
      <c r="H3203" s="778"/>
      <c r="I3203" s="772"/>
      <c r="J3203" s="1494" t="s">
        <v>1134</v>
      </c>
      <c r="K3203" s="784"/>
      <c r="L3203" s="1475"/>
      <c r="M3203" s="2095">
        <v>3000</v>
      </c>
      <c r="N3203" s="1223"/>
      <c r="O3203" s="4"/>
      <c r="P3203" s="4"/>
      <c r="Q3203" s="4"/>
      <c r="R3203" s="4"/>
      <c r="S3203" s="4"/>
      <c r="T3203" s="4"/>
      <c r="U3203" s="4"/>
      <c r="V3203" s="4"/>
      <c r="W3203" s="4"/>
      <c r="X3203" s="4"/>
      <c r="Y3203" s="4"/>
      <c r="Z3203" s="4"/>
      <c r="AA3203" s="4"/>
      <c r="AB3203" s="4"/>
      <c r="AC3203" s="4"/>
      <c r="AD3203" s="4"/>
      <c r="AE3203" s="4"/>
      <c r="AF3203" s="4"/>
    </row>
    <row r="3204" spans="1:32">
      <c r="A3204" s="683"/>
      <c r="B3204" s="3129" t="s">
        <v>772</v>
      </c>
      <c r="C3204" s="683" t="s">
        <v>322</v>
      </c>
      <c r="D3204" s="719" t="s">
        <v>1980</v>
      </c>
      <c r="E3204" s="1406" t="s">
        <v>420</v>
      </c>
      <c r="F3204" s="1698">
        <v>2264</v>
      </c>
      <c r="G3204" s="1691" t="s">
        <v>125</v>
      </c>
      <c r="H3204" s="2074">
        <v>75</v>
      </c>
      <c r="I3204" s="2075"/>
      <c r="J3204" s="1684">
        <v>75</v>
      </c>
      <c r="K3204" s="2052"/>
      <c r="L3204" s="2074">
        <v>75</v>
      </c>
      <c r="M3204" s="2076"/>
      <c r="N3204" s="1224"/>
      <c r="O3204" s="4"/>
      <c r="P3204" s="4"/>
      <c r="Q3204" s="4"/>
      <c r="R3204" s="4"/>
      <c r="S3204" s="4"/>
      <c r="T3204" s="4"/>
      <c r="U3204" s="4"/>
      <c r="V3204" s="4"/>
      <c r="W3204" s="4"/>
      <c r="X3204" s="4"/>
      <c r="Y3204" s="4"/>
      <c r="Z3204" s="4"/>
      <c r="AA3204" s="4"/>
      <c r="AB3204" s="4"/>
      <c r="AC3204" s="4"/>
      <c r="AD3204" s="4"/>
      <c r="AE3204" s="4"/>
      <c r="AF3204" s="4"/>
    </row>
    <row r="3205" spans="1:32">
      <c r="A3205" s="663"/>
      <c r="B3205" s="3130" t="s">
        <v>772</v>
      </c>
      <c r="C3205" s="663" t="s">
        <v>322</v>
      </c>
      <c r="D3205" s="678" t="s">
        <v>1980</v>
      </c>
      <c r="E3205" s="1407" t="s">
        <v>420</v>
      </c>
      <c r="F3205" s="1413">
        <v>2264</v>
      </c>
      <c r="G3205" s="818" t="s">
        <v>272</v>
      </c>
      <c r="H3205" s="2064"/>
      <c r="I3205" s="2055">
        <v>75</v>
      </c>
      <c r="J3205" s="1684" t="s">
        <v>1134</v>
      </c>
      <c r="K3205" s="2056"/>
      <c r="L3205" s="2064"/>
      <c r="M3205" s="2057">
        <v>75</v>
      </c>
      <c r="N3205" s="1223"/>
      <c r="O3205" s="4"/>
      <c r="P3205" s="4"/>
      <c r="Q3205" s="4"/>
      <c r="R3205" s="4"/>
      <c r="S3205" s="4"/>
      <c r="T3205" s="4"/>
      <c r="U3205" s="4"/>
      <c r="V3205" s="4"/>
      <c r="W3205" s="4"/>
      <c r="X3205" s="4"/>
      <c r="Y3205" s="4"/>
      <c r="Z3205" s="4"/>
      <c r="AA3205" s="4"/>
      <c r="AB3205" s="4"/>
      <c r="AC3205" s="4"/>
      <c r="AD3205" s="4"/>
      <c r="AE3205" s="4"/>
      <c r="AF3205" s="4"/>
    </row>
    <row r="3206" spans="1:32">
      <c r="A3206" s="683"/>
      <c r="B3206" s="3129" t="s">
        <v>773</v>
      </c>
      <c r="C3206" s="683" t="s">
        <v>322</v>
      </c>
      <c r="D3206" s="719" t="s">
        <v>1980</v>
      </c>
      <c r="E3206" s="1406" t="s">
        <v>420</v>
      </c>
      <c r="F3206" s="1698">
        <v>2264</v>
      </c>
      <c r="G3206" s="1691" t="s">
        <v>125</v>
      </c>
      <c r="H3206" s="2074"/>
      <c r="I3206" s="2075"/>
      <c r="J3206" s="1684">
        <v>75</v>
      </c>
      <c r="K3206" s="2052"/>
      <c r="L3206" s="2074">
        <v>683.33333333333337</v>
      </c>
      <c r="M3206" s="2076"/>
      <c r="N3206" s="1223"/>
      <c r="O3206" s="4"/>
      <c r="P3206" s="4"/>
      <c r="Q3206" s="4"/>
      <c r="R3206" s="4"/>
      <c r="S3206" s="4"/>
      <c r="T3206" s="4"/>
      <c r="U3206" s="4"/>
      <c r="V3206" s="4"/>
      <c r="W3206" s="4"/>
      <c r="X3206" s="4"/>
      <c r="Y3206" s="4"/>
      <c r="Z3206" s="4"/>
      <c r="AA3206" s="4"/>
      <c r="AB3206" s="4"/>
      <c r="AC3206" s="4"/>
      <c r="AD3206" s="4"/>
      <c r="AE3206" s="4"/>
      <c r="AF3206" s="4"/>
    </row>
    <row r="3207" spans="1:32" ht="22.5" customHeight="1">
      <c r="A3207" s="663"/>
      <c r="B3207" s="3130" t="s">
        <v>773</v>
      </c>
      <c r="C3207" s="663" t="s">
        <v>322</v>
      </c>
      <c r="D3207" s="678" t="s">
        <v>1980</v>
      </c>
      <c r="E3207" s="1407" t="s">
        <v>420</v>
      </c>
      <c r="F3207" s="1413">
        <v>2264</v>
      </c>
      <c r="G3207" s="2097" t="s">
        <v>4066</v>
      </c>
      <c r="H3207" s="2064"/>
      <c r="I3207" s="2055"/>
      <c r="J3207" s="1684" t="s">
        <v>1134</v>
      </c>
      <c r="K3207" s="2056"/>
      <c r="L3207" s="2064"/>
      <c r="M3207" s="2827">
        <v>683.33333333333337</v>
      </c>
      <c r="N3207" s="1223"/>
      <c r="O3207" s="4"/>
      <c r="P3207" s="4"/>
      <c r="Q3207" s="4"/>
      <c r="R3207" s="4"/>
      <c r="S3207" s="4"/>
      <c r="T3207" s="4"/>
      <c r="U3207" s="4"/>
      <c r="V3207" s="4"/>
      <c r="W3207" s="4"/>
      <c r="X3207" s="4"/>
      <c r="Y3207" s="4"/>
      <c r="Z3207" s="4"/>
      <c r="AA3207" s="4"/>
      <c r="AB3207" s="4"/>
      <c r="AC3207" s="4"/>
      <c r="AD3207" s="4"/>
      <c r="AE3207" s="4"/>
      <c r="AF3207" s="4"/>
    </row>
    <row r="3208" spans="1:32">
      <c r="A3208" s="683"/>
      <c r="B3208" s="3129" t="s">
        <v>772</v>
      </c>
      <c r="C3208" s="683" t="s">
        <v>322</v>
      </c>
      <c r="D3208" s="719" t="s">
        <v>1980</v>
      </c>
      <c r="E3208" s="1406" t="s">
        <v>420</v>
      </c>
      <c r="F3208" s="1698">
        <v>2311</v>
      </c>
      <c r="G3208" s="1691" t="s">
        <v>129</v>
      </c>
      <c r="H3208" s="2074">
        <v>7450</v>
      </c>
      <c r="I3208" s="2099"/>
      <c r="J3208" s="1684">
        <v>1624</v>
      </c>
      <c r="K3208" s="2052"/>
      <c r="L3208" s="2074">
        <v>6750</v>
      </c>
      <c r="M3208" s="2100"/>
      <c r="N3208" s="1223"/>
      <c r="O3208" s="4"/>
      <c r="P3208" s="4"/>
      <c r="Q3208" s="4"/>
      <c r="R3208" s="4"/>
      <c r="S3208" s="4"/>
      <c r="T3208" s="4"/>
      <c r="U3208" s="4"/>
      <c r="V3208" s="4"/>
      <c r="W3208" s="4"/>
      <c r="X3208" s="4"/>
      <c r="Y3208" s="4"/>
      <c r="Z3208" s="4"/>
      <c r="AA3208" s="4"/>
      <c r="AB3208" s="4"/>
      <c r="AC3208" s="4"/>
      <c r="AD3208" s="4"/>
      <c r="AE3208" s="4"/>
      <c r="AF3208" s="4"/>
    </row>
    <row r="3209" spans="1:32">
      <c r="A3209" s="663"/>
      <c r="B3209" s="3130" t="s">
        <v>772</v>
      </c>
      <c r="C3209" s="663" t="s">
        <v>322</v>
      </c>
      <c r="D3209" s="678" t="s">
        <v>1980</v>
      </c>
      <c r="E3209" s="1407" t="s">
        <v>420</v>
      </c>
      <c r="F3209" s="1413">
        <v>2311</v>
      </c>
      <c r="G3209" s="1699" t="s">
        <v>273</v>
      </c>
      <c r="H3209" s="2064"/>
      <c r="I3209" s="2055">
        <v>5000</v>
      </c>
      <c r="J3209" s="1684" t="s">
        <v>1134</v>
      </c>
      <c r="K3209" s="2056"/>
      <c r="L3209" s="2064"/>
      <c r="M3209" s="2077">
        <v>4500</v>
      </c>
      <c r="N3209" s="1223"/>
      <c r="O3209" s="4"/>
      <c r="P3209" s="4"/>
      <c r="Q3209" s="4"/>
      <c r="R3209" s="4"/>
      <c r="S3209" s="4"/>
      <c r="T3209" s="4"/>
      <c r="U3209" s="4"/>
      <c r="V3209" s="4"/>
      <c r="W3209" s="4"/>
      <c r="X3209" s="4"/>
      <c r="Y3209" s="4"/>
      <c r="Z3209" s="4"/>
      <c r="AA3209" s="4"/>
      <c r="AB3209" s="4"/>
      <c r="AC3209" s="4"/>
      <c r="AD3209" s="4"/>
      <c r="AE3209" s="4"/>
      <c r="AF3209" s="4"/>
    </row>
    <row r="3210" spans="1:32">
      <c r="A3210" s="663"/>
      <c r="B3210" s="3130" t="s">
        <v>772</v>
      </c>
      <c r="C3210" s="663" t="s">
        <v>322</v>
      </c>
      <c r="D3210" s="678" t="s">
        <v>1980</v>
      </c>
      <c r="E3210" s="1407" t="s">
        <v>420</v>
      </c>
      <c r="F3210" s="1413">
        <v>2311</v>
      </c>
      <c r="G3210" s="1699" t="s">
        <v>2397</v>
      </c>
      <c r="H3210" s="2064"/>
      <c r="I3210" s="2055">
        <v>100</v>
      </c>
      <c r="J3210" s="1684" t="s">
        <v>1134</v>
      </c>
      <c r="K3210" s="2056"/>
      <c r="L3210" s="2064"/>
      <c r="M3210" s="2077">
        <v>100</v>
      </c>
      <c r="N3210" s="1223"/>
      <c r="O3210" s="4"/>
      <c r="P3210" s="4"/>
      <c r="Q3210" s="4"/>
      <c r="R3210" s="4"/>
      <c r="S3210" s="4"/>
      <c r="T3210" s="4"/>
      <c r="U3210" s="4"/>
      <c r="V3210" s="4"/>
      <c r="W3210" s="4"/>
      <c r="X3210" s="4"/>
      <c r="Y3210" s="4"/>
      <c r="Z3210" s="4"/>
      <c r="AA3210" s="4"/>
      <c r="AB3210" s="4"/>
      <c r="AC3210" s="4"/>
      <c r="AD3210" s="4"/>
      <c r="AE3210" s="4"/>
      <c r="AF3210" s="4"/>
    </row>
    <row r="3211" spans="1:32">
      <c r="A3211" s="663" t="s">
        <v>570</v>
      </c>
      <c r="B3211" s="3130" t="s">
        <v>772</v>
      </c>
      <c r="C3211" s="663" t="s">
        <v>322</v>
      </c>
      <c r="D3211" s="678" t="s">
        <v>1980</v>
      </c>
      <c r="E3211" s="1407" t="s">
        <v>420</v>
      </c>
      <c r="F3211" s="1413">
        <v>2311</v>
      </c>
      <c r="G3211" s="1699" t="s">
        <v>274</v>
      </c>
      <c r="H3211" s="2064"/>
      <c r="I3211" s="2055">
        <v>2000</v>
      </c>
      <c r="J3211" s="1684" t="s">
        <v>1134</v>
      </c>
      <c r="K3211" s="2056"/>
      <c r="L3211" s="2064"/>
      <c r="M3211" s="2077">
        <v>1800</v>
      </c>
      <c r="N3211" s="1223"/>
      <c r="O3211" s="187"/>
      <c r="P3211" s="187"/>
      <c r="Q3211" s="187"/>
      <c r="R3211" s="187"/>
      <c r="S3211" s="187"/>
      <c r="T3211" s="187"/>
      <c r="U3211" s="187"/>
      <c r="V3211" s="187"/>
      <c r="W3211" s="187"/>
      <c r="X3211" s="187"/>
      <c r="Y3211" s="187"/>
      <c r="Z3211" s="187"/>
      <c r="AA3211" s="187"/>
      <c r="AB3211" s="187"/>
      <c r="AC3211" s="187"/>
      <c r="AD3211" s="187"/>
      <c r="AE3211" s="187"/>
      <c r="AF3211" s="187"/>
    </row>
    <row r="3212" spans="1:32">
      <c r="A3212" s="663"/>
      <c r="B3212" s="3130" t="s">
        <v>772</v>
      </c>
      <c r="C3212" s="663" t="s">
        <v>322</v>
      </c>
      <c r="D3212" s="678" t="s">
        <v>1980</v>
      </c>
      <c r="E3212" s="1407" t="s">
        <v>420</v>
      </c>
      <c r="F3212" s="1413">
        <v>2311</v>
      </c>
      <c r="G3212" s="1699" t="s">
        <v>275</v>
      </c>
      <c r="H3212" s="2064"/>
      <c r="I3212" s="2055">
        <v>200</v>
      </c>
      <c r="J3212" s="1684" t="s">
        <v>1134</v>
      </c>
      <c r="K3212" s="2056"/>
      <c r="L3212" s="2064"/>
      <c r="M3212" s="2077">
        <v>200</v>
      </c>
      <c r="N3212" s="2098" t="s">
        <v>4116</v>
      </c>
      <c r="O3212" s="4"/>
      <c r="P3212" s="4"/>
      <c r="Q3212" s="4"/>
      <c r="R3212" s="4"/>
      <c r="S3212" s="4"/>
      <c r="T3212" s="4"/>
      <c r="U3212" s="4"/>
      <c r="V3212" s="4"/>
      <c r="W3212" s="4"/>
      <c r="X3212" s="4"/>
      <c r="Y3212" s="4"/>
      <c r="Z3212" s="4"/>
      <c r="AA3212" s="4"/>
      <c r="AB3212" s="4"/>
      <c r="AC3212" s="4"/>
      <c r="AD3212" s="4"/>
      <c r="AE3212" s="4"/>
      <c r="AF3212" s="4"/>
    </row>
    <row r="3213" spans="1:32">
      <c r="A3213" s="663"/>
      <c r="B3213" s="3130" t="s">
        <v>772</v>
      </c>
      <c r="C3213" s="663" t="s">
        <v>322</v>
      </c>
      <c r="D3213" s="678" t="s">
        <v>1980</v>
      </c>
      <c r="E3213" s="1407" t="s">
        <v>420</v>
      </c>
      <c r="F3213" s="1413">
        <v>2311</v>
      </c>
      <c r="G3213" s="1699" t="s">
        <v>359</v>
      </c>
      <c r="H3213" s="2064"/>
      <c r="I3213" s="2055">
        <v>150</v>
      </c>
      <c r="J3213" s="1684" t="s">
        <v>1134</v>
      </c>
      <c r="K3213" s="2056"/>
      <c r="L3213" s="2064"/>
      <c r="M3213" s="2077">
        <v>150</v>
      </c>
      <c r="N3213" s="2098" t="s">
        <v>4116</v>
      </c>
      <c r="O3213" s="4"/>
      <c r="P3213" s="4"/>
      <c r="Q3213" s="4"/>
      <c r="R3213" s="4"/>
      <c r="S3213" s="4"/>
      <c r="T3213" s="4"/>
      <c r="U3213" s="4"/>
      <c r="V3213" s="4"/>
      <c r="W3213" s="4"/>
      <c r="X3213" s="4"/>
      <c r="Y3213" s="4"/>
      <c r="Z3213" s="4"/>
      <c r="AA3213" s="4"/>
      <c r="AB3213" s="4"/>
      <c r="AC3213" s="4"/>
      <c r="AD3213" s="4"/>
      <c r="AE3213" s="4"/>
      <c r="AF3213" s="4"/>
    </row>
    <row r="3214" spans="1:32">
      <c r="A3214" s="683"/>
      <c r="B3214" s="3129" t="s">
        <v>772</v>
      </c>
      <c r="C3214" s="683" t="s">
        <v>322</v>
      </c>
      <c r="D3214" s="719" t="s">
        <v>1980</v>
      </c>
      <c r="E3214" s="1406" t="s">
        <v>420</v>
      </c>
      <c r="F3214" s="721">
        <v>2312</v>
      </c>
      <c r="G3214" s="686" t="s">
        <v>131</v>
      </c>
      <c r="H3214" s="776">
        <v>26111</v>
      </c>
      <c r="I3214" s="779"/>
      <c r="J3214" s="1494">
        <v>15485</v>
      </c>
      <c r="K3214" s="780"/>
      <c r="L3214" s="2074">
        <v>21472</v>
      </c>
      <c r="M3214" s="2076"/>
      <c r="N3214" s="2098" t="s">
        <v>4116</v>
      </c>
      <c r="O3214" s="4"/>
      <c r="P3214" s="4"/>
      <c r="Q3214" s="4"/>
      <c r="R3214" s="4"/>
      <c r="S3214" s="4"/>
      <c r="T3214" s="4"/>
      <c r="U3214" s="4"/>
      <c r="V3214" s="4"/>
      <c r="W3214" s="4"/>
      <c r="X3214" s="4"/>
      <c r="Y3214" s="4"/>
      <c r="Z3214" s="4"/>
      <c r="AA3214" s="4"/>
      <c r="AB3214" s="4"/>
      <c r="AC3214" s="4"/>
      <c r="AD3214" s="4"/>
      <c r="AE3214" s="4"/>
      <c r="AF3214" s="4"/>
    </row>
    <row r="3215" spans="1:32">
      <c r="A3215" s="663" t="s">
        <v>570</v>
      </c>
      <c r="B3215" s="3130" t="s">
        <v>772</v>
      </c>
      <c r="C3215" s="663" t="s">
        <v>322</v>
      </c>
      <c r="D3215" s="678" t="s">
        <v>1980</v>
      </c>
      <c r="E3215" s="1407" t="s">
        <v>420</v>
      </c>
      <c r="F3215" s="725">
        <v>2312</v>
      </c>
      <c r="G3215" s="665" t="s">
        <v>4088</v>
      </c>
      <c r="H3215" s="778"/>
      <c r="I3215" s="773">
        <v>26806</v>
      </c>
      <c r="J3215" s="1494" t="s">
        <v>1134</v>
      </c>
      <c r="K3215" s="784"/>
      <c r="L3215" s="2064"/>
      <c r="M3215" s="2057">
        <v>21472</v>
      </c>
      <c r="N3215" s="2098" t="s">
        <v>4116</v>
      </c>
      <c r="O3215" s="7"/>
      <c r="P3215" s="7"/>
      <c r="Q3215" s="7"/>
      <c r="R3215" s="7"/>
      <c r="S3215" s="7"/>
      <c r="T3215" s="7"/>
      <c r="U3215" s="7"/>
      <c r="V3215" s="7"/>
      <c r="W3215" s="7"/>
      <c r="X3215" s="7"/>
      <c r="Y3215" s="7"/>
      <c r="Z3215" s="7"/>
      <c r="AA3215" s="7"/>
      <c r="AB3215" s="7"/>
      <c r="AC3215" s="7"/>
      <c r="AD3215" s="7"/>
      <c r="AE3215" s="7"/>
      <c r="AF3215" s="7"/>
    </row>
    <row r="3216" spans="1:32" ht="30.6">
      <c r="A3216" s="1495"/>
      <c r="B3216" s="3138" t="s">
        <v>772</v>
      </c>
      <c r="C3216" s="1495" t="s">
        <v>438</v>
      </c>
      <c r="D3216" s="1561" t="s">
        <v>1980</v>
      </c>
      <c r="E3216" s="1559" t="s">
        <v>420</v>
      </c>
      <c r="F3216" s="1574">
        <v>2312</v>
      </c>
      <c r="G3216" s="1626" t="s">
        <v>3419</v>
      </c>
      <c r="H3216" s="1627"/>
      <c r="I3216" s="1565">
        <v>-695</v>
      </c>
      <c r="J3216" s="1628"/>
      <c r="K3216" s="1629"/>
      <c r="L3216" s="2101"/>
      <c r="M3216" s="2102"/>
      <c r="N3216" s="2098" t="s">
        <v>4116</v>
      </c>
      <c r="O3216" s="7"/>
      <c r="P3216" s="7"/>
      <c r="Q3216" s="7"/>
      <c r="R3216" s="182"/>
      <c r="S3216" s="126"/>
      <c r="T3216" s="126"/>
      <c r="U3216" s="183"/>
      <c r="V3216" s="4"/>
      <c r="W3216" s="4"/>
      <c r="X3216" s="4"/>
      <c r="Y3216" s="4"/>
      <c r="Z3216" s="4"/>
      <c r="AA3216" s="4"/>
      <c r="AB3216" s="4"/>
      <c r="AC3216" s="4"/>
      <c r="AD3216" s="4"/>
      <c r="AE3216" s="4"/>
      <c r="AF3216" s="4"/>
    </row>
    <row r="3217" spans="1:32">
      <c r="A3217" s="683"/>
      <c r="B3217" s="3129" t="s">
        <v>773</v>
      </c>
      <c r="C3217" s="683" t="s">
        <v>369</v>
      </c>
      <c r="D3217" s="719" t="s">
        <v>1980</v>
      </c>
      <c r="E3217" s="1406" t="s">
        <v>420</v>
      </c>
      <c r="F3217" s="685">
        <v>2312</v>
      </c>
      <c r="G3217" s="686" t="s">
        <v>131</v>
      </c>
      <c r="H3217" s="776">
        <v>35000</v>
      </c>
      <c r="I3217" s="779"/>
      <c r="J3217" s="1494">
        <v>35099</v>
      </c>
      <c r="K3217" s="780"/>
      <c r="L3217" s="2068">
        <v>60122.6</v>
      </c>
      <c r="M3217" s="2069"/>
      <c r="N3217" s="2098" t="s">
        <v>4116</v>
      </c>
      <c r="O3217" s="7"/>
      <c r="P3217" s="7"/>
      <c r="Q3217" s="7"/>
      <c r="R3217" s="182"/>
      <c r="S3217" s="126"/>
      <c r="T3217" s="126"/>
      <c r="U3217" s="183"/>
      <c r="V3217" s="4"/>
      <c r="W3217" s="4"/>
      <c r="X3217" s="4"/>
      <c r="Y3217" s="4"/>
      <c r="Z3217" s="4"/>
      <c r="AA3217" s="4"/>
      <c r="AB3217" s="4"/>
      <c r="AC3217" s="4"/>
      <c r="AD3217" s="4"/>
      <c r="AE3217" s="4"/>
      <c r="AF3217" s="4"/>
    </row>
    <row r="3218" spans="1:32" ht="13.2">
      <c r="A3218" s="1495"/>
      <c r="B3218" s="3144" t="s">
        <v>773</v>
      </c>
      <c r="C3218" s="1495" t="s">
        <v>369</v>
      </c>
      <c r="D3218" s="1561" t="s">
        <v>1980</v>
      </c>
      <c r="E3218" s="1559" t="s">
        <v>420</v>
      </c>
      <c r="F3218" s="1574">
        <v>2312</v>
      </c>
      <c r="G3218" s="1626" t="s">
        <v>4080</v>
      </c>
      <c r="H3218" s="1627"/>
      <c r="I3218" s="1565"/>
      <c r="J3218" s="1628"/>
      <c r="K3218" s="1629"/>
      <c r="L3218" s="2101"/>
      <c r="M3218" s="2102">
        <v>4250.3</v>
      </c>
      <c r="N3218" s="2098" t="s">
        <v>4116</v>
      </c>
      <c r="O3218" s="7"/>
      <c r="P3218" s="7"/>
      <c r="Q3218" s="7"/>
      <c r="R3218" s="7"/>
      <c r="S3218" s="7"/>
      <c r="T3218" s="7"/>
      <c r="U3218" s="7"/>
      <c r="V3218" s="7"/>
      <c r="W3218" s="7"/>
      <c r="X3218" s="7"/>
      <c r="Y3218" s="7"/>
      <c r="Z3218" s="7"/>
      <c r="AA3218" s="7"/>
      <c r="AB3218" s="7"/>
      <c r="AC3218" s="7"/>
      <c r="AD3218" s="7"/>
      <c r="AE3218" s="7"/>
      <c r="AF3218" s="7"/>
    </row>
    <row r="3219" spans="1:32" ht="13.2">
      <c r="A3219" s="1495"/>
      <c r="B3219" s="3144" t="s">
        <v>773</v>
      </c>
      <c r="C3219" s="1495" t="s">
        <v>369</v>
      </c>
      <c r="D3219" s="1561" t="s">
        <v>1980</v>
      </c>
      <c r="E3219" s="1559" t="s">
        <v>420</v>
      </c>
      <c r="F3219" s="1574">
        <v>2312</v>
      </c>
      <c r="G3219" s="1626" t="s">
        <v>4081</v>
      </c>
      <c r="H3219" s="1627"/>
      <c r="I3219" s="1565"/>
      <c r="J3219" s="1628"/>
      <c r="K3219" s="1629"/>
      <c r="L3219" s="2101"/>
      <c r="M3219" s="2102">
        <v>2831</v>
      </c>
      <c r="N3219" s="2098" t="s">
        <v>4117</v>
      </c>
      <c r="O3219" s="7"/>
      <c r="P3219" s="7"/>
      <c r="Q3219" s="7"/>
      <c r="R3219" s="3"/>
      <c r="S3219" s="3"/>
      <c r="T3219" s="3"/>
      <c r="U3219" s="3"/>
      <c r="V3219" s="3"/>
      <c r="W3219" s="3"/>
      <c r="X3219" s="3"/>
      <c r="Y3219" s="3"/>
      <c r="Z3219" s="3"/>
      <c r="AA3219" s="3"/>
      <c r="AB3219" s="3"/>
      <c r="AC3219" s="3"/>
      <c r="AD3219" s="3"/>
      <c r="AE3219" s="3"/>
      <c r="AF3219" s="3"/>
    </row>
    <row r="3220" spans="1:32" ht="13.2">
      <c r="A3220" s="1495"/>
      <c r="B3220" s="3144" t="s">
        <v>773</v>
      </c>
      <c r="C3220" s="1495" t="s">
        <v>369</v>
      </c>
      <c r="D3220" s="1561" t="s">
        <v>1980</v>
      </c>
      <c r="E3220" s="1559" t="s">
        <v>420</v>
      </c>
      <c r="F3220" s="1574">
        <v>2312</v>
      </c>
      <c r="G3220" s="1626" t="s">
        <v>4085</v>
      </c>
      <c r="H3220" s="1627"/>
      <c r="I3220" s="1565"/>
      <c r="J3220" s="1628"/>
      <c r="K3220" s="1629"/>
      <c r="L3220" s="2101"/>
      <c r="M3220" s="2102">
        <v>4250.3</v>
      </c>
      <c r="N3220" s="2098" t="s">
        <v>4117</v>
      </c>
      <c r="O3220" s="7"/>
      <c r="P3220" s="7"/>
      <c r="Q3220" s="7"/>
      <c r="R3220" s="7"/>
      <c r="S3220" s="7"/>
      <c r="T3220" s="7"/>
      <c r="U3220" s="7"/>
      <c r="V3220" s="7"/>
      <c r="W3220" s="7"/>
      <c r="X3220" s="7"/>
      <c r="Y3220" s="7"/>
      <c r="Z3220" s="7"/>
      <c r="AA3220" s="7"/>
      <c r="AB3220" s="7"/>
      <c r="AC3220" s="7"/>
      <c r="AD3220" s="7"/>
      <c r="AE3220" s="7"/>
      <c r="AF3220" s="7"/>
    </row>
    <row r="3221" spans="1:32" ht="13.2">
      <c r="A3221" s="1495"/>
      <c r="B3221" s="3144" t="s">
        <v>773</v>
      </c>
      <c r="C3221" s="1495" t="s">
        <v>369</v>
      </c>
      <c r="D3221" s="1561" t="s">
        <v>1980</v>
      </c>
      <c r="E3221" s="1559" t="s">
        <v>420</v>
      </c>
      <c r="F3221" s="1574">
        <v>2312</v>
      </c>
      <c r="G3221" s="1626" t="s">
        <v>4086</v>
      </c>
      <c r="H3221" s="1627"/>
      <c r="I3221" s="1565"/>
      <c r="J3221" s="1628"/>
      <c r="K3221" s="1629"/>
      <c r="L3221" s="2101"/>
      <c r="M3221" s="2102">
        <v>2831</v>
      </c>
      <c r="N3221" s="2098" t="s">
        <v>4117</v>
      </c>
      <c r="O3221" s="7"/>
      <c r="P3221" s="7"/>
      <c r="Q3221" s="7"/>
      <c r="R3221" s="7"/>
      <c r="S3221" s="7"/>
      <c r="T3221" s="7"/>
      <c r="U3221" s="7"/>
      <c r="V3221" s="7"/>
      <c r="W3221" s="7"/>
      <c r="X3221" s="7"/>
      <c r="Y3221" s="7"/>
      <c r="Z3221" s="7"/>
      <c r="AA3221" s="7"/>
      <c r="AB3221" s="7"/>
      <c r="AC3221" s="7"/>
      <c r="AD3221" s="7"/>
      <c r="AE3221" s="7"/>
      <c r="AF3221" s="7"/>
    </row>
    <row r="3222" spans="1:32" ht="13.2">
      <c r="A3222" s="1495"/>
      <c r="B3222" s="3144" t="s">
        <v>773</v>
      </c>
      <c r="C3222" s="1495" t="s">
        <v>369</v>
      </c>
      <c r="D3222" s="1561" t="s">
        <v>1980</v>
      </c>
      <c r="E3222" s="1559" t="s">
        <v>420</v>
      </c>
      <c r="F3222" s="1574">
        <v>2312</v>
      </c>
      <c r="G3222" s="1626" t="s">
        <v>4082</v>
      </c>
      <c r="H3222" s="1627"/>
      <c r="I3222" s="1565"/>
      <c r="J3222" s="1628"/>
      <c r="K3222" s="1629"/>
      <c r="L3222" s="2101"/>
      <c r="M3222" s="2102">
        <v>2384</v>
      </c>
      <c r="N3222" s="2098" t="s">
        <v>4117</v>
      </c>
      <c r="O3222" s="7"/>
      <c r="P3222" s="7"/>
      <c r="Q3222" s="7"/>
      <c r="R3222" s="7"/>
      <c r="S3222" s="7"/>
      <c r="T3222" s="7"/>
      <c r="U3222" s="7"/>
      <c r="V3222" s="7"/>
      <c r="W3222" s="7"/>
      <c r="X3222" s="7"/>
      <c r="Y3222" s="7"/>
      <c r="Z3222" s="7"/>
      <c r="AA3222" s="7"/>
      <c r="AB3222" s="7"/>
      <c r="AC3222" s="7"/>
      <c r="AD3222" s="7"/>
      <c r="AE3222" s="7"/>
      <c r="AF3222" s="7"/>
    </row>
    <row r="3223" spans="1:32" ht="13.2">
      <c r="A3223" s="1495"/>
      <c r="B3223" s="3144" t="s">
        <v>773</v>
      </c>
      <c r="C3223" s="1495" t="s">
        <v>369</v>
      </c>
      <c r="D3223" s="1561" t="s">
        <v>1980</v>
      </c>
      <c r="E3223" s="1559" t="s">
        <v>420</v>
      </c>
      <c r="F3223" s="1574">
        <v>2312</v>
      </c>
      <c r="G3223" s="1626" t="s">
        <v>4083</v>
      </c>
      <c r="H3223" s="1627"/>
      <c r="I3223" s="1565"/>
      <c r="J3223" s="1628"/>
      <c r="K3223" s="1629"/>
      <c r="L3223" s="2101"/>
      <c r="M3223" s="2102">
        <v>2384</v>
      </c>
      <c r="N3223" s="2098" t="s">
        <v>4117</v>
      </c>
      <c r="O3223" s="7"/>
      <c r="P3223" s="7"/>
      <c r="Q3223" s="7"/>
      <c r="R3223" s="7"/>
      <c r="S3223" s="7"/>
      <c r="T3223" s="7"/>
      <c r="U3223" s="7"/>
      <c r="V3223" s="7"/>
      <c r="W3223" s="7"/>
      <c r="X3223" s="7"/>
      <c r="Y3223" s="7"/>
      <c r="Z3223" s="7"/>
      <c r="AA3223" s="7"/>
      <c r="AB3223" s="7"/>
      <c r="AC3223" s="7"/>
      <c r="AD3223" s="7"/>
      <c r="AE3223" s="7"/>
      <c r="AF3223" s="7"/>
    </row>
    <row r="3224" spans="1:32" ht="13.2">
      <c r="A3224" s="1495"/>
      <c r="B3224" s="3144" t="s">
        <v>773</v>
      </c>
      <c r="C3224" s="1495" t="s">
        <v>369</v>
      </c>
      <c r="D3224" s="1561" t="s">
        <v>1980</v>
      </c>
      <c r="E3224" s="1559" t="s">
        <v>420</v>
      </c>
      <c r="F3224" s="1574">
        <v>2312</v>
      </c>
      <c r="G3224" s="1626" t="s">
        <v>4084</v>
      </c>
      <c r="H3224" s="1627"/>
      <c r="I3224" s="1565"/>
      <c r="J3224" s="1628"/>
      <c r="K3224" s="1629"/>
      <c r="L3224" s="2101"/>
      <c r="M3224" s="2102">
        <v>1192</v>
      </c>
      <c r="N3224" s="2098" t="s">
        <v>4117</v>
      </c>
      <c r="O3224" s="7"/>
      <c r="P3224" s="7"/>
      <c r="Q3224" s="7"/>
      <c r="R3224" s="7"/>
      <c r="S3224" s="7"/>
      <c r="T3224" s="7"/>
      <c r="U3224" s="7"/>
      <c r="V3224" s="7"/>
      <c r="W3224" s="7"/>
      <c r="X3224" s="7"/>
      <c r="Y3224" s="7"/>
      <c r="Z3224" s="7"/>
      <c r="AA3224" s="7"/>
      <c r="AB3224" s="7"/>
      <c r="AC3224" s="7"/>
      <c r="AD3224" s="7"/>
      <c r="AE3224" s="7"/>
      <c r="AF3224" s="7"/>
    </row>
    <row r="3225" spans="1:32" ht="20.399999999999999">
      <c r="A3225" s="668" t="s">
        <v>570</v>
      </c>
      <c r="B3225" s="3144" t="s">
        <v>773</v>
      </c>
      <c r="C3225" s="668" t="s">
        <v>369</v>
      </c>
      <c r="D3225" s="669" t="s">
        <v>1980</v>
      </c>
      <c r="E3225" s="1411" t="s">
        <v>420</v>
      </c>
      <c r="F3225" s="718">
        <v>2312</v>
      </c>
      <c r="G3225" s="2811" t="s">
        <v>4380</v>
      </c>
      <c r="H3225" s="955"/>
      <c r="I3225" s="956">
        <v>35000</v>
      </c>
      <c r="J3225" s="1494" t="s">
        <v>1134</v>
      </c>
      <c r="K3225" s="956"/>
      <c r="L3225" s="2103"/>
      <c r="M3225" s="2291">
        <v>35000</v>
      </c>
      <c r="N3225" s="1223"/>
      <c r="O3225" s="7"/>
      <c r="P3225" s="7"/>
      <c r="Q3225" s="7"/>
      <c r="R3225" s="7"/>
      <c r="S3225" s="7"/>
      <c r="T3225" s="7"/>
      <c r="U3225" s="7"/>
      <c r="V3225" s="7"/>
      <c r="W3225" s="7"/>
      <c r="X3225" s="7"/>
      <c r="Y3225" s="7"/>
      <c r="Z3225" s="7"/>
      <c r="AA3225" s="7"/>
      <c r="AB3225" s="7"/>
      <c r="AC3225" s="7"/>
      <c r="AD3225" s="7"/>
      <c r="AE3225" s="7"/>
      <c r="AF3225" s="7"/>
    </row>
    <row r="3226" spans="1:32">
      <c r="A3226" s="668" t="s">
        <v>570</v>
      </c>
      <c r="B3226" s="3144" t="s">
        <v>773</v>
      </c>
      <c r="C3226" s="668" t="s">
        <v>369</v>
      </c>
      <c r="D3226" s="669" t="s">
        <v>1980</v>
      </c>
      <c r="E3226" s="1411" t="s">
        <v>420</v>
      </c>
      <c r="F3226" s="718">
        <v>2312</v>
      </c>
      <c r="G3226" s="2816" t="s">
        <v>2440</v>
      </c>
      <c r="H3226" s="2812"/>
      <c r="I3226" s="2813"/>
      <c r="J3226" s="2607"/>
      <c r="K3226" s="2813"/>
      <c r="L3226" s="2814"/>
      <c r="M3226" s="2815">
        <v>5000</v>
      </c>
      <c r="N3226" s="1223"/>
      <c r="O3226" s="7"/>
      <c r="P3226" s="7"/>
      <c r="Q3226" s="7"/>
      <c r="R3226" s="7"/>
      <c r="S3226" s="7"/>
      <c r="T3226" s="7"/>
      <c r="U3226" s="7"/>
      <c r="V3226" s="7"/>
      <c r="W3226" s="7"/>
      <c r="X3226" s="7"/>
      <c r="Y3226" s="7"/>
      <c r="Z3226" s="7"/>
      <c r="AA3226" s="7"/>
      <c r="AB3226" s="7"/>
      <c r="AC3226" s="7"/>
      <c r="AD3226" s="7"/>
      <c r="AE3226" s="7"/>
      <c r="AF3226" s="7"/>
    </row>
    <row r="3227" spans="1:32" ht="20.399999999999999">
      <c r="A3227" s="683"/>
      <c r="B3227" s="3129" t="s">
        <v>772</v>
      </c>
      <c r="C3227" s="683" t="s">
        <v>320</v>
      </c>
      <c r="D3227" s="719" t="s">
        <v>1980</v>
      </c>
      <c r="E3227" s="1406" t="s">
        <v>420</v>
      </c>
      <c r="F3227" s="685">
        <v>2314</v>
      </c>
      <c r="G3227" s="686" t="s">
        <v>1143</v>
      </c>
      <c r="H3227" s="776">
        <v>7900</v>
      </c>
      <c r="I3227" s="788"/>
      <c r="J3227" s="1494">
        <v>5566</v>
      </c>
      <c r="K3227" s="780"/>
      <c r="L3227" s="2074">
        <v>9870</v>
      </c>
      <c r="M3227" s="2100"/>
      <c r="N3227" s="1223"/>
      <c r="O3227" s="7"/>
      <c r="P3227" s="7"/>
      <c r="Q3227" s="7"/>
      <c r="R3227" s="7"/>
      <c r="S3227" s="7"/>
      <c r="T3227" s="7"/>
      <c r="U3227" s="7"/>
      <c r="V3227" s="7"/>
      <c r="W3227" s="7"/>
      <c r="X3227" s="7"/>
      <c r="Y3227" s="7"/>
      <c r="Z3227" s="7"/>
      <c r="AA3227" s="7"/>
      <c r="AB3227" s="7"/>
      <c r="AC3227" s="7"/>
      <c r="AD3227" s="7"/>
      <c r="AE3227" s="7"/>
      <c r="AF3227" s="7"/>
    </row>
    <row r="3228" spans="1:32">
      <c r="A3228" s="663"/>
      <c r="B3228" s="3130" t="s">
        <v>772</v>
      </c>
      <c r="C3228" s="663" t="s">
        <v>320</v>
      </c>
      <c r="D3228" s="678" t="s">
        <v>1980</v>
      </c>
      <c r="E3228" s="1407" t="s">
        <v>420</v>
      </c>
      <c r="F3228" s="679">
        <v>2314</v>
      </c>
      <c r="G3228" s="665" t="s">
        <v>1580</v>
      </c>
      <c r="H3228" s="778"/>
      <c r="I3228" s="773">
        <v>400</v>
      </c>
      <c r="J3228" s="1494"/>
      <c r="K3228" s="784"/>
      <c r="L3228" s="2064"/>
      <c r="M3228" s="2057">
        <v>400</v>
      </c>
      <c r="N3228" s="1223"/>
      <c r="O3228" s="7"/>
      <c r="P3228" s="7"/>
      <c r="Q3228" s="7"/>
      <c r="R3228" s="7"/>
      <c r="S3228" s="7"/>
      <c r="T3228" s="7"/>
      <c r="U3228" s="7"/>
      <c r="V3228" s="7"/>
      <c r="W3228" s="7"/>
      <c r="X3228" s="7"/>
      <c r="Y3228" s="7"/>
      <c r="Z3228" s="7"/>
      <c r="AA3228" s="7"/>
      <c r="AB3228" s="7"/>
      <c r="AC3228" s="7"/>
      <c r="AD3228" s="7"/>
      <c r="AE3228" s="7"/>
      <c r="AF3228" s="7"/>
    </row>
    <row r="3229" spans="1:32">
      <c r="A3229" s="663"/>
      <c r="B3229" s="3130" t="s">
        <v>772</v>
      </c>
      <c r="C3229" s="663" t="s">
        <v>320</v>
      </c>
      <c r="D3229" s="678" t="s">
        <v>1980</v>
      </c>
      <c r="E3229" s="1407" t="s">
        <v>420</v>
      </c>
      <c r="F3229" s="679">
        <v>2314</v>
      </c>
      <c r="G3229" s="1671" t="s">
        <v>196</v>
      </c>
      <c r="H3229" s="778"/>
      <c r="I3229" s="773">
        <v>800</v>
      </c>
      <c r="J3229" s="1494" t="s">
        <v>1134</v>
      </c>
      <c r="K3229" s="784"/>
      <c r="L3229" s="2064"/>
      <c r="M3229" s="2077">
        <v>800</v>
      </c>
      <c r="N3229" s="1223"/>
      <c r="O3229" s="7"/>
      <c r="P3229" s="7"/>
      <c r="Q3229" s="7"/>
      <c r="R3229" s="7"/>
      <c r="S3229" s="7"/>
      <c r="T3229" s="7"/>
      <c r="U3229" s="7"/>
      <c r="V3229" s="7"/>
      <c r="W3229" s="7"/>
      <c r="X3229" s="7"/>
      <c r="Y3229" s="7"/>
      <c r="Z3229" s="7"/>
      <c r="AA3229" s="7"/>
      <c r="AB3229" s="7"/>
      <c r="AC3229" s="7"/>
      <c r="AD3229" s="7"/>
      <c r="AE3229" s="7"/>
      <c r="AF3229" s="7"/>
    </row>
    <row r="3230" spans="1:32">
      <c r="A3230" s="663"/>
      <c r="B3230" s="3130" t="s">
        <v>772</v>
      </c>
      <c r="C3230" s="663" t="s">
        <v>320</v>
      </c>
      <c r="D3230" s="678" t="s">
        <v>1980</v>
      </c>
      <c r="E3230" s="1407" t="s">
        <v>420</v>
      </c>
      <c r="F3230" s="679">
        <v>2314</v>
      </c>
      <c r="G3230" s="1671" t="s">
        <v>1588</v>
      </c>
      <c r="H3230" s="778"/>
      <c r="I3230" s="773">
        <v>800</v>
      </c>
      <c r="J3230" s="1494" t="s">
        <v>1134</v>
      </c>
      <c r="K3230" s="784"/>
      <c r="L3230" s="2064"/>
      <c r="M3230" s="2077">
        <v>800</v>
      </c>
      <c r="N3230" s="1223"/>
      <c r="O3230" s="7"/>
      <c r="P3230" s="7"/>
      <c r="Q3230" s="7"/>
      <c r="R3230" s="7"/>
      <c r="S3230" s="7"/>
      <c r="T3230" s="7"/>
      <c r="U3230" s="7"/>
      <c r="V3230" s="7"/>
      <c r="W3230" s="7"/>
      <c r="X3230" s="7"/>
      <c r="Y3230" s="7"/>
      <c r="Z3230" s="7"/>
      <c r="AA3230" s="7"/>
      <c r="AB3230" s="7"/>
      <c r="AC3230" s="7"/>
      <c r="AD3230" s="7"/>
      <c r="AE3230" s="7"/>
      <c r="AF3230" s="7"/>
    </row>
    <row r="3231" spans="1:32">
      <c r="A3231" s="663"/>
      <c r="B3231" s="3130" t="s">
        <v>772</v>
      </c>
      <c r="C3231" s="663" t="s">
        <v>320</v>
      </c>
      <c r="D3231" s="678" t="s">
        <v>1980</v>
      </c>
      <c r="E3231" s="1407" t="s">
        <v>420</v>
      </c>
      <c r="F3231" s="679">
        <v>2314</v>
      </c>
      <c r="G3231" s="1671" t="s">
        <v>360</v>
      </c>
      <c r="H3231" s="778"/>
      <c r="I3231" s="773">
        <v>500</v>
      </c>
      <c r="J3231" s="1494" t="s">
        <v>1134</v>
      </c>
      <c r="K3231" s="784"/>
      <c r="L3231" s="2064"/>
      <c r="M3231" s="2077">
        <v>500</v>
      </c>
      <c r="N3231" s="1223"/>
      <c r="O3231" s="7"/>
      <c r="P3231" s="7"/>
      <c r="Q3231" s="7"/>
      <c r="R3231" s="7"/>
      <c r="S3231" s="7"/>
      <c r="T3231" s="7"/>
      <c r="U3231" s="7"/>
      <c r="V3231" s="7"/>
      <c r="W3231" s="7"/>
      <c r="X3231" s="7"/>
      <c r="Y3231" s="7"/>
      <c r="Z3231" s="7"/>
      <c r="AA3231" s="7"/>
      <c r="AB3231" s="7"/>
      <c r="AC3231" s="7"/>
      <c r="AD3231" s="7"/>
      <c r="AE3231" s="7"/>
      <c r="AF3231" s="7"/>
    </row>
    <row r="3232" spans="1:32">
      <c r="A3232" s="663"/>
      <c r="B3232" s="3130" t="s">
        <v>772</v>
      </c>
      <c r="C3232" s="663" t="s">
        <v>320</v>
      </c>
      <c r="D3232" s="678" t="s">
        <v>1980</v>
      </c>
      <c r="E3232" s="1407" t="s">
        <v>420</v>
      </c>
      <c r="F3232" s="679">
        <v>2314</v>
      </c>
      <c r="G3232" s="750" t="s">
        <v>1589</v>
      </c>
      <c r="H3232" s="778"/>
      <c r="I3232" s="773">
        <v>3000</v>
      </c>
      <c r="J3232" s="1494" t="s">
        <v>1134</v>
      </c>
      <c r="K3232" s="784"/>
      <c r="L3232" s="2064"/>
      <c r="M3232" s="2057">
        <v>3000</v>
      </c>
      <c r="N3232" s="1223"/>
      <c r="O3232" s="4"/>
      <c r="P3232" s="4"/>
      <c r="Q3232" s="4"/>
      <c r="R3232" s="4"/>
      <c r="S3232" s="4"/>
      <c r="T3232" s="4"/>
      <c r="U3232" s="4"/>
      <c r="V3232" s="4"/>
      <c r="W3232" s="4"/>
      <c r="X3232" s="4"/>
      <c r="Y3232" s="4"/>
      <c r="Z3232" s="4"/>
      <c r="AA3232" s="4"/>
      <c r="AB3232" s="4"/>
      <c r="AC3232" s="4"/>
      <c r="AD3232" s="4"/>
      <c r="AE3232" s="4"/>
      <c r="AF3232" s="4"/>
    </row>
    <row r="3233" spans="1:32">
      <c r="A3233" s="774"/>
      <c r="B3233" s="3130" t="s">
        <v>772</v>
      </c>
      <c r="C3233" s="663" t="s">
        <v>320</v>
      </c>
      <c r="D3233" s="678" t="s">
        <v>1980</v>
      </c>
      <c r="E3233" s="1407" t="s">
        <v>420</v>
      </c>
      <c r="F3233" s="679">
        <v>2314</v>
      </c>
      <c r="G3233" s="665" t="s">
        <v>2441</v>
      </c>
      <c r="H3233" s="778"/>
      <c r="I3233" s="773">
        <v>600</v>
      </c>
      <c r="J3233" s="1494" t="s">
        <v>1134</v>
      </c>
      <c r="K3233" s="784"/>
      <c r="L3233" s="2064"/>
      <c r="M3233" s="2057">
        <v>600</v>
      </c>
      <c r="N3233" s="1223"/>
      <c r="O3233" s="4"/>
      <c r="P3233" s="4"/>
      <c r="Q3233" s="4"/>
      <c r="R3233" s="4"/>
      <c r="S3233" s="4"/>
      <c r="T3233" s="4"/>
      <c r="U3233" s="4"/>
      <c r="V3233" s="4"/>
      <c r="W3233" s="4"/>
      <c r="X3233" s="4"/>
      <c r="Y3233" s="4"/>
      <c r="Z3233" s="4"/>
      <c r="AA3233" s="4"/>
      <c r="AB3233" s="4"/>
      <c r="AC3233" s="4"/>
      <c r="AD3233" s="4"/>
      <c r="AE3233" s="4"/>
      <c r="AF3233" s="4"/>
    </row>
    <row r="3234" spans="1:32">
      <c r="A3234" s="663"/>
      <c r="B3234" s="3130" t="s">
        <v>772</v>
      </c>
      <c r="C3234" s="663" t="s">
        <v>320</v>
      </c>
      <c r="D3234" s="678" t="s">
        <v>1980</v>
      </c>
      <c r="E3234" s="1407" t="s">
        <v>420</v>
      </c>
      <c r="F3234" s="679">
        <v>2314</v>
      </c>
      <c r="G3234" s="665" t="s">
        <v>344</v>
      </c>
      <c r="H3234" s="778"/>
      <c r="I3234" s="773">
        <v>1000</v>
      </c>
      <c r="J3234" s="1494" t="s">
        <v>1134</v>
      </c>
      <c r="K3234" s="784"/>
      <c r="L3234" s="2064"/>
      <c r="M3234" s="2057">
        <v>1000</v>
      </c>
      <c r="N3234" s="1223"/>
      <c r="O3234" s="7"/>
      <c r="P3234" s="7"/>
      <c r="Q3234" s="7"/>
      <c r="R3234" s="7"/>
      <c r="S3234" s="7"/>
      <c r="T3234" s="7"/>
      <c r="U3234" s="7"/>
      <c r="V3234" s="7"/>
      <c r="W3234" s="7"/>
      <c r="X3234" s="7"/>
      <c r="Y3234" s="7"/>
      <c r="Z3234" s="7"/>
      <c r="AA3234" s="7"/>
      <c r="AB3234" s="7"/>
      <c r="AC3234" s="7"/>
      <c r="AD3234" s="7"/>
      <c r="AE3234" s="7"/>
      <c r="AF3234" s="7"/>
    </row>
    <row r="3235" spans="1:32" ht="20.399999999999999">
      <c r="A3235" s="663"/>
      <c r="B3235" s="3130" t="s">
        <v>772</v>
      </c>
      <c r="C3235" s="663" t="s">
        <v>320</v>
      </c>
      <c r="D3235" s="678" t="s">
        <v>1980</v>
      </c>
      <c r="E3235" s="1407" t="s">
        <v>420</v>
      </c>
      <c r="F3235" s="679">
        <v>2314</v>
      </c>
      <c r="G3235" s="957" t="s">
        <v>1119</v>
      </c>
      <c r="H3235" s="778"/>
      <c r="I3235" s="773">
        <v>800</v>
      </c>
      <c r="J3235" s="1494" t="s">
        <v>1134</v>
      </c>
      <c r="K3235" s="784"/>
      <c r="L3235" s="2064"/>
      <c r="M3235" s="2057">
        <v>800</v>
      </c>
      <c r="N3235" s="1223"/>
      <c r="O3235" s="7"/>
      <c r="P3235" s="7"/>
      <c r="Q3235" s="7"/>
      <c r="R3235" s="7"/>
      <c r="S3235" s="7"/>
      <c r="T3235" s="7"/>
      <c r="U3235" s="7"/>
      <c r="V3235" s="7"/>
      <c r="W3235" s="7"/>
      <c r="X3235" s="7"/>
      <c r="Y3235" s="7"/>
      <c r="Z3235" s="7"/>
      <c r="AA3235" s="7"/>
      <c r="AB3235" s="7"/>
      <c r="AC3235" s="7"/>
      <c r="AD3235" s="7"/>
      <c r="AE3235" s="7"/>
      <c r="AF3235" s="7"/>
    </row>
    <row r="3236" spans="1:32">
      <c r="A3236" s="1669"/>
      <c r="B3236" s="3130" t="s">
        <v>772</v>
      </c>
      <c r="C3236" s="663" t="s">
        <v>320</v>
      </c>
      <c r="D3236" s="678" t="s">
        <v>1980</v>
      </c>
      <c r="E3236" s="1407" t="s">
        <v>420</v>
      </c>
      <c r="F3236" s="679">
        <v>2314</v>
      </c>
      <c r="G3236" s="2104" t="s">
        <v>4089</v>
      </c>
      <c r="H3236" s="2059"/>
      <c r="I3236" s="2060"/>
      <c r="J3236" s="1673"/>
      <c r="K3236" s="2061"/>
      <c r="L3236" s="2105"/>
      <c r="M3236" s="2077">
        <v>500</v>
      </c>
      <c r="N3236" s="1223"/>
      <c r="O3236" s="7"/>
      <c r="P3236" s="7"/>
      <c r="Q3236" s="7"/>
      <c r="R3236" s="7"/>
      <c r="S3236" s="7"/>
      <c r="T3236" s="7"/>
      <c r="U3236" s="7"/>
      <c r="V3236" s="7"/>
      <c r="W3236" s="7"/>
      <c r="X3236" s="7"/>
      <c r="Y3236" s="7"/>
      <c r="Z3236" s="7"/>
      <c r="AA3236" s="7"/>
      <c r="AB3236" s="7"/>
      <c r="AC3236" s="7"/>
      <c r="AD3236" s="7"/>
      <c r="AE3236" s="7"/>
      <c r="AF3236" s="7"/>
    </row>
    <row r="3237" spans="1:32" ht="20.399999999999999">
      <c r="A3237" s="1669"/>
      <c r="B3237" s="3130" t="s">
        <v>772</v>
      </c>
      <c r="C3237" s="663" t="s">
        <v>320</v>
      </c>
      <c r="D3237" s="678" t="s">
        <v>1980</v>
      </c>
      <c r="E3237" s="1407" t="s">
        <v>420</v>
      </c>
      <c r="F3237" s="679">
        <v>2314</v>
      </c>
      <c r="G3237" s="1671" t="s">
        <v>1581</v>
      </c>
      <c r="H3237" s="2059"/>
      <c r="I3237" s="2060"/>
      <c r="J3237" s="1673"/>
      <c r="K3237" s="2061"/>
      <c r="L3237" s="2105"/>
      <c r="M3237" s="2077">
        <v>400</v>
      </c>
      <c r="N3237" s="1223"/>
      <c r="O3237" s="7"/>
      <c r="P3237" s="7"/>
      <c r="Q3237" s="7"/>
      <c r="R3237" s="7"/>
      <c r="S3237" s="7"/>
      <c r="T3237" s="7"/>
      <c r="U3237" s="7"/>
      <c r="V3237" s="7"/>
      <c r="W3237" s="7"/>
      <c r="X3237" s="7"/>
      <c r="Y3237" s="7"/>
      <c r="Z3237" s="7"/>
      <c r="AA3237" s="7"/>
      <c r="AB3237" s="7"/>
      <c r="AC3237" s="7"/>
      <c r="AD3237" s="7"/>
      <c r="AE3237" s="7"/>
      <c r="AF3237" s="7"/>
    </row>
    <row r="3238" spans="1:32" ht="20.399999999999999">
      <c r="A3238" s="1669"/>
      <c r="B3238" s="3130" t="s">
        <v>772</v>
      </c>
      <c r="C3238" s="663" t="s">
        <v>320</v>
      </c>
      <c r="D3238" s="678" t="s">
        <v>1980</v>
      </c>
      <c r="E3238" s="1407" t="s">
        <v>420</v>
      </c>
      <c r="F3238" s="679">
        <v>2314</v>
      </c>
      <c r="G3238" s="1671" t="s">
        <v>2424</v>
      </c>
      <c r="H3238" s="2059"/>
      <c r="I3238" s="2060"/>
      <c r="J3238" s="1673"/>
      <c r="K3238" s="2061"/>
      <c r="L3238" s="2105"/>
      <c r="M3238" s="2077">
        <v>200</v>
      </c>
      <c r="N3238" s="1223"/>
      <c r="O3238" s="7"/>
      <c r="P3238" s="7"/>
      <c r="Q3238" s="7"/>
      <c r="R3238" s="7"/>
      <c r="S3238" s="7"/>
      <c r="T3238" s="7"/>
      <c r="U3238" s="7"/>
      <c r="V3238" s="7"/>
      <c r="W3238" s="7"/>
      <c r="X3238" s="7"/>
      <c r="Y3238" s="7"/>
      <c r="Z3238" s="7"/>
      <c r="AA3238" s="7"/>
      <c r="AB3238" s="7"/>
      <c r="AC3238" s="7"/>
      <c r="AD3238" s="7"/>
      <c r="AE3238" s="7"/>
      <c r="AF3238" s="7"/>
    </row>
    <row r="3239" spans="1:32">
      <c r="A3239" s="1669"/>
      <c r="B3239" s="3130" t="s">
        <v>772</v>
      </c>
      <c r="C3239" s="663" t="s">
        <v>320</v>
      </c>
      <c r="D3239" s="678" t="s">
        <v>1980</v>
      </c>
      <c r="E3239" s="1407" t="s">
        <v>420</v>
      </c>
      <c r="F3239" s="679">
        <v>2314</v>
      </c>
      <c r="G3239" s="1703" t="s">
        <v>4090</v>
      </c>
      <c r="H3239" s="2059"/>
      <c r="I3239" s="2060"/>
      <c r="J3239" s="1673"/>
      <c r="K3239" s="2061"/>
      <c r="L3239" s="2105"/>
      <c r="M3239" s="2077">
        <v>870</v>
      </c>
      <c r="N3239" s="1223"/>
      <c r="O3239" s="187"/>
      <c r="P3239" s="187"/>
      <c r="Q3239" s="187"/>
      <c r="R3239" s="187"/>
      <c r="S3239" s="187"/>
      <c r="T3239" s="187"/>
      <c r="U3239" s="187"/>
      <c r="V3239" s="187"/>
      <c r="W3239" s="187"/>
      <c r="X3239" s="187"/>
      <c r="Y3239" s="187"/>
      <c r="Z3239" s="187"/>
      <c r="AA3239" s="187"/>
      <c r="AB3239" s="187"/>
      <c r="AC3239" s="187"/>
      <c r="AD3239" s="187"/>
      <c r="AE3239" s="187"/>
      <c r="AF3239" s="187"/>
    </row>
    <row r="3240" spans="1:32" ht="20.399999999999999">
      <c r="A3240" s="683"/>
      <c r="B3240" s="3129" t="s">
        <v>773</v>
      </c>
      <c r="C3240" s="683" t="s">
        <v>320</v>
      </c>
      <c r="D3240" s="719" t="s">
        <v>1980</v>
      </c>
      <c r="E3240" s="1406" t="s">
        <v>420</v>
      </c>
      <c r="F3240" s="685">
        <v>2314</v>
      </c>
      <c r="G3240" s="686" t="s">
        <v>1143</v>
      </c>
      <c r="H3240" s="776"/>
      <c r="I3240" s="788"/>
      <c r="J3240" s="1494"/>
      <c r="K3240" s="780"/>
      <c r="L3240" s="2074">
        <v>5019.3333333333339</v>
      </c>
      <c r="M3240" s="2100"/>
      <c r="N3240" s="1223"/>
      <c r="O3240" s="187"/>
      <c r="P3240" s="187"/>
      <c r="Q3240" s="187"/>
      <c r="R3240" s="187"/>
      <c r="S3240" s="187"/>
      <c r="T3240" s="187"/>
      <c r="U3240" s="187"/>
      <c r="V3240" s="187"/>
      <c r="W3240" s="187"/>
      <c r="X3240" s="187"/>
      <c r="Y3240" s="187"/>
      <c r="Z3240" s="187"/>
      <c r="AA3240" s="187"/>
      <c r="AB3240" s="187"/>
      <c r="AC3240" s="187"/>
      <c r="AD3240" s="187"/>
      <c r="AE3240" s="187"/>
      <c r="AF3240" s="187"/>
    </row>
    <row r="3241" spans="1:32" ht="30.6">
      <c r="A3241" s="1669"/>
      <c r="B3241" s="3130" t="s">
        <v>773</v>
      </c>
      <c r="C3241" s="663" t="s">
        <v>320</v>
      </c>
      <c r="D3241" s="678" t="s">
        <v>1980</v>
      </c>
      <c r="E3241" s="1407" t="s">
        <v>420</v>
      </c>
      <c r="F3241" s="679">
        <v>2314</v>
      </c>
      <c r="G3241" s="1703" t="s">
        <v>4091</v>
      </c>
      <c r="H3241" s="2059"/>
      <c r="I3241" s="2060"/>
      <c r="J3241" s="1673"/>
      <c r="K3241" s="2061"/>
      <c r="L3241" s="2105"/>
      <c r="M3241" s="2106">
        <v>1221</v>
      </c>
      <c r="N3241" s="1223"/>
      <c r="O3241" s="7"/>
      <c r="P3241" s="7"/>
      <c r="Q3241" s="7"/>
      <c r="R3241" s="7"/>
      <c r="S3241" s="7"/>
      <c r="T3241" s="7"/>
      <c r="U3241" s="7"/>
      <c r="V3241" s="7"/>
      <c r="W3241" s="7"/>
      <c r="X3241" s="7"/>
      <c r="Y3241" s="7"/>
      <c r="Z3241" s="7"/>
      <c r="AA3241" s="7"/>
      <c r="AB3241" s="7"/>
      <c r="AC3241" s="7"/>
      <c r="AD3241" s="7"/>
      <c r="AE3241" s="7"/>
      <c r="AF3241" s="7"/>
    </row>
    <row r="3242" spans="1:32" ht="30.6">
      <c r="A3242" s="1669"/>
      <c r="B3242" s="3130" t="s">
        <v>773</v>
      </c>
      <c r="C3242" s="663" t="s">
        <v>320</v>
      </c>
      <c r="D3242" s="678" t="s">
        <v>1980</v>
      </c>
      <c r="E3242" s="1407" t="s">
        <v>420</v>
      </c>
      <c r="F3242" s="679">
        <v>2314</v>
      </c>
      <c r="G3242" s="1671" t="s">
        <v>4092</v>
      </c>
      <c r="H3242" s="2059"/>
      <c r="I3242" s="2060"/>
      <c r="J3242" s="1673"/>
      <c r="K3242" s="2061"/>
      <c r="L3242" s="2105"/>
      <c r="M3242" s="2827">
        <v>3798.3333333333335</v>
      </c>
      <c r="N3242" s="1223"/>
      <c r="O3242" s="7"/>
      <c r="P3242" s="7"/>
      <c r="Q3242" s="7"/>
      <c r="R3242" s="3"/>
      <c r="S3242" s="3"/>
      <c r="T3242" s="3"/>
      <c r="U3242" s="3"/>
      <c r="V3242" s="3"/>
      <c r="W3242" s="3"/>
      <c r="X3242" s="3"/>
      <c r="Y3242" s="3"/>
      <c r="Z3242" s="3"/>
      <c r="AA3242" s="3"/>
      <c r="AB3242" s="3"/>
      <c r="AC3242" s="3"/>
      <c r="AD3242" s="3"/>
      <c r="AE3242" s="3"/>
      <c r="AF3242" s="3"/>
    </row>
    <row r="3243" spans="1:32">
      <c r="A3243" s="683"/>
      <c r="B3243" s="3129" t="s">
        <v>772</v>
      </c>
      <c r="C3243" s="683" t="s">
        <v>320</v>
      </c>
      <c r="D3243" s="719" t="s">
        <v>1980</v>
      </c>
      <c r="E3243" s="1406" t="s">
        <v>420</v>
      </c>
      <c r="F3243" s="1698">
        <v>2322</v>
      </c>
      <c r="G3243" s="1691" t="s">
        <v>229</v>
      </c>
      <c r="H3243" s="2074">
        <v>400</v>
      </c>
      <c r="I3243" s="2075"/>
      <c r="J3243" s="1684">
        <v>0</v>
      </c>
      <c r="K3243" s="2052"/>
      <c r="L3243" s="2074">
        <v>400</v>
      </c>
      <c r="M3243" s="2076"/>
      <c r="N3243" s="1223"/>
      <c r="O3243" s="4"/>
      <c r="P3243" s="4"/>
      <c r="Q3243" s="4"/>
      <c r="R3243" s="4"/>
      <c r="S3243" s="4"/>
      <c r="T3243" s="4"/>
      <c r="U3243" s="4"/>
      <c r="V3243" s="4"/>
      <c r="W3243" s="4"/>
      <c r="X3243" s="4"/>
      <c r="Y3243" s="4"/>
      <c r="Z3243" s="4"/>
      <c r="AA3243" s="4"/>
      <c r="AB3243" s="4"/>
      <c r="AC3243" s="4"/>
      <c r="AD3243" s="4"/>
      <c r="AE3243" s="4"/>
      <c r="AF3243" s="4"/>
    </row>
    <row r="3244" spans="1:32" ht="22.5" customHeight="1">
      <c r="A3244" s="663"/>
      <c r="B3244" s="3130" t="s">
        <v>772</v>
      </c>
      <c r="C3244" s="663" t="s">
        <v>320</v>
      </c>
      <c r="D3244" s="678" t="s">
        <v>1980</v>
      </c>
      <c r="E3244" s="1407" t="s">
        <v>420</v>
      </c>
      <c r="F3244" s="1413">
        <v>2322</v>
      </c>
      <c r="G3244" s="818" t="s">
        <v>2442</v>
      </c>
      <c r="H3244" s="2064"/>
      <c r="I3244" s="2055">
        <v>400</v>
      </c>
      <c r="J3244" s="1684" t="s">
        <v>1134</v>
      </c>
      <c r="K3244" s="2056"/>
      <c r="L3244" s="2064"/>
      <c r="M3244" s="2057">
        <v>400</v>
      </c>
      <c r="N3244" s="1223"/>
      <c r="O3244" s="187"/>
      <c r="P3244" s="187"/>
      <c r="Q3244" s="187"/>
      <c r="R3244" s="187"/>
      <c r="S3244" s="187"/>
      <c r="T3244" s="187"/>
      <c r="U3244" s="187"/>
      <c r="V3244" s="187"/>
      <c r="W3244" s="187"/>
      <c r="X3244" s="187"/>
      <c r="Y3244" s="187"/>
      <c r="Z3244" s="187"/>
      <c r="AA3244" s="187"/>
      <c r="AB3244" s="187"/>
      <c r="AC3244" s="187"/>
      <c r="AD3244" s="187"/>
      <c r="AE3244" s="187"/>
      <c r="AF3244" s="187"/>
    </row>
    <row r="3245" spans="1:32" ht="22.5" customHeight="1">
      <c r="A3245" s="663"/>
      <c r="B3245" s="3130" t="s">
        <v>772</v>
      </c>
      <c r="C3245" s="663" t="s">
        <v>320</v>
      </c>
      <c r="D3245" s="678" t="s">
        <v>1980</v>
      </c>
      <c r="E3245" s="1407" t="s">
        <v>420</v>
      </c>
      <c r="F3245" s="1413">
        <v>2322</v>
      </c>
      <c r="G3245" s="818"/>
      <c r="H3245" s="2064"/>
      <c r="I3245" s="2055"/>
      <c r="J3245" s="1684" t="s">
        <v>1134</v>
      </c>
      <c r="K3245" s="2056"/>
      <c r="L3245" s="2064"/>
      <c r="M3245" s="2057"/>
      <c r="N3245" s="1223"/>
      <c r="O3245" s="4"/>
      <c r="P3245" s="4"/>
      <c r="Q3245" s="4"/>
      <c r="R3245" s="4"/>
      <c r="S3245" s="4"/>
      <c r="T3245" s="4"/>
      <c r="U3245" s="4"/>
      <c r="V3245" s="4"/>
      <c r="W3245" s="4"/>
      <c r="X3245" s="4"/>
      <c r="Y3245" s="4"/>
      <c r="Z3245" s="4"/>
      <c r="AA3245" s="4"/>
      <c r="AB3245" s="4"/>
      <c r="AC3245" s="4"/>
      <c r="AD3245" s="4"/>
      <c r="AE3245" s="4"/>
      <c r="AF3245" s="4"/>
    </row>
    <row r="3246" spans="1:32">
      <c r="A3246" s="683"/>
      <c r="B3246" s="3129" t="s">
        <v>772</v>
      </c>
      <c r="C3246" s="683" t="s">
        <v>322</v>
      </c>
      <c r="D3246" s="719" t="s">
        <v>1980</v>
      </c>
      <c r="E3246" s="1406" t="s">
        <v>420</v>
      </c>
      <c r="F3246" s="1698">
        <v>2341</v>
      </c>
      <c r="G3246" s="1691" t="s">
        <v>208</v>
      </c>
      <c r="H3246" s="2074">
        <v>1679</v>
      </c>
      <c r="I3246" s="2075"/>
      <c r="J3246" s="1684">
        <v>1679</v>
      </c>
      <c r="K3246" s="2052"/>
      <c r="L3246" s="2074">
        <v>2000</v>
      </c>
      <c r="M3246" s="2076"/>
      <c r="N3246" s="1223"/>
      <c r="O3246" s="4"/>
      <c r="P3246" s="4"/>
      <c r="Q3246" s="4"/>
      <c r="R3246" s="4"/>
      <c r="S3246" s="4"/>
      <c r="T3246" s="4"/>
      <c r="U3246" s="4"/>
      <c r="V3246" s="4"/>
      <c r="W3246" s="4"/>
      <c r="X3246" s="4"/>
      <c r="Y3246" s="4"/>
      <c r="Z3246" s="4"/>
      <c r="AA3246" s="4"/>
      <c r="AB3246" s="4"/>
      <c r="AC3246" s="4"/>
      <c r="AD3246" s="4"/>
      <c r="AE3246" s="4"/>
      <c r="AF3246" s="4"/>
    </row>
    <row r="3247" spans="1:32">
      <c r="A3247" s="663"/>
      <c r="B3247" s="3130" t="s">
        <v>772</v>
      </c>
      <c r="C3247" s="663" t="s">
        <v>322</v>
      </c>
      <c r="D3247" s="678" t="s">
        <v>1980</v>
      </c>
      <c r="E3247" s="1407" t="s">
        <v>420</v>
      </c>
      <c r="F3247" s="1413">
        <v>2341</v>
      </c>
      <c r="G3247" s="2107" t="s">
        <v>1115</v>
      </c>
      <c r="H3247" s="2108"/>
      <c r="I3247" s="2055">
        <v>1000</v>
      </c>
      <c r="J3247" s="1684" t="s">
        <v>1134</v>
      </c>
      <c r="K3247" s="2109"/>
      <c r="L3247" s="2108"/>
      <c r="M3247" s="2282">
        <v>1500</v>
      </c>
      <c r="N3247" s="1223"/>
      <c r="O3247" s="4"/>
      <c r="P3247" s="4"/>
      <c r="Q3247" s="4"/>
      <c r="R3247" s="4"/>
      <c r="S3247" s="4"/>
      <c r="T3247" s="4"/>
      <c r="U3247" s="4"/>
      <c r="V3247" s="4"/>
      <c r="W3247" s="4"/>
      <c r="X3247" s="4"/>
      <c r="Y3247" s="4"/>
      <c r="Z3247" s="4"/>
      <c r="AA3247" s="4"/>
      <c r="AB3247" s="4"/>
      <c r="AC3247" s="4"/>
      <c r="AD3247" s="4"/>
      <c r="AE3247" s="4"/>
      <c r="AF3247" s="4"/>
    </row>
    <row r="3248" spans="1:32">
      <c r="A3248" s="663"/>
      <c r="B3248" s="3130" t="s">
        <v>772</v>
      </c>
      <c r="C3248" s="663" t="s">
        <v>322</v>
      </c>
      <c r="D3248" s="678" t="s">
        <v>1980</v>
      </c>
      <c r="E3248" s="1407" t="s">
        <v>420</v>
      </c>
      <c r="F3248" s="1413">
        <v>2341</v>
      </c>
      <c r="G3248" s="2107" t="s">
        <v>2443</v>
      </c>
      <c r="H3248" s="2108"/>
      <c r="I3248" s="2055">
        <v>500</v>
      </c>
      <c r="J3248" s="1684" t="s">
        <v>1134</v>
      </c>
      <c r="K3248" s="2109"/>
      <c r="L3248" s="2108"/>
      <c r="M3248" s="2282">
        <v>500</v>
      </c>
      <c r="N3248" s="1223"/>
    </row>
    <row r="3249" spans="1:32" ht="20.399999999999999">
      <c r="A3249" s="1495"/>
      <c r="B3249" s="3138" t="s">
        <v>772</v>
      </c>
      <c r="C3249" s="1495" t="s">
        <v>322</v>
      </c>
      <c r="D3249" s="1561" t="s">
        <v>1980</v>
      </c>
      <c r="E3249" s="1559" t="s">
        <v>420</v>
      </c>
      <c r="F3249" s="2110">
        <v>2341</v>
      </c>
      <c r="G3249" s="2111" t="s">
        <v>3422</v>
      </c>
      <c r="H3249" s="2112"/>
      <c r="I3249" s="2086">
        <v>179</v>
      </c>
      <c r="J3249" s="2113"/>
      <c r="K3249" s="2114"/>
      <c r="L3249" s="2112"/>
      <c r="M3249" s="2102"/>
      <c r="N3249" s="75"/>
    </row>
    <row r="3250" spans="1:32" ht="22.5" customHeight="1">
      <c r="A3250" s="683"/>
      <c r="B3250" s="3129" t="s">
        <v>772</v>
      </c>
      <c r="C3250" s="683" t="s">
        <v>320</v>
      </c>
      <c r="D3250" s="719" t="s">
        <v>1980</v>
      </c>
      <c r="E3250" s="1406" t="s">
        <v>420</v>
      </c>
      <c r="F3250" s="1698">
        <v>2350</v>
      </c>
      <c r="G3250" s="1691" t="s">
        <v>170</v>
      </c>
      <c r="H3250" s="2074">
        <v>5604</v>
      </c>
      <c r="I3250" s="2075"/>
      <c r="J3250" s="1684">
        <v>2693</v>
      </c>
      <c r="K3250" s="2052"/>
      <c r="L3250" s="2074">
        <v>8960</v>
      </c>
      <c r="M3250" s="2076"/>
      <c r="N3250" s="75"/>
    </row>
    <row r="3251" spans="1:32">
      <c r="A3251" s="663"/>
      <c r="B3251" s="3130" t="s">
        <v>772</v>
      </c>
      <c r="C3251" s="663" t="s">
        <v>320</v>
      </c>
      <c r="D3251" s="678" t="s">
        <v>1980</v>
      </c>
      <c r="E3251" s="1407" t="s">
        <v>420</v>
      </c>
      <c r="F3251" s="1413">
        <v>2350</v>
      </c>
      <c r="G3251" s="818" t="s">
        <v>2444</v>
      </c>
      <c r="H3251" s="2064"/>
      <c r="I3251" s="2055">
        <v>2500</v>
      </c>
      <c r="J3251" s="1684" t="s">
        <v>1134</v>
      </c>
      <c r="K3251" s="2056"/>
      <c r="L3251" s="2064"/>
      <c r="M3251" s="2115">
        <v>1500</v>
      </c>
      <c r="N3251" s="75"/>
    </row>
    <row r="3252" spans="1:32">
      <c r="A3252" s="663" t="s">
        <v>570</v>
      </c>
      <c r="B3252" s="3130" t="s">
        <v>772</v>
      </c>
      <c r="C3252" s="663" t="s">
        <v>322</v>
      </c>
      <c r="D3252" s="678" t="s">
        <v>1980</v>
      </c>
      <c r="E3252" s="1407" t="s">
        <v>420</v>
      </c>
      <c r="F3252" s="1413">
        <v>2350</v>
      </c>
      <c r="G3252" s="818" t="s">
        <v>467</v>
      </c>
      <c r="H3252" s="2064"/>
      <c r="I3252" s="2055">
        <v>50</v>
      </c>
      <c r="J3252" s="1684" t="s">
        <v>1134</v>
      </c>
      <c r="K3252" s="2056"/>
      <c r="L3252" s="2064"/>
      <c r="M3252" s="2116">
        <v>50</v>
      </c>
      <c r="N3252" s="75"/>
    </row>
    <row r="3253" spans="1:32">
      <c r="A3253" s="663" t="s">
        <v>570</v>
      </c>
      <c r="B3253" s="3130" t="s">
        <v>772</v>
      </c>
      <c r="C3253" s="663" t="s">
        <v>322</v>
      </c>
      <c r="D3253" s="678" t="s">
        <v>1980</v>
      </c>
      <c r="E3253" s="1407" t="s">
        <v>420</v>
      </c>
      <c r="F3253" s="1413">
        <v>2350</v>
      </c>
      <c r="G3253" s="818" t="s">
        <v>468</v>
      </c>
      <c r="H3253" s="2064"/>
      <c r="I3253" s="2055">
        <v>50</v>
      </c>
      <c r="J3253" s="1684" t="s">
        <v>1134</v>
      </c>
      <c r="K3253" s="2056"/>
      <c r="L3253" s="2064"/>
      <c r="M3253" s="2116">
        <v>50</v>
      </c>
      <c r="N3253" s="1223"/>
    </row>
    <row r="3254" spans="1:32">
      <c r="A3254" s="663" t="s">
        <v>570</v>
      </c>
      <c r="B3254" s="3130" t="s">
        <v>772</v>
      </c>
      <c r="C3254" s="663" t="s">
        <v>322</v>
      </c>
      <c r="D3254" s="678" t="s">
        <v>1980</v>
      </c>
      <c r="E3254" s="1407" t="s">
        <v>420</v>
      </c>
      <c r="F3254" s="1413">
        <v>2350</v>
      </c>
      <c r="G3254" s="818" t="s">
        <v>416</v>
      </c>
      <c r="H3254" s="2064"/>
      <c r="I3254" s="2055">
        <v>300</v>
      </c>
      <c r="J3254" s="1684" t="s">
        <v>1134</v>
      </c>
      <c r="K3254" s="2056"/>
      <c r="L3254" s="2064"/>
      <c r="M3254" s="2116">
        <v>300</v>
      </c>
      <c r="N3254" s="1223"/>
    </row>
    <row r="3255" spans="1:32">
      <c r="A3255" s="663" t="s">
        <v>570</v>
      </c>
      <c r="B3255" s="3130" t="s">
        <v>772</v>
      </c>
      <c r="C3255" s="663" t="s">
        <v>322</v>
      </c>
      <c r="D3255" s="678" t="s">
        <v>1980</v>
      </c>
      <c r="E3255" s="1407" t="s">
        <v>420</v>
      </c>
      <c r="F3255" s="1413">
        <v>2350</v>
      </c>
      <c r="G3255" s="818" t="s">
        <v>676</v>
      </c>
      <c r="H3255" s="2064"/>
      <c r="I3255" s="2055">
        <v>2500</v>
      </c>
      <c r="J3255" s="1684" t="s">
        <v>1134</v>
      </c>
      <c r="K3255" s="2056"/>
      <c r="L3255" s="2064"/>
      <c r="M3255" s="2116">
        <v>2500</v>
      </c>
      <c r="N3255" s="1223"/>
      <c r="O3255" s="7"/>
      <c r="P3255" s="7"/>
      <c r="Q3255" s="7"/>
      <c r="R3255" s="7"/>
      <c r="S3255" s="7"/>
      <c r="T3255" s="7"/>
      <c r="U3255" s="7"/>
      <c r="V3255" s="7"/>
      <c r="W3255" s="7"/>
      <c r="X3255" s="7"/>
      <c r="Y3255" s="7"/>
      <c r="Z3255" s="7"/>
      <c r="AA3255" s="7"/>
      <c r="AB3255" s="7"/>
      <c r="AC3255" s="7"/>
      <c r="AD3255" s="7"/>
      <c r="AE3255" s="7"/>
      <c r="AF3255" s="7"/>
    </row>
    <row r="3256" spans="1:32">
      <c r="A3256" s="663" t="s">
        <v>570</v>
      </c>
      <c r="B3256" s="3130" t="s">
        <v>772</v>
      </c>
      <c r="C3256" s="663" t="s">
        <v>322</v>
      </c>
      <c r="D3256" s="678" t="s">
        <v>1980</v>
      </c>
      <c r="E3256" s="1407" t="s">
        <v>420</v>
      </c>
      <c r="F3256" s="1413">
        <v>2350</v>
      </c>
      <c r="G3256" s="818" t="s">
        <v>469</v>
      </c>
      <c r="H3256" s="2064"/>
      <c r="I3256" s="2055">
        <v>600</v>
      </c>
      <c r="J3256" s="1684" t="s">
        <v>1134</v>
      </c>
      <c r="K3256" s="2056"/>
      <c r="L3256" s="2064"/>
      <c r="M3256" s="2116">
        <v>600</v>
      </c>
      <c r="N3256" s="1223"/>
      <c r="O3256" s="4"/>
      <c r="P3256" s="4"/>
      <c r="Q3256" s="4"/>
      <c r="R3256" s="4"/>
      <c r="S3256" s="4"/>
      <c r="T3256" s="4"/>
      <c r="U3256" s="4"/>
      <c r="V3256" s="4"/>
      <c r="W3256" s="4"/>
      <c r="X3256" s="4"/>
      <c r="Y3256" s="4"/>
      <c r="Z3256" s="4"/>
      <c r="AA3256" s="4"/>
      <c r="AB3256" s="4"/>
      <c r="AC3256" s="4"/>
      <c r="AD3256" s="4"/>
      <c r="AE3256" s="4"/>
      <c r="AF3256" s="4"/>
    </row>
    <row r="3257" spans="1:32">
      <c r="A3257" s="663" t="s">
        <v>570</v>
      </c>
      <c r="B3257" s="3130" t="s">
        <v>772</v>
      </c>
      <c r="C3257" s="663" t="s">
        <v>322</v>
      </c>
      <c r="D3257" s="678" t="s">
        <v>1980</v>
      </c>
      <c r="E3257" s="1407" t="s">
        <v>420</v>
      </c>
      <c r="F3257" s="1413">
        <v>2350</v>
      </c>
      <c r="G3257" s="818" t="s">
        <v>281</v>
      </c>
      <c r="H3257" s="2064"/>
      <c r="I3257" s="2055">
        <v>200</v>
      </c>
      <c r="J3257" s="1684" t="s">
        <v>1134</v>
      </c>
      <c r="K3257" s="2056"/>
      <c r="L3257" s="2064"/>
      <c r="M3257" s="2116">
        <v>200</v>
      </c>
      <c r="N3257" s="305"/>
    </row>
    <row r="3258" spans="1:32">
      <c r="A3258" s="663"/>
      <c r="B3258" s="3130" t="s">
        <v>772</v>
      </c>
      <c r="C3258" s="663" t="s">
        <v>322</v>
      </c>
      <c r="D3258" s="678" t="s">
        <v>1980</v>
      </c>
      <c r="E3258" s="1407" t="s">
        <v>420</v>
      </c>
      <c r="F3258" s="1413">
        <v>2350</v>
      </c>
      <c r="G3258" s="818" t="s">
        <v>742</v>
      </c>
      <c r="H3258" s="2064"/>
      <c r="I3258" s="2055">
        <v>700</v>
      </c>
      <c r="J3258" s="1684" t="s">
        <v>1134</v>
      </c>
      <c r="K3258" s="2056"/>
      <c r="L3258" s="2064"/>
      <c r="M3258" s="2116">
        <v>700</v>
      </c>
      <c r="N3258" s="57"/>
    </row>
    <row r="3259" spans="1:32">
      <c r="A3259" s="1669"/>
      <c r="B3259" s="3130" t="s">
        <v>772</v>
      </c>
      <c r="C3259" s="663" t="s">
        <v>322</v>
      </c>
      <c r="D3259" s="678" t="s">
        <v>1980</v>
      </c>
      <c r="E3259" s="1407" t="s">
        <v>420</v>
      </c>
      <c r="F3259" s="1413">
        <v>2350</v>
      </c>
      <c r="G3259" s="1699" t="s">
        <v>4096</v>
      </c>
      <c r="H3259" s="2105"/>
      <c r="I3259" s="2117"/>
      <c r="J3259" s="1701"/>
      <c r="K3259" s="2118"/>
      <c r="L3259" s="2105"/>
      <c r="M3259" s="2116">
        <v>130</v>
      </c>
      <c r="N3259" s="75"/>
      <c r="O3259" s="7"/>
      <c r="P3259" s="7"/>
      <c r="Q3259" s="7"/>
      <c r="R3259" s="7"/>
      <c r="S3259" s="7"/>
      <c r="T3259" s="7"/>
      <c r="U3259" s="7"/>
      <c r="V3259" s="7"/>
      <c r="W3259" s="7"/>
      <c r="X3259" s="7"/>
      <c r="Y3259" s="7"/>
      <c r="Z3259" s="7"/>
      <c r="AA3259" s="7"/>
      <c r="AB3259" s="7"/>
      <c r="AC3259" s="7"/>
      <c r="AD3259" s="7"/>
      <c r="AE3259" s="7"/>
      <c r="AF3259" s="7"/>
    </row>
    <row r="3260" spans="1:32">
      <c r="A3260" s="663"/>
      <c r="B3260" s="3130" t="s">
        <v>772</v>
      </c>
      <c r="C3260" s="663" t="s">
        <v>322</v>
      </c>
      <c r="D3260" s="678" t="s">
        <v>1980</v>
      </c>
      <c r="E3260" s="1407" t="s">
        <v>420</v>
      </c>
      <c r="F3260" s="1413">
        <v>2350</v>
      </c>
      <c r="G3260" s="818" t="s">
        <v>681</v>
      </c>
      <c r="H3260" s="2064"/>
      <c r="I3260" s="2055">
        <v>300</v>
      </c>
      <c r="J3260" s="1684" t="s">
        <v>1134</v>
      </c>
      <c r="K3260" s="2056"/>
      <c r="L3260" s="2064"/>
      <c r="M3260" s="2057">
        <v>300</v>
      </c>
      <c r="N3260" s="75"/>
      <c r="O3260" s="7"/>
      <c r="P3260" s="7"/>
      <c r="Q3260" s="7"/>
      <c r="R3260" s="7"/>
      <c r="S3260" s="7"/>
      <c r="T3260" s="7"/>
      <c r="U3260" s="7"/>
      <c r="V3260" s="7"/>
      <c r="W3260" s="7"/>
      <c r="X3260" s="7"/>
      <c r="Y3260" s="7"/>
      <c r="Z3260" s="7"/>
      <c r="AA3260" s="7"/>
      <c r="AB3260" s="7"/>
      <c r="AC3260" s="7"/>
      <c r="AD3260" s="7"/>
      <c r="AE3260" s="7"/>
      <c r="AF3260" s="7"/>
    </row>
    <row r="3261" spans="1:32">
      <c r="A3261" s="663"/>
      <c r="B3261" s="3130" t="s">
        <v>772</v>
      </c>
      <c r="C3261" s="663" t="s">
        <v>322</v>
      </c>
      <c r="D3261" s="678" t="s">
        <v>1980</v>
      </c>
      <c r="E3261" s="1407" t="s">
        <v>420</v>
      </c>
      <c r="F3261" s="1413">
        <v>2350</v>
      </c>
      <c r="G3261" s="818" t="s">
        <v>2447</v>
      </c>
      <c r="H3261" s="2064"/>
      <c r="I3261" s="2055">
        <v>100</v>
      </c>
      <c r="J3261" s="1684" t="s">
        <v>1134</v>
      </c>
      <c r="K3261" s="2056"/>
      <c r="L3261" s="2064"/>
      <c r="M3261" s="2057">
        <v>100</v>
      </c>
      <c r="N3261" s="75"/>
      <c r="O3261" s="7"/>
      <c r="P3261" s="7"/>
      <c r="Q3261" s="7"/>
      <c r="R3261" s="7"/>
      <c r="S3261" s="7"/>
      <c r="T3261" s="7"/>
      <c r="U3261" s="7"/>
      <c r="V3261" s="7"/>
      <c r="W3261" s="7"/>
      <c r="X3261" s="7"/>
      <c r="Y3261" s="7"/>
      <c r="Z3261" s="7"/>
      <c r="AA3261" s="7"/>
      <c r="AB3261" s="7"/>
      <c r="AC3261" s="7"/>
      <c r="AD3261" s="7"/>
      <c r="AE3261" s="7"/>
      <c r="AF3261" s="7"/>
    </row>
    <row r="3262" spans="1:32">
      <c r="A3262" s="1669"/>
      <c r="B3262" s="3130" t="s">
        <v>772</v>
      </c>
      <c r="C3262" s="663" t="s">
        <v>322</v>
      </c>
      <c r="D3262" s="678" t="s">
        <v>1980</v>
      </c>
      <c r="E3262" s="1407" t="s">
        <v>420</v>
      </c>
      <c r="F3262" s="1413">
        <v>2350</v>
      </c>
      <c r="G3262" s="1699" t="s">
        <v>4095</v>
      </c>
      <c r="H3262" s="2105"/>
      <c r="I3262" s="2117"/>
      <c r="J3262" s="1701"/>
      <c r="K3262" s="2118"/>
      <c r="L3262" s="2105"/>
      <c r="M3262" s="2077">
        <v>75</v>
      </c>
      <c r="N3262" s="1223"/>
      <c r="O3262" s="7"/>
      <c r="P3262" s="7"/>
      <c r="Q3262" s="7"/>
      <c r="R3262" s="7"/>
      <c r="S3262" s="7"/>
      <c r="T3262" s="7"/>
      <c r="U3262" s="7"/>
      <c r="V3262" s="7"/>
      <c r="W3262" s="7"/>
      <c r="X3262" s="7"/>
      <c r="Y3262" s="7"/>
      <c r="Z3262" s="7"/>
      <c r="AA3262" s="7"/>
      <c r="AB3262" s="7"/>
      <c r="AC3262" s="7"/>
      <c r="AD3262" s="7"/>
      <c r="AE3262" s="7"/>
      <c r="AF3262" s="7"/>
    </row>
    <row r="3263" spans="1:32">
      <c r="A3263" s="663"/>
      <c r="B3263" s="3130" t="s">
        <v>772</v>
      </c>
      <c r="C3263" s="663" t="s">
        <v>322</v>
      </c>
      <c r="D3263" s="678" t="s">
        <v>1980</v>
      </c>
      <c r="E3263" s="1407" t="s">
        <v>420</v>
      </c>
      <c r="F3263" s="1413">
        <v>2350</v>
      </c>
      <c r="G3263" s="818" t="s">
        <v>2448</v>
      </c>
      <c r="H3263" s="2064"/>
      <c r="I3263" s="2055">
        <v>605</v>
      </c>
      <c r="J3263" s="1684" t="s">
        <v>1134</v>
      </c>
      <c r="K3263" s="2056"/>
      <c r="L3263" s="2064"/>
      <c r="M3263" s="2077">
        <v>605</v>
      </c>
      <c r="N3263" s="1223"/>
      <c r="O3263" s="7"/>
      <c r="P3263" s="7"/>
      <c r="Q3263" s="7"/>
      <c r="R3263" s="7"/>
      <c r="S3263" s="7"/>
      <c r="T3263" s="7"/>
      <c r="U3263" s="7"/>
      <c r="V3263" s="7"/>
      <c r="W3263" s="7"/>
      <c r="X3263" s="7"/>
      <c r="Y3263" s="7"/>
      <c r="Z3263" s="7"/>
      <c r="AA3263" s="7"/>
      <c r="AB3263" s="7"/>
      <c r="AC3263" s="7"/>
      <c r="AD3263" s="7"/>
      <c r="AE3263" s="7"/>
      <c r="AF3263" s="7"/>
    </row>
    <row r="3264" spans="1:32">
      <c r="A3264" s="663"/>
      <c r="B3264" s="3130" t="s">
        <v>772</v>
      </c>
      <c r="C3264" s="663" t="s">
        <v>322</v>
      </c>
      <c r="D3264" s="678" t="s">
        <v>1980</v>
      </c>
      <c r="E3264" s="1407" t="s">
        <v>420</v>
      </c>
      <c r="F3264" s="1413">
        <v>2350</v>
      </c>
      <c r="G3264" s="818" t="s">
        <v>2449</v>
      </c>
      <c r="H3264" s="2064"/>
      <c r="I3264" s="2055">
        <v>928</v>
      </c>
      <c r="J3264" s="1684" t="s">
        <v>1134</v>
      </c>
      <c r="K3264" s="2056"/>
      <c r="L3264" s="2064"/>
      <c r="M3264" s="2119">
        <v>1850</v>
      </c>
      <c r="N3264" s="1223"/>
      <c r="O3264" s="7"/>
      <c r="P3264" s="7"/>
      <c r="Q3264" s="7"/>
      <c r="R3264" s="7"/>
      <c r="S3264" s="7"/>
      <c r="T3264" s="7"/>
      <c r="U3264" s="7"/>
      <c r="V3264" s="7"/>
      <c r="W3264" s="7"/>
      <c r="X3264" s="7"/>
      <c r="Y3264" s="7"/>
      <c r="Z3264" s="7"/>
      <c r="AA3264" s="7"/>
      <c r="AB3264" s="7"/>
      <c r="AC3264" s="7"/>
      <c r="AD3264" s="7"/>
      <c r="AE3264" s="7"/>
      <c r="AF3264" s="7"/>
    </row>
    <row r="3265" spans="1:32">
      <c r="A3265" s="663"/>
      <c r="B3265" s="3130" t="s">
        <v>772</v>
      </c>
      <c r="C3265" s="663" t="s">
        <v>322</v>
      </c>
      <c r="D3265" s="678" t="s">
        <v>1980</v>
      </c>
      <c r="E3265" s="1407" t="s">
        <v>420</v>
      </c>
      <c r="F3265" s="1413">
        <v>2350</v>
      </c>
      <c r="G3265" s="818" t="s">
        <v>2445</v>
      </c>
      <c r="H3265" s="2064"/>
      <c r="I3265" s="2055">
        <v>100</v>
      </c>
      <c r="J3265" s="1684" t="s">
        <v>1134</v>
      </c>
      <c r="K3265" s="2056"/>
      <c r="L3265" s="2064"/>
      <c r="M3265" s="2057"/>
      <c r="N3265" s="1223"/>
      <c r="O3265" s="7"/>
      <c r="P3265" s="7"/>
      <c r="Q3265" s="7"/>
      <c r="R3265" s="7"/>
      <c r="S3265" s="7"/>
      <c r="T3265" s="7"/>
      <c r="U3265" s="7"/>
      <c r="V3265" s="7"/>
      <c r="W3265" s="7"/>
      <c r="X3265" s="7"/>
      <c r="Y3265" s="7"/>
      <c r="Z3265" s="7"/>
      <c r="AA3265" s="7"/>
      <c r="AB3265" s="7"/>
      <c r="AC3265" s="7"/>
      <c r="AD3265" s="7"/>
      <c r="AE3265" s="7"/>
      <c r="AF3265" s="7"/>
    </row>
    <row r="3266" spans="1:32" ht="20.399999999999999">
      <c r="A3266" s="663"/>
      <c r="B3266" s="3130" t="s">
        <v>772</v>
      </c>
      <c r="C3266" s="663" t="s">
        <v>322</v>
      </c>
      <c r="D3266" s="678" t="s">
        <v>1980</v>
      </c>
      <c r="E3266" s="1407" t="s">
        <v>420</v>
      </c>
      <c r="F3266" s="1413">
        <v>2350</v>
      </c>
      <c r="G3266" s="818" t="s">
        <v>2446</v>
      </c>
      <c r="H3266" s="2064"/>
      <c r="I3266" s="2055">
        <v>100</v>
      </c>
      <c r="J3266" s="1684" t="s">
        <v>1134</v>
      </c>
      <c r="K3266" s="2056"/>
      <c r="L3266" s="2064"/>
      <c r="M3266" s="2057"/>
      <c r="N3266" s="1223"/>
      <c r="O3266" s="7"/>
      <c r="P3266" s="7"/>
      <c r="Q3266" s="7"/>
      <c r="R3266" s="7"/>
      <c r="S3266" s="7"/>
      <c r="T3266" s="7"/>
      <c r="U3266" s="7"/>
      <c r="V3266" s="7"/>
      <c r="W3266" s="7"/>
      <c r="X3266" s="7"/>
      <c r="Y3266" s="7"/>
      <c r="Z3266" s="7"/>
      <c r="AA3266" s="7"/>
      <c r="AB3266" s="7"/>
      <c r="AC3266" s="7"/>
      <c r="AD3266" s="7"/>
      <c r="AE3266" s="7"/>
      <c r="AF3266" s="7"/>
    </row>
    <row r="3267" spans="1:32" ht="20.399999999999999">
      <c r="A3267" s="663"/>
      <c r="B3267" s="3130" t="s">
        <v>772</v>
      </c>
      <c r="C3267" s="663" t="s">
        <v>320</v>
      </c>
      <c r="D3267" s="678" t="s">
        <v>1980</v>
      </c>
      <c r="E3267" s="1407" t="s">
        <v>420</v>
      </c>
      <c r="F3267" s="1413">
        <v>2350</v>
      </c>
      <c r="G3267" s="818" t="s">
        <v>3422</v>
      </c>
      <c r="H3267" s="2064"/>
      <c r="I3267" s="2055">
        <v>-179</v>
      </c>
      <c r="J3267" s="1684" t="s">
        <v>1134</v>
      </c>
      <c r="K3267" s="2056"/>
      <c r="L3267" s="2064"/>
      <c r="M3267" s="2057"/>
      <c r="N3267" s="1223"/>
      <c r="O3267" s="4"/>
      <c r="P3267" s="4"/>
      <c r="Q3267" s="4"/>
      <c r="R3267" s="4"/>
      <c r="S3267" s="4"/>
      <c r="T3267" s="4"/>
      <c r="U3267" s="4"/>
      <c r="V3267" s="4"/>
      <c r="W3267" s="4"/>
      <c r="X3267" s="4"/>
      <c r="Y3267" s="4"/>
      <c r="Z3267" s="4"/>
      <c r="AA3267" s="4"/>
      <c r="AB3267" s="4"/>
      <c r="AC3267" s="4"/>
      <c r="AD3267" s="4"/>
      <c r="AE3267" s="4"/>
      <c r="AF3267" s="4"/>
    </row>
    <row r="3268" spans="1:32" ht="30.6">
      <c r="A3268" s="603"/>
      <c r="B3268" s="3130" t="s">
        <v>772</v>
      </c>
      <c r="C3268" s="663" t="s">
        <v>320</v>
      </c>
      <c r="D3268" s="678" t="s">
        <v>1980</v>
      </c>
      <c r="E3268" s="1407" t="s">
        <v>420</v>
      </c>
      <c r="F3268" s="1413">
        <v>2350</v>
      </c>
      <c r="G3268" s="818" t="s">
        <v>3423</v>
      </c>
      <c r="H3268" s="2081"/>
      <c r="I3268" s="2082">
        <v>-3250</v>
      </c>
      <c r="J3268" s="1684" t="s">
        <v>1134</v>
      </c>
      <c r="K3268" s="2083"/>
      <c r="L3268" s="2081"/>
      <c r="M3268" s="2082"/>
      <c r="N3268" s="1223"/>
      <c r="O3268" s="7"/>
      <c r="P3268" s="7"/>
      <c r="Q3268" s="7"/>
      <c r="R3268" s="7"/>
      <c r="S3268" s="7"/>
      <c r="T3268" s="7"/>
      <c r="U3268" s="7"/>
      <c r="V3268" s="7"/>
      <c r="W3268" s="7"/>
      <c r="X3268" s="7"/>
      <c r="Y3268" s="7"/>
      <c r="Z3268" s="7"/>
      <c r="AA3268" s="7"/>
      <c r="AB3268" s="7"/>
      <c r="AC3268" s="7"/>
      <c r="AD3268" s="7"/>
      <c r="AE3268" s="7"/>
      <c r="AF3268" s="7"/>
    </row>
    <row r="3269" spans="1:32">
      <c r="A3269" s="683"/>
      <c r="B3269" s="3129" t="s">
        <v>772</v>
      </c>
      <c r="C3269" s="683" t="s">
        <v>320</v>
      </c>
      <c r="D3269" s="1678" t="s">
        <v>1980</v>
      </c>
      <c r="E3269" s="1406" t="s">
        <v>420</v>
      </c>
      <c r="F3269" s="1698">
        <v>2361</v>
      </c>
      <c r="G3269" s="1691" t="s">
        <v>1434</v>
      </c>
      <c r="H3269" s="2074">
        <v>400</v>
      </c>
      <c r="I3269" s="2099"/>
      <c r="J3269" s="1684"/>
      <c r="K3269" s="2052"/>
      <c r="L3269" s="2074">
        <v>2906</v>
      </c>
      <c r="M3269" s="2100"/>
      <c r="N3269" s="1223"/>
      <c r="O3269" s="7"/>
      <c r="P3269" s="7"/>
      <c r="Q3269" s="7"/>
      <c r="R3269" s="7"/>
      <c r="S3269" s="7"/>
      <c r="T3269" s="7"/>
      <c r="U3269" s="7"/>
      <c r="V3269" s="7"/>
      <c r="W3269" s="7"/>
      <c r="X3269" s="7"/>
      <c r="Y3269" s="7"/>
      <c r="Z3269" s="7"/>
      <c r="AA3269" s="7"/>
      <c r="AB3269" s="7"/>
      <c r="AC3269" s="7"/>
      <c r="AD3269" s="7"/>
      <c r="AE3269" s="7"/>
      <c r="AF3269" s="7"/>
    </row>
    <row r="3270" spans="1:32">
      <c r="A3270" s="663" t="s">
        <v>570</v>
      </c>
      <c r="B3270" s="3130" t="s">
        <v>772</v>
      </c>
      <c r="C3270" s="663" t="s">
        <v>322</v>
      </c>
      <c r="D3270" s="1679" t="s">
        <v>1980</v>
      </c>
      <c r="E3270" s="1407" t="s">
        <v>420</v>
      </c>
      <c r="F3270" s="1413">
        <v>2361</v>
      </c>
      <c r="G3270" s="1699" t="s">
        <v>1583</v>
      </c>
      <c r="H3270" s="2064"/>
      <c r="I3270" s="2055">
        <v>400</v>
      </c>
      <c r="J3270" s="1684" t="s">
        <v>1134</v>
      </c>
      <c r="K3270" s="2056"/>
      <c r="L3270" s="2064"/>
      <c r="M3270" s="2077">
        <v>400</v>
      </c>
      <c r="N3270" s="1223"/>
      <c r="O3270" s="7"/>
      <c r="P3270" s="7"/>
      <c r="Q3270" s="7"/>
      <c r="R3270" s="7"/>
      <c r="S3270" s="7"/>
      <c r="T3270" s="7"/>
      <c r="U3270" s="7"/>
      <c r="V3270" s="7"/>
      <c r="W3270" s="7"/>
      <c r="X3270" s="7"/>
      <c r="Y3270" s="7"/>
      <c r="Z3270" s="7"/>
      <c r="AA3270" s="7"/>
      <c r="AB3270" s="7"/>
      <c r="AC3270" s="7"/>
      <c r="AD3270" s="7"/>
      <c r="AE3270" s="7"/>
      <c r="AF3270" s="7"/>
    </row>
    <row r="3271" spans="1:32">
      <c r="A3271" s="663"/>
      <c r="B3271" s="3130" t="s">
        <v>772</v>
      </c>
      <c r="C3271" s="663" t="s">
        <v>369</v>
      </c>
      <c r="D3271" s="1679" t="s">
        <v>1980</v>
      </c>
      <c r="E3271" s="1407" t="s">
        <v>420</v>
      </c>
      <c r="F3271" s="1413">
        <v>2361</v>
      </c>
      <c r="G3271" s="1699" t="s">
        <v>4099</v>
      </c>
      <c r="H3271" s="2064"/>
      <c r="I3271" s="2055"/>
      <c r="J3271" s="1684" t="s">
        <v>1134</v>
      </c>
      <c r="K3271" s="2056"/>
      <c r="L3271" s="2064"/>
      <c r="M3271" s="2117">
        <v>496</v>
      </c>
      <c r="N3271" s="1223"/>
      <c r="O3271" s="4"/>
      <c r="P3271" s="4"/>
      <c r="Q3271" s="4"/>
      <c r="R3271" s="4"/>
      <c r="S3271" s="4"/>
      <c r="T3271" s="4"/>
      <c r="U3271" s="4"/>
      <c r="V3271" s="4"/>
      <c r="W3271" s="4"/>
      <c r="X3271" s="4"/>
      <c r="Y3271" s="4"/>
      <c r="Z3271" s="4"/>
      <c r="AA3271" s="4"/>
      <c r="AB3271" s="4"/>
      <c r="AC3271" s="4"/>
      <c r="AD3271" s="4"/>
      <c r="AE3271" s="4"/>
      <c r="AF3271" s="4"/>
    </row>
    <row r="3272" spans="1:32">
      <c r="A3272" s="663"/>
      <c r="B3272" s="3130" t="s">
        <v>772</v>
      </c>
      <c r="C3272" s="663" t="s">
        <v>369</v>
      </c>
      <c r="D3272" s="1679" t="s">
        <v>1980</v>
      </c>
      <c r="E3272" s="1407" t="s">
        <v>420</v>
      </c>
      <c r="F3272" s="1413">
        <v>2361</v>
      </c>
      <c r="G3272" s="1699" t="s">
        <v>4100</v>
      </c>
      <c r="H3272" s="2064"/>
      <c r="I3272" s="2055"/>
      <c r="J3272" s="1684" t="s">
        <v>1134</v>
      </c>
      <c r="K3272" s="2056"/>
      <c r="L3272" s="2064"/>
      <c r="M3272" s="2117">
        <v>1290</v>
      </c>
      <c r="N3272" s="1223"/>
      <c r="O3272" s="7"/>
      <c r="P3272" s="7"/>
      <c r="Q3272" s="7"/>
      <c r="R3272" s="7"/>
      <c r="S3272" s="7"/>
      <c r="T3272" s="7"/>
      <c r="U3272" s="7"/>
      <c r="V3272" s="7"/>
      <c r="W3272" s="7"/>
      <c r="X3272" s="7"/>
      <c r="Y3272" s="7"/>
      <c r="Z3272" s="7"/>
      <c r="AA3272" s="7"/>
      <c r="AB3272" s="7"/>
      <c r="AC3272" s="7"/>
      <c r="AD3272" s="7"/>
      <c r="AE3272" s="7"/>
      <c r="AF3272" s="7"/>
    </row>
    <row r="3273" spans="1:32">
      <c r="A3273" s="663"/>
      <c r="B3273" s="3130" t="s">
        <v>772</v>
      </c>
      <c r="C3273" s="663" t="s">
        <v>369</v>
      </c>
      <c r="D3273" s="1679" t="s">
        <v>1980</v>
      </c>
      <c r="E3273" s="1407" t="s">
        <v>420</v>
      </c>
      <c r="F3273" s="1413">
        <v>2361</v>
      </c>
      <c r="G3273" s="1699" t="s">
        <v>4101</v>
      </c>
      <c r="H3273" s="2064"/>
      <c r="I3273" s="2055"/>
      <c r="J3273" s="1684" t="s">
        <v>1134</v>
      </c>
      <c r="K3273" s="2056"/>
      <c r="L3273" s="2064"/>
      <c r="M3273" s="2117">
        <v>720</v>
      </c>
      <c r="N3273" s="1223"/>
      <c r="O3273" s="4"/>
      <c r="P3273" s="4"/>
      <c r="Q3273" s="4"/>
      <c r="R3273" s="4"/>
      <c r="S3273" s="4"/>
      <c r="T3273" s="4"/>
      <c r="U3273" s="4"/>
      <c r="V3273" s="4"/>
      <c r="W3273" s="4"/>
      <c r="X3273" s="4"/>
      <c r="Y3273" s="4"/>
      <c r="Z3273" s="4"/>
      <c r="AA3273" s="4"/>
      <c r="AB3273" s="4"/>
      <c r="AC3273" s="4"/>
      <c r="AD3273" s="4"/>
      <c r="AE3273" s="4"/>
      <c r="AF3273" s="4"/>
    </row>
    <row r="3274" spans="1:32">
      <c r="A3274" s="1406"/>
      <c r="B3274" s="3129" t="s">
        <v>773</v>
      </c>
      <c r="C3274" s="1406" t="s">
        <v>320</v>
      </c>
      <c r="D3274" s="1678" t="s">
        <v>1980</v>
      </c>
      <c r="E3274" s="1406" t="s">
        <v>420</v>
      </c>
      <c r="F3274" s="1698">
        <v>2361</v>
      </c>
      <c r="G3274" s="1691" t="s">
        <v>1434</v>
      </c>
      <c r="H3274" s="2074">
        <v>37882.080000000002</v>
      </c>
      <c r="I3274" s="2099"/>
      <c r="J3274" s="1684">
        <v>38280.080000000002</v>
      </c>
      <c r="K3274" s="2052"/>
      <c r="L3274" s="2074">
        <v>0</v>
      </c>
      <c r="M3274" s="2100"/>
      <c r="N3274" s="2044" t="s">
        <v>4124</v>
      </c>
      <c r="O3274" s="7"/>
      <c r="P3274" s="7"/>
      <c r="Q3274" s="7"/>
      <c r="R3274" s="7"/>
      <c r="S3274" s="7"/>
      <c r="T3274" s="7"/>
      <c r="U3274" s="7"/>
      <c r="V3274" s="7"/>
      <c r="W3274" s="7"/>
      <c r="X3274" s="7"/>
      <c r="Y3274" s="7"/>
      <c r="Z3274" s="7"/>
      <c r="AA3274" s="7"/>
      <c r="AB3274" s="7"/>
      <c r="AC3274" s="7"/>
      <c r="AD3274" s="7"/>
      <c r="AE3274" s="7"/>
      <c r="AF3274" s="7"/>
    </row>
    <row r="3275" spans="1:32">
      <c r="A3275" s="1411"/>
      <c r="B3275" s="3144" t="s">
        <v>773</v>
      </c>
      <c r="C3275" s="1411" t="s">
        <v>369</v>
      </c>
      <c r="D3275" s="2124" t="s">
        <v>1980</v>
      </c>
      <c r="E3275" s="1411" t="s">
        <v>420</v>
      </c>
      <c r="F3275" s="2078">
        <v>2361</v>
      </c>
      <c r="G3275" s="919" t="s">
        <v>4102</v>
      </c>
      <c r="H3275" s="2079"/>
      <c r="I3275" s="2080">
        <v>37882</v>
      </c>
      <c r="J3275" s="1684" t="s">
        <v>1134</v>
      </c>
      <c r="K3275" s="2080"/>
      <c r="L3275" s="2079"/>
      <c r="M3275" s="2080"/>
      <c r="N3275" s="2042" t="s">
        <v>4381</v>
      </c>
      <c r="O3275" s="7"/>
      <c r="P3275" s="7"/>
      <c r="Q3275" s="7"/>
      <c r="R3275" s="7"/>
      <c r="S3275" s="7"/>
      <c r="T3275" s="7"/>
      <c r="U3275" s="7"/>
      <c r="V3275" s="7"/>
      <c r="W3275" s="7"/>
      <c r="X3275" s="7"/>
      <c r="Y3275" s="7"/>
      <c r="Z3275" s="7"/>
      <c r="AA3275" s="7"/>
      <c r="AB3275" s="7"/>
      <c r="AC3275" s="7"/>
      <c r="AD3275" s="7"/>
      <c r="AE3275" s="7"/>
      <c r="AF3275" s="7"/>
    </row>
    <row r="3276" spans="1:32" ht="20.399999999999999">
      <c r="A3276" s="1411"/>
      <c r="B3276" s="3144" t="s">
        <v>773</v>
      </c>
      <c r="C3276" s="1411" t="s">
        <v>369</v>
      </c>
      <c r="D3276" s="2124" t="s">
        <v>1980</v>
      </c>
      <c r="E3276" s="1411" t="s">
        <v>420</v>
      </c>
      <c r="F3276" s="2078">
        <v>2361</v>
      </c>
      <c r="G3276" s="2125" t="s">
        <v>4103</v>
      </c>
      <c r="H3276" s="2079"/>
      <c r="I3276" s="2080"/>
      <c r="J3276" s="1684" t="s">
        <v>1134</v>
      </c>
      <c r="K3276" s="2080"/>
      <c r="L3276" s="2079"/>
      <c r="M3276" s="2817">
        <v>0</v>
      </c>
      <c r="N3276" s="2042" t="s">
        <v>4381</v>
      </c>
      <c r="O3276" s="4"/>
      <c r="P3276" s="4"/>
      <c r="Q3276" s="4"/>
      <c r="R3276" s="4"/>
      <c r="S3276" s="4"/>
      <c r="T3276" s="4"/>
      <c r="U3276" s="4"/>
      <c r="V3276" s="4"/>
      <c r="W3276" s="4"/>
      <c r="X3276" s="4"/>
      <c r="Y3276" s="4"/>
      <c r="Z3276" s="4"/>
      <c r="AA3276" s="4"/>
      <c r="AB3276" s="4"/>
      <c r="AC3276" s="4"/>
      <c r="AD3276" s="4"/>
      <c r="AE3276" s="4"/>
      <c r="AF3276" s="4"/>
    </row>
    <row r="3277" spans="1:32">
      <c r="A3277" s="1411"/>
      <c r="B3277" s="3144" t="s">
        <v>773</v>
      </c>
      <c r="C3277" s="1411" t="s">
        <v>369</v>
      </c>
      <c r="D3277" s="2124" t="s">
        <v>1980</v>
      </c>
      <c r="E3277" s="1411" t="s">
        <v>420</v>
      </c>
      <c r="F3277" s="2078">
        <v>2361</v>
      </c>
      <c r="G3277" s="2125" t="s">
        <v>4104</v>
      </c>
      <c r="H3277" s="2079"/>
      <c r="I3277" s="2080"/>
      <c r="J3277" s="1684" t="s">
        <v>1134</v>
      </c>
      <c r="K3277" s="2080"/>
      <c r="L3277" s="2079"/>
      <c r="M3277" s="2817">
        <v>0</v>
      </c>
      <c r="N3277" s="2044"/>
      <c r="O3277" s="7"/>
      <c r="P3277" s="7"/>
      <c r="Q3277" s="7"/>
      <c r="R3277" s="7"/>
      <c r="S3277" s="7"/>
      <c r="T3277" s="7"/>
      <c r="U3277" s="7"/>
      <c r="V3277" s="7"/>
      <c r="W3277" s="7"/>
      <c r="X3277" s="7"/>
      <c r="Y3277" s="7"/>
      <c r="Z3277" s="7"/>
      <c r="AA3277" s="7"/>
      <c r="AB3277" s="7"/>
      <c r="AC3277" s="7"/>
      <c r="AD3277" s="7"/>
      <c r="AE3277" s="7"/>
      <c r="AF3277" s="7"/>
    </row>
    <row r="3278" spans="1:32">
      <c r="A3278" s="1411"/>
      <c r="B3278" s="3144" t="s">
        <v>773</v>
      </c>
      <c r="C3278" s="1411" t="s">
        <v>369</v>
      </c>
      <c r="D3278" s="2124" t="s">
        <v>1980</v>
      </c>
      <c r="E3278" s="1411" t="s">
        <v>420</v>
      </c>
      <c r="F3278" s="2078">
        <v>2361</v>
      </c>
      <c r="G3278" s="2125" t="s">
        <v>4105</v>
      </c>
      <c r="H3278" s="2079"/>
      <c r="I3278" s="2080"/>
      <c r="J3278" s="1684" t="s">
        <v>1134</v>
      </c>
      <c r="K3278" s="2080"/>
      <c r="L3278" s="2079"/>
      <c r="M3278" s="2817">
        <v>0</v>
      </c>
      <c r="N3278" s="1223"/>
      <c r="O3278" s="7"/>
      <c r="P3278" s="7"/>
      <c r="Q3278" s="7"/>
      <c r="R3278" s="7"/>
      <c r="S3278" s="7"/>
      <c r="T3278" s="7"/>
      <c r="U3278" s="7"/>
      <c r="V3278" s="7"/>
      <c r="W3278" s="7"/>
      <c r="X3278" s="7"/>
      <c r="Y3278" s="7"/>
      <c r="Z3278" s="7"/>
      <c r="AA3278" s="7"/>
      <c r="AB3278" s="7"/>
      <c r="AC3278" s="7"/>
      <c r="AD3278" s="7"/>
      <c r="AE3278" s="7"/>
      <c r="AF3278" s="7"/>
    </row>
    <row r="3279" spans="1:32">
      <c r="A3279" s="1411"/>
      <c r="B3279" s="3144" t="s">
        <v>773</v>
      </c>
      <c r="C3279" s="1411" t="s">
        <v>369</v>
      </c>
      <c r="D3279" s="2124" t="s">
        <v>1980</v>
      </c>
      <c r="E3279" s="1411" t="s">
        <v>420</v>
      </c>
      <c r="F3279" s="2078">
        <v>2361</v>
      </c>
      <c r="G3279" s="2125" t="s">
        <v>4106</v>
      </c>
      <c r="H3279" s="2079"/>
      <c r="I3279" s="2080"/>
      <c r="J3279" s="1684" t="s">
        <v>1134</v>
      </c>
      <c r="K3279" s="2080"/>
      <c r="L3279" s="2079"/>
      <c r="M3279" s="2817">
        <v>0</v>
      </c>
      <c r="N3279" s="1223"/>
      <c r="O3279" s="7"/>
      <c r="P3279" s="7"/>
      <c r="Q3279" s="7"/>
      <c r="R3279" s="7"/>
      <c r="S3279" s="7"/>
      <c r="T3279" s="7"/>
      <c r="U3279" s="7"/>
      <c r="V3279" s="7"/>
      <c r="W3279" s="7"/>
      <c r="X3279" s="7"/>
      <c r="Y3279" s="7"/>
      <c r="Z3279" s="7"/>
      <c r="AA3279" s="7"/>
      <c r="AB3279" s="7"/>
      <c r="AC3279" s="7"/>
      <c r="AD3279" s="7"/>
      <c r="AE3279" s="7"/>
      <c r="AF3279" s="7"/>
    </row>
    <row r="3280" spans="1:32">
      <c r="A3280" s="1411"/>
      <c r="B3280" s="3144" t="s">
        <v>773</v>
      </c>
      <c r="C3280" s="1411" t="s">
        <v>369</v>
      </c>
      <c r="D3280" s="2124" t="s">
        <v>1980</v>
      </c>
      <c r="E3280" s="1411" t="s">
        <v>420</v>
      </c>
      <c r="F3280" s="2078">
        <v>2361</v>
      </c>
      <c r="G3280" s="2125" t="s">
        <v>4107</v>
      </c>
      <c r="H3280" s="2079"/>
      <c r="I3280" s="2080"/>
      <c r="J3280" s="1684" t="s">
        <v>1134</v>
      </c>
      <c r="K3280" s="2080"/>
      <c r="L3280" s="2079"/>
      <c r="M3280" s="2817">
        <v>0</v>
      </c>
      <c r="N3280" s="1223"/>
      <c r="O3280" s="4"/>
      <c r="P3280" s="4"/>
      <c r="Q3280" s="4"/>
      <c r="R3280" s="4"/>
      <c r="S3280" s="4"/>
      <c r="T3280" s="4"/>
      <c r="U3280" s="4"/>
      <c r="V3280" s="4"/>
      <c r="W3280" s="4"/>
      <c r="X3280" s="4"/>
      <c r="Y3280" s="4"/>
      <c r="Z3280" s="4"/>
      <c r="AA3280" s="4"/>
      <c r="AB3280" s="4"/>
      <c r="AC3280" s="4"/>
      <c r="AD3280" s="4"/>
      <c r="AE3280" s="4"/>
      <c r="AF3280" s="4"/>
    </row>
    <row r="3281" spans="1:32">
      <c r="A3281" s="1411"/>
      <c r="B3281" s="3144" t="s">
        <v>773</v>
      </c>
      <c r="C3281" s="1411" t="s">
        <v>369</v>
      </c>
      <c r="D3281" s="2124" t="s">
        <v>1980</v>
      </c>
      <c r="E3281" s="1411" t="s">
        <v>420</v>
      </c>
      <c r="F3281" s="2078">
        <v>2361</v>
      </c>
      <c r="G3281" s="2125" t="s">
        <v>4108</v>
      </c>
      <c r="H3281" s="2079"/>
      <c r="I3281" s="2080"/>
      <c r="J3281" s="1684" t="s">
        <v>1134</v>
      </c>
      <c r="K3281" s="2080"/>
      <c r="L3281" s="2079"/>
      <c r="M3281" s="2817">
        <v>0</v>
      </c>
      <c r="N3281" s="1223"/>
      <c r="O3281" s="187"/>
      <c r="P3281" s="187"/>
      <c r="Q3281" s="187"/>
      <c r="R3281" s="187"/>
      <c r="S3281" s="187"/>
      <c r="T3281" s="187"/>
      <c r="U3281" s="187"/>
      <c r="V3281" s="187"/>
      <c r="W3281" s="187"/>
      <c r="X3281" s="187"/>
      <c r="Y3281" s="187"/>
      <c r="Z3281" s="187"/>
      <c r="AA3281" s="187"/>
      <c r="AB3281" s="187"/>
      <c r="AC3281" s="187"/>
      <c r="AD3281" s="187"/>
      <c r="AE3281" s="187"/>
      <c r="AF3281" s="187"/>
    </row>
    <row r="3282" spans="1:32">
      <c r="A3282" s="1411"/>
      <c r="B3282" s="3144" t="s">
        <v>773</v>
      </c>
      <c r="C3282" s="1411" t="s">
        <v>369</v>
      </c>
      <c r="D3282" s="2124" t="s">
        <v>1980</v>
      </c>
      <c r="E3282" s="1411" t="s">
        <v>420</v>
      </c>
      <c r="F3282" s="2078">
        <v>2361</v>
      </c>
      <c r="G3282" s="2125" t="s">
        <v>4109</v>
      </c>
      <c r="H3282" s="2079"/>
      <c r="I3282" s="2080"/>
      <c r="J3282" s="1684" t="s">
        <v>1134</v>
      </c>
      <c r="K3282" s="2080"/>
      <c r="L3282" s="2079"/>
      <c r="M3282" s="2817">
        <v>0</v>
      </c>
      <c r="N3282" s="1223"/>
      <c r="O3282" s="187"/>
      <c r="P3282" s="187"/>
      <c r="Q3282" s="187"/>
      <c r="R3282" s="187"/>
      <c r="S3282" s="187"/>
      <c r="T3282" s="187"/>
      <c r="U3282" s="187"/>
      <c r="V3282" s="187"/>
      <c r="W3282" s="187"/>
      <c r="X3282" s="187"/>
      <c r="Y3282" s="187"/>
      <c r="Z3282" s="187"/>
      <c r="AA3282" s="187"/>
      <c r="AB3282" s="187"/>
      <c r="AC3282" s="187"/>
      <c r="AD3282" s="187"/>
      <c r="AE3282" s="187"/>
      <c r="AF3282" s="187"/>
    </row>
    <row r="3283" spans="1:32">
      <c r="A3283" s="1411"/>
      <c r="B3283" s="3144" t="s">
        <v>773</v>
      </c>
      <c r="C3283" s="1411" t="s">
        <v>369</v>
      </c>
      <c r="D3283" s="2124" t="s">
        <v>1980</v>
      </c>
      <c r="E3283" s="1411" t="s">
        <v>420</v>
      </c>
      <c r="F3283" s="2078">
        <v>2361</v>
      </c>
      <c r="G3283" s="2125" t="s">
        <v>4110</v>
      </c>
      <c r="H3283" s="2079"/>
      <c r="I3283" s="2080"/>
      <c r="J3283" s="1684" t="s">
        <v>1134</v>
      </c>
      <c r="K3283" s="2080"/>
      <c r="L3283" s="2079"/>
      <c r="M3283" s="2817">
        <v>0</v>
      </c>
      <c r="N3283" s="1223"/>
      <c r="O3283" s="187"/>
      <c r="P3283" s="187"/>
      <c r="Q3283" s="187"/>
      <c r="R3283" s="187"/>
      <c r="S3283" s="187"/>
      <c r="T3283" s="187"/>
      <c r="U3283" s="187"/>
      <c r="V3283" s="187"/>
      <c r="W3283" s="187"/>
      <c r="X3283" s="187"/>
      <c r="Y3283" s="187"/>
      <c r="Z3283" s="187"/>
      <c r="AA3283" s="187"/>
      <c r="AB3283" s="187"/>
      <c r="AC3283" s="187"/>
      <c r="AD3283" s="187"/>
      <c r="AE3283" s="187"/>
      <c r="AF3283" s="187"/>
    </row>
    <row r="3284" spans="1:32">
      <c r="A3284" s="1411"/>
      <c r="B3284" s="3144" t="s">
        <v>773</v>
      </c>
      <c r="C3284" s="1411" t="s">
        <v>369</v>
      </c>
      <c r="D3284" s="2124" t="s">
        <v>1980</v>
      </c>
      <c r="E3284" s="1411" t="s">
        <v>420</v>
      </c>
      <c r="F3284" s="2078">
        <v>2361</v>
      </c>
      <c r="G3284" s="2125" t="s">
        <v>4111</v>
      </c>
      <c r="H3284" s="2079"/>
      <c r="I3284" s="2080"/>
      <c r="J3284" s="1684" t="s">
        <v>1134</v>
      </c>
      <c r="K3284" s="2080"/>
      <c r="L3284" s="2079"/>
      <c r="M3284" s="2817">
        <v>0</v>
      </c>
      <c r="N3284" s="1223"/>
      <c r="O3284" s="7"/>
      <c r="P3284" s="7"/>
      <c r="Q3284" s="7"/>
      <c r="R3284" s="7"/>
      <c r="S3284" s="7"/>
      <c r="T3284" s="7"/>
      <c r="U3284" s="7"/>
      <c r="V3284" s="7"/>
      <c r="W3284" s="7"/>
      <c r="X3284" s="7"/>
      <c r="Y3284" s="7"/>
      <c r="Z3284" s="7"/>
      <c r="AA3284" s="7"/>
      <c r="AB3284" s="7"/>
      <c r="AC3284" s="7"/>
      <c r="AD3284" s="7"/>
      <c r="AE3284" s="7"/>
      <c r="AF3284" s="7"/>
    </row>
    <row r="3285" spans="1:32">
      <c r="A3285" s="1411"/>
      <c r="B3285" s="3144" t="s">
        <v>773</v>
      </c>
      <c r="C3285" s="1411" t="s">
        <v>369</v>
      </c>
      <c r="D3285" s="2124" t="s">
        <v>1980</v>
      </c>
      <c r="E3285" s="1411" t="s">
        <v>420</v>
      </c>
      <c r="F3285" s="2078">
        <v>2361</v>
      </c>
      <c r="G3285" s="2125" t="s">
        <v>4112</v>
      </c>
      <c r="H3285" s="2079"/>
      <c r="I3285" s="2080"/>
      <c r="J3285" s="1684" t="s">
        <v>1134</v>
      </c>
      <c r="K3285" s="2080"/>
      <c r="L3285" s="2079"/>
      <c r="M3285" s="2817">
        <v>0</v>
      </c>
      <c r="N3285" s="1223"/>
      <c r="O3285" s="187"/>
      <c r="P3285" s="187"/>
      <c r="Q3285" s="187"/>
      <c r="R3285" s="187"/>
      <c r="S3285" s="187"/>
      <c r="T3285" s="187"/>
      <c r="U3285" s="187"/>
      <c r="V3285" s="187"/>
      <c r="W3285" s="187"/>
      <c r="X3285" s="187"/>
      <c r="Y3285" s="187"/>
      <c r="Z3285" s="187"/>
      <c r="AA3285" s="187"/>
      <c r="AB3285" s="187"/>
      <c r="AC3285" s="187"/>
      <c r="AD3285" s="187"/>
      <c r="AE3285" s="187"/>
      <c r="AF3285" s="187"/>
    </row>
    <row r="3286" spans="1:32">
      <c r="A3286" s="1411"/>
      <c r="B3286" s="3144" t="s">
        <v>773</v>
      </c>
      <c r="C3286" s="1411" t="s">
        <v>369</v>
      </c>
      <c r="D3286" s="2124" t="s">
        <v>1980</v>
      </c>
      <c r="E3286" s="1411" t="s">
        <v>420</v>
      </c>
      <c r="F3286" s="2078">
        <v>2361</v>
      </c>
      <c r="G3286" s="2125" t="s">
        <v>4113</v>
      </c>
      <c r="H3286" s="2079"/>
      <c r="I3286" s="2080"/>
      <c r="J3286" s="1684" t="s">
        <v>1134</v>
      </c>
      <c r="K3286" s="2080"/>
      <c r="L3286" s="2079"/>
      <c r="M3286" s="2817">
        <v>0</v>
      </c>
      <c r="N3286" s="1223"/>
      <c r="O3286" s="4"/>
      <c r="P3286" s="4"/>
      <c r="Q3286" s="4"/>
      <c r="R3286" s="4"/>
      <c r="S3286" s="4"/>
      <c r="T3286" s="4"/>
      <c r="U3286" s="4"/>
      <c r="V3286" s="4"/>
      <c r="W3286" s="4"/>
      <c r="X3286" s="4"/>
      <c r="Y3286" s="4"/>
      <c r="Z3286" s="4"/>
      <c r="AA3286" s="4"/>
      <c r="AB3286" s="4"/>
      <c r="AC3286" s="4"/>
      <c r="AD3286" s="4"/>
      <c r="AE3286" s="4"/>
      <c r="AF3286" s="4"/>
    </row>
    <row r="3287" spans="1:32">
      <c r="A3287" s="1411"/>
      <c r="B3287" s="3144" t="s">
        <v>773</v>
      </c>
      <c r="C3287" s="1411" t="s">
        <v>369</v>
      </c>
      <c r="D3287" s="2124" t="s">
        <v>1980</v>
      </c>
      <c r="E3287" s="1411" t="s">
        <v>420</v>
      </c>
      <c r="F3287" s="2078">
        <v>2361</v>
      </c>
      <c r="G3287" s="2125" t="s">
        <v>4114</v>
      </c>
      <c r="H3287" s="2079"/>
      <c r="I3287" s="2080"/>
      <c r="J3287" s="1684" t="s">
        <v>1134</v>
      </c>
      <c r="K3287" s="2080"/>
      <c r="L3287" s="2079"/>
      <c r="M3287" s="2817">
        <v>0</v>
      </c>
      <c r="N3287" s="1223"/>
      <c r="O3287" s="187"/>
      <c r="P3287" s="187"/>
      <c r="Q3287" s="187"/>
      <c r="R3287" s="187"/>
      <c r="S3287" s="187"/>
      <c r="T3287" s="187"/>
      <c r="U3287" s="187"/>
      <c r="V3287" s="187"/>
      <c r="W3287" s="187"/>
      <c r="X3287" s="187"/>
      <c r="Y3287" s="187"/>
      <c r="Z3287" s="187"/>
      <c r="AA3287" s="187"/>
      <c r="AB3287" s="187"/>
      <c r="AC3287" s="187"/>
      <c r="AD3287" s="187"/>
      <c r="AE3287" s="187"/>
      <c r="AF3287" s="187"/>
    </row>
    <row r="3288" spans="1:32">
      <c r="A3288" s="1411"/>
      <c r="B3288" s="3144" t="s">
        <v>773</v>
      </c>
      <c r="C3288" s="1411" t="s">
        <v>369</v>
      </c>
      <c r="D3288" s="2124" t="s">
        <v>1980</v>
      </c>
      <c r="E3288" s="1411" t="s">
        <v>420</v>
      </c>
      <c r="F3288" s="2078">
        <v>2361</v>
      </c>
      <c r="G3288" s="2125" t="s">
        <v>4115</v>
      </c>
      <c r="H3288" s="2079"/>
      <c r="I3288" s="2080"/>
      <c r="J3288" s="1684" t="s">
        <v>1134</v>
      </c>
      <c r="K3288" s="2080"/>
      <c r="L3288" s="2079"/>
      <c r="M3288" s="2817">
        <v>0</v>
      </c>
      <c r="N3288" s="1223"/>
      <c r="O3288" s="7"/>
      <c r="P3288" s="7"/>
      <c r="Q3288" s="7"/>
      <c r="R3288" s="7"/>
      <c r="S3288" s="7"/>
      <c r="T3288" s="7"/>
      <c r="U3288" s="7"/>
      <c r="V3288" s="7"/>
      <c r="W3288" s="7"/>
      <c r="X3288" s="7"/>
      <c r="Y3288" s="7"/>
      <c r="Z3288" s="7"/>
      <c r="AA3288" s="7"/>
      <c r="AB3288" s="7"/>
      <c r="AC3288" s="7"/>
      <c r="AD3288" s="7"/>
      <c r="AE3288" s="7"/>
      <c r="AF3288" s="7"/>
    </row>
    <row r="3289" spans="1:32">
      <c r="A3289" s="683"/>
      <c r="B3289" s="3129" t="s">
        <v>772</v>
      </c>
      <c r="C3289" s="683" t="s">
        <v>322</v>
      </c>
      <c r="D3289" s="719" t="s">
        <v>1980</v>
      </c>
      <c r="E3289" s="1406" t="s">
        <v>420</v>
      </c>
      <c r="F3289" s="1698">
        <v>2370</v>
      </c>
      <c r="G3289" s="1691" t="s">
        <v>209</v>
      </c>
      <c r="H3289" s="2074">
        <v>34426</v>
      </c>
      <c r="I3289" s="2099"/>
      <c r="J3289" s="1684">
        <v>33245</v>
      </c>
      <c r="K3289" s="2052"/>
      <c r="L3289" s="2074">
        <v>45808</v>
      </c>
      <c r="M3289" s="2100"/>
      <c r="N3289" s="1223"/>
      <c r="O3289" s="187"/>
      <c r="P3289" s="187"/>
      <c r="Q3289" s="187"/>
      <c r="R3289" s="187"/>
      <c r="S3289" s="187"/>
      <c r="T3289" s="187"/>
      <c r="U3289" s="187"/>
      <c r="V3289" s="187"/>
      <c r="W3289" s="187"/>
      <c r="X3289" s="187"/>
      <c r="Y3289" s="187"/>
      <c r="Z3289" s="187"/>
      <c r="AA3289" s="187"/>
      <c r="AB3289" s="187"/>
      <c r="AC3289" s="187"/>
      <c r="AD3289" s="187"/>
      <c r="AE3289" s="187"/>
      <c r="AF3289" s="187"/>
    </row>
    <row r="3290" spans="1:32" ht="20.399999999999999">
      <c r="A3290" s="663"/>
      <c r="B3290" s="3130" t="s">
        <v>772</v>
      </c>
      <c r="C3290" s="663" t="s">
        <v>322</v>
      </c>
      <c r="D3290" s="678" t="s">
        <v>1980</v>
      </c>
      <c r="E3290" s="1407" t="s">
        <v>420</v>
      </c>
      <c r="F3290" s="1413">
        <v>2370</v>
      </c>
      <c r="G3290" s="2177" t="s">
        <v>677</v>
      </c>
      <c r="H3290" s="2286"/>
      <c r="I3290" s="2287">
        <v>410</v>
      </c>
      <c r="J3290" s="2170" t="s">
        <v>1134</v>
      </c>
      <c r="K3290" s="2289"/>
      <c r="L3290" s="2288"/>
      <c r="M3290" s="2282">
        <v>210</v>
      </c>
      <c r="N3290" s="1223"/>
      <c r="O3290" s="4"/>
      <c r="P3290" s="4"/>
      <c r="Q3290" s="4"/>
      <c r="R3290" s="4"/>
      <c r="S3290" s="4"/>
      <c r="T3290" s="4"/>
      <c r="U3290" s="4"/>
      <c r="V3290" s="4"/>
      <c r="W3290" s="4"/>
      <c r="X3290" s="4"/>
      <c r="Y3290" s="4"/>
      <c r="Z3290" s="4"/>
      <c r="AA3290" s="4"/>
      <c r="AB3290" s="4"/>
      <c r="AC3290" s="4"/>
      <c r="AD3290" s="4"/>
      <c r="AE3290" s="4"/>
      <c r="AF3290" s="4"/>
    </row>
    <row r="3291" spans="1:32">
      <c r="A3291" s="663"/>
      <c r="B3291" s="3130" t="s">
        <v>772</v>
      </c>
      <c r="C3291" s="663" t="s">
        <v>322</v>
      </c>
      <c r="D3291" s="678" t="s">
        <v>1980</v>
      </c>
      <c r="E3291" s="1407" t="s">
        <v>420</v>
      </c>
      <c r="F3291" s="1413">
        <v>2370</v>
      </c>
      <c r="G3291" s="2177" t="s">
        <v>678</v>
      </c>
      <c r="H3291" s="2286"/>
      <c r="I3291" s="2287">
        <v>2900</v>
      </c>
      <c r="J3291" s="2170" t="s">
        <v>1134</v>
      </c>
      <c r="K3291" s="2289"/>
      <c r="L3291" s="2288"/>
      <c r="M3291" s="2282">
        <v>4210</v>
      </c>
      <c r="N3291" s="1223"/>
      <c r="O3291" s="4"/>
      <c r="P3291" s="4"/>
      <c r="Q3291" s="4"/>
      <c r="R3291" s="4"/>
      <c r="S3291" s="4"/>
      <c r="T3291" s="4"/>
      <c r="U3291" s="4"/>
      <c r="V3291" s="4"/>
      <c r="W3291" s="4"/>
      <c r="X3291" s="4"/>
      <c r="Y3291" s="4"/>
      <c r="Z3291" s="4"/>
      <c r="AA3291" s="4"/>
      <c r="AB3291" s="4"/>
      <c r="AC3291" s="4"/>
      <c r="AD3291" s="4"/>
      <c r="AE3291" s="4"/>
      <c r="AF3291" s="4"/>
    </row>
    <row r="3292" spans="1:32" ht="20.399999999999999">
      <c r="A3292" s="663"/>
      <c r="B3292" s="3130" t="s">
        <v>772</v>
      </c>
      <c r="C3292" s="663" t="s">
        <v>322</v>
      </c>
      <c r="D3292" s="678" t="s">
        <v>1980</v>
      </c>
      <c r="E3292" s="1407" t="s">
        <v>420</v>
      </c>
      <c r="F3292" s="1413">
        <v>2370</v>
      </c>
      <c r="G3292" s="2177" t="s">
        <v>4118</v>
      </c>
      <c r="H3292" s="2286"/>
      <c r="I3292" s="2287">
        <v>3426</v>
      </c>
      <c r="J3292" s="2170" t="s">
        <v>1134</v>
      </c>
      <c r="K3292" s="2289"/>
      <c r="L3292" s="2288"/>
      <c r="M3292" s="2282">
        <v>3110</v>
      </c>
      <c r="N3292" s="1223"/>
      <c r="O3292" s="187"/>
      <c r="P3292" s="187"/>
      <c r="Q3292" s="187"/>
      <c r="R3292" s="187"/>
      <c r="S3292" s="187"/>
      <c r="T3292" s="187"/>
      <c r="U3292" s="187"/>
      <c r="V3292" s="187"/>
      <c r="W3292" s="187"/>
      <c r="X3292" s="187"/>
      <c r="Y3292" s="187"/>
      <c r="Z3292" s="187"/>
      <c r="AA3292" s="187"/>
      <c r="AB3292" s="187"/>
      <c r="AC3292" s="187"/>
      <c r="AD3292" s="187"/>
      <c r="AE3292" s="187"/>
      <c r="AF3292" s="187"/>
    </row>
    <row r="3293" spans="1:32" ht="20.399999999999999">
      <c r="A3293" s="663"/>
      <c r="B3293" s="3130" t="s">
        <v>772</v>
      </c>
      <c r="C3293" s="663" t="s">
        <v>322</v>
      </c>
      <c r="D3293" s="678" t="s">
        <v>1980</v>
      </c>
      <c r="E3293" s="1407" t="s">
        <v>420</v>
      </c>
      <c r="F3293" s="1413">
        <v>2370</v>
      </c>
      <c r="G3293" s="2177" t="s">
        <v>1585</v>
      </c>
      <c r="H3293" s="2286"/>
      <c r="I3293" s="2287">
        <v>2205</v>
      </c>
      <c r="J3293" s="2170" t="s">
        <v>1134</v>
      </c>
      <c r="K3293" s="2289"/>
      <c r="L3293" s="2288"/>
      <c r="M3293" s="2282">
        <v>4476</v>
      </c>
      <c r="N3293" s="1223"/>
      <c r="O3293" s="4"/>
      <c r="P3293" s="4"/>
      <c r="Q3293" s="4"/>
      <c r="R3293" s="4"/>
      <c r="S3293" s="4"/>
      <c r="T3293" s="4"/>
      <c r="U3293" s="4"/>
      <c r="V3293" s="4"/>
      <c r="W3293" s="4"/>
      <c r="X3293" s="4"/>
      <c r="Y3293" s="4"/>
      <c r="Z3293" s="4"/>
      <c r="AA3293" s="4"/>
      <c r="AB3293" s="4"/>
      <c r="AC3293" s="4"/>
      <c r="AD3293" s="4"/>
      <c r="AE3293" s="4"/>
      <c r="AF3293" s="4"/>
    </row>
    <row r="3294" spans="1:32">
      <c r="A3294" s="663"/>
      <c r="B3294" s="3130" t="s">
        <v>772</v>
      </c>
      <c r="C3294" s="663" t="s">
        <v>322</v>
      </c>
      <c r="D3294" s="678" t="s">
        <v>1980</v>
      </c>
      <c r="E3294" s="1407" t="s">
        <v>420</v>
      </c>
      <c r="F3294" s="1413">
        <v>2370</v>
      </c>
      <c r="G3294" s="2177" t="s">
        <v>2450</v>
      </c>
      <c r="H3294" s="2286"/>
      <c r="I3294" s="2287">
        <v>130</v>
      </c>
      <c r="J3294" s="2170" t="s">
        <v>1134</v>
      </c>
      <c r="K3294" s="2289"/>
      <c r="L3294" s="2288"/>
      <c r="M3294" s="2282">
        <v>100</v>
      </c>
      <c r="N3294" s="1223"/>
      <c r="O3294" s="187"/>
      <c r="P3294" s="187"/>
      <c r="Q3294" s="187"/>
      <c r="R3294" s="187"/>
      <c r="S3294" s="187"/>
      <c r="T3294" s="187"/>
      <c r="U3294" s="187"/>
      <c r="V3294" s="187"/>
      <c r="W3294" s="187"/>
      <c r="X3294" s="187"/>
      <c r="Y3294" s="187"/>
      <c r="Z3294" s="187"/>
      <c r="AA3294" s="187"/>
      <c r="AB3294" s="187"/>
      <c r="AC3294" s="187"/>
      <c r="AD3294" s="187"/>
      <c r="AE3294" s="187"/>
      <c r="AF3294" s="187"/>
    </row>
    <row r="3295" spans="1:32">
      <c r="A3295" s="663"/>
      <c r="B3295" s="3130" t="s">
        <v>772</v>
      </c>
      <c r="C3295" s="663" t="s">
        <v>322</v>
      </c>
      <c r="D3295" s="678" t="s">
        <v>1980</v>
      </c>
      <c r="E3295" s="1407" t="s">
        <v>420</v>
      </c>
      <c r="F3295" s="1413">
        <v>2370</v>
      </c>
      <c r="G3295" s="2177" t="s">
        <v>2451</v>
      </c>
      <c r="H3295" s="2286"/>
      <c r="I3295" s="2287">
        <v>100</v>
      </c>
      <c r="J3295" s="2170" t="s">
        <v>1134</v>
      </c>
      <c r="K3295" s="2289"/>
      <c r="L3295" s="2288"/>
      <c r="M3295" s="2282">
        <v>100</v>
      </c>
      <c r="N3295" s="125"/>
      <c r="O3295" s="187"/>
      <c r="P3295" s="187"/>
      <c r="Q3295" s="187"/>
      <c r="R3295" s="187"/>
      <c r="S3295" s="187"/>
      <c r="T3295" s="187"/>
      <c r="U3295" s="187"/>
      <c r="V3295" s="187"/>
      <c r="W3295" s="187"/>
      <c r="X3295" s="187"/>
      <c r="Y3295" s="187"/>
      <c r="Z3295" s="187"/>
      <c r="AA3295" s="187"/>
      <c r="AB3295" s="187"/>
      <c r="AC3295" s="187"/>
      <c r="AD3295" s="187"/>
      <c r="AE3295" s="187"/>
      <c r="AF3295" s="187"/>
    </row>
    <row r="3296" spans="1:32">
      <c r="A3296" s="663"/>
      <c r="B3296" s="3130" t="s">
        <v>772</v>
      </c>
      <c r="C3296" s="663" t="s">
        <v>322</v>
      </c>
      <c r="D3296" s="678" t="s">
        <v>1980</v>
      </c>
      <c r="E3296" s="1407" t="s">
        <v>420</v>
      </c>
      <c r="F3296" s="1413">
        <v>2370</v>
      </c>
      <c r="G3296" s="2177" t="s">
        <v>2452</v>
      </c>
      <c r="H3296" s="2286"/>
      <c r="I3296" s="2287">
        <v>590</v>
      </c>
      <c r="J3296" s="2170" t="s">
        <v>1134</v>
      </c>
      <c r="K3296" s="2289"/>
      <c r="L3296" s="2288"/>
      <c r="M3296" s="2282"/>
      <c r="N3296" s="1223"/>
      <c r="O3296" s="4"/>
      <c r="P3296" s="4"/>
      <c r="Q3296" s="4"/>
      <c r="R3296" s="4"/>
      <c r="S3296" s="4"/>
      <c r="T3296" s="4"/>
      <c r="U3296" s="4"/>
      <c r="V3296" s="4"/>
      <c r="W3296" s="4"/>
      <c r="X3296" s="4"/>
      <c r="Y3296" s="4"/>
      <c r="Z3296" s="4"/>
      <c r="AA3296" s="4"/>
      <c r="AB3296" s="4"/>
      <c r="AC3296" s="4"/>
      <c r="AD3296" s="4"/>
      <c r="AE3296" s="4"/>
      <c r="AF3296" s="4"/>
    </row>
    <row r="3297" spans="1:32">
      <c r="A3297" s="1669"/>
      <c r="B3297" s="3130" t="s">
        <v>772</v>
      </c>
      <c r="C3297" s="663" t="s">
        <v>322</v>
      </c>
      <c r="D3297" s="678" t="s">
        <v>1980</v>
      </c>
      <c r="E3297" s="1407" t="s">
        <v>420</v>
      </c>
      <c r="F3297" s="1413">
        <v>2370</v>
      </c>
      <c r="G3297" s="2177" t="s">
        <v>4119</v>
      </c>
      <c r="H3297" s="2286"/>
      <c r="I3297" s="2287"/>
      <c r="J3297" s="2170"/>
      <c r="K3297" s="2289"/>
      <c r="L3297" s="2288"/>
      <c r="M3297" s="2282">
        <v>260</v>
      </c>
      <c r="N3297" s="1223"/>
      <c r="O3297" s="187"/>
      <c r="P3297" s="187"/>
      <c r="Q3297" s="187"/>
      <c r="R3297" s="187"/>
      <c r="S3297" s="187"/>
      <c r="T3297" s="187"/>
      <c r="U3297" s="187"/>
      <c r="V3297" s="187"/>
      <c r="W3297" s="187"/>
      <c r="X3297" s="187"/>
      <c r="Y3297" s="187"/>
      <c r="Z3297" s="187"/>
      <c r="AA3297" s="187"/>
      <c r="AB3297" s="187"/>
      <c r="AC3297" s="187"/>
      <c r="AD3297" s="187"/>
      <c r="AE3297" s="187"/>
      <c r="AF3297" s="187"/>
    </row>
    <row r="3298" spans="1:32">
      <c r="A3298" s="663"/>
      <c r="B3298" s="3130" t="s">
        <v>772</v>
      </c>
      <c r="C3298" s="663" t="s">
        <v>322</v>
      </c>
      <c r="D3298" s="678" t="s">
        <v>1980</v>
      </c>
      <c r="E3298" s="1407" t="s">
        <v>420</v>
      </c>
      <c r="F3298" s="1413">
        <v>2370</v>
      </c>
      <c r="G3298" s="2177" t="s">
        <v>2453</v>
      </c>
      <c r="H3298" s="2286"/>
      <c r="I3298" s="2287">
        <v>860</v>
      </c>
      <c r="J3298" s="2170" t="s">
        <v>1134</v>
      </c>
      <c r="K3298" s="2289"/>
      <c r="L3298" s="2288"/>
      <c r="M3298" s="2282">
        <v>840</v>
      </c>
      <c r="N3298" s="1223"/>
      <c r="O3298" s="4"/>
      <c r="P3298" s="4"/>
      <c r="Q3298" s="4"/>
      <c r="R3298" s="4"/>
      <c r="S3298" s="4"/>
      <c r="T3298" s="4"/>
      <c r="U3298" s="4"/>
      <c r="V3298" s="4"/>
      <c r="W3298" s="4"/>
      <c r="X3298" s="4"/>
      <c r="Y3298" s="4"/>
      <c r="Z3298" s="4"/>
      <c r="AA3298" s="4"/>
      <c r="AB3298" s="4"/>
      <c r="AC3298" s="4"/>
      <c r="AD3298" s="4"/>
      <c r="AE3298" s="4"/>
      <c r="AF3298" s="4"/>
    </row>
    <row r="3299" spans="1:32">
      <c r="A3299" s="663"/>
      <c r="B3299" s="3130" t="s">
        <v>772</v>
      </c>
      <c r="C3299" s="663" t="s">
        <v>322</v>
      </c>
      <c r="D3299" s="678" t="s">
        <v>1980</v>
      </c>
      <c r="E3299" s="1407" t="s">
        <v>420</v>
      </c>
      <c r="F3299" s="1413">
        <v>2370</v>
      </c>
      <c r="G3299" s="2177" t="s">
        <v>2454</v>
      </c>
      <c r="H3299" s="2286"/>
      <c r="I3299" s="2287">
        <v>100</v>
      </c>
      <c r="J3299" s="2170" t="s">
        <v>1134</v>
      </c>
      <c r="K3299" s="2289"/>
      <c r="L3299" s="2288"/>
      <c r="M3299" s="2282">
        <v>100</v>
      </c>
      <c r="N3299" s="1223"/>
      <c r="O3299" s="4"/>
      <c r="P3299" s="4"/>
      <c r="Q3299" s="4"/>
      <c r="R3299" s="4"/>
      <c r="S3299" s="4"/>
      <c r="T3299" s="4"/>
      <c r="U3299" s="4"/>
      <c r="V3299" s="4"/>
      <c r="W3299" s="4"/>
      <c r="X3299" s="4"/>
      <c r="Y3299" s="4"/>
      <c r="Z3299" s="4"/>
      <c r="AA3299" s="4"/>
      <c r="AB3299" s="4"/>
      <c r="AC3299" s="4"/>
      <c r="AD3299" s="4"/>
      <c r="AE3299" s="4"/>
      <c r="AF3299" s="4"/>
    </row>
    <row r="3300" spans="1:32">
      <c r="A3300" s="663"/>
      <c r="B3300" s="3130" t="s">
        <v>772</v>
      </c>
      <c r="C3300" s="663" t="s">
        <v>322</v>
      </c>
      <c r="D3300" s="678" t="s">
        <v>1980</v>
      </c>
      <c r="E3300" s="1407" t="s">
        <v>420</v>
      </c>
      <c r="F3300" s="1413">
        <v>2370</v>
      </c>
      <c r="G3300" s="2177" t="s">
        <v>4120</v>
      </c>
      <c r="H3300" s="2286"/>
      <c r="I3300" s="2287"/>
      <c r="J3300" s="2170"/>
      <c r="K3300" s="2289"/>
      <c r="L3300" s="2288"/>
      <c r="M3300" s="2282">
        <v>110</v>
      </c>
      <c r="N3300" s="1223"/>
      <c r="O3300" s="4"/>
      <c r="P3300" s="4"/>
      <c r="Q3300" s="4"/>
      <c r="R3300" s="4"/>
      <c r="S3300" s="4"/>
      <c r="T3300" s="4"/>
      <c r="U3300" s="4"/>
      <c r="V3300" s="4"/>
      <c r="W3300" s="4"/>
      <c r="X3300" s="4"/>
      <c r="Y3300" s="4"/>
      <c r="Z3300" s="4"/>
      <c r="AA3300" s="4"/>
      <c r="AB3300" s="4"/>
      <c r="AC3300" s="4"/>
      <c r="AD3300" s="4"/>
      <c r="AE3300" s="4"/>
      <c r="AF3300" s="4"/>
    </row>
    <row r="3301" spans="1:32">
      <c r="A3301" s="1669"/>
      <c r="B3301" s="3130" t="s">
        <v>772</v>
      </c>
      <c r="C3301" s="663" t="s">
        <v>322</v>
      </c>
      <c r="D3301" s="678" t="s">
        <v>1980</v>
      </c>
      <c r="E3301" s="1407" t="s">
        <v>420</v>
      </c>
      <c r="F3301" s="1413">
        <v>2370</v>
      </c>
      <c r="G3301" s="2177" t="s">
        <v>4121</v>
      </c>
      <c r="H3301" s="2286"/>
      <c r="I3301" s="2287"/>
      <c r="J3301" s="2170" t="s">
        <v>1134</v>
      </c>
      <c r="K3301" s="2289"/>
      <c r="L3301" s="2288"/>
      <c r="M3301" s="2282">
        <v>175</v>
      </c>
      <c r="N3301" s="1223"/>
      <c r="O3301" s="4"/>
      <c r="P3301" s="4"/>
      <c r="Q3301" s="4"/>
      <c r="R3301" s="4"/>
      <c r="S3301" s="4"/>
      <c r="T3301" s="4"/>
      <c r="U3301" s="4"/>
      <c r="V3301" s="4"/>
      <c r="W3301" s="4"/>
      <c r="X3301" s="4"/>
      <c r="Y3301" s="4"/>
      <c r="Z3301" s="4"/>
      <c r="AA3301" s="4"/>
      <c r="AB3301" s="4"/>
      <c r="AC3301" s="4"/>
      <c r="AD3301" s="4"/>
      <c r="AE3301" s="4"/>
      <c r="AF3301" s="4"/>
    </row>
    <row r="3302" spans="1:32">
      <c r="A3302" s="663"/>
      <c r="B3302" s="3130" t="s">
        <v>772</v>
      </c>
      <c r="C3302" s="663" t="s">
        <v>322</v>
      </c>
      <c r="D3302" s="678" t="s">
        <v>1980</v>
      </c>
      <c r="E3302" s="1407" t="s">
        <v>420</v>
      </c>
      <c r="F3302" s="1413">
        <v>2370</v>
      </c>
      <c r="G3302" s="2177" t="s">
        <v>2455</v>
      </c>
      <c r="H3302" s="2286"/>
      <c r="I3302" s="2287">
        <v>600</v>
      </c>
      <c r="J3302" s="2170" t="s">
        <v>1134</v>
      </c>
      <c r="K3302" s="2289"/>
      <c r="L3302" s="2288"/>
      <c r="M3302" s="2282">
        <v>150</v>
      </c>
      <c r="N3302" s="1223"/>
      <c r="O3302" s="4"/>
      <c r="P3302" s="4"/>
      <c r="Q3302" s="4"/>
      <c r="R3302" s="4"/>
      <c r="S3302" s="4"/>
      <c r="T3302" s="4"/>
      <c r="U3302" s="4"/>
      <c r="V3302" s="4"/>
      <c r="W3302" s="4"/>
      <c r="X3302" s="4"/>
      <c r="Y3302" s="4"/>
      <c r="Z3302" s="4"/>
      <c r="AA3302" s="4"/>
      <c r="AB3302" s="4"/>
      <c r="AC3302" s="4"/>
      <c r="AD3302" s="4"/>
      <c r="AE3302" s="4"/>
      <c r="AF3302" s="4"/>
    </row>
    <row r="3303" spans="1:32">
      <c r="A3303" s="663"/>
      <c r="B3303" s="3130" t="s">
        <v>772</v>
      </c>
      <c r="C3303" s="663" t="s">
        <v>322</v>
      </c>
      <c r="D3303" s="678" t="s">
        <v>1980</v>
      </c>
      <c r="E3303" s="1407" t="s">
        <v>420</v>
      </c>
      <c r="F3303" s="1413">
        <v>2370</v>
      </c>
      <c r="G3303" s="2177" t="s">
        <v>2456</v>
      </c>
      <c r="H3303" s="2286"/>
      <c r="I3303" s="2287">
        <v>800</v>
      </c>
      <c r="J3303" s="2170" t="s">
        <v>1134</v>
      </c>
      <c r="K3303" s="2289"/>
      <c r="L3303" s="2288"/>
      <c r="M3303" s="2282">
        <v>200</v>
      </c>
      <c r="N3303" s="1223"/>
      <c r="O3303" s="4"/>
      <c r="P3303" s="4"/>
      <c r="Q3303" s="4"/>
      <c r="R3303" s="4"/>
      <c r="S3303" s="4"/>
      <c r="T3303" s="4"/>
      <c r="U3303" s="4"/>
      <c r="V3303" s="4"/>
      <c r="W3303" s="4"/>
      <c r="X3303" s="4"/>
      <c r="Y3303" s="4"/>
      <c r="Z3303" s="4"/>
      <c r="AA3303" s="4"/>
      <c r="AB3303" s="4"/>
      <c r="AC3303" s="4"/>
      <c r="AD3303" s="4"/>
      <c r="AE3303" s="4"/>
      <c r="AF3303" s="4"/>
    </row>
    <row r="3304" spans="1:32">
      <c r="A3304" s="663"/>
      <c r="B3304" s="3130" t="s">
        <v>772</v>
      </c>
      <c r="C3304" s="663" t="s">
        <v>322</v>
      </c>
      <c r="D3304" s="678" t="s">
        <v>1980</v>
      </c>
      <c r="E3304" s="1407" t="s">
        <v>420</v>
      </c>
      <c r="F3304" s="1413">
        <v>2370</v>
      </c>
      <c r="G3304" s="2177" t="s">
        <v>2457</v>
      </c>
      <c r="H3304" s="2286"/>
      <c r="I3304" s="2287">
        <v>360</v>
      </c>
      <c r="J3304" s="2170" t="s">
        <v>1134</v>
      </c>
      <c r="K3304" s="2289"/>
      <c r="L3304" s="2288"/>
      <c r="M3304" s="2282">
        <v>220</v>
      </c>
      <c r="N3304" s="1224"/>
      <c r="O3304" s="4"/>
      <c r="P3304" s="4"/>
      <c r="Q3304" s="4"/>
      <c r="R3304" s="4"/>
      <c r="S3304" s="4"/>
      <c r="T3304" s="4"/>
      <c r="U3304" s="4"/>
      <c r="V3304" s="4"/>
      <c r="W3304" s="4"/>
      <c r="X3304" s="4"/>
      <c r="Y3304" s="4"/>
      <c r="Z3304" s="4"/>
      <c r="AA3304" s="4"/>
      <c r="AB3304" s="4"/>
      <c r="AC3304" s="4"/>
      <c r="AD3304" s="4"/>
      <c r="AE3304" s="4"/>
      <c r="AF3304" s="4"/>
    </row>
    <row r="3305" spans="1:32">
      <c r="A3305" s="663"/>
      <c r="B3305" s="3130" t="s">
        <v>772</v>
      </c>
      <c r="C3305" s="663" t="s">
        <v>322</v>
      </c>
      <c r="D3305" s="678" t="s">
        <v>1980</v>
      </c>
      <c r="E3305" s="1407" t="s">
        <v>420</v>
      </c>
      <c r="F3305" s="1413">
        <v>2370</v>
      </c>
      <c r="G3305" s="2177" t="s">
        <v>1584</v>
      </c>
      <c r="H3305" s="2286"/>
      <c r="I3305" s="2287">
        <v>825</v>
      </c>
      <c r="J3305" s="2170" t="s">
        <v>1134</v>
      </c>
      <c r="K3305" s="2289"/>
      <c r="L3305" s="2288"/>
      <c r="M3305" s="2282">
        <v>2252</v>
      </c>
      <c r="N3305" s="1223"/>
      <c r="O3305" s="4"/>
      <c r="P3305" s="4"/>
      <c r="Q3305" s="4"/>
      <c r="R3305" s="4"/>
      <c r="S3305" s="4"/>
      <c r="T3305" s="4"/>
      <c r="U3305" s="4"/>
      <c r="V3305" s="4"/>
      <c r="W3305" s="4"/>
      <c r="X3305" s="4"/>
      <c r="Y3305" s="4"/>
      <c r="Z3305" s="4"/>
      <c r="AA3305" s="4"/>
      <c r="AB3305" s="4"/>
      <c r="AC3305" s="4"/>
      <c r="AD3305" s="4"/>
      <c r="AE3305" s="4"/>
      <c r="AF3305" s="4"/>
    </row>
    <row r="3306" spans="1:32">
      <c r="A3306" s="663"/>
      <c r="B3306" s="3130" t="s">
        <v>772</v>
      </c>
      <c r="C3306" s="663" t="s">
        <v>322</v>
      </c>
      <c r="D3306" s="678" t="s">
        <v>1980</v>
      </c>
      <c r="E3306" s="1407" t="s">
        <v>420</v>
      </c>
      <c r="F3306" s="1413">
        <v>2370</v>
      </c>
      <c r="G3306" s="2177" t="s">
        <v>878</v>
      </c>
      <c r="H3306" s="2286"/>
      <c r="I3306" s="2287">
        <v>500</v>
      </c>
      <c r="J3306" s="2170" t="s">
        <v>1134</v>
      </c>
      <c r="K3306" s="2289"/>
      <c r="L3306" s="2288"/>
      <c r="M3306" s="2282">
        <v>1030</v>
      </c>
      <c r="N3306" s="1223"/>
      <c r="O3306" s="4"/>
      <c r="P3306" s="4"/>
      <c r="Q3306" s="4"/>
      <c r="R3306" s="4"/>
      <c r="S3306" s="4"/>
      <c r="T3306" s="4"/>
      <c r="U3306" s="4"/>
      <c r="V3306" s="4"/>
      <c r="W3306" s="4"/>
      <c r="X3306" s="4"/>
      <c r="Y3306" s="4"/>
      <c r="Z3306" s="4"/>
      <c r="AA3306" s="4"/>
      <c r="AB3306" s="4"/>
      <c r="AC3306" s="4"/>
      <c r="AD3306" s="4"/>
      <c r="AE3306" s="4"/>
      <c r="AF3306" s="4"/>
    </row>
    <row r="3307" spans="1:32">
      <c r="A3307" s="663"/>
      <c r="B3307" s="3130" t="s">
        <v>772</v>
      </c>
      <c r="C3307" s="663" t="s">
        <v>322</v>
      </c>
      <c r="D3307" s="678" t="s">
        <v>1980</v>
      </c>
      <c r="E3307" s="1407" t="s">
        <v>420</v>
      </c>
      <c r="F3307" s="1413">
        <v>2370</v>
      </c>
      <c r="G3307" s="2177" t="s">
        <v>1116</v>
      </c>
      <c r="H3307" s="2286"/>
      <c r="I3307" s="2287">
        <v>50</v>
      </c>
      <c r="J3307" s="2170" t="s">
        <v>1134</v>
      </c>
      <c r="K3307" s="2289"/>
      <c r="L3307" s="2288"/>
      <c r="M3307" s="2282">
        <v>95</v>
      </c>
      <c r="N3307" s="1223"/>
      <c r="O3307" s="7"/>
      <c r="P3307" s="7"/>
      <c r="Q3307" s="7"/>
      <c r="R3307" s="7"/>
      <c r="S3307" s="7"/>
      <c r="T3307" s="7"/>
      <c r="U3307" s="7"/>
      <c r="V3307" s="7"/>
      <c r="W3307" s="7"/>
      <c r="X3307" s="7"/>
      <c r="Y3307" s="7"/>
      <c r="Z3307" s="7"/>
      <c r="AA3307" s="7"/>
      <c r="AB3307" s="7"/>
      <c r="AC3307" s="7"/>
      <c r="AD3307" s="7"/>
      <c r="AE3307" s="7"/>
      <c r="AF3307" s="7"/>
    </row>
    <row r="3308" spans="1:32">
      <c r="A3308" s="663"/>
      <c r="B3308" s="3130" t="s">
        <v>772</v>
      </c>
      <c r="C3308" s="663" t="s">
        <v>322</v>
      </c>
      <c r="D3308" s="678" t="s">
        <v>1980</v>
      </c>
      <c r="E3308" s="1407" t="s">
        <v>420</v>
      </c>
      <c r="F3308" s="1413">
        <v>2370</v>
      </c>
      <c r="G3308" s="2177" t="s">
        <v>1117</v>
      </c>
      <c r="H3308" s="2286"/>
      <c r="I3308" s="2287">
        <v>3000</v>
      </c>
      <c r="J3308" s="2170" t="s">
        <v>1134</v>
      </c>
      <c r="K3308" s="2289"/>
      <c r="L3308" s="2288"/>
      <c r="M3308" s="2282">
        <v>2000</v>
      </c>
      <c r="N3308" s="1223"/>
      <c r="O3308" s="4"/>
      <c r="P3308" s="4"/>
      <c r="Q3308" s="4"/>
      <c r="R3308" s="4"/>
      <c r="S3308" s="4"/>
      <c r="T3308" s="4"/>
      <c r="U3308" s="4"/>
      <c r="V3308" s="4"/>
      <c r="W3308" s="4"/>
      <c r="X3308" s="4"/>
      <c r="Y3308" s="4"/>
      <c r="Z3308" s="4"/>
      <c r="AA3308" s="4"/>
      <c r="AB3308" s="4"/>
      <c r="AC3308" s="4"/>
      <c r="AD3308" s="4"/>
      <c r="AE3308" s="4"/>
      <c r="AF3308" s="4"/>
    </row>
    <row r="3309" spans="1:32">
      <c r="A3309" s="663"/>
      <c r="B3309" s="3130" t="s">
        <v>772</v>
      </c>
      <c r="C3309" s="663" t="s">
        <v>322</v>
      </c>
      <c r="D3309" s="678" t="s">
        <v>1980</v>
      </c>
      <c r="E3309" s="1407" t="s">
        <v>420</v>
      </c>
      <c r="F3309" s="1413">
        <v>2370</v>
      </c>
      <c r="G3309" s="1699" t="s">
        <v>1586</v>
      </c>
      <c r="H3309" s="2105"/>
      <c r="I3309" s="2117">
        <v>900</v>
      </c>
      <c r="J3309" s="1701" t="s">
        <v>1134</v>
      </c>
      <c r="K3309" s="2118"/>
      <c r="L3309" s="2105"/>
      <c r="M3309" s="2126" t="s">
        <v>105</v>
      </c>
      <c r="N3309" s="2536" t="s">
        <v>4754</v>
      </c>
      <c r="O3309" s="4"/>
      <c r="P3309" s="4"/>
      <c r="Q3309" s="4"/>
      <c r="R3309" s="4"/>
      <c r="S3309" s="4"/>
      <c r="T3309" s="4"/>
      <c r="U3309" s="4"/>
      <c r="V3309" s="4"/>
      <c r="W3309" s="4"/>
      <c r="X3309" s="4"/>
      <c r="Y3309" s="4"/>
      <c r="Z3309" s="4"/>
      <c r="AA3309" s="4"/>
      <c r="AB3309" s="4"/>
      <c r="AC3309" s="4"/>
      <c r="AD3309" s="4"/>
      <c r="AE3309" s="4"/>
      <c r="AF3309" s="4"/>
    </row>
    <row r="3310" spans="1:32" ht="20.399999999999999">
      <c r="A3310" s="1263"/>
      <c r="B3310" s="3130" t="s">
        <v>772</v>
      </c>
      <c r="C3310" s="663" t="s">
        <v>322</v>
      </c>
      <c r="D3310" s="678" t="s">
        <v>1980</v>
      </c>
      <c r="E3310" s="1407" t="s">
        <v>420</v>
      </c>
      <c r="F3310" s="1413">
        <v>2370</v>
      </c>
      <c r="G3310" s="1695" t="s">
        <v>3033</v>
      </c>
      <c r="H3310" s="2127"/>
      <c r="I3310" s="2128">
        <v>-1100</v>
      </c>
      <c r="J3310" s="1684" t="s">
        <v>1134</v>
      </c>
      <c r="K3310" s="2129"/>
      <c r="L3310" s="2127"/>
      <c r="M3310" s="2292" t="s">
        <v>105</v>
      </c>
      <c r="N3310" s="177"/>
      <c r="O3310" s="4"/>
      <c r="P3310" s="4"/>
      <c r="Q3310" s="4"/>
      <c r="R3310" s="4"/>
      <c r="S3310" s="4"/>
      <c r="T3310" s="4"/>
      <c r="U3310" s="4"/>
      <c r="V3310" s="4"/>
      <c r="W3310" s="4"/>
      <c r="X3310" s="4"/>
      <c r="Y3310" s="4"/>
      <c r="Z3310" s="4"/>
      <c r="AA3310" s="4"/>
      <c r="AB3310" s="4"/>
      <c r="AC3310" s="4"/>
      <c r="AD3310" s="4"/>
      <c r="AE3310" s="4"/>
      <c r="AF3310" s="4"/>
    </row>
    <row r="3311" spans="1:32">
      <c r="A3311" s="663"/>
      <c r="B3311" s="3130" t="s">
        <v>772</v>
      </c>
      <c r="C3311" s="663" t="s">
        <v>322</v>
      </c>
      <c r="D3311" s="678" t="s">
        <v>1980</v>
      </c>
      <c r="E3311" s="1407" t="s">
        <v>420</v>
      </c>
      <c r="F3311" s="1413">
        <v>2370</v>
      </c>
      <c r="G3311" s="1699" t="s">
        <v>1587</v>
      </c>
      <c r="H3311" s="2105"/>
      <c r="I3311" s="2117">
        <v>1220</v>
      </c>
      <c r="J3311" s="1701" t="s">
        <v>1134</v>
      </c>
      <c r="K3311" s="2118"/>
      <c r="L3311" s="2105"/>
      <c r="M3311" s="2292">
        <v>170</v>
      </c>
      <c r="N3311" s="177" t="s">
        <v>4752</v>
      </c>
      <c r="O3311" s="4"/>
      <c r="P3311" s="4"/>
      <c r="Q3311" s="4"/>
      <c r="R3311" s="4"/>
      <c r="S3311" s="4"/>
      <c r="T3311" s="4"/>
      <c r="U3311" s="4"/>
      <c r="V3311" s="4"/>
      <c r="W3311" s="4"/>
      <c r="X3311" s="4"/>
      <c r="Y3311" s="4"/>
      <c r="Z3311" s="4"/>
      <c r="AA3311" s="4"/>
      <c r="AB3311" s="4"/>
      <c r="AC3311" s="4"/>
      <c r="AD3311" s="4"/>
      <c r="AE3311" s="4"/>
      <c r="AF3311" s="4"/>
    </row>
    <row r="3312" spans="1:32">
      <c r="A3312" s="663"/>
      <c r="B3312" s="3130" t="s">
        <v>772</v>
      </c>
      <c r="C3312" s="663" t="s">
        <v>322</v>
      </c>
      <c r="D3312" s="678" t="s">
        <v>1980</v>
      </c>
      <c r="E3312" s="1407" t="s">
        <v>420</v>
      </c>
      <c r="F3312" s="1413">
        <v>2370</v>
      </c>
      <c r="G3312" s="1699" t="s">
        <v>277</v>
      </c>
      <c r="H3312" s="2130"/>
      <c r="I3312" s="2131">
        <v>16550</v>
      </c>
      <c r="J3312" s="1701" t="s">
        <v>1134</v>
      </c>
      <c r="K3312" s="1702"/>
      <c r="L3312" s="2131"/>
      <c r="M3312" s="2292">
        <v>26000</v>
      </c>
      <c r="N3312" s="177"/>
      <c r="O3312" s="4"/>
      <c r="P3312" s="4"/>
      <c r="Q3312" s="4"/>
      <c r="R3312" s="4"/>
      <c r="S3312" s="4"/>
      <c r="T3312" s="4"/>
      <c r="U3312" s="4"/>
      <c r="V3312" s="4"/>
      <c r="W3312" s="4"/>
      <c r="X3312" s="4"/>
      <c r="Y3312" s="4"/>
      <c r="Z3312" s="4"/>
      <c r="AA3312" s="4"/>
      <c r="AB3312" s="4"/>
      <c r="AC3312" s="4"/>
      <c r="AD3312" s="4"/>
      <c r="AE3312" s="4"/>
      <c r="AF3312" s="4"/>
    </row>
    <row r="3313" spans="1:32">
      <c r="A3313" s="683"/>
      <c r="B3313" s="3129" t="s">
        <v>326</v>
      </c>
      <c r="C3313" s="720" t="s">
        <v>321</v>
      </c>
      <c r="D3313" s="823" t="s">
        <v>1980</v>
      </c>
      <c r="E3313" s="1406" t="s">
        <v>1938</v>
      </c>
      <c r="F3313" s="1698">
        <v>2370</v>
      </c>
      <c r="G3313" s="1691" t="s">
        <v>209</v>
      </c>
      <c r="H3313" s="776">
        <v>7299</v>
      </c>
      <c r="I3313" s="789"/>
      <c r="J3313" s="1494">
        <v>1675.49</v>
      </c>
      <c r="K3313" s="2052"/>
      <c r="L3313" s="2074">
        <v>0</v>
      </c>
      <c r="M3313" s="2100"/>
      <c r="N3313" s="177"/>
      <c r="O3313" s="187"/>
      <c r="P3313" s="187"/>
      <c r="Q3313" s="187"/>
      <c r="R3313" s="187"/>
      <c r="S3313" s="187"/>
      <c r="T3313" s="187"/>
      <c r="U3313" s="187"/>
      <c r="V3313" s="187"/>
      <c r="W3313" s="187"/>
      <c r="X3313" s="187"/>
      <c r="Y3313" s="187"/>
      <c r="Z3313" s="187"/>
      <c r="AA3313" s="187"/>
      <c r="AB3313" s="187"/>
      <c r="AC3313" s="187"/>
      <c r="AD3313" s="187"/>
      <c r="AE3313" s="187"/>
      <c r="AF3313" s="187"/>
    </row>
    <row r="3314" spans="1:32">
      <c r="A3314" s="663"/>
      <c r="B3314" s="3130" t="s">
        <v>326</v>
      </c>
      <c r="C3314" s="700" t="s">
        <v>321</v>
      </c>
      <c r="D3314" s="794" t="s">
        <v>1980</v>
      </c>
      <c r="E3314" s="1407" t="s">
        <v>1938</v>
      </c>
      <c r="F3314" s="1413">
        <v>2370</v>
      </c>
      <c r="G3314" s="1952" t="s">
        <v>988</v>
      </c>
      <c r="H3314" s="791"/>
      <c r="I3314" s="1321"/>
      <c r="J3314" s="1494" t="s">
        <v>1134</v>
      </c>
      <c r="K3314" s="1685"/>
      <c r="L3314" s="2135"/>
      <c r="M3314" s="3027"/>
      <c r="N3314" s="177"/>
      <c r="O3314" s="4"/>
      <c r="P3314" s="4"/>
      <c r="Q3314" s="4"/>
      <c r="R3314" s="4"/>
      <c r="S3314" s="4"/>
      <c r="T3314" s="4"/>
      <c r="U3314" s="4"/>
      <c r="V3314" s="4"/>
      <c r="W3314" s="4"/>
      <c r="X3314" s="4"/>
      <c r="Y3314" s="4"/>
      <c r="Z3314" s="4"/>
      <c r="AA3314" s="4"/>
      <c r="AB3314" s="4"/>
      <c r="AC3314" s="4"/>
      <c r="AD3314" s="4"/>
      <c r="AE3314" s="4"/>
      <c r="AF3314" s="4"/>
    </row>
    <row r="3315" spans="1:32">
      <c r="A3315" s="663"/>
      <c r="B3315" s="3130" t="s">
        <v>326</v>
      </c>
      <c r="C3315" s="700" t="s">
        <v>321</v>
      </c>
      <c r="D3315" s="794" t="s">
        <v>1980</v>
      </c>
      <c r="E3315" s="1407" t="s">
        <v>1938</v>
      </c>
      <c r="F3315" s="1413">
        <v>2370</v>
      </c>
      <c r="G3315" s="1952" t="s">
        <v>1865</v>
      </c>
      <c r="H3315" s="791"/>
      <c r="I3315" s="1321"/>
      <c r="J3315" s="1494" t="s">
        <v>1134</v>
      </c>
      <c r="K3315" s="1685"/>
      <c r="L3315" s="2135"/>
      <c r="M3315" s="3027"/>
      <c r="N3315" s="177"/>
      <c r="O3315" s="4"/>
      <c r="P3315" s="4"/>
      <c r="Q3315" s="4"/>
      <c r="R3315" s="4"/>
      <c r="S3315" s="4"/>
      <c r="T3315" s="4"/>
      <c r="U3315" s="4"/>
      <c r="V3315" s="4"/>
      <c r="W3315" s="4"/>
      <c r="X3315" s="4"/>
      <c r="Y3315" s="4"/>
      <c r="Z3315" s="4"/>
      <c r="AA3315" s="4"/>
      <c r="AB3315" s="4"/>
      <c r="AC3315" s="4"/>
      <c r="AD3315" s="4"/>
      <c r="AE3315" s="4"/>
      <c r="AF3315" s="4"/>
    </row>
    <row r="3316" spans="1:32" ht="20.399999999999999">
      <c r="A3316" s="663"/>
      <c r="B3316" s="3130" t="s">
        <v>326</v>
      </c>
      <c r="C3316" s="700" t="s">
        <v>321</v>
      </c>
      <c r="D3316" s="794" t="s">
        <v>1980</v>
      </c>
      <c r="E3316" s="1407" t="s">
        <v>1938</v>
      </c>
      <c r="F3316" s="1413">
        <v>2370</v>
      </c>
      <c r="G3316" s="1952" t="s">
        <v>3055</v>
      </c>
      <c r="H3316" s="791"/>
      <c r="I3316" s="1321">
        <v>7299</v>
      </c>
      <c r="J3316" s="1494" t="s">
        <v>1134</v>
      </c>
      <c r="K3316" s="1685"/>
      <c r="L3316" s="2135"/>
      <c r="M3316" s="3027"/>
      <c r="N3316" s="177"/>
      <c r="O3316" s="187"/>
      <c r="P3316" s="187"/>
      <c r="Q3316" s="187"/>
      <c r="R3316" s="187"/>
      <c r="S3316" s="187"/>
      <c r="T3316" s="187"/>
      <c r="U3316" s="187"/>
      <c r="V3316" s="187"/>
      <c r="W3316" s="187"/>
      <c r="X3316" s="187"/>
      <c r="Y3316" s="187"/>
      <c r="Z3316" s="187"/>
      <c r="AA3316" s="187"/>
      <c r="AB3316" s="187"/>
      <c r="AC3316" s="187"/>
      <c r="AD3316" s="187"/>
      <c r="AE3316" s="187"/>
      <c r="AF3316" s="187"/>
    </row>
    <row r="3317" spans="1:32">
      <c r="A3317" s="683"/>
      <c r="B3317" s="3129" t="s">
        <v>772</v>
      </c>
      <c r="C3317" s="683" t="s">
        <v>320</v>
      </c>
      <c r="D3317" s="719" t="s">
        <v>1980</v>
      </c>
      <c r="E3317" s="1406" t="s">
        <v>420</v>
      </c>
      <c r="F3317" s="1698">
        <v>2390</v>
      </c>
      <c r="G3317" s="1691" t="s">
        <v>135</v>
      </c>
      <c r="H3317" s="2074">
        <v>0</v>
      </c>
      <c r="I3317" s="2075"/>
      <c r="J3317" s="1684" t="s">
        <v>1134</v>
      </c>
      <c r="K3317" s="2052"/>
      <c r="L3317" s="2074">
        <v>0</v>
      </c>
      <c r="M3317" s="2076"/>
      <c r="N3317" s="177"/>
      <c r="O3317" s="187"/>
      <c r="P3317" s="187"/>
      <c r="Q3317" s="187"/>
      <c r="R3317" s="187"/>
      <c r="S3317" s="187"/>
      <c r="T3317" s="187"/>
      <c r="U3317" s="187"/>
      <c r="V3317" s="187"/>
      <c r="W3317" s="187"/>
      <c r="X3317" s="187"/>
      <c r="Y3317" s="187"/>
      <c r="Z3317" s="187"/>
      <c r="AA3317" s="187"/>
      <c r="AB3317" s="187"/>
      <c r="AC3317" s="187"/>
      <c r="AD3317" s="187"/>
      <c r="AE3317" s="187"/>
      <c r="AF3317" s="187"/>
    </row>
    <row r="3318" spans="1:32">
      <c r="A3318" s="663"/>
      <c r="B3318" s="3130" t="s">
        <v>772</v>
      </c>
      <c r="C3318" s="663" t="s">
        <v>320</v>
      </c>
      <c r="D3318" s="678" t="s">
        <v>1980</v>
      </c>
      <c r="E3318" s="1407" t="s">
        <v>420</v>
      </c>
      <c r="F3318" s="1413">
        <v>2390</v>
      </c>
      <c r="G3318" s="2132"/>
      <c r="H3318" s="2064"/>
      <c r="I3318" s="2055"/>
      <c r="J3318" s="1684" t="s">
        <v>1134</v>
      </c>
      <c r="K3318" s="2056"/>
      <c r="L3318" s="2064"/>
      <c r="M3318" s="2057"/>
      <c r="N3318" s="51"/>
      <c r="O3318" s="187"/>
      <c r="P3318" s="187"/>
      <c r="Q3318" s="187"/>
      <c r="R3318" s="187"/>
      <c r="S3318" s="187"/>
      <c r="T3318" s="187"/>
      <c r="U3318" s="187"/>
      <c r="V3318" s="187"/>
      <c r="W3318" s="187"/>
      <c r="X3318" s="187"/>
      <c r="Y3318" s="187"/>
      <c r="Z3318" s="187"/>
      <c r="AA3318" s="187"/>
      <c r="AB3318" s="187"/>
      <c r="AC3318" s="187"/>
      <c r="AD3318" s="187"/>
      <c r="AE3318" s="187"/>
      <c r="AF3318" s="187"/>
    </row>
    <row r="3319" spans="1:32" ht="20.399999999999999">
      <c r="A3319" s="683"/>
      <c r="B3319" s="3129" t="s">
        <v>772</v>
      </c>
      <c r="C3319" s="683" t="s">
        <v>320</v>
      </c>
      <c r="D3319" s="719" t="s">
        <v>1980</v>
      </c>
      <c r="E3319" s="1406" t="s">
        <v>420</v>
      </c>
      <c r="F3319" s="1698">
        <v>2512</v>
      </c>
      <c r="G3319" s="1691" t="s">
        <v>779</v>
      </c>
      <c r="H3319" s="2074">
        <v>1400</v>
      </c>
      <c r="I3319" s="2075"/>
      <c r="J3319" s="1684">
        <v>940</v>
      </c>
      <c r="K3319" s="2052"/>
      <c r="L3319" s="2074">
        <v>1400</v>
      </c>
      <c r="M3319" s="2076"/>
      <c r="N3319" s="51"/>
      <c r="O3319" s="187"/>
      <c r="P3319" s="187"/>
      <c r="Q3319" s="187"/>
      <c r="R3319" s="187"/>
      <c r="S3319" s="187"/>
      <c r="T3319" s="187"/>
      <c r="U3319" s="187"/>
      <c r="V3319" s="187"/>
      <c r="W3319" s="187"/>
      <c r="X3319" s="187"/>
      <c r="Y3319" s="187"/>
      <c r="Z3319" s="187"/>
      <c r="AA3319" s="187"/>
      <c r="AB3319" s="187"/>
      <c r="AC3319" s="187"/>
      <c r="AD3319" s="187"/>
      <c r="AE3319" s="187"/>
      <c r="AF3319" s="187"/>
    </row>
    <row r="3320" spans="1:32" ht="20.399999999999999">
      <c r="A3320" s="663"/>
      <c r="B3320" s="3130" t="s">
        <v>772</v>
      </c>
      <c r="C3320" s="663" t="s">
        <v>320</v>
      </c>
      <c r="D3320" s="678" t="s">
        <v>1980</v>
      </c>
      <c r="E3320" s="1407" t="s">
        <v>420</v>
      </c>
      <c r="F3320" s="1413">
        <v>2512</v>
      </c>
      <c r="G3320" s="2132" t="s">
        <v>4045</v>
      </c>
      <c r="H3320" s="2064"/>
      <c r="I3320" s="2055">
        <v>1400</v>
      </c>
      <c r="J3320" s="1684"/>
      <c r="K3320" s="2056"/>
      <c r="L3320" s="2064"/>
      <c r="M3320" s="2057">
        <v>1400</v>
      </c>
      <c r="N3320" s="51"/>
      <c r="O3320" s="187"/>
      <c r="P3320" s="187"/>
      <c r="Q3320" s="187"/>
      <c r="R3320" s="187"/>
      <c r="S3320" s="187"/>
      <c r="T3320" s="187"/>
      <c r="U3320" s="187"/>
      <c r="V3320" s="187"/>
      <c r="W3320" s="187"/>
      <c r="X3320" s="187"/>
      <c r="Y3320" s="187"/>
      <c r="Z3320" s="187"/>
      <c r="AA3320" s="187"/>
      <c r="AB3320" s="187"/>
      <c r="AC3320" s="187"/>
      <c r="AD3320" s="187"/>
      <c r="AE3320" s="187"/>
      <c r="AF3320" s="187"/>
    </row>
    <row r="3321" spans="1:32">
      <c r="A3321" s="683"/>
      <c r="B3321" s="3129" t="s">
        <v>365</v>
      </c>
      <c r="C3321" s="683" t="s">
        <v>807</v>
      </c>
      <c r="D3321" s="719" t="s">
        <v>1980</v>
      </c>
      <c r="E3321" s="720" t="s">
        <v>1940</v>
      </c>
      <c r="F3321" s="824">
        <v>2314</v>
      </c>
      <c r="G3321" s="800" t="s">
        <v>525</v>
      </c>
      <c r="H3321" s="776">
        <v>0</v>
      </c>
      <c r="I3321" s="777"/>
      <c r="J3321" s="1654" t="s">
        <v>1134</v>
      </c>
      <c r="K3321" s="780"/>
      <c r="L3321" s="776">
        <v>0</v>
      </c>
      <c r="M3321" s="1324"/>
      <c r="N3321" s="177" t="s">
        <v>4558</v>
      </c>
      <c r="O3321" s="4"/>
      <c r="P3321" s="4"/>
      <c r="Q3321" s="4"/>
      <c r="R3321" s="4"/>
      <c r="S3321" s="4"/>
      <c r="T3321" s="4"/>
      <c r="U3321" s="4"/>
      <c r="V3321" s="4"/>
      <c r="W3321" s="4"/>
      <c r="X3321" s="4"/>
      <c r="Y3321" s="4"/>
      <c r="Z3321" s="4"/>
      <c r="AA3321" s="4"/>
      <c r="AB3321" s="4"/>
      <c r="AC3321" s="4"/>
      <c r="AD3321" s="4"/>
      <c r="AE3321" s="4"/>
      <c r="AF3321" s="4"/>
    </row>
    <row r="3322" spans="1:32">
      <c r="A3322" s="760"/>
      <c r="B3322" s="3130" t="s">
        <v>365</v>
      </c>
      <c r="C3322" s="663" t="s">
        <v>807</v>
      </c>
      <c r="D3322" s="678" t="s">
        <v>1980</v>
      </c>
      <c r="E3322" s="700" t="s">
        <v>1940</v>
      </c>
      <c r="F3322" s="795">
        <v>2314</v>
      </c>
      <c r="G3322" s="812"/>
      <c r="H3322" s="701"/>
      <c r="I3322" s="701"/>
      <c r="J3322" s="1654" t="s">
        <v>1134</v>
      </c>
      <c r="K3322" s="792"/>
      <c r="L3322" s="701"/>
      <c r="M3322" s="701"/>
      <c r="N3322" s="177" t="s">
        <v>4559</v>
      </c>
      <c r="O3322" s="187"/>
      <c r="P3322" s="187"/>
      <c r="Q3322" s="187"/>
      <c r="R3322" s="187"/>
      <c r="S3322" s="187"/>
      <c r="T3322" s="187"/>
      <c r="U3322" s="187"/>
      <c r="V3322" s="187"/>
      <c r="W3322" s="187"/>
      <c r="X3322" s="187"/>
      <c r="Y3322" s="187"/>
      <c r="Z3322" s="187"/>
      <c r="AA3322" s="187"/>
      <c r="AB3322" s="187"/>
      <c r="AC3322" s="187"/>
      <c r="AD3322" s="187"/>
      <c r="AE3322" s="187"/>
      <c r="AF3322" s="187"/>
    </row>
    <row r="3323" spans="1:32">
      <c r="A3323" s="683"/>
      <c r="B3323" s="3129" t="s">
        <v>326</v>
      </c>
      <c r="C3323" s="720" t="s">
        <v>321</v>
      </c>
      <c r="D3323" s="823" t="s">
        <v>1980</v>
      </c>
      <c r="E3323" s="1406" t="s">
        <v>1938</v>
      </c>
      <c r="F3323" s="1698">
        <v>5233</v>
      </c>
      <c r="G3323" s="1691" t="s">
        <v>280</v>
      </c>
      <c r="H3323" s="776">
        <v>65689</v>
      </c>
      <c r="I3323" s="777"/>
      <c r="J3323" s="1494">
        <v>36127.67</v>
      </c>
      <c r="K3323" s="2052"/>
      <c r="L3323" s="2074">
        <v>0</v>
      </c>
      <c r="M3323" s="2076"/>
      <c r="N3323" s="177"/>
      <c r="O3323" s="187"/>
      <c r="P3323" s="187"/>
      <c r="Q3323" s="187"/>
      <c r="R3323" s="187"/>
      <c r="S3323" s="187"/>
      <c r="T3323" s="187"/>
      <c r="U3323" s="187"/>
      <c r="V3323" s="187"/>
      <c r="W3323" s="187"/>
      <c r="X3323" s="187"/>
      <c r="Y3323" s="187"/>
      <c r="Z3323" s="187"/>
      <c r="AA3323" s="187"/>
      <c r="AB3323" s="187"/>
      <c r="AC3323" s="187"/>
      <c r="AD3323" s="187"/>
      <c r="AE3323" s="187"/>
      <c r="AF3323" s="187"/>
    </row>
    <row r="3324" spans="1:32" ht="20.399999999999999">
      <c r="A3324" s="663"/>
      <c r="B3324" s="3130" t="s">
        <v>326</v>
      </c>
      <c r="C3324" s="700" t="s">
        <v>321</v>
      </c>
      <c r="D3324" s="794" t="s">
        <v>1980</v>
      </c>
      <c r="E3324" s="1407" t="s">
        <v>1938</v>
      </c>
      <c r="F3324" s="1413">
        <v>5233</v>
      </c>
      <c r="G3324" s="1952" t="s">
        <v>3055</v>
      </c>
      <c r="H3324" s="778"/>
      <c r="I3324" s="770">
        <v>65689</v>
      </c>
      <c r="J3324" s="1494" t="s">
        <v>1134</v>
      </c>
      <c r="K3324" s="2056"/>
      <c r="L3324" s="2064"/>
      <c r="M3324" s="2057"/>
      <c r="N3324" s="177" t="s">
        <v>4557</v>
      </c>
      <c r="O3324" s="187"/>
      <c r="P3324" s="187"/>
      <c r="Q3324" s="187"/>
      <c r="R3324" s="187"/>
      <c r="S3324" s="187"/>
      <c r="T3324" s="187"/>
      <c r="U3324" s="187"/>
      <c r="V3324" s="187"/>
      <c r="W3324" s="187"/>
      <c r="X3324" s="187"/>
      <c r="Y3324" s="187"/>
      <c r="Z3324" s="187"/>
      <c r="AA3324" s="187"/>
      <c r="AB3324" s="187"/>
      <c r="AC3324" s="187"/>
      <c r="AD3324" s="187"/>
      <c r="AE3324" s="187"/>
      <c r="AF3324" s="187"/>
    </row>
    <row r="3325" spans="1:32" ht="20.399999999999999">
      <c r="A3325" s="663"/>
      <c r="B3325" s="3130" t="s">
        <v>326</v>
      </c>
      <c r="C3325" s="700" t="s">
        <v>321</v>
      </c>
      <c r="D3325" s="794" t="s">
        <v>1980</v>
      </c>
      <c r="E3325" s="1407" t="s">
        <v>1938</v>
      </c>
      <c r="F3325" s="1413">
        <v>5233</v>
      </c>
      <c r="G3325" s="1952" t="s">
        <v>1866</v>
      </c>
      <c r="H3325" s="778"/>
      <c r="I3325" s="770"/>
      <c r="J3325" s="1494" t="s">
        <v>1134</v>
      </c>
      <c r="K3325" s="2056"/>
      <c r="L3325" s="2064"/>
      <c r="M3325" s="2057"/>
      <c r="N3325" s="177"/>
      <c r="O3325" s="187"/>
      <c r="P3325" s="187"/>
      <c r="Q3325" s="187"/>
      <c r="R3325" s="187"/>
      <c r="S3325" s="187"/>
      <c r="T3325" s="187"/>
      <c r="U3325" s="187"/>
      <c r="V3325" s="187"/>
      <c r="W3325" s="187"/>
      <c r="X3325" s="187"/>
      <c r="Y3325" s="187"/>
      <c r="Z3325" s="187"/>
      <c r="AA3325" s="187"/>
      <c r="AB3325" s="187"/>
      <c r="AC3325" s="187"/>
      <c r="AD3325" s="187"/>
      <c r="AE3325" s="187"/>
      <c r="AF3325" s="187"/>
    </row>
    <row r="3326" spans="1:32" ht="20.399999999999999">
      <c r="A3326" s="683"/>
      <c r="B3326" s="3129" t="s">
        <v>772</v>
      </c>
      <c r="C3326" s="683" t="s">
        <v>320</v>
      </c>
      <c r="D3326" s="719" t="s">
        <v>1980</v>
      </c>
      <c r="E3326" s="1406" t="s">
        <v>420</v>
      </c>
      <c r="F3326" s="1698">
        <v>5120</v>
      </c>
      <c r="G3326" s="1691" t="s">
        <v>588</v>
      </c>
      <c r="H3326" s="2074">
        <v>1000</v>
      </c>
      <c r="I3326" s="2075"/>
      <c r="J3326" s="1684">
        <v>0</v>
      </c>
      <c r="K3326" s="2052"/>
      <c r="L3326" s="2074">
        <v>0</v>
      </c>
      <c r="M3326" s="2076"/>
      <c r="N3326" s="177"/>
      <c r="O3326" s="187"/>
      <c r="P3326" s="187"/>
      <c r="Q3326" s="187"/>
      <c r="R3326" s="187"/>
      <c r="S3326" s="187"/>
      <c r="T3326" s="187"/>
      <c r="U3326" s="187"/>
      <c r="V3326" s="187"/>
      <c r="W3326" s="187"/>
      <c r="X3326" s="187"/>
      <c r="Y3326" s="187"/>
      <c r="Z3326" s="187"/>
      <c r="AA3326" s="187"/>
      <c r="AB3326" s="187"/>
      <c r="AC3326" s="187"/>
      <c r="AD3326" s="187"/>
      <c r="AE3326" s="187"/>
      <c r="AF3326" s="187"/>
    </row>
    <row r="3327" spans="1:32">
      <c r="A3327" s="663" t="s">
        <v>570</v>
      </c>
      <c r="B3327" s="3130" t="s">
        <v>772</v>
      </c>
      <c r="C3327" s="663" t="s">
        <v>322</v>
      </c>
      <c r="D3327" s="678" t="s">
        <v>1980</v>
      </c>
      <c r="E3327" s="1407" t="s">
        <v>420</v>
      </c>
      <c r="F3327" s="1413">
        <v>5120</v>
      </c>
      <c r="G3327" s="2132" t="s">
        <v>2458</v>
      </c>
      <c r="H3327" s="2064"/>
      <c r="I3327" s="2065">
        <v>1000</v>
      </c>
      <c r="J3327" s="1684" t="s">
        <v>1134</v>
      </c>
      <c r="K3327" s="2056"/>
      <c r="L3327" s="2133"/>
      <c r="M3327" s="2818">
        <v>0</v>
      </c>
      <c r="N3327" s="177"/>
      <c r="O3327" s="187"/>
      <c r="P3327" s="187"/>
      <c r="Q3327" s="187"/>
      <c r="R3327" s="187"/>
      <c r="S3327" s="187"/>
      <c r="T3327" s="187"/>
      <c r="U3327" s="187"/>
      <c r="V3327" s="187"/>
      <c r="W3327" s="187"/>
      <c r="X3327" s="187"/>
      <c r="Y3327" s="187"/>
      <c r="Z3327" s="187"/>
      <c r="AA3327" s="187"/>
      <c r="AB3327" s="187"/>
      <c r="AC3327" s="187"/>
      <c r="AD3327" s="187"/>
      <c r="AE3327" s="187"/>
      <c r="AF3327" s="187"/>
    </row>
    <row r="3328" spans="1:32">
      <c r="A3328" s="683"/>
      <c r="B3328" s="3129" t="s">
        <v>772</v>
      </c>
      <c r="C3328" s="683" t="s">
        <v>322</v>
      </c>
      <c r="D3328" s="719" t="s">
        <v>1980</v>
      </c>
      <c r="E3328" s="1406" t="s">
        <v>420</v>
      </c>
      <c r="F3328" s="1698">
        <v>5233</v>
      </c>
      <c r="G3328" s="1691" t="s">
        <v>280</v>
      </c>
      <c r="H3328" s="2074">
        <v>1000</v>
      </c>
      <c r="I3328" s="2075"/>
      <c r="J3328" s="1684">
        <v>415</v>
      </c>
      <c r="K3328" s="2052"/>
      <c r="L3328" s="2074">
        <v>1000</v>
      </c>
      <c r="M3328" s="2076"/>
      <c r="N3328" s="305"/>
      <c r="O3328" s="187"/>
      <c r="P3328" s="187"/>
      <c r="Q3328" s="187"/>
      <c r="R3328" s="187"/>
      <c r="S3328" s="187"/>
      <c r="T3328" s="187"/>
      <c r="U3328" s="187"/>
      <c r="V3328" s="187"/>
      <c r="W3328" s="187"/>
      <c r="X3328" s="187"/>
      <c r="Y3328" s="187"/>
      <c r="Z3328" s="187"/>
      <c r="AA3328" s="187"/>
      <c r="AB3328" s="187"/>
      <c r="AC3328" s="187"/>
      <c r="AD3328" s="187"/>
      <c r="AE3328" s="187"/>
      <c r="AF3328" s="187"/>
    </row>
    <row r="3329" spans="1:32">
      <c r="A3329" s="663"/>
      <c r="B3329" s="3130" t="s">
        <v>772</v>
      </c>
      <c r="C3329" s="663" t="s">
        <v>322</v>
      </c>
      <c r="D3329" s="678" t="s">
        <v>1980</v>
      </c>
      <c r="E3329" s="1407" t="s">
        <v>420</v>
      </c>
      <c r="F3329" s="1413">
        <v>5233</v>
      </c>
      <c r="G3329" s="1952" t="s">
        <v>418</v>
      </c>
      <c r="H3329" s="2135"/>
      <c r="I3329" s="2136">
        <v>500</v>
      </c>
      <c r="J3329" s="1684" t="s">
        <v>1134</v>
      </c>
      <c r="K3329" s="2056"/>
      <c r="L3329" s="2135"/>
      <c r="M3329" s="2134">
        <v>500</v>
      </c>
      <c r="N3329" s="305"/>
      <c r="O3329" s="187"/>
      <c r="P3329" s="187"/>
      <c r="Q3329" s="187"/>
      <c r="R3329" s="187"/>
      <c r="S3329" s="187"/>
      <c r="T3329" s="187"/>
      <c r="U3329" s="187"/>
      <c r="V3329" s="187"/>
      <c r="W3329" s="187"/>
      <c r="X3329" s="187"/>
      <c r="Y3329" s="187"/>
      <c r="Z3329" s="187"/>
      <c r="AA3329" s="187"/>
      <c r="AB3329" s="187"/>
      <c r="AC3329" s="187"/>
      <c r="AD3329" s="187"/>
      <c r="AE3329" s="187"/>
      <c r="AF3329" s="187"/>
    </row>
    <row r="3330" spans="1:32">
      <c r="A3330" s="663"/>
      <c r="B3330" s="3130" t="s">
        <v>772</v>
      </c>
      <c r="C3330" s="663" t="s">
        <v>322</v>
      </c>
      <c r="D3330" s="678" t="s">
        <v>1980</v>
      </c>
      <c r="E3330" s="1407" t="s">
        <v>420</v>
      </c>
      <c r="F3330" s="1413">
        <v>5233</v>
      </c>
      <c r="G3330" s="1952" t="s">
        <v>880</v>
      </c>
      <c r="H3330" s="2135"/>
      <c r="I3330" s="2136">
        <v>500</v>
      </c>
      <c r="J3330" s="1684" t="s">
        <v>1134</v>
      </c>
      <c r="K3330" s="2056"/>
      <c r="L3330" s="2135"/>
      <c r="M3330" s="2134">
        <v>500</v>
      </c>
      <c r="N3330" s="305"/>
      <c r="O3330" s="187"/>
      <c r="P3330" s="187"/>
      <c r="Q3330" s="187"/>
      <c r="R3330" s="187"/>
      <c r="S3330" s="187"/>
      <c r="T3330" s="187"/>
      <c r="U3330" s="187"/>
      <c r="V3330" s="187"/>
      <c r="W3330" s="187"/>
      <c r="X3330" s="187"/>
      <c r="Y3330" s="187"/>
      <c r="Z3330" s="187"/>
      <c r="AA3330" s="187"/>
      <c r="AB3330" s="187"/>
      <c r="AC3330" s="187"/>
      <c r="AD3330" s="187"/>
      <c r="AE3330" s="187"/>
      <c r="AF3330" s="187"/>
    </row>
    <row r="3331" spans="1:32">
      <c r="A3331" s="683"/>
      <c r="B3331" s="3129" t="s">
        <v>774</v>
      </c>
      <c r="C3331" s="683" t="s">
        <v>324</v>
      </c>
      <c r="D3331" s="719" t="s">
        <v>1980</v>
      </c>
      <c r="E3331" s="1406" t="s">
        <v>420</v>
      </c>
      <c r="F3331" s="1698">
        <v>5238</v>
      </c>
      <c r="G3331" s="1691" t="s">
        <v>139</v>
      </c>
      <c r="H3331" s="1692">
        <v>25097</v>
      </c>
      <c r="I3331" s="2137"/>
      <c r="J3331" s="1684">
        <v>31144</v>
      </c>
      <c r="K3331" s="2052"/>
      <c r="L3331" s="1692">
        <v>31860</v>
      </c>
      <c r="M3331" s="2138"/>
      <c r="N3331" s="305"/>
      <c r="O3331" s="187"/>
      <c r="P3331" s="187"/>
      <c r="Q3331" s="187"/>
      <c r="R3331" s="187"/>
      <c r="S3331" s="187"/>
      <c r="T3331" s="187"/>
      <c r="U3331" s="187"/>
      <c r="V3331" s="187"/>
      <c r="W3331" s="187"/>
      <c r="X3331" s="187"/>
      <c r="Y3331" s="187"/>
      <c r="Z3331" s="187"/>
      <c r="AA3331" s="187"/>
      <c r="AB3331" s="187"/>
      <c r="AC3331" s="187"/>
      <c r="AD3331" s="187"/>
      <c r="AE3331" s="187"/>
      <c r="AF3331" s="187"/>
    </row>
    <row r="3332" spans="1:32" ht="20.399999999999999">
      <c r="A3332" s="663" t="s">
        <v>570</v>
      </c>
      <c r="B3332" s="3130" t="s">
        <v>774</v>
      </c>
      <c r="C3332" s="663" t="s">
        <v>333</v>
      </c>
      <c r="D3332" s="678" t="s">
        <v>1980</v>
      </c>
      <c r="E3332" s="1407" t="s">
        <v>420</v>
      </c>
      <c r="F3332" s="1413">
        <v>5238</v>
      </c>
      <c r="G3332" s="1699" t="s">
        <v>5017</v>
      </c>
      <c r="H3332" s="2136"/>
      <c r="I3332" s="1683">
        <v>16000</v>
      </c>
      <c r="J3332" s="1684"/>
      <c r="K3332" s="2056"/>
      <c r="L3332" s="2136"/>
      <c r="M3332" s="2131">
        <v>12000</v>
      </c>
      <c r="N3332" s="305"/>
      <c r="O3332" s="187"/>
      <c r="P3332" s="187"/>
      <c r="Q3332" s="187"/>
      <c r="R3332" s="187"/>
      <c r="S3332" s="187"/>
      <c r="T3332" s="187"/>
      <c r="U3332" s="187"/>
      <c r="V3332" s="187"/>
      <c r="W3332" s="187"/>
      <c r="X3332" s="187"/>
      <c r="Y3332" s="187"/>
      <c r="Z3332" s="187"/>
      <c r="AA3332" s="187"/>
      <c r="AB3332" s="187"/>
      <c r="AC3332" s="187"/>
      <c r="AD3332" s="187"/>
      <c r="AE3332" s="187"/>
      <c r="AF3332" s="187"/>
    </row>
    <row r="3333" spans="1:32" ht="20.399999999999999">
      <c r="A3333" s="663"/>
      <c r="B3333" s="3130" t="s">
        <v>774</v>
      </c>
      <c r="C3333" s="663" t="s">
        <v>438</v>
      </c>
      <c r="D3333" s="678" t="s">
        <v>1980</v>
      </c>
      <c r="E3333" s="1407" t="s">
        <v>420</v>
      </c>
      <c r="F3333" s="1413">
        <v>5238</v>
      </c>
      <c r="G3333" s="1699" t="s">
        <v>4122</v>
      </c>
      <c r="H3333" s="2136"/>
      <c r="I3333" s="1683">
        <v>5000</v>
      </c>
      <c r="J3333" s="1684" t="s">
        <v>1134</v>
      </c>
      <c r="K3333" s="2056"/>
      <c r="L3333" s="2136"/>
      <c r="M3333" s="2131">
        <v>17500</v>
      </c>
      <c r="N3333" s="305"/>
      <c r="O3333" s="7"/>
      <c r="P3333" s="7"/>
      <c r="Q3333" s="7"/>
      <c r="R3333" s="7"/>
      <c r="S3333" s="7"/>
      <c r="T3333" s="7"/>
      <c r="U3333" s="7"/>
      <c r="V3333" s="7"/>
      <c r="W3333" s="7"/>
      <c r="X3333" s="7"/>
      <c r="Y3333" s="7"/>
      <c r="Z3333" s="7"/>
      <c r="AA3333" s="7"/>
      <c r="AB3333" s="7"/>
      <c r="AC3333" s="7"/>
      <c r="AD3333" s="7"/>
      <c r="AE3333" s="7"/>
      <c r="AF3333" s="7"/>
    </row>
    <row r="3334" spans="1:32" ht="20.399999999999999">
      <c r="A3334" s="663" t="s">
        <v>570</v>
      </c>
      <c r="B3334" s="3130" t="s">
        <v>772</v>
      </c>
      <c r="C3334" s="663" t="s">
        <v>322</v>
      </c>
      <c r="D3334" s="678" t="s">
        <v>1980</v>
      </c>
      <c r="E3334" s="1407" t="s">
        <v>420</v>
      </c>
      <c r="F3334" s="1413">
        <v>5238</v>
      </c>
      <c r="G3334" s="1695" t="s">
        <v>2960</v>
      </c>
      <c r="H3334" s="2127"/>
      <c r="I3334" s="2128">
        <v>847</v>
      </c>
      <c r="J3334" s="1684" t="s">
        <v>1134</v>
      </c>
      <c r="K3334" s="2129"/>
      <c r="L3334" s="2127"/>
      <c r="M3334" s="2139"/>
      <c r="N3334" s="381" t="s">
        <v>4357</v>
      </c>
      <c r="O3334" s="7"/>
      <c r="P3334" s="7"/>
      <c r="Q3334" s="7"/>
      <c r="R3334" s="7"/>
      <c r="S3334" s="7"/>
      <c r="T3334" s="7"/>
      <c r="U3334" s="7"/>
      <c r="V3334" s="7"/>
      <c r="W3334" s="7"/>
      <c r="X3334" s="7"/>
      <c r="Y3334" s="7"/>
      <c r="Z3334" s="7"/>
      <c r="AA3334" s="7"/>
      <c r="AB3334" s="7"/>
      <c r="AC3334" s="7"/>
      <c r="AD3334" s="7"/>
      <c r="AE3334" s="7"/>
      <c r="AF3334" s="7"/>
    </row>
    <row r="3335" spans="1:32" ht="30.6">
      <c r="A3335" s="603"/>
      <c r="B3335" s="3130" t="s">
        <v>774</v>
      </c>
      <c r="C3335" s="663" t="s">
        <v>438</v>
      </c>
      <c r="D3335" s="678" t="s">
        <v>1980</v>
      </c>
      <c r="E3335" s="1407" t="s">
        <v>420</v>
      </c>
      <c r="F3335" s="1413">
        <v>5238</v>
      </c>
      <c r="G3335" s="818" t="s">
        <v>3423</v>
      </c>
      <c r="H3335" s="2081"/>
      <c r="I3335" s="2082">
        <v>3250</v>
      </c>
      <c r="J3335" s="1684" t="s">
        <v>1134</v>
      </c>
      <c r="K3335" s="2083"/>
      <c r="L3335" s="2081"/>
      <c r="M3335" s="2082"/>
      <c r="N3335" s="305" t="s">
        <v>2249</v>
      </c>
      <c r="O3335" s="7"/>
      <c r="P3335" s="7"/>
      <c r="Q3335" s="7"/>
      <c r="R3335" s="7"/>
      <c r="S3335" s="7"/>
      <c r="T3335" s="7"/>
      <c r="U3335" s="7"/>
      <c r="V3335" s="7"/>
      <c r="W3335" s="7"/>
      <c r="X3335" s="7"/>
      <c r="Y3335" s="7"/>
      <c r="Z3335" s="7"/>
      <c r="AA3335" s="7"/>
      <c r="AB3335" s="7"/>
      <c r="AC3335" s="7"/>
      <c r="AD3335" s="7"/>
      <c r="AE3335" s="7"/>
      <c r="AF3335" s="7"/>
    </row>
    <row r="3336" spans="1:32">
      <c r="A3336" s="663"/>
      <c r="B3336" s="3130" t="s">
        <v>774</v>
      </c>
      <c r="C3336" s="663" t="s">
        <v>438</v>
      </c>
      <c r="D3336" s="678" t="s">
        <v>1980</v>
      </c>
      <c r="E3336" s="1407" t="s">
        <v>420</v>
      </c>
      <c r="F3336" s="1413">
        <v>5238</v>
      </c>
      <c r="G3336" s="818" t="s">
        <v>4123</v>
      </c>
      <c r="H3336" s="2136"/>
      <c r="I3336" s="1683"/>
      <c r="J3336" s="1684"/>
      <c r="K3336" s="2056"/>
      <c r="L3336" s="2136"/>
      <c r="M3336" s="2057">
        <v>2360</v>
      </c>
      <c r="N3336" s="305"/>
      <c r="O3336" s="7"/>
      <c r="P3336" s="7"/>
      <c r="Q3336" s="7"/>
      <c r="R3336" s="7"/>
      <c r="S3336" s="7"/>
      <c r="T3336" s="7"/>
      <c r="U3336" s="7"/>
      <c r="V3336" s="7"/>
      <c r="W3336" s="7"/>
      <c r="X3336" s="7"/>
      <c r="Y3336" s="7"/>
      <c r="Z3336" s="7"/>
      <c r="AA3336" s="7"/>
      <c r="AB3336" s="7"/>
      <c r="AC3336" s="7"/>
      <c r="AD3336" s="7"/>
      <c r="AE3336" s="7"/>
      <c r="AF3336" s="7"/>
    </row>
    <row r="3337" spans="1:32">
      <c r="A3337" s="683"/>
      <c r="B3337" s="3129" t="s">
        <v>773</v>
      </c>
      <c r="C3337" s="683" t="s">
        <v>340</v>
      </c>
      <c r="D3337" s="719" t="s">
        <v>1980</v>
      </c>
      <c r="E3337" s="1406" t="s">
        <v>420</v>
      </c>
      <c r="F3337" s="1698">
        <v>5238</v>
      </c>
      <c r="G3337" s="1691" t="s">
        <v>139</v>
      </c>
      <c r="H3337" s="1692">
        <v>12500</v>
      </c>
      <c r="I3337" s="2137"/>
      <c r="J3337" s="1684">
        <v>2997</v>
      </c>
      <c r="K3337" s="2052"/>
      <c r="L3337" s="1692">
        <v>45400</v>
      </c>
      <c r="M3337" s="2138"/>
      <c r="N3337" s="305"/>
      <c r="O3337" s="7"/>
      <c r="P3337" s="7"/>
      <c r="Q3337" s="7"/>
      <c r="R3337" s="7"/>
      <c r="S3337" s="7"/>
      <c r="T3337" s="7"/>
      <c r="U3337" s="7"/>
      <c r="V3337" s="7"/>
      <c r="W3337" s="7"/>
      <c r="X3337" s="7"/>
      <c r="Y3337" s="7"/>
      <c r="Z3337" s="7"/>
      <c r="AA3337" s="7"/>
      <c r="AB3337" s="7"/>
      <c r="AC3337" s="7"/>
      <c r="AD3337" s="7"/>
      <c r="AE3337" s="7"/>
      <c r="AF3337" s="7"/>
    </row>
    <row r="3338" spans="1:32" ht="20.399999999999999" customHeight="1">
      <c r="A3338" s="668" t="s">
        <v>570</v>
      </c>
      <c r="B3338" s="3144" t="s">
        <v>773</v>
      </c>
      <c r="C3338" s="668" t="s">
        <v>333</v>
      </c>
      <c r="D3338" s="669" t="s">
        <v>1980</v>
      </c>
      <c r="E3338" s="1411" t="s">
        <v>420</v>
      </c>
      <c r="F3338" s="2078">
        <v>5238</v>
      </c>
      <c r="G3338" s="2295" t="s">
        <v>4125</v>
      </c>
      <c r="H3338" s="2140"/>
      <c r="I3338" s="2080">
        <v>9503</v>
      </c>
      <c r="J3338" s="1684" t="s">
        <v>1134</v>
      </c>
      <c r="K3338" s="2080"/>
      <c r="L3338" s="2140"/>
      <c r="M3338" s="2296">
        <v>16000</v>
      </c>
      <c r="N3338" s="381" t="s">
        <v>4358</v>
      </c>
      <c r="O3338" s="187"/>
      <c r="P3338" s="187"/>
      <c r="Q3338" s="187"/>
      <c r="R3338" s="187"/>
      <c r="S3338" s="187"/>
      <c r="T3338" s="187"/>
      <c r="U3338" s="187"/>
      <c r="V3338" s="187"/>
      <c r="W3338" s="187"/>
      <c r="X3338" s="187"/>
      <c r="Y3338" s="187"/>
      <c r="Z3338" s="187"/>
      <c r="AA3338" s="187"/>
      <c r="AB3338" s="187"/>
      <c r="AC3338" s="187"/>
      <c r="AD3338" s="187"/>
      <c r="AE3338" s="187"/>
      <c r="AF3338" s="187"/>
    </row>
    <row r="3339" spans="1:32" ht="20.399999999999999">
      <c r="A3339" s="668" t="s">
        <v>570</v>
      </c>
      <c r="B3339" s="3144" t="s">
        <v>773</v>
      </c>
      <c r="C3339" s="668" t="s">
        <v>333</v>
      </c>
      <c r="D3339" s="669" t="s">
        <v>1980</v>
      </c>
      <c r="E3339" s="1411" t="s">
        <v>420</v>
      </c>
      <c r="F3339" s="2078">
        <v>5238</v>
      </c>
      <c r="G3339" s="2819" t="s">
        <v>5018</v>
      </c>
      <c r="H3339" s="2293"/>
      <c r="I3339" s="2294"/>
      <c r="J3339" s="2175"/>
      <c r="K3339" s="2294"/>
      <c r="L3339" s="2293"/>
      <c r="M3339" s="2296">
        <v>20400</v>
      </c>
      <c r="N3339" s="305"/>
      <c r="O3339" s="187"/>
      <c r="P3339" s="187"/>
      <c r="Q3339" s="187"/>
      <c r="R3339" s="187"/>
      <c r="S3339" s="187"/>
      <c r="T3339" s="187"/>
      <c r="U3339" s="187"/>
      <c r="V3339" s="187"/>
      <c r="W3339" s="187"/>
      <c r="X3339" s="187"/>
      <c r="Y3339" s="187"/>
      <c r="Z3339" s="187"/>
      <c r="AA3339" s="187"/>
      <c r="AB3339" s="187"/>
      <c r="AC3339" s="187"/>
      <c r="AD3339" s="187"/>
      <c r="AE3339" s="187"/>
      <c r="AF3339" s="187"/>
    </row>
    <row r="3340" spans="1:32">
      <c r="A3340" s="677"/>
      <c r="B3340" s="3144" t="s">
        <v>773</v>
      </c>
      <c r="C3340" s="668" t="s">
        <v>333</v>
      </c>
      <c r="D3340" s="669" t="s">
        <v>1980</v>
      </c>
      <c r="E3340" s="1411" t="s">
        <v>420</v>
      </c>
      <c r="F3340" s="2078">
        <v>5238</v>
      </c>
      <c r="G3340" s="2295" t="s">
        <v>4126</v>
      </c>
      <c r="H3340" s="2141"/>
      <c r="I3340" s="2142">
        <v>2997</v>
      </c>
      <c r="J3340" s="1684" t="s">
        <v>1134</v>
      </c>
      <c r="K3340" s="2142"/>
      <c r="L3340" s="2141"/>
      <c r="M3340" s="2297">
        <v>9000</v>
      </c>
      <c r="N3340" s="305"/>
      <c r="O3340" s="187"/>
      <c r="P3340" s="187"/>
      <c r="Q3340" s="187"/>
      <c r="R3340" s="187"/>
      <c r="S3340" s="187"/>
      <c r="T3340" s="187"/>
      <c r="U3340" s="187"/>
      <c r="V3340" s="187"/>
      <c r="W3340" s="187"/>
      <c r="X3340" s="187"/>
      <c r="Y3340" s="187"/>
      <c r="Z3340" s="187"/>
      <c r="AA3340" s="187"/>
      <c r="AB3340" s="187"/>
      <c r="AC3340" s="187"/>
      <c r="AD3340" s="187"/>
      <c r="AE3340" s="187"/>
      <c r="AF3340" s="187"/>
    </row>
    <row r="3341" spans="1:32">
      <c r="A3341" s="683"/>
      <c r="B3341" s="3129" t="s">
        <v>774</v>
      </c>
      <c r="C3341" s="683" t="s">
        <v>324</v>
      </c>
      <c r="D3341" s="719" t="s">
        <v>1980</v>
      </c>
      <c r="E3341" s="1406" t="s">
        <v>420</v>
      </c>
      <c r="F3341" s="1698">
        <v>5239</v>
      </c>
      <c r="G3341" s="1691" t="s">
        <v>279</v>
      </c>
      <c r="H3341" s="2074">
        <v>23548.57</v>
      </c>
      <c r="I3341" s="2075"/>
      <c r="J3341" s="1684">
        <v>18927.330000000002</v>
      </c>
      <c r="K3341" s="2052"/>
      <c r="L3341" s="2074">
        <v>4610</v>
      </c>
      <c r="M3341" s="2076"/>
      <c r="N3341" s="305" t="s">
        <v>4359</v>
      </c>
      <c r="O3341" s="187"/>
      <c r="P3341" s="187"/>
      <c r="Q3341" s="187"/>
      <c r="R3341" s="187"/>
      <c r="S3341" s="187"/>
      <c r="T3341" s="187"/>
      <c r="U3341" s="187"/>
      <c r="V3341" s="187"/>
      <c r="W3341" s="187"/>
      <c r="X3341" s="187"/>
      <c r="Y3341" s="187"/>
      <c r="Z3341" s="187"/>
      <c r="AA3341" s="187"/>
      <c r="AB3341" s="187"/>
      <c r="AC3341" s="187"/>
      <c r="AD3341" s="187"/>
      <c r="AE3341" s="187"/>
      <c r="AF3341" s="187"/>
    </row>
    <row r="3342" spans="1:32" ht="13.2">
      <c r="A3342" s="663"/>
      <c r="B3342" s="3130" t="s">
        <v>774</v>
      </c>
      <c r="C3342" s="663" t="s">
        <v>438</v>
      </c>
      <c r="D3342" s="678" t="s">
        <v>1980</v>
      </c>
      <c r="E3342" s="1407" t="s">
        <v>420</v>
      </c>
      <c r="F3342" s="1413">
        <v>5239</v>
      </c>
      <c r="G3342" s="2107" t="s">
        <v>4127</v>
      </c>
      <c r="H3342" s="2143"/>
      <c r="I3342" s="2055"/>
      <c r="J3342" s="1684" t="s">
        <v>1134</v>
      </c>
      <c r="K3342" s="2144"/>
      <c r="L3342" s="2145"/>
      <c r="M3342" s="2077">
        <v>1160</v>
      </c>
      <c r="N3342" s="305"/>
      <c r="O3342" s="4"/>
      <c r="P3342" s="4"/>
      <c r="Q3342" s="4"/>
      <c r="R3342" s="4"/>
      <c r="S3342" s="4"/>
      <c r="T3342" s="4"/>
      <c r="U3342" s="4"/>
      <c r="V3342" s="4"/>
      <c r="W3342" s="4"/>
      <c r="X3342" s="4"/>
      <c r="Y3342" s="4"/>
      <c r="Z3342" s="4"/>
      <c r="AA3342" s="4"/>
      <c r="AB3342" s="4"/>
      <c r="AC3342" s="4"/>
      <c r="AD3342" s="4"/>
      <c r="AE3342" s="4"/>
      <c r="AF3342" s="4"/>
    </row>
    <row r="3343" spans="1:32" ht="13.2">
      <c r="A3343" s="663"/>
      <c r="B3343" s="3130" t="s">
        <v>774</v>
      </c>
      <c r="C3343" s="663" t="s">
        <v>438</v>
      </c>
      <c r="D3343" s="678" t="s">
        <v>1980</v>
      </c>
      <c r="E3343" s="1407" t="s">
        <v>420</v>
      </c>
      <c r="F3343" s="1413">
        <v>5239</v>
      </c>
      <c r="G3343" s="2107" t="s">
        <v>2467</v>
      </c>
      <c r="H3343" s="2143"/>
      <c r="I3343" s="2055"/>
      <c r="J3343" s="1684" t="s">
        <v>1134</v>
      </c>
      <c r="K3343" s="2144"/>
      <c r="L3343" s="2145"/>
      <c r="M3343" s="2077">
        <v>2700</v>
      </c>
      <c r="N3343" s="305"/>
      <c r="O3343" s="4"/>
      <c r="P3343" s="4"/>
      <c r="Q3343" s="4"/>
      <c r="R3343" s="4"/>
      <c r="S3343" s="4"/>
      <c r="T3343" s="4"/>
      <c r="U3343" s="4"/>
      <c r="V3343" s="4"/>
      <c r="W3343" s="4"/>
      <c r="X3343" s="4"/>
      <c r="Y3343" s="4"/>
      <c r="Z3343" s="4"/>
      <c r="AA3343" s="4"/>
      <c r="AB3343" s="4"/>
      <c r="AC3343" s="4"/>
      <c r="AD3343" s="4"/>
      <c r="AE3343" s="4"/>
      <c r="AF3343" s="4"/>
    </row>
    <row r="3344" spans="1:32" ht="20.399999999999999">
      <c r="A3344" s="663"/>
      <c r="B3344" s="3130" t="s">
        <v>774</v>
      </c>
      <c r="C3344" s="663" t="s">
        <v>438</v>
      </c>
      <c r="D3344" s="678" t="s">
        <v>1980</v>
      </c>
      <c r="E3344" s="1407" t="s">
        <v>420</v>
      </c>
      <c r="F3344" s="1413">
        <v>5239</v>
      </c>
      <c r="G3344" s="2107" t="s">
        <v>4128</v>
      </c>
      <c r="H3344" s="2143"/>
      <c r="I3344" s="2055"/>
      <c r="J3344" s="1684" t="s">
        <v>1134</v>
      </c>
      <c r="K3344" s="2144"/>
      <c r="L3344" s="2145"/>
      <c r="M3344" s="2077">
        <v>750</v>
      </c>
      <c r="N3344" s="305"/>
      <c r="O3344" s="4"/>
      <c r="P3344" s="4"/>
      <c r="Q3344" s="4"/>
      <c r="R3344" s="4"/>
      <c r="S3344" s="4"/>
      <c r="T3344" s="4"/>
      <c r="U3344" s="4"/>
      <c r="V3344" s="4"/>
      <c r="W3344" s="4"/>
      <c r="X3344" s="4"/>
      <c r="Y3344" s="4"/>
      <c r="Z3344" s="4"/>
      <c r="AA3344" s="4"/>
      <c r="AB3344" s="4"/>
      <c r="AC3344" s="4"/>
      <c r="AD3344" s="4"/>
      <c r="AE3344" s="4"/>
      <c r="AF3344" s="4"/>
    </row>
    <row r="3345" spans="1:32" ht="20.399999999999999">
      <c r="A3345" s="663"/>
      <c r="B3345" s="3130" t="s">
        <v>774</v>
      </c>
      <c r="C3345" s="663" t="s">
        <v>438</v>
      </c>
      <c r="D3345" s="678" t="s">
        <v>1980</v>
      </c>
      <c r="E3345" s="1407" t="s">
        <v>420</v>
      </c>
      <c r="F3345" s="1413">
        <v>5239</v>
      </c>
      <c r="G3345" s="2132" t="s">
        <v>2459</v>
      </c>
      <c r="H3345" s="2143"/>
      <c r="I3345" s="2055">
        <v>800</v>
      </c>
      <c r="J3345" s="1684" t="s">
        <v>1134</v>
      </c>
      <c r="K3345" s="2144"/>
      <c r="L3345" s="2145"/>
      <c r="M3345" s="2057"/>
      <c r="N3345" s="305"/>
      <c r="O3345" s="7"/>
      <c r="P3345" s="7"/>
      <c r="Q3345" s="7"/>
      <c r="R3345" s="7"/>
      <c r="S3345" s="7"/>
      <c r="T3345" s="7"/>
      <c r="U3345" s="7"/>
      <c r="V3345" s="7"/>
      <c r="W3345" s="7"/>
      <c r="X3345" s="7"/>
      <c r="Y3345" s="7"/>
      <c r="Z3345" s="7"/>
      <c r="AA3345" s="7"/>
      <c r="AB3345" s="7"/>
      <c r="AC3345" s="7"/>
      <c r="AD3345" s="7"/>
      <c r="AE3345" s="7"/>
      <c r="AF3345" s="7"/>
    </row>
    <row r="3346" spans="1:32" ht="20.399999999999999">
      <c r="A3346" s="663"/>
      <c r="B3346" s="3130" t="s">
        <v>774</v>
      </c>
      <c r="C3346" s="663" t="s">
        <v>438</v>
      </c>
      <c r="D3346" s="678" t="s">
        <v>1980</v>
      </c>
      <c r="E3346" s="1407" t="s">
        <v>420</v>
      </c>
      <c r="F3346" s="1413">
        <v>5239</v>
      </c>
      <c r="G3346" s="2132" t="s">
        <v>2460</v>
      </c>
      <c r="H3346" s="2143"/>
      <c r="I3346" s="2055">
        <v>569.99</v>
      </c>
      <c r="J3346" s="1684" t="s">
        <v>1134</v>
      </c>
      <c r="K3346" s="2144"/>
      <c r="L3346" s="2145"/>
      <c r="M3346" s="2057"/>
      <c r="N3346" s="305"/>
      <c r="O3346" s="7"/>
      <c r="P3346" s="7"/>
      <c r="Q3346" s="7"/>
      <c r="R3346" s="7"/>
      <c r="S3346" s="7"/>
      <c r="T3346" s="7"/>
      <c r="U3346" s="7"/>
      <c r="V3346" s="7"/>
      <c r="W3346" s="7"/>
      <c r="X3346" s="7"/>
      <c r="Y3346" s="7"/>
      <c r="Z3346" s="7"/>
      <c r="AA3346" s="7"/>
      <c r="AB3346" s="7"/>
      <c r="AC3346" s="7"/>
      <c r="AD3346" s="7"/>
      <c r="AE3346" s="7"/>
      <c r="AF3346" s="7"/>
    </row>
    <row r="3347" spans="1:32" ht="13.2">
      <c r="A3347" s="663"/>
      <c r="B3347" s="3130" t="s">
        <v>774</v>
      </c>
      <c r="C3347" s="663" t="s">
        <v>438</v>
      </c>
      <c r="D3347" s="678" t="s">
        <v>1980</v>
      </c>
      <c r="E3347" s="1407" t="s">
        <v>420</v>
      </c>
      <c r="F3347" s="1413">
        <v>5239</v>
      </c>
      <c r="G3347" s="2132" t="s">
        <v>2461</v>
      </c>
      <c r="H3347" s="2143"/>
      <c r="I3347" s="2055">
        <v>995</v>
      </c>
      <c r="J3347" s="1684" t="s">
        <v>1134</v>
      </c>
      <c r="K3347" s="2144"/>
      <c r="L3347" s="2145"/>
      <c r="M3347" s="2057"/>
      <c r="N3347" s="305"/>
      <c r="O3347" s="7"/>
      <c r="P3347" s="7"/>
      <c r="Q3347" s="7"/>
      <c r="R3347" s="7"/>
      <c r="S3347" s="7"/>
      <c r="T3347" s="7"/>
      <c r="U3347" s="7"/>
      <c r="V3347" s="7"/>
      <c r="W3347" s="7"/>
      <c r="X3347" s="7"/>
      <c r="Y3347" s="7"/>
      <c r="Z3347" s="7"/>
      <c r="AA3347" s="7"/>
      <c r="AB3347" s="7"/>
      <c r="AC3347" s="7"/>
      <c r="AD3347" s="7"/>
      <c r="AE3347" s="7"/>
      <c r="AF3347" s="7"/>
    </row>
    <row r="3348" spans="1:32" ht="20.399999999999999">
      <c r="A3348" s="663"/>
      <c r="B3348" s="3130" t="s">
        <v>774</v>
      </c>
      <c r="C3348" s="663" t="s">
        <v>438</v>
      </c>
      <c r="D3348" s="678" t="s">
        <v>1980</v>
      </c>
      <c r="E3348" s="1407" t="s">
        <v>420</v>
      </c>
      <c r="F3348" s="1413">
        <v>5239</v>
      </c>
      <c r="G3348" s="2132" t="s">
        <v>2462</v>
      </c>
      <c r="H3348" s="2143"/>
      <c r="I3348" s="2055">
        <v>800</v>
      </c>
      <c r="J3348" s="1684" t="s">
        <v>1134</v>
      </c>
      <c r="K3348" s="2144"/>
      <c r="L3348" s="2145"/>
      <c r="M3348" s="2057"/>
      <c r="N3348" s="305"/>
      <c r="O3348" s="7"/>
      <c r="P3348" s="7"/>
      <c r="Q3348" s="7"/>
      <c r="R3348" s="7"/>
      <c r="S3348" s="7"/>
      <c r="T3348" s="7"/>
      <c r="U3348" s="7"/>
      <c r="V3348" s="7"/>
      <c r="W3348" s="7"/>
      <c r="X3348" s="7"/>
      <c r="Y3348" s="7"/>
      <c r="Z3348" s="7"/>
      <c r="AA3348" s="7"/>
      <c r="AB3348" s="7"/>
      <c r="AC3348" s="7"/>
      <c r="AD3348" s="7"/>
      <c r="AE3348" s="7"/>
      <c r="AF3348" s="7"/>
    </row>
    <row r="3349" spans="1:32" ht="13.2">
      <c r="A3349" s="663"/>
      <c r="B3349" s="3130" t="s">
        <v>774</v>
      </c>
      <c r="C3349" s="663" t="s">
        <v>438</v>
      </c>
      <c r="D3349" s="678" t="s">
        <v>1980</v>
      </c>
      <c r="E3349" s="1407" t="s">
        <v>420</v>
      </c>
      <c r="F3349" s="1413">
        <v>5239</v>
      </c>
      <c r="G3349" s="2132" t="s">
        <v>2463</v>
      </c>
      <c r="H3349" s="2143"/>
      <c r="I3349" s="2055">
        <v>762.58</v>
      </c>
      <c r="J3349" s="1684" t="s">
        <v>1134</v>
      </c>
      <c r="K3349" s="2144"/>
      <c r="L3349" s="2145"/>
      <c r="M3349" s="2057"/>
      <c r="N3349" s="305"/>
      <c r="O3349" s="187"/>
      <c r="P3349" s="187"/>
      <c r="Q3349" s="187"/>
      <c r="R3349" s="187"/>
      <c r="S3349" s="187"/>
      <c r="T3349" s="187"/>
      <c r="U3349" s="187"/>
      <c r="V3349" s="187"/>
      <c r="W3349" s="187"/>
      <c r="X3349" s="187"/>
      <c r="Y3349" s="187"/>
      <c r="Z3349" s="187"/>
      <c r="AA3349" s="187"/>
      <c r="AB3349" s="187"/>
      <c r="AC3349" s="187"/>
      <c r="AD3349" s="187"/>
      <c r="AE3349" s="187"/>
      <c r="AF3349" s="187"/>
    </row>
    <row r="3350" spans="1:32" ht="20.399999999999999">
      <c r="A3350" s="663"/>
      <c r="B3350" s="3130" t="s">
        <v>774</v>
      </c>
      <c r="C3350" s="663" t="s">
        <v>438</v>
      </c>
      <c r="D3350" s="678" t="s">
        <v>1980</v>
      </c>
      <c r="E3350" s="1407" t="s">
        <v>420</v>
      </c>
      <c r="F3350" s="1413">
        <v>5239</v>
      </c>
      <c r="G3350" s="2132" t="s">
        <v>2464</v>
      </c>
      <c r="H3350" s="2143"/>
      <c r="I3350" s="2055">
        <v>1750</v>
      </c>
      <c r="J3350" s="1684" t="s">
        <v>1134</v>
      </c>
      <c r="K3350" s="2144"/>
      <c r="L3350" s="2145"/>
      <c r="M3350" s="2057"/>
      <c r="N3350" s="305"/>
      <c r="O3350" s="7"/>
      <c r="P3350" s="7"/>
      <c r="Q3350" s="7"/>
      <c r="R3350" s="7"/>
      <c r="S3350" s="7"/>
      <c r="T3350" s="7"/>
      <c r="U3350" s="7"/>
      <c r="V3350" s="7"/>
      <c r="W3350" s="7"/>
      <c r="X3350" s="7"/>
      <c r="Y3350" s="7"/>
      <c r="Z3350" s="7"/>
      <c r="AA3350" s="7"/>
      <c r="AB3350" s="7"/>
      <c r="AC3350" s="7"/>
      <c r="AD3350" s="7"/>
      <c r="AE3350" s="7"/>
      <c r="AF3350" s="7"/>
    </row>
    <row r="3351" spans="1:32" ht="13.2">
      <c r="A3351" s="663"/>
      <c r="B3351" s="3130" t="s">
        <v>774</v>
      </c>
      <c r="C3351" s="663" t="s">
        <v>438</v>
      </c>
      <c r="D3351" s="678" t="s">
        <v>1980</v>
      </c>
      <c r="E3351" s="1407" t="s">
        <v>420</v>
      </c>
      <c r="F3351" s="1413">
        <v>5239</v>
      </c>
      <c r="G3351" s="2132" t="s">
        <v>2465</v>
      </c>
      <c r="H3351" s="2143"/>
      <c r="I3351" s="2055">
        <v>2225</v>
      </c>
      <c r="J3351" s="1684" t="s">
        <v>1134</v>
      </c>
      <c r="K3351" s="2144"/>
      <c r="L3351" s="2145"/>
      <c r="M3351" s="2057"/>
      <c r="N3351" s="305"/>
    </row>
    <row r="3352" spans="1:32" ht="13.2">
      <c r="A3352" s="663"/>
      <c r="B3352" s="3130" t="s">
        <v>774</v>
      </c>
      <c r="C3352" s="663" t="s">
        <v>438</v>
      </c>
      <c r="D3352" s="678" t="s">
        <v>1980</v>
      </c>
      <c r="E3352" s="1407" t="s">
        <v>420</v>
      </c>
      <c r="F3352" s="1413">
        <v>5239</v>
      </c>
      <c r="G3352" s="2132" t="s">
        <v>2466</v>
      </c>
      <c r="H3352" s="2143"/>
      <c r="I3352" s="2055">
        <v>7072</v>
      </c>
      <c r="J3352" s="1684" t="s">
        <v>1134</v>
      </c>
      <c r="K3352" s="2144"/>
      <c r="L3352" s="2145"/>
      <c r="M3352" s="2057"/>
      <c r="N3352" s="305"/>
    </row>
    <row r="3353" spans="1:32" ht="13.2">
      <c r="A3353" s="663"/>
      <c r="B3353" s="3130" t="s">
        <v>774</v>
      </c>
      <c r="C3353" s="663" t="s">
        <v>438</v>
      </c>
      <c r="D3353" s="678" t="s">
        <v>1980</v>
      </c>
      <c r="E3353" s="1407" t="s">
        <v>420</v>
      </c>
      <c r="F3353" s="1413">
        <v>5239</v>
      </c>
      <c r="G3353" s="2132" t="s">
        <v>2467</v>
      </c>
      <c r="H3353" s="2143"/>
      <c r="I3353" s="2055">
        <v>884</v>
      </c>
      <c r="J3353" s="1684" t="s">
        <v>1134</v>
      </c>
      <c r="K3353" s="2144"/>
      <c r="L3353" s="2145"/>
      <c r="M3353" s="2057"/>
      <c r="N3353" s="305"/>
    </row>
    <row r="3354" spans="1:32" ht="13.2">
      <c r="A3354" s="663"/>
      <c r="B3354" s="3130" t="s">
        <v>774</v>
      </c>
      <c r="C3354" s="663" t="s">
        <v>438</v>
      </c>
      <c r="D3354" s="678" t="s">
        <v>1980</v>
      </c>
      <c r="E3354" s="1407" t="s">
        <v>420</v>
      </c>
      <c r="F3354" s="1413">
        <v>5239</v>
      </c>
      <c r="G3354" s="2132" t="s">
        <v>2468</v>
      </c>
      <c r="H3354" s="2143"/>
      <c r="I3354" s="2055">
        <v>2300</v>
      </c>
      <c r="J3354" s="1684" t="s">
        <v>1134</v>
      </c>
      <c r="K3354" s="2144"/>
      <c r="L3354" s="2145"/>
      <c r="M3354" s="2057"/>
      <c r="N3354" s="305"/>
    </row>
    <row r="3355" spans="1:32" ht="20.399999999999999">
      <c r="A3355" s="663"/>
      <c r="B3355" s="3130" t="s">
        <v>774</v>
      </c>
      <c r="C3355" s="663" t="s">
        <v>438</v>
      </c>
      <c r="D3355" s="678" t="s">
        <v>1980</v>
      </c>
      <c r="E3355" s="1407" t="s">
        <v>420</v>
      </c>
      <c r="F3355" s="1413">
        <v>5239</v>
      </c>
      <c r="G3355" s="2132" t="s">
        <v>2469</v>
      </c>
      <c r="H3355" s="2143"/>
      <c r="I3355" s="2055">
        <v>3195</v>
      </c>
      <c r="J3355" s="1684" t="s">
        <v>1134</v>
      </c>
      <c r="K3355" s="2144"/>
      <c r="L3355" s="2145"/>
      <c r="M3355" s="2057"/>
      <c r="N3355" s="305"/>
    </row>
    <row r="3356" spans="1:32" ht="20.399999999999999">
      <c r="A3356" s="663"/>
      <c r="B3356" s="3130" t="s">
        <v>774</v>
      </c>
      <c r="C3356" s="663" t="s">
        <v>438</v>
      </c>
      <c r="D3356" s="678" t="s">
        <v>1980</v>
      </c>
      <c r="E3356" s="1407" t="s">
        <v>420</v>
      </c>
      <c r="F3356" s="1413">
        <v>5239</v>
      </c>
      <c r="G3356" s="2132" t="s">
        <v>2470</v>
      </c>
      <c r="H3356" s="2143"/>
      <c r="I3356" s="2055">
        <v>1500</v>
      </c>
      <c r="J3356" s="1684" t="s">
        <v>1134</v>
      </c>
      <c r="K3356" s="2144"/>
      <c r="L3356" s="2145"/>
      <c r="M3356" s="2057"/>
      <c r="N3356" s="305"/>
    </row>
    <row r="3357" spans="1:32" ht="30.6">
      <c r="A3357" s="1495"/>
      <c r="B3357" s="3138" t="s">
        <v>774</v>
      </c>
      <c r="C3357" s="1495" t="s">
        <v>438</v>
      </c>
      <c r="D3357" s="1561" t="s">
        <v>1980</v>
      </c>
      <c r="E3357" s="1559" t="s">
        <v>420</v>
      </c>
      <c r="F3357" s="2110">
        <v>5239</v>
      </c>
      <c r="G3357" s="2111" t="s">
        <v>3419</v>
      </c>
      <c r="H3357" s="2146"/>
      <c r="I3357" s="2086">
        <v>695</v>
      </c>
      <c r="J3357" s="2101"/>
      <c r="K3357" s="2147"/>
      <c r="L3357" s="2101"/>
      <c r="M3357" s="2057"/>
      <c r="N3357" s="305"/>
    </row>
    <row r="3358" spans="1:32">
      <c r="A3358" s="683"/>
      <c r="B3358" s="3129" t="s">
        <v>773</v>
      </c>
      <c r="C3358" s="683" t="s">
        <v>333</v>
      </c>
      <c r="D3358" s="719" t="s">
        <v>1980</v>
      </c>
      <c r="E3358" s="720" t="s">
        <v>420</v>
      </c>
      <c r="F3358" s="685">
        <v>5250</v>
      </c>
      <c r="G3358" s="686" t="s">
        <v>295</v>
      </c>
      <c r="H3358" s="776">
        <v>564025</v>
      </c>
      <c r="I3358" s="779"/>
      <c r="J3358" s="1494">
        <v>564023</v>
      </c>
      <c r="K3358" s="780"/>
      <c r="L3358" s="948">
        <v>0</v>
      </c>
      <c r="M3358" s="947"/>
      <c r="N3358" s="305"/>
    </row>
    <row r="3359" spans="1:32" ht="51">
      <c r="A3359" s="1495"/>
      <c r="B3359" s="3138" t="s">
        <v>773</v>
      </c>
      <c r="C3359" s="1495" t="s">
        <v>333</v>
      </c>
      <c r="D3359" s="1561" t="s">
        <v>1980</v>
      </c>
      <c r="E3359" s="1559" t="s">
        <v>420</v>
      </c>
      <c r="F3359" s="2110">
        <v>5250</v>
      </c>
      <c r="G3359" s="2111" t="s">
        <v>2929</v>
      </c>
      <c r="H3359" s="2146"/>
      <c r="I3359" s="2086">
        <v>542914</v>
      </c>
      <c r="J3359" s="2101" t="s">
        <v>1134</v>
      </c>
      <c r="K3359" s="2147"/>
      <c r="L3359" s="2101"/>
      <c r="M3359" s="2057"/>
      <c r="N3359" s="305"/>
    </row>
    <row r="3360" spans="1:32" ht="30.6">
      <c r="A3360" s="1495"/>
      <c r="B3360" s="3138" t="s">
        <v>773</v>
      </c>
      <c r="C3360" s="1495" t="s">
        <v>333</v>
      </c>
      <c r="D3360" s="1561" t="s">
        <v>1980</v>
      </c>
      <c r="E3360" s="1559" t="s">
        <v>420</v>
      </c>
      <c r="F3360" s="2110">
        <v>5250</v>
      </c>
      <c r="G3360" s="2111" t="s">
        <v>3045</v>
      </c>
      <c r="H3360" s="2146"/>
      <c r="I3360" s="2086">
        <v>14715</v>
      </c>
      <c r="J3360" s="2101" t="s">
        <v>1134</v>
      </c>
      <c r="K3360" s="2147"/>
      <c r="L3360" s="2101"/>
      <c r="M3360" s="2057"/>
      <c r="N3360" s="305"/>
    </row>
    <row r="3361" spans="1:32" ht="30.6">
      <c r="A3361" s="1495"/>
      <c r="B3361" s="3138" t="s">
        <v>773</v>
      </c>
      <c r="C3361" s="1495" t="s">
        <v>333</v>
      </c>
      <c r="D3361" s="1561" t="s">
        <v>1980</v>
      </c>
      <c r="E3361" s="1559" t="s">
        <v>420</v>
      </c>
      <c r="F3361" s="2110">
        <v>5250</v>
      </c>
      <c r="G3361" s="2111" t="s">
        <v>3022</v>
      </c>
      <c r="H3361" s="2146"/>
      <c r="I3361" s="2086">
        <v>6396</v>
      </c>
      <c r="J3361" s="2101" t="s">
        <v>1134</v>
      </c>
      <c r="K3361" s="2147"/>
      <c r="L3361" s="2101"/>
      <c r="M3361" s="2057"/>
      <c r="N3361" s="305"/>
    </row>
    <row r="3362" spans="1:32" ht="20.399999999999999">
      <c r="A3362" s="1495"/>
      <c r="B3362" s="3138" t="s">
        <v>773</v>
      </c>
      <c r="C3362" s="1495" t="s">
        <v>333</v>
      </c>
      <c r="D3362" s="1561" t="s">
        <v>1980</v>
      </c>
      <c r="E3362" s="1559" t="s">
        <v>420</v>
      </c>
      <c r="F3362" s="2110">
        <v>5250</v>
      </c>
      <c r="G3362" s="2111" t="s">
        <v>2924</v>
      </c>
      <c r="H3362" s="2146"/>
      <c r="I3362" s="2086">
        <v>300000</v>
      </c>
      <c r="J3362" s="2101" t="s">
        <v>1134</v>
      </c>
      <c r="K3362" s="2147"/>
      <c r="L3362" s="2101"/>
      <c r="M3362" s="2057"/>
      <c r="N3362" s="305"/>
    </row>
    <row r="3363" spans="1:32" ht="40.799999999999997">
      <c r="A3363" s="1495"/>
      <c r="B3363" s="3138" t="s">
        <v>773</v>
      </c>
      <c r="C3363" s="1495" t="s">
        <v>333</v>
      </c>
      <c r="D3363" s="1561" t="s">
        <v>1980</v>
      </c>
      <c r="E3363" s="1559" t="s">
        <v>420</v>
      </c>
      <c r="F3363" s="2110">
        <v>5250</v>
      </c>
      <c r="G3363" s="2111" t="s">
        <v>3017</v>
      </c>
      <c r="H3363" s="2146"/>
      <c r="I3363" s="2086">
        <v>-21780</v>
      </c>
      <c r="J3363" s="2101" t="s">
        <v>1134</v>
      </c>
      <c r="K3363" s="2147"/>
      <c r="L3363" s="2101"/>
      <c r="M3363" s="2057"/>
      <c r="N3363" s="305"/>
    </row>
    <row r="3364" spans="1:32" ht="30.6">
      <c r="A3364" s="1495"/>
      <c r="B3364" s="3138" t="s">
        <v>773</v>
      </c>
      <c r="C3364" s="1495" t="s">
        <v>333</v>
      </c>
      <c r="D3364" s="1561" t="s">
        <v>1980</v>
      </c>
      <c r="E3364" s="1559" t="s">
        <v>420</v>
      </c>
      <c r="F3364" s="2110">
        <v>5250</v>
      </c>
      <c r="G3364" s="2111" t="s">
        <v>3022</v>
      </c>
      <c r="H3364" s="2146"/>
      <c r="I3364" s="2086">
        <v>-6396</v>
      </c>
      <c r="J3364" s="2101" t="s">
        <v>1134</v>
      </c>
      <c r="K3364" s="2147"/>
      <c r="L3364" s="2101"/>
      <c r="M3364" s="2057"/>
      <c r="N3364" s="305"/>
    </row>
    <row r="3365" spans="1:32" ht="40.799999999999997">
      <c r="A3365" s="1495"/>
      <c r="B3365" s="3138" t="s">
        <v>773</v>
      </c>
      <c r="C3365" s="1495" t="s">
        <v>333</v>
      </c>
      <c r="D3365" s="1561" t="s">
        <v>1980</v>
      </c>
      <c r="E3365" s="1559" t="s">
        <v>420</v>
      </c>
      <c r="F3365" s="2110">
        <v>5250</v>
      </c>
      <c r="G3365" s="2111" t="s">
        <v>3279</v>
      </c>
      <c r="H3365" s="2146"/>
      <c r="I3365" s="2086">
        <v>-271824</v>
      </c>
      <c r="J3365" s="2101" t="s">
        <v>1134</v>
      </c>
      <c r="K3365" s="2147"/>
      <c r="L3365" s="2101"/>
      <c r="M3365" s="2057"/>
      <c r="N3365" s="305"/>
    </row>
    <row r="3366" spans="1:32" ht="11.4" customHeight="1">
      <c r="A3366" s="683"/>
      <c r="B3366" s="3129" t="s">
        <v>772</v>
      </c>
      <c r="C3366" s="683"/>
      <c r="D3366" s="719" t="s">
        <v>1980</v>
      </c>
      <c r="E3366" s="1406" t="s">
        <v>420</v>
      </c>
      <c r="F3366" s="1698">
        <v>7210</v>
      </c>
      <c r="G3366" s="1691" t="s">
        <v>1880</v>
      </c>
      <c r="H3366" s="2074">
        <v>140</v>
      </c>
      <c r="I3366" s="2075"/>
      <c r="J3366" s="1684">
        <v>140</v>
      </c>
      <c r="K3366" s="2052"/>
      <c r="L3366" s="2074">
        <v>140</v>
      </c>
      <c r="M3366" s="2076"/>
      <c r="N3366" s="305"/>
    </row>
    <row r="3367" spans="1:32" ht="21" thickBot="1">
      <c r="A3367" s="1353"/>
      <c r="B3367" s="3130" t="s">
        <v>772</v>
      </c>
      <c r="C3367" s="663"/>
      <c r="D3367" s="678" t="s">
        <v>1980</v>
      </c>
      <c r="E3367" s="1407" t="s">
        <v>420</v>
      </c>
      <c r="F3367" s="1413">
        <v>7210</v>
      </c>
      <c r="G3367" s="1695" t="s">
        <v>3018</v>
      </c>
      <c r="H3367" s="2127"/>
      <c r="I3367" s="2128">
        <v>140</v>
      </c>
      <c r="J3367" s="1684" t="s">
        <v>1134</v>
      </c>
      <c r="K3367" s="2129"/>
      <c r="L3367" s="2148"/>
      <c r="M3367" s="2149">
        <v>140</v>
      </c>
      <c r="N3367" s="305"/>
    </row>
    <row r="3368" spans="1:32">
      <c r="A3368" s="683"/>
      <c r="B3368" s="3129" t="s">
        <v>1211</v>
      </c>
      <c r="C3368" s="683"/>
      <c r="D3368" s="719" t="s">
        <v>1980</v>
      </c>
      <c r="E3368" s="1406" t="s">
        <v>420</v>
      </c>
      <c r="F3368" s="1698">
        <v>7230</v>
      </c>
      <c r="G3368" s="1691" t="s">
        <v>1027</v>
      </c>
      <c r="H3368" s="2074">
        <v>630672</v>
      </c>
      <c r="I3368" s="2075"/>
      <c r="J3368" s="1684">
        <v>553129</v>
      </c>
      <c r="K3368" s="2052"/>
      <c r="L3368" s="2074">
        <v>611254</v>
      </c>
      <c r="M3368" s="2076"/>
      <c r="N3368" s="305"/>
    </row>
    <row r="3369" spans="1:32" ht="11.4" customHeight="1">
      <c r="A3369" s="663"/>
      <c r="B3369" s="3130" t="s">
        <v>1211</v>
      </c>
      <c r="C3369" s="663"/>
      <c r="D3369" s="678" t="s">
        <v>1980</v>
      </c>
      <c r="E3369" s="1407" t="s">
        <v>420</v>
      </c>
      <c r="F3369" s="1413">
        <v>7230</v>
      </c>
      <c r="G3369" s="818" t="s">
        <v>436</v>
      </c>
      <c r="H3369" s="2064"/>
      <c r="I3369" s="2055">
        <v>377225</v>
      </c>
      <c r="J3369" s="1684" t="s">
        <v>1134</v>
      </c>
      <c r="K3369" s="2056"/>
      <c r="L3369" s="2064"/>
      <c r="M3369" s="2057">
        <v>378528</v>
      </c>
      <c r="N3369" s="305"/>
    </row>
    <row r="3370" spans="1:32">
      <c r="A3370" s="663"/>
      <c r="B3370" s="3130" t="s">
        <v>1211</v>
      </c>
      <c r="C3370" s="663"/>
      <c r="D3370" s="1679" t="s">
        <v>1980</v>
      </c>
      <c r="E3370" s="1407" t="s">
        <v>420</v>
      </c>
      <c r="F3370" s="1413">
        <v>7230</v>
      </c>
      <c r="G3370" s="818" t="s">
        <v>772</v>
      </c>
      <c r="H3370" s="2064"/>
      <c r="I3370" s="2055">
        <v>244970.2</v>
      </c>
      <c r="J3370" s="1684" t="s">
        <v>1134</v>
      </c>
      <c r="K3370" s="2056"/>
      <c r="L3370" s="2064"/>
      <c r="M3370" s="2057">
        <v>231526</v>
      </c>
      <c r="N3370" s="381"/>
    </row>
    <row r="3371" spans="1:32">
      <c r="A3371" s="663"/>
      <c r="B3371" s="3130" t="s">
        <v>1211</v>
      </c>
      <c r="C3371" s="663"/>
      <c r="D3371" s="1679" t="s">
        <v>1980</v>
      </c>
      <c r="E3371" s="1407" t="s">
        <v>420</v>
      </c>
      <c r="F3371" s="1413">
        <v>7230</v>
      </c>
      <c r="G3371" s="818" t="s">
        <v>774</v>
      </c>
      <c r="H3371" s="2064"/>
      <c r="I3371" s="2055">
        <v>8477</v>
      </c>
      <c r="J3371" s="1684" t="s">
        <v>1134</v>
      </c>
      <c r="K3371" s="2056"/>
      <c r="L3371" s="2064"/>
      <c r="M3371" s="2057">
        <v>1200</v>
      </c>
      <c r="N3371" s="305"/>
    </row>
    <row r="3372" spans="1:32">
      <c r="A3372" s="683"/>
      <c r="B3372" s="3129" t="s">
        <v>1849</v>
      </c>
      <c r="C3372" s="683"/>
      <c r="D3372" s="719" t="s">
        <v>1980</v>
      </c>
      <c r="E3372" s="840" t="s">
        <v>420</v>
      </c>
      <c r="F3372" s="685">
        <v>7230</v>
      </c>
      <c r="G3372" s="686" t="s">
        <v>1027</v>
      </c>
      <c r="H3372" s="776">
        <v>443604</v>
      </c>
      <c r="I3372" s="779"/>
      <c r="J3372" s="1494">
        <v>31380</v>
      </c>
      <c r="K3372" s="780"/>
      <c r="L3372" s="948">
        <v>1139284</v>
      </c>
      <c r="M3372" s="947"/>
      <c r="N3372" s="381" t="s">
        <v>4364</v>
      </c>
    </row>
    <row r="3373" spans="1:32" ht="20.399999999999999">
      <c r="A3373" s="668"/>
      <c r="B3373" s="3144" t="s">
        <v>1849</v>
      </c>
      <c r="C3373" s="668"/>
      <c r="D3373" s="669" t="s">
        <v>1980</v>
      </c>
      <c r="E3373" s="936" t="s">
        <v>420</v>
      </c>
      <c r="F3373" s="671">
        <v>7230</v>
      </c>
      <c r="G3373" s="717" t="s">
        <v>2549</v>
      </c>
      <c r="H3373" s="733"/>
      <c r="I3373" s="733">
        <v>25000</v>
      </c>
      <c r="J3373" s="1494">
        <v>0</v>
      </c>
      <c r="K3373" s="733"/>
      <c r="L3373" s="2353"/>
      <c r="M3373" s="2353">
        <v>30000</v>
      </c>
      <c r="N3373" s="305"/>
      <c r="O3373" s="4"/>
      <c r="P3373" s="4"/>
      <c r="Q3373" s="4"/>
      <c r="R3373" s="4"/>
      <c r="S3373" s="4"/>
      <c r="T3373" s="4"/>
      <c r="U3373" s="4"/>
      <c r="V3373" s="4"/>
      <c r="W3373" s="4"/>
      <c r="X3373" s="4"/>
      <c r="Y3373" s="4"/>
      <c r="Z3373" s="4"/>
      <c r="AA3373" s="4"/>
      <c r="AB3373" s="4"/>
      <c r="AC3373" s="4"/>
      <c r="AD3373" s="4"/>
      <c r="AE3373" s="4"/>
      <c r="AF3373" s="4"/>
    </row>
    <row r="3374" spans="1:32" ht="30.6">
      <c r="A3374" s="668"/>
      <c r="B3374" s="3144" t="s">
        <v>1849</v>
      </c>
      <c r="C3374" s="668"/>
      <c r="D3374" s="669" t="s">
        <v>1980</v>
      </c>
      <c r="E3374" s="936" t="s">
        <v>420</v>
      </c>
      <c r="F3374" s="671">
        <v>7230</v>
      </c>
      <c r="G3374" s="717" t="s">
        <v>4528</v>
      </c>
      <c r="H3374" s="733"/>
      <c r="I3374" s="733">
        <v>60000</v>
      </c>
      <c r="J3374" s="1494">
        <v>0</v>
      </c>
      <c r="K3374" s="733"/>
      <c r="L3374" s="2353"/>
      <c r="M3374" s="2719">
        <v>14520</v>
      </c>
      <c r="N3374" s="381" t="s">
        <v>4365</v>
      </c>
      <c r="O3374" s="7"/>
      <c r="P3374" s="7"/>
      <c r="Q3374" s="7"/>
    </row>
    <row r="3375" spans="1:32">
      <c r="A3375" s="668"/>
      <c r="B3375" s="3144" t="s">
        <v>1849</v>
      </c>
      <c r="C3375" s="668"/>
      <c r="D3375" s="669" t="s">
        <v>1980</v>
      </c>
      <c r="E3375" s="936" t="s">
        <v>420</v>
      </c>
      <c r="F3375" s="671">
        <v>7230</v>
      </c>
      <c r="G3375" s="717" t="s">
        <v>2546</v>
      </c>
      <c r="H3375" s="733"/>
      <c r="I3375" s="733">
        <v>40000</v>
      </c>
      <c r="J3375" s="1494">
        <v>0</v>
      </c>
      <c r="K3375" s="733"/>
      <c r="L3375" s="2353"/>
      <c r="M3375" s="2719">
        <v>332723</v>
      </c>
      <c r="N3375" s="305"/>
      <c r="O3375" s="7"/>
      <c r="P3375" s="7"/>
      <c r="Q3375" s="7"/>
    </row>
    <row r="3376" spans="1:32">
      <c r="A3376" s="2423"/>
      <c r="B3376" s="3144" t="s">
        <v>1849</v>
      </c>
      <c r="C3376" s="668"/>
      <c r="D3376" s="669" t="s">
        <v>1980</v>
      </c>
      <c r="E3376" s="936" t="s">
        <v>420</v>
      </c>
      <c r="F3376" s="671">
        <v>7230</v>
      </c>
      <c r="G3376" s="2283" t="s">
        <v>4552</v>
      </c>
      <c r="H3376" s="2424"/>
      <c r="I3376" s="2424"/>
      <c r="J3376" s="2170"/>
      <c r="K3376" s="2424"/>
      <c r="L3376" s="2425"/>
      <c r="M3376" s="2719">
        <v>4500</v>
      </c>
      <c r="N3376" s="305"/>
      <c r="O3376" s="7"/>
      <c r="P3376" s="7"/>
      <c r="Q3376" s="7"/>
    </row>
    <row r="3377" spans="1:32">
      <c r="A3377" s="2423"/>
      <c r="B3377" s="3144" t="s">
        <v>1849</v>
      </c>
      <c r="C3377" s="668"/>
      <c r="D3377" s="669" t="s">
        <v>1980</v>
      </c>
      <c r="E3377" s="936" t="s">
        <v>420</v>
      </c>
      <c r="F3377" s="671">
        <v>7230</v>
      </c>
      <c r="G3377" s="2283" t="s">
        <v>4553</v>
      </c>
      <c r="H3377" s="2424"/>
      <c r="I3377" s="2424"/>
      <c r="J3377" s="2170"/>
      <c r="K3377" s="2424"/>
      <c r="L3377" s="2425"/>
      <c r="M3377" s="2719">
        <v>11680</v>
      </c>
      <c r="N3377" s="305"/>
      <c r="O3377" s="4"/>
      <c r="P3377" s="4"/>
      <c r="Q3377" s="4"/>
      <c r="R3377" s="4"/>
      <c r="S3377" s="4"/>
      <c r="T3377" s="4"/>
      <c r="U3377" s="4"/>
      <c r="V3377" s="4"/>
      <c r="W3377" s="4"/>
      <c r="X3377" s="4"/>
      <c r="Y3377" s="4"/>
      <c r="Z3377" s="4"/>
      <c r="AA3377" s="4"/>
      <c r="AB3377" s="4"/>
      <c r="AC3377" s="4"/>
      <c r="AD3377" s="4"/>
      <c r="AE3377" s="4"/>
      <c r="AF3377" s="4"/>
    </row>
    <row r="3378" spans="1:32" ht="20.399999999999999">
      <c r="A3378" s="2423"/>
      <c r="B3378" s="3144" t="s">
        <v>1849</v>
      </c>
      <c r="C3378" s="668"/>
      <c r="D3378" s="669" t="s">
        <v>1980</v>
      </c>
      <c r="E3378" s="936" t="s">
        <v>420</v>
      </c>
      <c r="F3378" s="671">
        <v>7230</v>
      </c>
      <c r="G3378" s="2283" t="s">
        <v>4547</v>
      </c>
      <c r="H3378" s="2424"/>
      <c r="I3378" s="733"/>
      <c r="J3378" s="1494"/>
      <c r="K3378" s="2424"/>
      <c r="L3378" s="2425"/>
      <c r="M3378" s="2425">
        <v>390000</v>
      </c>
      <c r="N3378" s="305"/>
      <c r="O3378" s="7"/>
      <c r="P3378" s="7"/>
      <c r="Q3378" s="7"/>
    </row>
    <row r="3379" spans="1:32" ht="20.399999999999999" customHeight="1">
      <c r="A3379" s="668"/>
      <c r="B3379" s="3144" t="s">
        <v>1849</v>
      </c>
      <c r="C3379" s="668"/>
      <c r="D3379" s="669" t="s">
        <v>1980</v>
      </c>
      <c r="E3379" s="936" t="s">
        <v>420</v>
      </c>
      <c r="F3379" s="671">
        <v>7230</v>
      </c>
      <c r="G3379" s="717" t="s">
        <v>4548</v>
      </c>
      <c r="H3379" s="733"/>
      <c r="I3379" s="733"/>
      <c r="J3379" s="1494"/>
      <c r="K3379" s="733"/>
      <c r="L3379" s="2353"/>
      <c r="M3379" s="2534">
        <v>27000</v>
      </c>
      <c r="N3379" s="305"/>
      <c r="O3379" s="7"/>
      <c r="P3379" s="7"/>
      <c r="Q3379" s="7"/>
    </row>
    <row r="3380" spans="1:32" ht="20.399999999999999">
      <c r="A3380" s="2423"/>
      <c r="B3380" s="3144" t="s">
        <v>1849</v>
      </c>
      <c r="C3380" s="668"/>
      <c r="D3380" s="669" t="s">
        <v>1980</v>
      </c>
      <c r="E3380" s="936" t="s">
        <v>420</v>
      </c>
      <c r="F3380" s="671">
        <v>7230</v>
      </c>
      <c r="G3380" s="2283" t="s">
        <v>4549</v>
      </c>
      <c r="H3380" s="2424"/>
      <c r="I3380" s="733"/>
      <c r="J3380" s="1494"/>
      <c r="K3380" s="2424"/>
      <c r="L3380" s="2425"/>
      <c r="M3380" s="2535">
        <v>65000</v>
      </c>
      <c r="N3380" s="305"/>
      <c r="O3380" s="4"/>
      <c r="P3380" s="4"/>
      <c r="Q3380" s="4"/>
      <c r="R3380" s="4"/>
      <c r="S3380" s="4"/>
      <c r="T3380" s="4"/>
      <c r="U3380" s="4"/>
      <c r="V3380" s="4"/>
      <c r="W3380" s="4"/>
      <c r="X3380" s="4"/>
      <c r="Y3380" s="4"/>
      <c r="Z3380" s="4"/>
      <c r="AA3380" s="4"/>
      <c r="AB3380" s="4"/>
      <c r="AC3380" s="4"/>
      <c r="AD3380" s="4"/>
      <c r="AE3380" s="4"/>
      <c r="AF3380" s="4"/>
    </row>
    <row r="3381" spans="1:32" ht="20.399999999999999">
      <c r="A3381" s="668"/>
      <c r="B3381" s="3144" t="s">
        <v>1849</v>
      </c>
      <c r="C3381" s="668"/>
      <c r="D3381" s="669" t="s">
        <v>1980</v>
      </c>
      <c r="E3381" s="936" t="s">
        <v>420</v>
      </c>
      <c r="F3381" s="671">
        <v>7230</v>
      </c>
      <c r="G3381" s="717" t="s">
        <v>4550</v>
      </c>
      <c r="H3381" s="733"/>
      <c r="I3381" s="733"/>
      <c r="J3381" s="1494"/>
      <c r="K3381" s="733"/>
      <c r="L3381" s="2353"/>
      <c r="M3381" s="2720">
        <v>14440</v>
      </c>
      <c r="N3381" s="305"/>
      <c r="O3381" s="7"/>
      <c r="P3381" s="7"/>
      <c r="Q3381" s="7"/>
    </row>
    <row r="3382" spans="1:32" ht="11.4" customHeight="1">
      <c r="A3382" s="2423"/>
      <c r="B3382" s="3144" t="s">
        <v>1849</v>
      </c>
      <c r="C3382" s="668"/>
      <c r="D3382" s="669" t="s">
        <v>1980</v>
      </c>
      <c r="E3382" s="936" t="s">
        <v>420</v>
      </c>
      <c r="F3382" s="671">
        <v>7230</v>
      </c>
      <c r="G3382" s="2283" t="s">
        <v>4551</v>
      </c>
      <c r="H3382" s="2424"/>
      <c r="I3382" s="733"/>
      <c r="J3382" s="1494"/>
      <c r="K3382" s="2424"/>
      <c r="L3382" s="2425"/>
      <c r="M3382" s="2721">
        <v>154729</v>
      </c>
      <c r="N3382" s="305"/>
      <c r="O3382" s="187"/>
      <c r="P3382" s="187"/>
      <c r="Q3382" s="187"/>
      <c r="R3382" s="187"/>
      <c r="S3382" s="187"/>
      <c r="T3382" s="187"/>
      <c r="U3382" s="187"/>
      <c r="V3382" s="187"/>
      <c r="W3382" s="187"/>
      <c r="X3382" s="187"/>
      <c r="Y3382" s="187"/>
      <c r="Z3382" s="187"/>
      <c r="AA3382" s="187"/>
      <c r="AB3382" s="187"/>
      <c r="AC3382" s="187"/>
      <c r="AD3382" s="187"/>
      <c r="AE3382" s="187"/>
      <c r="AF3382" s="187"/>
    </row>
    <row r="3383" spans="1:32" ht="20.399999999999999">
      <c r="A3383" s="2423"/>
      <c r="B3383" s="3144" t="s">
        <v>1849</v>
      </c>
      <c r="C3383" s="668"/>
      <c r="D3383" s="669" t="s">
        <v>1980</v>
      </c>
      <c r="E3383" s="936" t="s">
        <v>420</v>
      </c>
      <c r="F3383" s="671">
        <v>7230</v>
      </c>
      <c r="G3383" s="2283" t="s">
        <v>4751</v>
      </c>
      <c r="H3383" s="2424"/>
      <c r="I3383" s="2424"/>
      <c r="J3383" s="2170"/>
      <c r="K3383" s="2424"/>
      <c r="L3383" s="2425"/>
      <c r="M3383" s="2721">
        <v>28692</v>
      </c>
      <c r="N3383" s="305"/>
    </row>
    <row r="3384" spans="1:32" ht="20.399999999999999">
      <c r="A3384" s="668"/>
      <c r="B3384" s="3144" t="s">
        <v>1849</v>
      </c>
      <c r="C3384" s="668"/>
      <c r="D3384" s="669" t="s">
        <v>1980</v>
      </c>
      <c r="E3384" s="936" t="s">
        <v>420</v>
      </c>
      <c r="F3384" s="671">
        <v>7230</v>
      </c>
      <c r="G3384" s="717" t="s">
        <v>4554</v>
      </c>
      <c r="H3384" s="733"/>
      <c r="I3384" s="733"/>
      <c r="J3384" s="1494"/>
      <c r="K3384" s="733"/>
      <c r="L3384" s="2353"/>
      <c r="M3384" s="2534">
        <v>30000</v>
      </c>
      <c r="N3384" s="305"/>
      <c r="O3384" s="187"/>
      <c r="P3384" s="187"/>
      <c r="Q3384" s="187"/>
      <c r="R3384" s="187"/>
      <c r="S3384" s="187"/>
      <c r="T3384" s="187"/>
      <c r="U3384" s="187"/>
      <c r="V3384" s="187"/>
      <c r="W3384" s="187"/>
      <c r="X3384" s="187"/>
      <c r="Y3384" s="187"/>
      <c r="Z3384" s="187"/>
      <c r="AA3384" s="187"/>
      <c r="AB3384" s="187"/>
      <c r="AC3384" s="187"/>
      <c r="AD3384" s="187"/>
      <c r="AE3384" s="187"/>
      <c r="AF3384" s="187"/>
    </row>
    <row r="3385" spans="1:32" ht="20.399999999999999">
      <c r="A3385" s="2423"/>
      <c r="B3385" s="3144" t="s">
        <v>1849</v>
      </c>
      <c r="C3385" s="668"/>
      <c r="D3385" s="669" t="s">
        <v>1980</v>
      </c>
      <c r="E3385" s="936" t="s">
        <v>420</v>
      </c>
      <c r="F3385" s="671">
        <v>7230</v>
      </c>
      <c r="G3385" s="2283" t="s">
        <v>4555</v>
      </c>
      <c r="H3385" s="2424"/>
      <c r="I3385" s="733"/>
      <c r="J3385" s="1494"/>
      <c r="K3385" s="2424"/>
      <c r="L3385" s="2425"/>
      <c r="M3385" s="2425">
        <v>11000</v>
      </c>
      <c r="N3385" s="305"/>
    </row>
    <row r="3386" spans="1:32">
      <c r="A3386" s="2423"/>
      <c r="B3386" s="3144" t="s">
        <v>1849</v>
      </c>
      <c r="C3386" s="668"/>
      <c r="D3386" s="669" t="s">
        <v>1980</v>
      </c>
      <c r="E3386" s="936" t="s">
        <v>420</v>
      </c>
      <c r="F3386" s="671">
        <v>7230</v>
      </c>
      <c r="G3386" s="2283" t="s">
        <v>4753</v>
      </c>
      <c r="H3386" s="2424"/>
      <c r="I3386" s="2424"/>
      <c r="J3386" s="2170"/>
      <c r="K3386" s="2424"/>
      <c r="L3386" s="2425"/>
      <c r="M3386" s="2425">
        <v>25000</v>
      </c>
      <c r="N3386" s="305"/>
    </row>
    <row r="3387" spans="1:32" ht="40.799999999999997">
      <c r="A3387" s="668"/>
      <c r="B3387" s="3144" t="s">
        <v>1849</v>
      </c>
      <c r="C3387" s="668"/>
      <c r="D3387" s="669" t="s">
        <v>1980</v>
      </c>
      <c r="E3387" s="936" t="s">
        <v>420</v>
      </c>
      <c r="F3387" s="671">
        <v>7230</v>
      </c>
      <c r="G3387" s="717" t="s">
        <v>4556</v>
      </c>
      <c r="H3387" s="733"/>
      <c r="I3387" s="733"/>
      <c r="J3387" s="1494"/>
      <c r="K3387" s="733"/>
      <c r="L3387" s="2353"/>
      <c r="M3387" s="2353"/>
      <c r="N3387" s="305"/>
      <c r="O3387" s="187"/>
      <c r="P3387" s="187"/>
      <c r="Q3387" s="187"/>
      <c r="R3387" s="187"/>
      <c r="S3387" s="187"/>
      <c r="T3387" s="187"/>
      <c r="U3387" s="187"/>
      <c r="V3387" s="187"/>
      <c r="W3387" s="187"/>
      <c r="X3387" s="187"/>
      <c r="Y3387" s="187"/>
      <c r="Z3387" s="187"/>
      <c r="AA3387" s="187"/>
      <c r="AB3387" s="187"/>
      <c r="AC3387" s="187"/>
      <c r="AD3387" s="187"/>
      <c r="AE3387" s="187"/>
      <c r="AF3387" s="187"/>
    </row>
    <row r="3388" spans="1:32">
      <c r="A3388" s="668"/>
      <c r="B3388" s="3144" t="s">
        <v>1849</v>
      </c>
      <c r="C3388" s="668"/>
      <c r="D3388" s="669" t="s">
        <v>1980</v>
      </c>
      <c r="E3388" s="936" t="s">
        <v>420</v>
      </c>
      <c r="F3388" s="671">
        <v>7230</v>
      </c>
      <c r="G3388" s="717" t="s">
        <v>2547</v>
      </c>
      <c r="H3388" s="733"/>
      <c r="I3388" s="2424">
        <v>271824</v>
      </c>
      <c r="J3388" s="2170">
        <v>9600</v>
      </c>
      <c r="K3388" s="733"/>
      <c r="L3388" s="2353"/>
      <c r="M3388" s="2353"/>
      <c r="N3388" s="305"/>
    </row>
    <row r="3389" spans="1:32" ht="20.399999999999999">
      <c r="A3389" s="2423"/>
      <c r="B3389" s="3144" t="s">
        <v>1849</v>
      </c>
      <c r="C3389" s="668"/>
      <c r="D3389" s="669" t="s">
        <v>1980</v>
      </c>
      <c r="E3389" s="936" t="s">
        <v>420</v>
      </c>
      <c r="F3389" s="671">
        <v>7230</v>
      </c>
      <c r="G3389" s="2283" t="s">
        <v>4529</v>
      </c>
      <c r="H3389" s="2424"/>
      <c r="I3389" s="733">
        <v>21780</v>
      </c>
      <c r="J3389" s="1494">
        <v>22280</v>
      </c>
      <c r="K3389" s="2424"/>
      <c r="L3389" s="2425"/>
      <c r="M3389" s="2425"/>
      <c r="N3389" s="305"/>
    </row>
    <row r="3390" spans="1:32" ht="20.399999999999999">
      <c r="A3390" s="668"/>
      <c r="B3390" s="3144" t="s">
        <v>1849</v>
      </c>
      <c r="C3390" s="668"/>
      <c r="D3390" s="669" t="s">
        <v>1980</v>
      </c>
      <c r="E3390" s="936" t="s">
        <v>420</v>
      </c>
      <c r="F3390" s="671">
        <v>7230</v>
      </c>
      <c r="G3390" s="717" t="s">
        <v>2548</v>
      </c>
      <c r="H3390" s="733"/>
      <c r="I3390" s="733">
        <v>25000</v>
      </c>
      <c r="J3390" s="1494">
        <v>12332</v>
      </c>
      <c r="K3390" s="733"/>
      <c r="L3390" s="2353"/>
      <c r="M3390" s="2353"/>
      <c r="N3390" s="305"/>
      <c r="O3390" s="187"/>
      <c r="P3390" s="187"/>
      <c r="Q3390" s="187"/>
      <c r="R3390" s="187"/>
      <c r="S3390" s="187"/>
      <c r="T3390" s="187"/>
      <c r="U3390" s="187"/>
      <c r="V3390" s="187"/>
      <c r="W3390" s="187"/>
      <c r="X3390" s="187"/>
      <c r="Y3390" s="187"/>
      <c r="Z3390" s="187"/>
      <c r="AA3390" s="187"/>
      <c r="AB3390" s="187"/>
      <c r="AC3390" s="187"/>
      <c r="AD3390" s="187"/>
      <c r="AE3390" s="187"/>
      <c r="AF3390" s="187"/>
    </row>
    <row r="3391" spans="1:32" ht="11.4" customHeight="1">
      <c r="A3391" s="683"/>
      <c r="B3391" s="3129" t="s">
        <v>326</v>
      </c>
      <c r="C3391" s="683" t="s">
        <v>321</v>
      </c>
      <c r="D3391" s="719" t="s">
        <v>1979</v>
      </c>
      <c r="E3391" s="720" t="s">
        <v>1965</v>
      </c>
      <c r="F3391" s="824">
        <v>1119</v>
      </c>
      <c r="G3391" s="800" t="s">
        <v>109</v>
      </c>
      <c r="H3391" s="706">
        <v>5000</v>
      </c>
      <c r="I3391" s="801"/>
      <c r="J3391" s="1654"/>
      <c r="K3391" s="802"/>
      <c r="L3391" s="706">
        <v>0</v>
      </c>
      <c r="M3391" s="801"/>
      <c r="N3391" s="305"/>
    </row>
    <row r="3392" spans="1:32">
      <c r="A3392" s="663"/>
      <c r="B3392" s="3130" t="s">
        <v>326</v>
      </c>
      <c r="C3392" s="663" t="s">
        <v>321</v>
      </c>
      <c r="D3392" s="678" t="s">
        <v>1979</v>
      </c>
      <c r="E3392" s="700" t="s">
        <v>1965</v>
      </c>
      <c r="F3392" s="795">
        <v>1119</v>
      </c>
      <c r="G3392" s="812" t="s">
        <v>753</v>
      </c>
      <c r="H3392" s="701"/>
      <c r="I3392" s="701">
        <v>5000</v>
      </c>
      <c r="J3392" s="1654" t="s">
        <v>1134</v>
      </c>
      <c r="K3392" s="792"/>
      <c r="L3392" s="701"/>
      <c r="M3392" s="701">
        <v>0</v>
      </c>
      <c r="N3392" s="305"/>
    </row>
    <row r="3393" spans="1:32">
      <c r="A3393" s="683"/>
      <c r="B3393" s="3129" t="s">
        <v>326</v>
      </c>
      <c r="C3393" s="683" t="s">
        <v>321</v>
      </c>
      <c r="D3393" s="719" t="s">
        <v>1979</v>
      </c>
      <c r="E3393" s="720" t="s">
        <v>1965</v>
      </c>
      <c r="F3393" s="824">
        <v>1147</v>
      </c>
      <c r="G3393" s="800" t="s">
        <v>1059</v>
      </c>
      <c r="H3393" s="706">
        <v>177</v>
      </c>
      <c r="I3393" s="801"/>
      <c r="J3393" s="1654">
        <v>0</v>
      </c>
      <c r="K3393" s="802"/>
      <c r="L3393" s="706">
        <v>0</v>
      </c>
      <c r="M3393" s="801"/>
      <c r="N3393" s="305"/>
    </row>
    <row r="3394" spans="1:32">
      <c r="A3394" s="663"/>
      <c r="B3394" s="3130" t="s">
        <v>326</v>
      </c>
      <c r="C3394" s="663" t="s">
        <v>321</v>
      </c>
      <c r="D3394" s="678" t="s">
        <v>1979</v>
      </c>
      <c r="E3394" s="700" t="s">
        <v>1965</v>
      </c>
      <c r="F3394" s="795">
        <v>1147</v>
      </c>
      <c r="G3394" s="750"/>
      <c r="H3394" s="701"/>
      <c r="I3394" s="701">
        <v>177</v>
      </c>
      <c r="J3394" s="1654" t="s">
        <v>1134</v>
      </c>
      <c r="K3394" s="792"/>
      <c r="L3394" s="701"/>
      <c r="M3394" s="701">
        <v>0</v>
      </c>
      <c r="N3394" s="305"/>
    </row>
    <row r="3395" spans="1:32">
      <c r="A3395" s="683"/>
      <c r="B3395" s="3129" t="s">
        <v>326</v>
      </c>
      <c r="C3395" s="683" t="s">
        <v>321</v>
      </c>
      <c r="D3395" s="719" t="s">
        <v>1979</v>
      </c>
      <c r="E3395" s="720" t="s">
        <v>1965</v>
      </c>
      <c r="F3395" s="824">
        <v>1148</v>
      </c>
      <c r="G3395" s="800" t="s">
        <v>594</v>
      </c>
      <c r="H3395" s="706">
        <v>0</v>
      </c>
      <c r="I3395" s="801"/>
      <c r="J3395" s="1654" t="s">
        <v>1134</v>
      </c>
      <c r="K3395" s="802"/>
      <c r="L3395" s="706">
        <v>0</v>
      </c>
      <c r="M3395" s="801"/>
      <c r="N3395" s="305"/>
      <c r="O3395" s="4"/>
      <c r="P3395" s="4"/>
      <c r="Q3395" s="4"/>
      <c r="R3395" s="4"/>
      <c r="S3395" s="4"/>
      <c r="T3395" s="4"/>
      <c r="U3395" s="4"/>
      <c r="V3395" s="4"/>
      <c r="W3395" s="4"/>
      <c r="X3395" s="4"/>
      <c r="Y3395" s="4"/>
      <c r="Z3395" s="4"/>
      <c r="AA3395" s="4"/>
      <c r="AB3395" s="4"/>
      <c r="AC3395" s="4"/>
      <c r="AD3395" s="4"/>
      <c r="AE3395" s="4"/>
      <c r="AF3395" s="4"/>
    </row>
    <row r="3396" spans="1:32">
      <c r="A3396" s="663"/>
      <c r="B3396" s="3130" t="s">
        <v>326</v>
      </c>
      <c r="C3396" s="663" t="s">
        <v>321</v>
      </c>
      <c r="D3396" s="678" t="s">
        <v>1979</v>
      </c>
      <c r="E3396" s="700" t="s">
        <v>1965</v>
      </c>
      <c r="F3396" s="795">
        <v>1148</v>
      </c>
      <c r="G3396" s="750"/>
      <c r="H3396" s="701"/>
      <c r="I3396" s="701"/>
      <c r="J3396" s="1654" t="s">
        <v>1134</v>
      </c>
      <c r="K3396" s="792"/>
      <c r="L3396" s="701"/>
      <c r="M3396" s="701"/>
      <c r="N3396" s="305" t="s">
        <v>4868</v>
      </c>
      <c r="O3396" s="7"/>
      <c r="P3396" s="7"/>
      <c r="Q3396" s="7"/>
    </row>
    <row r="3397" spans="1:32" ht="11.4" customHeight="1">
      <c r="A3397" s="683"/>
      <c r="B3397" s="3129" t="s">
        <v>326</v>
      </c>
      <c r="C3397" s="683" t="s">
        <v>321</v>
      </c>
      <c r="D3397" s="719" t="s">
        <v>1979</v>
      </c>
      <c r="E3397" s="720" t="s">
        <v>1965</v>
      </c>
      <c r="F3397" s="824">
        <v>1150</v>
      </c>
      <c r="G3397" s="800" t="s">
        <v>401</v>
      </c>
      <c r="H3397" s="706">
        <v>430758</v>
      </c>
      <c r="I3397" s="801"/>
      <c r="J3397" s="1654">
        <v>336568</v>
      </c>
      <c r="K3397" s="802"/>
      <c r="L3397" s="706">
        <v>485950</v>
      </c>
      <c r="M3397" s="801"/>
      <c r="N3397" s="305"/>
      <c r="O3397" s="7"/>
      <c r="P3397" s="7"/>
      <c r="Q3397" s="7"/>
    </row>
    <row r="3398" spans="1:32">
      <c r="A3398" s="663"/>
      <c r="B3398" s="3130" t="s">
        <v>326</v>
      </c>
      <c r="C3398" s="663" t="s">
        <v>321</v>
      </c>
      <c r="D3398" s="678" t="s">
        <v>1979</v>
      </c>
      <c r="E3398" s="700" t="s">
        <v>1965</v>
      </c>
      <c r="F3398" s="795">
        <v>1150</v>
      </c>
      <c r="G3398" s="812" t="s">
        <v>753</v>
      </c>
      <c r="H3398" s="701"/>
      <c r="I3398" s="701">
        <v>430758</v>
      </c>
      <c r="J3398" s="1654" t="s">
        <v>1134</v>
      </c>
      <c r="K3398" s="792"/>
      <c r="L3398" s="701"/>
      <c r="M3398" s="701">
        <v>485950</v>
      </c>
      <c r="N3398" s="305"/>
      <c r="O3398" s="4"/>
      <c r="P3398" s="4"/>
      <c r="Q3398" s="4"/>
      <c r="R3398" s="4"/>
      <c r="S3398" s="4"/>
      <c r="T3398" s="4"/>
      <c r="U3398" s="4"/>
      <c r="V3398" s="4"/>
      <c r="W3398" s="4"/>
      <c r="X3398" s="4"/>
      <c r="Y3398" s="4"/>
      <c r="Z3398" s="4"/>
      <c r="AA3398" s="4"/>
      <c r="AB3398" s="4"/>
      <c r="AC3398" s="4"/>
      <c r="AD3398" s="4"/>
      <c r="AE3398" s="4"/>
      <c r="AF3398" s="4"/>
    </row>
    <row r="3399" spans="1:32">
      <c r="A3399" s="683"/>
      <c r="B3399" s="3129" t="s">
        <v>326</v>
      </c>
      <c r="C3399" s="683" t="s">
        <v>321</v>
      </c>
      <c r="D3399" s="719" t="s">
        <v>1979</v>
      </c>
      <c r="E3399" s="720" t="s">
        <v>1965</v>
      </c>
      <c r="F3399" s="824">
        <v>1210</v>
      </c>
      <c r="G3399" s="800" t="s">
        <v>113</v>
      </c>
      <c r="H3399" s="706">
        <v>93110</v>
      </c>
      <c r="I3399" s="801"/>
      <c r="J3399" s="1654">
        <v>78128</v>
      </c>
      <c r="K3399" s="802"/>
      <c r="L3399" s="706">
        <v>114634.995</v>
      </c>
      <c r="M3399" s="801"/>
      <c r="N3399" s="305"/>
      <c r="O3399" s="7"/>
      <c r="P3399" s="7"/>
      <c r="Q3399" s="7"/>
    </row>
    <row r="3400" spans="1:32">
      <c r="A3400" s="663"/>
      <c r="B3400" s="3130" t="s">
        <v>326</v>
      </c>
      <c r="C3400" s="663" t="s">
        <v>321</v>
      </c>
      <c r="D3400" s="678" t="s">
        <v>1979</v>
      </c>
      <c r="E3400" s="700" t="s">
        <v>1965</v>
      </c>
      <c r="F3400" s="795">
        <v>1210</v>
      </c>
      <c r="G3400" s="812" t="s">
        <v>753</v>
      </c>
      <c r="H3400" s="701"/>
      <c r="I3400" s="701">
        <v>93110</v>
      </c>
      <c r="J3400" s="1654" t="s">
        <v>1134</v>
      </c>
      <c r="K3400" s="792"/>
      <c r="L3400" s="701"/>
      <c r="M3400" s="714">
        <v>114634.995</v>
      </c>
      <c r="N3400" s="305"/>
      <c r="O3400" s="4"/>
      <c r="P3400" s="4"/>
      <c r="Q3400" s="4"/>
      <c r="R3400" s="4"/>
      <c r="S3400" s="4"/>
      <c r="T3400" s="4"/>
      <c r="U3400" s="4"/>
      <c r="V3400" s="4"/>
      <c r="W3400" s="4"/>
      <c r="X3400" s="4"/>
      <c r="Y3400" s="4"/>
      <c r="Z3400" s="4"/>
      <c r="AA3400" s="4"/>
      <c r="AB3400" s="4"/>
      <c r="AC3400" s="4"/>
      <c r="AD3400" s="4"/>
      <c r="AE3400" s="4"/>
      <c r="AF3400" s="4"/>
    </row>
    <row r="3401" spans="1:32" ht="20.399999999999999">
      <c r="A3401" s="683"/>
      <c r="B3401" s="3129" t="s">
        <v>326</v>
      </c>
      <c r="C3401" s="683" t="s">
        <v>321</v>
      </c>
      <c r="D3401" s="719" t="s">
        <v>1979</v>
      </c>
      <c r="E3401" s="720" t="s">
        <v>1965</v>
      </c>
      <c r="F3401" s="824">
        <v>1228</v>
      </c>
      <c r="G3401" s="800" t="s">
        <v>635</v>
      </c>
      <c r="H3401" s="706">
        <v>3265</v>
      </c>
      <c r="I3401" s="801"/>
      <c r="J3401" s="1654">
        <v>2032</v>
      </c>
      <c r="K3401" s="802"/>
      <c r="L3401" s="706">
        <v>5800</v>
      </c>
      <c r="M3401" s="801"/>
      <c r="N3401" s="305"/>
      <c r="O3401" s="7"/>
      <c r="P3401" s="7"/>
      <c r="Q3401" s="7"/>
    </row>
    <row r="3402" spans="1:32">
      <c r="A3402" s="663"/>
      <c r="B3402" s="3130" t="s">
        <v>326</v>
      </c>
      <c r="C3402" s="663" t="s">
        <v>321</v>
      </c>
      <c r="D3402" s="678" t="s">
        <v>1979</v>
      </c>
      <c r="E3402" s="700" t="s">
        <v>1965</v>
      </c>
      <c r="F3402" s="795">
        <v>1228</v>
      </c>
      <c r="G3402" s="750"/>
      <c r="H3402" s="701"/>
      <c r="I3402" s="701">
        <v>3265</v>
      </c>
      <c r="J3402" s="1654" t="s">
        <v>1134</v>
      </c>
      <c r="K3402" s="792"/>
      <c r="L3402" s="701"/>
      <c r="M3402" s="701">
        <v>5800</v>
      </c>
      <c r="N3402" s="305"/>
      <c r="O3402" s="3"/>
      <c r="P3402" s="3"/>
      <c r="Q3402" s="3"/>
    </row>
    <row r="3403" spans="1:32">
      <c r="A3403" s="683"/>
      <c r="B3403" s="3129" t="s">
        <v>326</v>
      </c>
      <c r="C3403" s="683" t="s">
        <v>321</v>
      </c>
      <c r="D3403" s="719" t="s">
        <v>1979</v>
      </c>
      <c r="E3403" s="720" t="s">
        <v>1965</v>
      </c>
      <c r="F3403" s="824">
        <v>2233</v>
      </c>
      <c r="G3403" s="800" t="s">
        <v>145</v>
      </c>
      <c r="H3403" s="706">
        <v>16990</v>
      </c>
      <c r="I3403" s="801"/>
      <c r="J3403" s="1654">
        <v>0</v>
      </c>
      <c r="K3403" s="802"/>
      <c r="L3403" s="706">
        <v>1500</v>
      </c>
      <c r="M3403" s="801"/>
      <c r="N3403" s="305"/>
      <c r="O3403" s="7"/>
      <c r="P3403" s="7"/>
      <c r="Q3403" s="7"/>
    </row>
    <row r="3404" spans="1:32">
      <c r="A3404" s="663"/>
      <c r="B3404" s="3130" t="s">
        <v>326</v>
      </c>
      <c r="C3404" s="663" t="s">
        <v>321</v>
      </c>
      <c r="D3404" s="678" t="s">
        <v>1979</v>
      </c>
      <c r="E3404" s="700" t="s">
        <v>1965</v>
      </c>
      <c r="F3404" s="795">
        <v>2233</v>
      </c>
      <c r="G3404" s="812" t="s">
        <v>753</v>
      </c>
      <c r="H3404" s="701"/>
      <c r="I3404" s="701">
        <v>18990</v>
      </c>
      <c r="J3404" s="1654" t="s">
        <v>1134</v>
      </c>
      <c r="K3404" s="792"/>
      <c r="L3404" s="701"/>
      <c r="M3404" s="2188">
        <v>1500</v>
      </c>
      <c r="N3404" s="305"/>
      <c r="O3404" s="7"/>
      <c r="P3404" s="7"/>
      <c r="Q3404" s="7"/>
    </row>
    <row r="3405" spans="1:32" ht="20.399999999999999">
      <c r="A3405" s="663"/>
      <c r="B3405" s="3130" t="s">
        <v>326</v>
      </c>
      <c r="C3405" s="663" t="s">
        <v>321</v>
      </c>
      <c r="D3405" s="678" t="s">
        <v>1979</v>
      </c>
      <c r="E3405" s="700" t="s">
        <v>1965</v>
      </c>
      <c r="F3405" s="795">
        <v>2233</v>
      </c>
      <c r="G3405" s="812" t="s">
        <v>3100</v>
      </c>
      <c r="H3405" s="701"/>
      <c r="I3405" s="701">
        <v>-2000</v>
      </c>
      <c r="J3405" s="1654" t="s">
        <v>1134</v>
      </c>
      <c r="K3405" s="792"/>
      <c r="L3405" s="701"/>
      <c r="M3405" s="701"/>
      <c r="N3405" s="305"/>
      <c r="O3405" s="3"/>
      <c r="P3405" s="3"/>
      <c r="Q3405" s="3"/>
    </row>
    <row r="3406" spans="1:32" ht="11.4" customHeight="1">
      <c r="A3406" s="683"/>
      <c r="B3406" s="3129" t="s">
        <v>326</v>
      </c>
      <c r="C3406" s="683" t="s">
        <v>321</v>
      </c>
      <c r="D3406" s="719" t="s">
        <v>1979</v>
      </c>
      <c r="E3406" s="720" t="s">
        <v>1965</v>
      </c>
      <c r="F3406" s="824">
        <v>2235</v>
      </c>
      <c r="G3406" s="800" t="s">
        <v>931</v>
      </c>
      <c r="H3406" s="706">
        <v>420</v>
      </c>
      <c r="I3406" s="801"/>
      <c r="J3406" s="1654">
        <v>420</v>
      </c>
      <c r="K3406" s="802"/>
      <c r="L3406" s="706">
        <v>420</v>
      </c>
      <c r="M3406" s="801"/>
      <c r="N3406" s="305"/>
      <c r="O3406" s="4"/>
      <c r="P3406" s="4"/>
      <c r="Q3406" s="4"/>
      <c r="R3406" s="4"/>
      <c r="S3406" s="4"/>
      <c r="T3406" s="4"/>
      <c r="U3406" s="4"/>
      <c r="V3406" s="4"/>
      <c r="W3406" s="4"/>
      <c r="X3406" s="4"/>
      <c r="Y3406" s="4"/>
      <c r="Z3406" s="4"/>
      <c r="AA3406" s="4"/>
      <c r="AB3406" s="4"/>
      <c r="AC3406" s="4"/>
      <c r="AD3406" s="4"/>
      <c r="AE3406" s="4"/>
      <c r="AF3406" s="4"/>
    </row>
    <row r="3407" spans="1:32">
      <c r="A3407" s="663"/>
      <c r="B3407" s="3130" t="s">
        <v>326</v>
      </c>
      <c r="C3407" s="663" t="s">
        <v>321</v>
      </c>
      <c r="D3407" s="678" t="s">
        <v>1979</v>
      </c>
      <c r="E3407" s="700" t="s">
        <v>1965</v>
      </c>
      <c r="F3407" s="795">
        <v>2235</v>
      </c>
      <c r="G3407" s="812" t="s">
        <v>2250</v>
      </c>
      <c r="H3407" s="701"/>
      <c r="I3407" s="701">
        <v>240</v>
      </c>
      <c r="J3407" s="1654" t="s">
        <v>1134</v>
      </c>
      <c r="K3407" s="792"/>
      <c r="L3407" s="701"/>
      <c r="M3407" s="701">
        <v>420</v>
      </c>
      <c r="N3407" s="305"/>
      <c r="O3407" s="187"/>
      <c r="P3407" s="187"/>
      <c r="Q3407" s="187"/>
      <c r="R3407" s="187"/>
      <c r="S3407" s="187"/>
      <c r="T3407" s="187"/>
      <c r="U3407" s="187"/>
      <c r="V3407" s="187"/>
      <c r="W3407" s="187"/>
      <c r="X3407" s="187"/>
      <c r="Y3407" s="187"/>
      <c r="Z3407" s="187"/>
      <c r="AA3407" s="187"/>
      <c r="AB3407" s="187"/>
      <c r="AC3407" s="187"/>
      <c r="AD3407" s="187"/>
      <c r="AE3407" s="187"/>
      <c r="AF3407" s="187"/>
    </row>
    <row r="3408" spans="1:32" ht="20.399999999999999">
      <c r="A3408" s="603"/>
      <c r="B3408" s="3130" t="s">
        <v>326</v>
      </c>
      <c r="C3408" s="663" t="s">
        <v>321</v>
      </c>
      <c r="D3408" s="678" t="s">
        <v>1979</v>
      </c>
      <c r="E3408" s="700" t="s">
        <v>1965</v>
      </c>
      <c r="F3408" s="795">
        <v>2235</v>
      </c>
      <c r="G3408" s="1448" t="s">
        <v>3176</v>
      </c>
      <c r="H3408" s="1165"/>
      <c r="I3408" s="1165">
        <v>160</v>
      </c>
      <c r="J3408" s="1654" t="s">
        <v>1134</v>
      </c>
      <c r="K3408" s="1439"/>
      <c r="L3408" s="1165"/>
      <c r="M3408" s="1165"/>
      <c r="N3408" s="381" t="s">
        <v>4260</v>
      </c>
      <c r="O3408" s="4"/>
      <c r="P3408" s="4"/>
      <c r="Q3408" s="4"/>
      <c r="R3408" s="4"/>
      <c r="S3408" s="4"/>
      <c r="T3408" s="4"/>
      <c r="U3408" s="4"/>
      <c r="V3408" s="4"/>
      <c r="W3408" s="4"/>
      <c r="X3408" s="4"/>
      <c r="Y3408" s="4"/>
      <c r="Z3408" s="4"/>
      <c r="AA3408" s="4"/>
      <c r="AB3408" s="4"/>
      <c r="AC3408" s="4"/>
      <c r="AD3408" s="4"/>
      <c r="AE3408" s="4"/>
      <c r="AF3408" s="4"/>
    </row>
    <row r="3409" spans="1:32">
      <c r="A3409" s="603"/>
      <c r="B3409" s="3130" t="s">
        <v>326</v>
      </c>
      <c r="C3409" s="663" t="s">
        <v>321</v>
      </c>
      <c r="D3409" s="678" t="s">
        <v>1979</v>
      </c>
      <c r="E3409" s="700" t="s">
        <v>1965</v>
      </c>
      <c r="F3409" s="795">
        <v>2235</v>
      </c>
      <c r="G3409" s="1448" t="s">
        <v>3243</v>
      </c>
      <c r="H3409" s="1165"/>
      <c r="I3409" s="1165">
        <v>20</v>
      </c>
      <c r="J3409" s="1654" t="s">
        <v>1134</v>
      </c>
      <c r="K3409" s="1439"/>
      <c r="L3409" s="1165"/>
      <c r="M3409" s="1165"/>
      <c r="N3409" s="305"/>
      <c r="O3409" s="4"/>
      <c r="P3409" s="4"/>
      <c r="Q3409" s="4"/>
      <c r="R3409" s="4"/>
      <c r="S3409" s="4"/>
      <c r="T3409" s="4"/>
      <c r="U3409" s="4"/>
      <c r="V3409" s="4"/>
      <c r="W3409" s="4"/>
      <c r="X3409" s="4"/>
      <c r="Y3409" s="4"/>
      <c r="Z3409" s="4"/>
      <c r="AA3409" s="4"/>
      <c r="AB3409" s="4"/>
      <c r="AC3409" s="4"/>
      <c r="AD3409" s="4"/>
      <c r="AE3409" s="4"/>
      <c r="AF3409" s="4"/>
    </row>
    <row r="3410" spans="1:32">
      <c r="A3410" s="683"/>
      <c r="B3410" s="3129" t="s">
        <v>326</v>
      </c>
      <c r="C3410" s="683" t="s">
        <v>321</v>
      </c>
      <c r="D3410" s="719" t="s">
        <v>1979</v>
      </c>
      <c r="E3410" s="720" t="s">
        <v>1965</v>
      </c>
      <c r="F3410" s="824">
        <v>2239</v>
      </c>
      <c r="G3410" s="800" t="s">
        <v>1017</v>
      </c>
      <c r="H3410" s="706">
        <v>1420</v>
      </c>
      <c r="I3410" s="801"/>
      <c r="J3410" s="1654">
        <v>653</v>
      </c>
      <c r="K3410" s="802"/>
      <c r="L3410" s="706">
        <v>1000</v>
      </c>
      <c r="M3410" s="801"/>
      <c r="N3410" s="305"/>
      <c r="O3410" s="187"/>
      <c r="P3410" s="187"/>
      <c r="Q3410" s="187"/>
      <c r="R3410" s="187"/>
      <c r="S3410" s="187"/>
      <c r="T3410" s="187"/>
      <c r="U3410" s="187"/>
      <c r="V3410" s="187"/>
      <c r="W3410" s="187"/>
      <c r="X3410" s="187"/>
      <c r="Y3410" s="187"/>
      <c r="Z3410" s="187"/>
      <c r="AA3410" s="187"/>
      <c r="AB3410" s="187"/>
      <c r="AC3410" s="187"/>
      <c r="AD3410" s="187"/>
      <c r="AE3410" s="187"/>
      <c r="AF3410" s="187"/>
    </row>
    <row r="3411" spans="1:32" ht="20.399999999999999">
      <c r="A3411" s="663"/>
      <c r="B3411" s="3130" t="s">
        <v>326</v>
      </c>
      <c r="C3411" s="663" t="s">
        <v>321</v>
      </c>
      <c r="D3411" s="678" t="s">
        <v>1979</v>
      </c>
      <c r="E3411" s="700" t="s">
        <v>1965</v>
      </c>
      <c r="F3411" s="795">
        <v>2239</v>
      </c>
      <c r="G3411" s="812" t="s">
        <v>4360</v>
      </c>
      <c r="H3411" s="701"/>
      <c r="I3411" s="701">
        <v>1600</v>
      </c>
      <c r="J3411" s="1654" t="s">
        <v>1134</v>
      </c>
      <c r="K3411" s="792"/>
      <c r="L3411" s="701"/>
      <c r="M3411" s="701">
        <v>1000</v>
      </c>
      <c r="N3411" s="381" t="s">
        <v>4261</v>
      </c>
    </row>
    <row r="3412" spans="1:32">
      <c r="A3412" s="663"/>
      <c r="B3412" s="3130" t="s">
        <v>326</v>
      </c>
      <c r="C3412" s="663" t="s">
        <v>321</v>
      </c>
      <c r="D3412" s="678" t="s">
        <v>1979</v>
      </c>
      <c r="E3412" s="700" t="s">
        <v>1965</v>
      </c>
      <c r="F3412" s="795">
        <v>2239</v>
      </c>
      <c r="G3412" s="1448" t="s">
        <v>3176</v>
      </c>
      <c r="H3412" s="701"/>
      <c r="I3412" s="701">
        <v>-160</v>
      </c>
      <c r="J3412" s="1654" t="s">
        <v>1134</v>
      </c>
      <c r="K3412" s="792"/>
      <c r="L3412" s="701"/>
      <c r="M3412" s="701"/>
      <c r="N3412" s="305"/>
      <c r="O3412" s="187"/>
      <c r="P3412" s="187"/>
      <c r="Q3412" s="187"/>
      <c r="R3412" s="187"/>
      <c r="S3412" s="187"/>
      <c r="T3412" s="187"/>
      <c r="U3412" s="187"/>
      <c r="V3412" s="187"/>
      <c r="W3412" s="187"/>
      <c r="X3412" s="187"/>
      <c r="Y3412" s="187"/>
      <c r="Z3412" s="187"/>
      <c r="AA3412" s="187"/>
      <c r="AB3412" s="187"/>
      <c r="AC3412" s="187"/>
      <c r="AD3412" s="187"/>
      <c r="AE3412" s="187"/>
      <c r="AF3412" s="187"/>
    </row>
    <row r="3413" spans="1:32">
      <c r="A3413" s="603"/>
      <c r="B3413" s="3130" t="s">
        <v>326</v>
      </c>
      <c r="C3413" s="663" t="s">
        <v>321</v>
      </c>
      <c r="D3413" s="678" t="s">
        <v>1979</v>
      </c>
      <c r="E3413" s="700" t="s">
        <v>1965</v>
      </c>
      <c r="F3413" s="795">
        <v>2239</v>
      </c>
      <c r="G3413" s="1448" t="s">
        <v>3243</v>
      </c>
      <c r="H3413" s="1165"/>
      <c r="I3413" s="1165">
        <v>-20</v>
      </c>
      <c r="J3413" s="1654" t="s">
        <v>1134</v>
      </c>
      <c r="K3413" s="1439"/>
      <c r="L3413" s="1165"/>
      <c r="M3413" s="1165"/>
      <c r="N3413" s="305"/>
    </row>
    <row r="3414" spans="1:32" ht="20.399999999999999">
      <c r="A3414" s="683"/>
      <c r="B3414" s="3129" t="s">
        <v>326</v>
      </c>
      <c r="C3414" s="683" t="s">
        <v>321</v>
      </c>
      <c r="D3414" s="719" t="s">
        <v>1979</v>
      </c>
      <c r="E3414" s="720" t="s">
        <v>1965</v>
      </c>
      <c r="F3414" s="824">
        <v>2264</v>
      </c>
      <c r="G3414" s="800" t="s">
        <v>1288</v>
      </c>
      <c r="H3414" s="706">
        <v>700</v>
      </c>
      <c r="I3414" s="801"/>
      <c r="J3414" s="1654">
        <v>218</v>
      </c>
      <c r="K3414" s="802"/>
      <c r="L3414" s="706">
        <v>500</v>
      </c>
      <c r="M3414" s="801"/>
      <c r="N3414" s="381" t="s">
        <v>4263</v>
      </c>
      <c r="O3414" s="187"/>
      <c r="P3414" s="187"/>
      <c r="Q3414" s="187"/>
      <c r="R3414" s="187"/>
      <c r="S3414" s="187"/>
      <c r="T3414" s="187"/>
      <c r="U3414" s="187"/>
      <c r="V3414" s="187"/>
      <c r="W3414" s="187"/>
      <c r="X3414" s="187"/>
      <c r="Y3414" s="187"/>
      <c r="Z3414" s="187"/>
      <c r="AA3414" s="187"/>
      <c r="AB3414" s="187"/>
      <c r="AC3414" s="187"/>
      <c r="AD3414" s="187"/>
      <c r="AE3414" s="187"/>
      <c r="AF3414" s="187"/>
    </row>
    <row r="3415" spans="1:32">
      <c r="A3415" s="663"/>
      <c r="B3415" s="3130" t="s">
        <v>326</v>
      </c>
      <c r="C3415" s="663" t="s">
        <v>321</v>
      </c>
      <c r="D3415" s="678" t="s">
        <v>1979</v>
      </c>
      <c r="E3415" s="700" t="s">
        <v>1965</v>
      </c>
      <c r="F3415" s="795">
        <v>2264</v>
      </c>
      <c r="G3415" s="812" t="s">
        <v>2251</v>
      </c>
      <c r="H3415" s="701"/>
      <c r="I3415" s="701">
        <v>700</v>
      </c>
      <c r="J3415" s="1654" t="s">
        <v>1134</v>
      </c>
      <c r="K3415" s="792"/>
      <c r="L3415" s="701"/>
      <c r="M3415" s="701">
        <v>500</v>
      </c>
      <c r="N3415" s="305"/>
    </row>
    <row r="3416" spans="1:32">
      <c r="A3416" s="683"/>
      <c r="B3416" s="3129" t="s">
        <v>326</v>
      </c>
      <c r="C3416" s="683" t="s">
        <v>321</v>
      </c>
      <c r="D3416" s="719" t="s">
        <v>1979</v>
      </c>
      <c r="E3416" s="720" t="s">
        <v>1965</v>
      </c>
      <c r="F3416" s="824">
        <v>2312</v>
      </c>
      <c r="G3416" s="800" t="s">
        <v>207</v>
      </c>
      <c r="H3416" s="706">
        <v>3960</v>
      </c>
      <c r="I3416" s="801"/>
      <c r="J3416" s="1654">
        <v>1907</v>
      </c>
      <c r="K3416" s="802"/>
      <c r="L3416" s="706">
        <v>5765</v>
      </c>
      <c r="M3416" s="801"/>
      <c r="N3416" s="305"/>
      <c r="O3416" s="187"/>
      <c r="P3416" s="187"/>
      <c r="Q3416" s="187"/>
      <c r="R3416" s="187"/>
      <c r="S3416" s="187"/>
      <c r="T3416" s="187"/>
      <c r="U3416" s="187"/>
      <c r="V3416" s="187"/>
      <c r="W3416" s="187"/>
      <c r="X3416" s="187"/>
      <c r="Y3416" s="187"/>
      <c r="Z3416" s="187"/>
      <c r="AA3416" s="187"/>
      <c r="AB3416" s="187"/>
      <c r="AC3416" s="187"/>
      <c r="AD3416" s="187"/>
      <c r="AE3416" s="187"/>
      <c r="AF3416" s="187"/>
    </row>
    <row r="3417" spans="1:32">
      <c r="A3417" s="663"/>
      <c r="B3417" s="3130" t="s">
        <v>326</v>
      </c>
      <c r="C3417" s="663" t="s">
        <v>321</v>
      </c>
      <c r="D3417" s="678" t="s">
        <v>1979</v>
      </c>
      <c r="E3417" s="700" t="s">
        <v>1965</v>
      </c>
      <c r="F3417" s="795">
        <v>2312</v>
      </c>
      <c r="G3417" s="812" t="s">
        <v>1602</v>
      </c>
      <c r="H3417" s="701"/>
      <c r="I3417" s="701">
        <v>2000</v>
      </c>
      <c r="J3417" s="1654" t="s">
        <v>1134</v>
      </c>
      <c r="K3417" s="792"/>
      <c r="L3417" s="701"/>
      <c r="M3417" s="701">
        <v>2000</v>
      </c>
      <c r="N3417" s="305"/>
    </row>
    <row r="3418" spans="1:32">
      <c r="A3418" s="663"/>
      <c r="B3418" s="3130" t="s">
        <v>326</v>
      </c>
      <c r="C3418" s="663" t="s">
        <v>321</v>
      </c>
      <c r="D3418" s="678" t="s">
        <v>1979</v>
      </c>
      <c r="E3418" s="700" t="s">
        <v>1965</v>
      </c>
      <c r="F3418" s="795">
        <v>2312</v>
      </c>
      <c r="G3418" s="812" t="s">
        <v>2252</v>
      </c>
      <c r="H3418" s="701"/>
      <c r="I3418" s="701">
        <v>800</v>
      </c>
      <c r="J3418" s="1654" t="s">
        <v>1134</v>
      </c>
      <c r="K3418" s="792"/>
      <c r="L3418" s="701"/>
      <c r="M3418" s="701">
        <v>800</v>
      </c>
      <c r="N3418" s="305" t="s">
        <v>4264</v>
      </c>
      <c r="O3418" s="187"/>
      <c r="P3418" s="187"/>
      <c r="Q3418" s="187"/>
      <c r="R3418" s="187"/>
      <c r="S3418" s="187"/>
      <c r="T3418" s="187"/>
      <c r="U3418" s="187"/>
      <c r="V3418" s="187"/>
      <c r="W3418" s="187"/>
      <c r="X3418" s="187"/>
      <c r="Y3418" s="187"/>
      <c r="Z3418" s="187"/>
      <c r="AA3418" s="187"/>
      <c r="AB3418" s="187"/>
      <c r="AC3418" s="187"/>
      <c r="AD3418" s="187"/>
      <c r="AE3418" s="187"/>
      <c r="AF3418" s="187"/>
    </row>
    <row r="3419" spans="1:32">
      <c r="A3419" s="663"/>
      <c r="B3419" s="3130" t="s">
        <v>326</v>
      </c>
      <c r="C3419" s="663" t="s">
        <v>321</v>
      </c>
      <c r="D3419" s="678" t="s">
        <v>1979</v>
      </c>
      <c r="E3419" s="700" t="s">
        <v>1965</v>
      </c>
      <c r="F3419" s="795">
        <v>2312</v>
      </c>
      <c r="G3419" s="2182" t="s">
        <v>4361</v>
      </c>
      <c r="H3419" s="2188"/>
      <c r="I3419" s="2188"/>
      <c r="J3419" s="2191" t="s">
        <v>1134</v>
      </c>
      <c r="K3419" s="2205"/>
      <c r="L3419" s="2188"/>
      <c r="M3419" s="2188">
        <v>1600</v>
      </c>
      <c r="N3419" s="305"/>
    </row>
    <row r="3420" spans="1:32">
      <c r="A3420" s="663"/>
      <c r="B3420" s="3130" t="s">
        <v>326</v>
      </c>
      <c r="C3420" s="663" t="s">
        <v>321</v>
      </c>
      <c r="D3420" s="678" t="s">
        <v>1979</v>
      </c>
      <c r="E3420" s="700" t="s">
        <v>1965</v>
      </c>
      <c r="F3420" s="795">
        <v>2312</v>
      </c>
      <c r="G3420" s="2182" t="s">
        <v>4362</v>
      </c>
      <c r="H3420" s="2188"/>
      <c r="I3420" s="2188"/>
      <c r="J3420" s="2191" t="s">
        <v>1134</v>
      </c>
      <c r="K3420" s="2205"/>
      <c r="L3420" s="2188"/>
      <c r="M3420" s="2188">
        <v>365</v>
      </c>
      <c r="N3420" s="381" t="s">
        <v>4265</v>
      </c>
      <c r="O3420" s="187"/>
      <c r="P3420" s="187"/>
      <c r="Q3420" s="187"/>
      <c r="R3420" s="187"/>
      <c r="S3420" s="187"/>
      <c r="T3420" s="187"/>
      <c r="U3420" s="187"/>
      <c r="V3420" s="187"/>
      <c r="W3420" s="187"/>
      <c r="X3420" s="187"/>
      <c r="Y3420" s="187"/>
      <c r="Z3420" s="187"/>
      <c r="AA3420" s="187"/>
      <c r="AB3420" s="187"/>
      <c r="AC3420" s="187"/>
      <c r="AD3420" s="187"/>
      <c r="AE3420" s="187"/>
      <c r="AF3420" s="187"/>
    </row>
    <row r="3421" spans="1:32" ht="20.399999999999999">
      <c r="A3421" s="663"/>
      <c r="B3421" s="3130" t="s">
        <v>326</v>
      </c>
      <c r="C3421" s="663" t="s">
        <v>321</v>
      </c>
      <c r="D3421" s="678" t="s">
        <v>1979</v>
      </c>
      <c r="E3421" s="700" t="s">
        <v>1965</v>
      </c>
      <c r="F3421" s="795">
        <v>2312</v>
      </c>
      <c r="G3421" s="2182" t="s">
        <v>2253</v>
      </c>
      <c r="H3421" s="2188"/>
      <c r="I3421" s="2188">
        <v>1000</v>
      </c>
      <c r="J3421" s="2191" t="s">
        <v>1134</v>
      </c>
      <c r="K3421" s="2205"/>
      <c r="L3421" s="2188"/>
      <c r="M3421" s="2188">
        <v>1000</v>
      </c>
      <c r="N3421" s="381" t="s">
        <v>4266</v>
      </c>
    </row>
    <row r="3422" spans="1:32" ht="20.399999999999999">
      <c r="A3422" s="683"/>
      <c r="B3422" s="3129" t="s">
        <v>326</v>
      </c>
      <c r="C3422" s="683" t="s">
        <v>321</v>
      </c>
      <c r="D3422" s="719" t="s">
        <v>1979</v>
      </c>
      <c r="E3422" s="720" t="s">
        <v>1965</v>
      </c>
      <c r="F3422" s="824">
        <v>2314</v>
      </c>
      <c r="G3422" s="800" t="s">
        <v>1435</v>
      </c>
      <c r="H3422" s="706">
        <v>200</v>
      </c>
      <c r="I3422" s="801"/>
      <c r="J3422" s="1654">
        <v>0</v>
      </c>
      <c r="K3422" s="802"/>
      <c r="L3422" s="706">
        <v>150</v>
      </c>
      <c r="M3422" s="801"/>
      <c r="N3422" s="305"/>
      <c r="O3422" s="187"/>
      <c r="P3422" s="187"/>
      <c r="Q3422" s="187"/>
      <c r="R3422" s="187"/>
      <c r="S3422" s="187"/>
      <c r="T3422" s="187"/>
      <c r="U3422" s="187"/>
      <c r="V3422" s="187"/>
      <c r="W3422" s="187"/>
      <c r="X3422" s="187"/>
      <c r="Y3422" s="187"/>
      <c r="Z3422" s="187"/>
      <c r="AA3422" s="187"/>
      <c r="AB3422" s="187"/>
      <c r="AC3422" s="187"/>
      <c r="AD3422" s="187"/>
      <c r="AE3422" s="187"/>
      <c r="AF3422" s="187"/>
    </row>
    <row r="3423" spans="1:32">
      <c r="A3423" s="663"/>
      <c r="B3423" s="3130" t="s">
        <v>326</v>
      </c>
      <c r="C3423" s="663" t="s">
        <v>321</v>
      </c>
      <c r="D3423" s="678" t="s">
        <v>1979</v>
      </c>
      <c r="E3423" s="700" t="s">
        <v>1965</v>
      </c>
      <c r="F3423" s="795">
        <v>2314</v>
      </c>
      <c r="G3423" s="812" t="s">
        <v>174</v>
      </c>
      <c r="H3423" s="701"/>
      <c r="I3423" s="701">
        <v>200</v>
      </c>
      <c r="J3423" s="1654" t="s">
        <v>1134</v>
      </c>
      <c r="K3423" s="792"/>
      <c r="L3423" s="701"/>
      <c r="M3423" s="701">
        <v>150</v>
      </c>
      <c r="N3423" s="305"/>
    </row>
    <row r="3424" spans="1:32">
      <c r="A3424" s="683"/>
      <c r="B3424" s="3129" t="s">
        <v>326</v>
      </c>
      <c r="C3424" s="683" t="s">
        <v>321</v>
      </c>
      <c r="D3424" s="719" t="s">
        <v>1979</v>
      </c>
      <c r="E3424" s="720" t="s">
        <v>1965</v>
      </c>
      <c r="F3424" s="824">
        <v>2322</v>
      </c>
      <c r="G3424" s="800" t="s">
        <v>191</v>
      </c>
      <c r="H3424" s="706">
        <v>1400</v>
      </c>
      <c r="I3424" s="801"/>
      <c r="J3424" s="1654">
        <v>709.32</v>
      </c>
      <c r="K3424" s="802"/>
      <c r="L3424" s="706">
        <v>0</v>
      </c>
      <c r="M3424" s="801"/>
      <c r="N3424" s="305"/>
    </row>
    <row r="3425" spans="1:32">
      <c r="A3425" s="663"/>
      <c r="B3425" s="3130" t="s">
        <v>326</v>
      </c>
      <c r="C3425" s="663" t="s">
        <v>321</v>
      </c>
      <c r="D3425" s="678" t="s">
        <v>1979</v>
      </c>
      <c r="E3425" s="700" t="s">
        <v>1965</v>
      </c>
      <c r="F3425" s="795">
        <v>2322</v>
      </c>
      <c r="G3425" s="812" t="s">
        <v>1182</v>
      </c>
      <c r="H3425" s="701"/>
      <c r="I3425" s="701">
        <v>1400</v>
      </c>
      <c r="J3425" s="1654" t="s">
        <v>1134</v>
      </c>
      <c r="K3425" s="792"/>
      <c r="L3425" s="701"/>
      <c r="M3425" s="701"/>
      <c r="N3425" s="305" t="s">
        <v>4268</v>
      </c>
      <c r="O3425" s="187"/>
      <c r="P3425" s="187"/>
      <c r="Q3425" s="187"/>
      <c r="R3425" s="187"/>
      <c r="S3425" s="187"/>
      <c r="T3425" s="187"/>
      <c r="U3425" s="187"/>
      <c r="V3425" s="187"/>
      <c r="W3425" s="187"/>
      <c r="X3425" s="187"/>
      <c r="Y3425" s="187"/>
      <c r="Z3425" s="187"/>
      <c r="AA3425" s="187"/>
      <c r="AB3425" s="187"/>
      <c r="AC3425" s="187"/>
      <c r="AD3425" s="187"/>
      <c r="AE3425" s="187"/>
      <c r="AF3425" s="187"/>
    </row>
    <row r="3426" spans="1:32">
      <c r="A3426" s="683"/>
      <c r="B3426" s="3129" t="s">
        <v>326</v>
      </c>
      <c r="C3426" s="683" t="s">
        <v>321</v>
      </c>
      <c r="D3426" s="719" t="s">
        <v>1979</v>
      </c>
      <c r="E3426" s="720" t="s">
        <v>1965</v>
      </c>
      <c r="F3426" s="824">
        <v>2350</v>
      </c>
      <c r="G3426" s="800" t="s">
        <v>1044</v>
      </c>
      <c r="H3426" s="706">
        <v>2000</v>
      </c>
      <c r="I3426" s="801"/>
      <c r="J3426" s="1654">
        <v>66.209999999999994</v>
      </c>
      <c r="K3426" s="802"/>
      <c r="L3426" s="706">
        <v>1400</v>
      </c>
      <c r="M3426" s="801"/>
      <c r="N3426" s="305"/>
    </row>
    <row r="3427" spans="1:32">
      <c r="A3427" s="663"/>
      <c r="B3427" s="3130" t="s">
        <v>326</v>
      </c>
      <c r="C3427" s="663" t="s">
        <v>321</v>
      </c>
      <c r="D3427" s="678" t="s">
        <v>1979</v>
      </c>
      <c r="E3427" s="700" t="s">
        <v>1965</v>
      </c>
      <c r="F3427" s="795">
        <v>2350</v>
      </c>
      <c r="G3427" s="812"/>
      <c r="H3427" s="701"/>
      <c r="I3427" s="701">
        <v>2000</v>
      </c>
      <c r="J3427" s="1654" t="s">
        <v>1134</v>
      </c>
      <c r="K3427" s="792"/>
      <c r="L3427" s="701"/>
      <c r="M3427" s="701">
        <v>1400</v>
      </c>
      <c r="N3427" s="305" t="s">
        <v>4269</v>
      </c>
      <c r="O3427" s="187"/>
      <c r="P3427" s="187"/>
      <c r="Q3427" s="187"/>
      <c r="R3427" s="187"/>
      <c r="S3427" s="187"/>
      <c r="T3427" s="187"/>
      <c r="U3427" s="187"/>
      <c r="V3427" s="187"/>
      <c r="W3427" s="187"/>
      <c r="X3427" s="187"/>
      <c r="Y3427" s="187"/>
      <c r="Z3427" s="187"/>
      <c r="AA3427" s="187"/>
      <c r="AB3427" s="187"/>
      <c r="AC3427" s="187"/>
      <c r="AD3427" s="187"/>
      <c r="AE3427" s="187"/>
      <c r="AF3427" s="187"/>
    </row>
    <row r="3428" spans="1:32" ht="20.399999999999999">
      <c r="A3428" s="683"/>
      <c r="B3428" s="3129" t="s">
        <v>326</v>
      </c>
      <c r="C3428" s="683" t="s">
        <v>321</v>
      </c>
      <c r="D3428" s="719" t="s">
        <v>1979</v>
      </c>
      <c r="E3428" s="720" t="s">
        <v>1965</v>
      </c>
      <c r="F3428" s="824">
        <v>5120</v>
      </c>
      <c r="G3428" s="800" t="s">
        <v>588</v>
      </c>
      <c r="H3428" s="706">
        <v>0</v>
      </c>
      <c r="I3428" s="801"/>
      <c r="J3428" s="1654" t="s">
        <v>1134</v>
      </c>
      <c r="K3428" s="802"/>
      <c r="L3428" s="706">
        <v>0</v>
      </c>
      <c r="M3428" s="801"/>
      <c r="N3428" s="305"/>
    </row>
    <row r="3429" spans="1:32">
      <c r="A3429" s="663"/>
      <c r="B3429" s="3130" t="s">
        <v>326</v>
      </c>
      <c r="C3429" s="663" t="s">
        <v>321</v>
      </c>
      <c r="D3429" s="678" t="s">
        <v>1979</v>
      </c>
      <c r="E3429" s="700" t="s">
        <v>1965</v>
      </c>
      <c r="F3429" s="795">
        <v>5120</v>
      </c>
      <c r="G3429" s="750" t="s">
        <v>984</v>
      </c>
      <c r="H3429" s="701"/>
      <c r="I3429" s="701"/>
      <c r="J3429" s="1654" t="s">
        <v>1134</v>
      </c>
      <c r="K3429" s="792"/>
      <c r="L3429" s="701"/>
      <c r="M3429" s="701"/>
      <c r="N3429" s="305"/>
    </row>
    <row r="3430" spans="1:32">
      <c r="A3430" s="683"/>
      <c r="B3430" s="3129" t="s">
        <v>326</v>
      </c>
      <c r="C3430" s="683" t="s">
        <v>321</v>
      </c>
      <c r="D3430" s="719" t="s">
        <v>1979</v>
      </c>
      <c r="E3430" s="720" t="s">
        <v>1965</v>
      </c>
      <c r="F3430" s="824">
        <v>5238</v>
      </c>
      <c r="G3430" s="800" t="s">
        <v>694</v>
      </c>
      <c r="H3430" s="706">
        <v>5600</v>
      </c>
      <c r="I3430" s="801"/>
      <c r="J3430" s="1654">
        <v>1881.64</v>
      </c>
      <c r="K3430" s="802"/>
      <c r="L3430" s="706">
        <v>5500</v>
      </c>
      <c r="M3430" s="801"/>
      <c r="N3430" s="305" t="s">
        <v>4270</v>
      </c>
    </row>
    <row r="3431" spans="1:32">
      <c r="A3431" s="663"/>
      <c r="B3431" s="3130" t="s">
        <v>326</v>
      </c>
      <c r="C3431" s="663" t="s">
        <v>321</v>
      </c>
      <c r="D3431" s="678" t="s">
        <v>1979</v>
      </c>
      <c r="E3431" s="700" t="s">
        <v>1965</v>
      </c>
      <c r="F3431" s="795">
        <v>5238</v>
      </c>
      <c r="G3431" s="2182" t="s">
        <v>4363</v>
      </c>
      <c r="H3431" s="2188"/>
      <c r="I3431" s="2188">
        <v>5600</v>
      </c>
      <c r="J3431" s="2191" t="s">
        <v>1134</v>
      </c>
      <c r="K3431" s="2205"/>
      <c r="L3431" s="2188"/>
      <c r="M3431" s="2188">
        <v>5500</v>
      </c>
      <c r="N3431" s="381" t="s">
        <v>4271</v>
      </c>
      <c r="O3431" s="187"/>
      <c r="P3431" s="187"/>
      <c r="Q3431" s="187"/>
      <c r="R3431" s="187"/>
      <c r="S3431" s="187"/>
      <c r="T3431" s="187"/>
      <c r="U3431" s="187"/>
      <c r="V3431" s="187"/>
      <c r="W3431" s="187"/>
      <c r="X3431" s="187"/>
      <c r="Y3431" s="187"/>
      <c r="Z3431" s="187"/>
      <c r="AA3431" s="187"/>
      <c r="AB3431" s="187"/>
      <c r="AC3431" s="187"/>
      <c r="AD3431" s="187"/>
      <c r="AE3431" s="187"/>
    </row>
    <row r="3432" spans="1:32" ht="20.399999999999999">
      <c r="A3432" s="683"/>
      <c r="B3432" s="3129" t="s">
        <v>326</v>
      </c>
      <c r="C3432" s="683" t="s">
        <v>321</v>
      </c>
      <c r="D3432" s="719" t="s">
        <v>1979</v>
      </c>
      <c r="E3432" s="720" t="s">
        <v>1965</v>
      </c>
      <c r="F3432" s="824">
        <v>5239</v>
      </c>
      <c r="G3432" s="800" t="s">
        <v>1178</v>
      </c>
      <c r="H3432" s="706">
        <v>0</v>
      </c>
      <c r="I3432" s="801"/>
      <c r="J3432" s="1654" t="s">
        <v>1134</v>
      </c>
      <c r="K3432" s="802"/>
      <c r="L3432" s="706">
        <v>0</v>
      </c>
      <c r="M3432" s="801"/>
      <c r="N3432" s="305"/>
    </row>
    <row r="3433" spans="1:32">
      <c r="A3433" s="663"/>
      <c r="B3433" s="3130" t="s">
        <v>326</v>
      </c>
      <c r="C3433" s="663" t="s">
        <v>324</v>
      </c>
      <c r="D3433" s="678" t="s">
        <v>1979</v>
      </c>
      <c r="E3433" s="700" t="s">
        <v>1965</v>
      </c>
      <c r="F3433" s="795">
        <v>5239</v>
      </c>
      <c r="G3433" s="812" t="s">
        <v>2254</v>
      </c>
      <c r="H3433" s="701"/>
      <c r="I3433" s="701">
        <v>0</v>
      </c>
      <c r="J3433" s="1654" t="s">
        <v>1134</v>
      </c>
      <c r="K3433" s="792"/>
      <c r="L3433" s="701"/>
      <c r="M3433" s="701">
        <v>0</v>
      </c>
      <c r="N3433" s="381" t="s">
        <v>4272</v>
      </c>
      <c r="O3433" s="187"/>
      <c r="P3433" s="187"/>
      <c r="Q3433" s="187"/>
      <c r="R3433" s="187"/>
      <c r="S3433" s="187"/>
      <c r="T3433" s="187"/>
      <c r="U3433" s="187"/>
      <c r="V3433" s="187"/>
      <c r="W3433" s="187"/>
      <c r="X3433" s="187"/>
      <c r="Y3433" s="187"/>
      <c r="Z3433" s="187"/>
      <c r="AA3433" s="187"/>
      <c r="AB3433" s="187"/>
      <c r="AC3433" s="187"/>
      <c r="AD3433" s="187"/>
      <c r="AE3433" s="187"/>
      <c r="AF3433" s="187"/>
    </row>
    <row r="3434" spans="1:32">
      <c r="A3434" s="683"/>
      <c r="B3434" s="3129" t="s">
        <v>326</v>
      </c>
      <c r="C3434" s="683" t="s">
        <v>321</v>
      </c>
      <c r="D3434" s="719" t="s">
        <v>1979</v>
      </c>
      <c r="E3434" s="720" t="s">
        <v>1965</v>
      </c>
      <c r="F3434" s="824">
        <v>6292</v>
      </c>
      <c r="G3434" s="800" t="s">
        <v>751</v>
      </c>
      <c r="H3434" s="706">
        <v>2000</v>
      </c>
      <c r="I3434" s="801"/>
      <c r="J3434" s="1654">
        <v>512</v>
      </c>
      <c r="K3434" s="802"/>
      <c r="L3434" s="706">
        <v>3000</v>
      </c>
      <c r="M3434" s="801"/>
      <c r="N3434" s="305"/>
    </row>
    <row r="3435" spans="1:32" ht="20.399999999999999">
      <c r="A3435" s="663"/>
      <c r="B3435" s="3130" t="s">
        <v>326</v>
      </c>
      <c r="C3435" s="663" t="s">
        <v>324</v>
      </c>
      <c r="D3435" s="678" t="s">
        <v>1979</v>
      </c>
      <c r="E3435" s="700" t="s">
        <v>1965</v>
      </c>
      <c r="F3435" s="795">
        <v>6292</v>
      </c>
      <c r="G3435" s="2182" t="s">
        <v>3100</v>
      </c>
      <c r="H3435" s="2188"/>
      <c r="I3435" s="2188">
        <v>2000</v>
      </c>
      <c r="J3435" s="2191" t="s">
        <v>1134</v>
      </c>
      <c r="K3435" s="2205"/>
      <c r="L3435" s="2188"/>
      <c r="M3435" s="2188">
        <v>3000</v>
      </c>
      <c r="N3435" s="305"/>
    </row>
    <row r="3436" spans="1:32" ht="30.6">
      <c r="A3436" s="683"/>
      <c r="B3436" s="3129" t="s">
        <v>326</v>
      </c>
      <c r="C3436" s="683" t="s">
        <v>321</v>
      </c>
      <c r="D3436" s="719" t="s">
        <v>1979</v>
      </c>
      <c r="E3436" s="720" t="s">
        <v>1965</v>
      </c>
      <c r="F3436" s="824">
        <v>6411</v>
      </c>
      <c r="G3436" s="800" t="s">
        <v>754</v>
      </c>
      <c r="H3436" s="706">
        <v>11500</v>
      </c>
      <c r="I3436" s="801"/>
      <c r="J3436" s="1654">
        <v>10296</v>
      </c>
      <c r="K3436" s="802"/>
      <c r="L3436" s="706">
        <v>14415</v>
      </c>
      <c r="M3436" s="801"/>
      <c r="N3436" s="359" t="s">
        <v>4274</v>
      </c>
    </row>
    <row r="3437" spans="1:32">
      <c r="A3437" s="663"/>
      <c r="B3437" s="3130" t="s">
        <v>326</v>
      </c>
      <c r="C3437" s="663" t="s">
        <v>321</v>
      </c>
      <c r="D3437" s="678" t="s">
        <v>1979</v>
      </c>
      <c r="E3437" s="700" t="s">
        <v>1965</v>
      </c>
      <c r="F3437" s="795">
        <v>6411</v>
      </c>
      <c r="G3437" s="2182" t="s">
        <v>2255</v>
      </c>
      <c r="H3437" s="2188"/>
      <c r="I3437" s="2188">
        <v>8000</v>
      </c>
      <c r="J3437" s="2191" t="s">
        <v>1134</v>
      </c>
      <c r="K3437" s="2205"/>
      <c r="L3437" s="2188"/>
      <c r="M3437" s="2188">
        <v>14415</v>
      </c>
      <c r="N3437" s="305"/>
      <c r="O3437" s="187"/>
      <c r="P3437" s="187"/>
      <c r="Q3437" s="187"/>
      <c r="R3437" s="187"/>
      <c r="S3437" s="187"/>
      <c r="T3437" s="187"/>
      <c r="U3437" s="187"/>
      <c r="V3437" s="187"/>
      <c r="W3437" s="187"/>
      <c r="X3437" s="187"/>
      <c r="Y3437" s="187"/>
      <c r="Z3437" s="187"/>
      <c r="AA3437" s="187"/>
      <c r="AB3437" s="187"/>
      <c r="AC3437" s="187"/>
      <c r="AD3437" s="187"/>
      <c r="AE3437" s="187"/>
      <c r="AF3437" s="187"/>
    </row>
    <row r="3438" spans="1:32" ht="20.399999999999999">
      <c r="A3438" s="663"/>
      <c r="B3438" s="3130" t="s">
        <v>326</v>
      </c>
      <c r="C3438" s="663" t="s">
        <v>321</v>
      </c>
      <c r="D3438" s="678" t="s">
        <v>1979</v>
      </c>
      <c r="E3438" s="700" t="s">
        <v>1965</v>
      </c>
      <c r="F3438" s="795">
        <v>6411</v>
      </c>
      <c r="G3438" s="812" t="s">
        <v>4356</v>
      </c>
      <c r="H3438" s="701"/>
      <c r="I3438" s="701">
        <v>3500</v>
      </c>
      <c r="J3438" s="1654" t="s">
        <v>1134</v>
      </c>
      <c r="K3438" s="792"/>
      <c r="L3438" s="701"/>
      <c r="M3438" s="701"/>
      <c r="N3438" s="305"/>
    </row>
    <row r="3439" spans="1:32" ht="20.399999999999999">
      <c r="A3439" s="683"/>
      <c r="B3439" s="3129" t="s">
        <v>326</v>
      </c>
      <c r="C3439" s="683" t="s">
        <v>321</v>
      </c>
      <c r="D3439" s="719" t="s">
        <v>1979</v>
      </c>
      <c r="E3439" s="720" t="s">
        <v>1965</v>
      </c>
      <c r="F3439" s="824">
        <v>6421</v>
      </c>
      <c r="G3439" s="800" t="s">
        <v>1060</v>
      </c>
      <c r="H3439" s="706">
        <v>1500</v>
      </c>
      <c r="I3439" s="801"/>
      <c r="J3439" s="1654">
        <v>859</v>
      </c>
      <c r="K3439" s="802"/>
      <c r="L3439" s="706">
        <v>1965</v>
      </c>
      <c r="M3439" s="801"/>
      <c r="N3439" s="305"/>
    </row>
    <row r="3440" spans="1:32">
      <c r="A3440" s="663"/>
      <c r="B3440" s="3130" t="s">
        <v>326</v>
      </c>
      <c r="C3440" s="663" t="s">
        <v>321</v>
      </c>
      <c r="D3440" s="678" t="s">
        <v>1979</v>
      </c>
      <c r="E3440" s="700" t="s">
        <v>1965</v>
      </c>
      <c r="F3440" s="795">
        <v>6421</v>
      </c>
      <c r="G3440" s="812"/>
      <c r="H3440" s="701"/>
      <c r="I3440" s="701">
        <v>5000</v>
      </c>
      <c r="J3440" s="1654" t="s">
        <v>1134</v>
      </c>
      <c r="K3440" s="792"/>
      <c r="L3440" s="701"/>
      <c r="M3440" s="701">
        <v>1965</v>
      </c>
      <c r="N3440" s="305"/>
    </row>
    <row r="3441" spans="1:32" ht="20.399999999999999">
      <c r="A3441" s="663"/>
      <c r="B3441" s="3130" t="s">
        <v>326</v>
      </c>
      <c r="C3441" s="663" t="s">
        <v>321</v>
      </c>
      <c r="D3441" s="678" t="s">
        <v>1979</v>
      </c>
      <c r="E3441" s="700" t="s">
        <v>1965</v>
      </c>
      <c r="F3441" s="795">
        <v>6421</v>
      </c>
      <c r="G3441" s="812" t="s">
        <v>4356</v>
      </c>
      <c r="H3441" s="701"/>
      <c r="I3441" s="701">
        <v>-3500</v>
      </c>
      <c r="J3441" s="1654" t="s">
        <v>1134</v>
      </c>
      <c r="K3441" s="792"/>
      <c r="L3441" s="701"/>
      <c r="M3441" s="701"/>
      <c r="N3441" s="305"/>
    </row>
    <row r="3442" spans="1:32">
      <c r="A3442" s="683"/>
      <c r="B3442" s="3129" t="s">
        <v>436</v>
      </c>
      <c r="C3442" s="683" t="s">
        <v>427</v>
      </c>
      <c r="D3442" s="719" t="s">
        <v>1979</v>
      </c>
      <c r="E3442" s="720" t="s">
        <v>430</v>
      </c>
      <c r="F3442" s="824">
        <v>1119</v>
      </c>
      <c r="G3442" s="800" t="s">
        <v>109</v>
      </c>
      <c r="H3442" s="706">
        <v>398270.28000000009</v>
      </c>
      <c r="I3442" s="706"/>
      <c r="J3442" s="1654">
        <v>279201</v>
      </c>
      <c r="K3442" s="802"/>
      <c r="L3442" s="713">
        <v>425777.28000000009</v>
      </c>
      <c r="M3442" s="706"/>
      <c r="N3442" s="305"/>
    </row>
    <row r="3443" spans="1:32">
      <c r="A3443" s="663"/>
      <c r="B3443" s="3130" t="s">
        <v>436</v>
      </c>
      <c r="C3443" s="663" t="s">
        <v>427</v>
      </c>
      <c r="D3443" s="678" t="s">
        <v>1979</v>
      </c>
      <c r="E3443" s="700" t="s">
        <v>430</v>
      </c>
      <c r="F3443" s="795">
        <v>1119</v>
      </c>
      <c r="G3443" s="812" t="s">
        <v>436</v>
      </c>
      <c r="H3443" s="701"/>
      <c r="I3443" s="701">
        <v>398270.28000000009</v>
      </c>
      <c r="J3443" s="1654" t="s">
        <v>1134</v>
      </c>
      <c r="K3443" s="792"/>
      <c r="L3443" s="714"/>
      <c r="M3443" s="701">
        <v>425777.28000000009</v>
      </c>
      <c r="N3443" s="305"/>
    </row>
    <row r="3444" spans="1:32" ht="20.399999999999999">
      <c r="A3444" s="683"/>
      <c r="B3444" s="3129" t="s">
        <v>326</v>
      </c>
      <c r="C3444" s="683" t="s">
        <v>321</v>
      </c>
      <c r="D3444" s="719" t="s">
        <v>1979</v>
      </c>
      <c r="E3444" s="720" t="s">
        <v>430</v>
      </c>
      <c r="F3444" s="824">
        <v>1119</v>
      </c>
      <c r="G3444" s="800" t="s">
        <v>514</v>
      </c>
      <c r="H3444" s="920">
        <v>0</v>
      </c>
      <c r="I3444" s="706"/>
      <c r="J3444" s="1654" t="s">
        <v>1134</v>
      </c>
      <c r="K3444" s="802"/>
      <c r="L3444" s="2490">
        <v>0</v>
      </c>
      <c r="M3444" s="706"/>
      <c r="N3444" s="305" t="s">
        <v>4275</v>
      </c>
      <c r="O3444" s="187"/>
      <c r="P3444" s="187"/>
      <c r="Q3444" s="187"/>
      <c r="R3444" s="187"/>
      <c r="S3444" s="187"/>
      <c r="T3444" s="187"/>
      <c r="U3444" s="187"/>
      <c r="V3444" s="187"/>
      <c r="W3444" s="187"/>
      <c r="X3444" s="187"/>
      <c r="Y3444" s="187"/>
      <c r="Z3444" s="187"/>
      <c r="AA3444" s="187"/>
      <c r="AB3444" s="187"/>
      <c r="AC3444" s="187"/>
      <c r="AD3444" s="187"/>
      <c r="AE3444" s="187"/>
      <c r="AF3444" s="187"/>
    </row>
    <row r="3445" spans="1:32" ht="20.399999999999999">
      <c r="A3445" s="663"/>
      <c r="B3445" s="3130" t="s">
        <v>326</v>
      </c>
      <c r="C3445" s="663" t="s">
        <v>321</v>
      </c>
      <c r="D3445" s="678" t="s">
        <v>1979</v>
      </c>
      <c r="E3445" s="700" t="s">
        <v>430</v>
      </c>
      <c r="F3445" s="795">
        <v>1119</v>
      </c>
      <c r="G3445" s="750" t="s">
        <v>903</v>
      </c>
      <c r="H3445" s="701"/>
      <c r="I3445" s="701"/>
      <c r="J3445" s="1654" t="s">
        <v>1134</v>
      </c>
      <c r="K3445" s="792"/>
      <c r="L3445" s="714"/>
      <c r="M3445" s="701"/>
      <c r="N3445" s="381"/>
    </row>
    <row r="3446" spans="1:32">
      <c r="A3446" s="683"/>
      <c r="B3446" s="3129" t="s">
        <v>436</v>
      </c>
      <c r="C3446" s="683" t="s">
        <v>427</v>
      </c>
      <c r="D3446" s="719" t="s">
        <v>1979</v>
      </c>
      <c r="E3446" s="720" t="s">
        <v>430</v>
      </c>
      <c r="F3446" s="824">
        <v>1142</v>
      </c>
      <c r="G3446" s="800" t="s">
        <v>737</v>
      </c>
      <c r="H3446" s="706">
        <v>0</v>
      </c>
      <c r="I3446" s="706"/>
      <c r="J3446" s="1654" t="s">
        <v>1134</v>
      </c>
      <c r="K3446" s="802"/>
      <c r="L3446" s="713">
        <v>0</v>
      </c>
      <c r="M3446" s="706"/>
      <c r="N3446" s="305"/>
      <c r="O3446" s="187"/>
      <c r="P3446" s="187"/>
      <c r="Q3446" s="187"/>
      <c r="R3446" s="187"/>
      <c r="S3446" s="187"/>
      <c r="T3446" s="187"/>
      <c r="U3446" s="187"/>
      <c r="V3446" s="187"/>
      <c r="W3446" s="187"/>
      <c r="X3446" s="187"/>
      <c r="Y3446" s="187"/>
      <c r="Z3446" s="187"/>
      <c r="AA3446" s="187"/>
      <c r="AB3446" s="187"/>
      <c r="AC3446" s="187"/>
      <c r="AD3446" s="187"/>
      <c r="AE3446" s="187"/>
      <c r="AF3446" s="187"/>
    </row>
    <row r="3447" spans="1:32">
      <c r="A3447" s="663"/>
      <c r="B3447" s="3130" t="s">
        <v>436</v>
      </c>
      <c r="C3447" s="663" t="s">
        <v>427</v>
      </c>
      <c r="D3447" s="678" t="s">
        <v>1979</v>
      </c>
      <c r="E3447" s="700" t="s">
        <v>430</v>
      </c>
      <c r="F3447" s="795">
        <v>1142</v>
      </c>
      <c r="G3447" s="750"/>
      <c r="H3447" s="701"/>
      <c r="I3447" s="701"/>
      <c r="J3447" s="1654" t="s">
        <v>1134</v>
      </c>
      <c r="K3447" s="792"/>
      <c r="L3447" s="714"/>
      <c r="M3447" s="701"/>
      <c r="N3447" s="305"/>
    </row>
    <row r="3448" spans="1:32">
      <c r="A3448" s="683"/>
      <c r="B3448" s="3129" t="s">
        <v>436</v>
      </c>
      <c r="C3448" s="683" t="s">
        <v>427</v>
      </c>
      <c r="D3448" s="719" t="s">
        <v>1979</v>
      </c>
      <c r="E3448" s="720" t="s">
        <v>430</v>
      </c>
      <c r="F3448" s="824">
        <v>1145</v>
      </c>
      <c r="G3448" s="800" t="s">
        <v>737</v>
      </c>
      <c r="H3448" s="706">
        <v>11948.108400000003</v>
      </c>
      <c r="I3448" s="706"/>
      <c r="J3448" s="1654">
        <v>7158</v>
      </c>
      <c r="K3448" s="802"/>
      <c r="L3448" s="713">
        <v>12773.318400000002</v>
      </c>
      <c r="M3448" s="706"/>
      <c r="N3448" s="305"/>
    </row>
    <row r="3449" spans="1:32">
      <c r="A3449" s="663"/>
      <c r="B3449" s="3130" t="s">
        <v>436</v>
      </c>
      <c r="C3449" s="663" t="s">
        <v>427</v>
      </c>
      <c r="D3449" s="678" t="s">
        <v>1979</v>
      </c>
      <c r="E3449" s="700" t="s">
        <v>430</v>
      </c>
      <c r="F3449" s="795">
        <v>1145</v>
      </c>
      <c r="G3449" s="2491" t="s">
        <v>2829</v>
      </c>
      <c r="H3449" s="701"/>
      <c r="I3449" s="701">
        <v>11948.108400000003</v>
      </c>
      <c r="J3449" s="1654" t="s">
        <v>1134</v>
      </c>
      <c r="K3449" s="792"/>
      <c r="L3449" s="714"/>
      <c r="M3449" s="2492">
        <v>12773.318400000002</v>
      </c>
      <c r="N3449" s="305"/>
      <c r="O3449" s="187"/>
      <c r="P3449" s="187"/>
      <c r="Q3449" s="187"/>
      <c r="R3449" s="187"/>
      <c r="S3449" s="187"/>
      <c r="T3449" s="187"/>
      <c r="U3449" s="187"/>
      <c r="V3449" s="187"/>
      <c r="W3449" s="187"/>
      <c r="X3449" s="187"/>
      <c r="Y3449" s="187"/>
      <c r="Z3449" s="187"/>
      <c r="AA3449" s="187"/>
      <c r="AB3449" s="187"/>
      <c r="AC3449" s="187"/>
      <c r="AD3449" s="187"/>
      <c r="AE3449" s="187"/>
      <c r="AF3449" s="187"/>
    </row>
    <row r="3450" spans="1:32" ht="20.399999999999999">
      <c r="A3450" s="683"/>
      <c r="B3450" s="3129" t="s">
        <v>436</v>
      </c>
      <c r="C3450" s="683" t="s">
        <v>427</v>
      </c>
      <c r="D3450" s="719" t="s">
        <v>1979</v>
      </c>
      <c r="E3450" s="720" t="s">
        <v>430</v>
      </c>
      <c r="F3450" s="824">
        <v>1146</v>
      </c>
      <c r="G3450" s="800" t="s">
        <v>600</v>
      </c>
      <c r="H3450" s="706">
        <v>11800</v>
      </c>
      <c r="I3450" s="706"/>
      <c r="J3450" s="1654">
        <v>0</v>
      </c>
      <c r="K3450" s="802"/>
      <c r="L3450" s="713">
        <v>13800</v>
      </c>
      <c r="M3450" s="706"/>
      <c r="N3450" s="305"/>
    </row>
    <row r="3451" spans="1:32">
      <c r="A3451" s="663"/>
      <c r="B3451" s="3130" t="s">
        <v>436</v>
      </c>
      <c r="C3451" s="663" t="s">
        <v>427</v>
      </c>
      <c r="D3451" s="678" t="s">
        <v>1979</v>
      </c>
      <c r="E3451" s="700" t="s">
        <v>430</v>
      </c>
      <c r="F3451" s="795">
        <v>1146</v>
      </c>
      <c r="G3451" s="812"/>
      <c r="H3451" s="709"/>
      <c r="I3451" s="709">
        <v>11800</v>
      </c>
      <c r="J3451" s="1654" t="s">
        <v>1134</v>
      </c>
      <c r="K3451" s="825"/>
      <c r="L3451" s="962"/>
      <c r="M3451" s="709">
        <v>13800</v>
      </c>
      <c r="N3451" s="305"/>
      <c r="O3451" s="187"/>
      <c r="P3451" s="187"/>
      <c r="Q3451" s="187"/>
      <c r="R3451" s="187"/>
      <c r="S3451" s="187"/>
      <c r="T3451" s="187"/>
      <c r="U3451" s="187"/>
      <c r="V3451" s="187"/>
      <c r="W3451" s="187"/>
      <c r="X3451" s="187"/>
      <c r="Y3451" s="187"/>
      <c r="Z3451" s="187"/>
      <c r="AA3451" s="187"/>
      <c r="AB3451" s="187"/>
      <c r="AC3451" s="187"/>
      <c r="AD3451" s="187"/>
      <c r="AE3451" s="187"/>
      <c r="AF3451" s="187"/>
    </row>
    <row r="3452" spans="1:32">
      <c r="A3452" s="683"/>
      <c r="B3452" s="3129" t="s">
        <v>436</v>
      </c>
      <c r="C3452" s="683" t="s">
        <v>427</v>
      </c>
      <c r="D3452" s="719" t="s">
        <v>1979</v>
      </c>
      <c r="E3452" s="720" t="s">
        <v>430</v>
      </c>
      <c r="F3452" s="824">
        <v>1147</v>
      </c>
      <c r="G3452" s="800" t="s">
        <v>111</v>
      </c>
      <c r="H3452" s="706">
        <v>24870.271000000004</v>
      </c>
      <c r="I3452" s="706"/>
      <c r="J3452" s="1654">
        <v>9016</v>
      </c>
      <c r="K3452" s="802"/>
      <c r="L3452" s="713">
        <v>3859.2239999999947</v>
      </c>
      <c r="M3452" s="706"/>
      <c r="N3452" s="305"/>
    </row>
    <row r="3453" spans="1:32">
      <c r="A3453" s="663"/>
      <c r="B3453" s="3130" t="s">
        <v>436</v>
      </c>
      <c r="C3453" s="663" t="s">
        <v>427</v>
      </c>
      <c r="D3453" s="678" t="s">
        <v>1979</v>
      </c>
      <c r="E3453" s="700" t="s">
        <v>430</v>
      </c>
      <c r="F3453" s="795">
        <v>1147</v>
      </c>
      <c r="G3453" s="812" t="s">
        <v>436</v>
      </c>
      <c r="H3453" s="709"/>
      <c r="I3453" s="709">
        <v>29870.271000000004</v>
      </c>
      <c r="J3453" s="1654" t="s">
        <v>1134</v>
      </c>
      <c r="K3453" s="825"/>
      <c r="L3453" s="962"/>
      <c r="M3453" s="701">
        <v>3859.2239999999947</v>
      </c>
      <c r="N3453" s="305"/>
    </row>
    <row r="3454" spans="1:32" ht="20.399999999999999">
      <c r="A3454" s="663"/>
      <c r="B3454" s="3130" t="s">
        <v>436</v>
      </c>
      <c r="C3454" s="663" t="s">
        <v>427</v>
      </c>
      <c r="D3454" s="678" t="s">
        <v>1979</v>
      </c>
      <c r="E3454" s="700" t="s">
        <v>430</v>
      </c>
      <c r="F3454" s="795">
        <v>1147</v>
      </c>
      <c r="G3454" s="750" t="s">
        <v>3303</v>
      </c>
      <c r="H3454" s="701"/>
      <c r="I3454" s="701">
        <v>-5000</v>
      </c>
      <c r="J3454" s="1654" t="s">
        <v>1134</v>
      </c>
      <c r="K3454" s="792"/>
      <c r="L3454" s="714"/>
      <c r="M3454" s="701"/>
      <c r="N3454" s="305" t="s">
        <v>4278</v>
      </c>
      <c r="O3454" s="187"/>
      <c r="P3454" s="187"/>
      <c r="Q3454" s="187"/>
      <c r="R3454" s="187"/>
      <c r="S3454" s="187"/>
      <c r="T3454" s="187"/>
      <c r="U3454" s="187"/>
      <c r="V3454" s="187"/>
      <c r="W3454" s="187"/>
      <c r="X3454" s="187"/>
      <c r="Y3454" s="187"/>
      <c r="Z3454" s="187"/>
      <c r="AA3454" s="187"/>
      <c r="AB3454" s="187"/>
      <c r="AC3454" s="187"/>
      <c r="AD3454" s="187"/>
      <c r="AE3454" s="187"/>
      <c r="AF3454" s="187"/>
    </row>
    <row r="3455" spans="1:32">
      <c r="A3455" s="683"/>
      <c r="B3455" s="3129" t="s">
        <v>436</v>
      </c>
      <c r="C3455" s="683" t="s">
        <v>427</v>
      </c>
      <c r="D3455" s="719" t="s">
        <v>1979</v>
      </c>
      <c r="E3455" s="720" t="s">
        <v>430</v>
      </c>
      <c r="F3455" s="824">
        <v>1148</v>
      </c>
      <c r="G3455" s="800" t="s">
        <v>112</v>
      </c>
      <c r="H3455" s="706">
        <v>600</v>
      </c>
      <c r="I3455" s="706"/>
      <c r="J3455" s="1654">
        <v>600</v>
      </c>
      <c r="K3455" s="802"/>
      <c r="L3455" s="713">
        <v>12500</v>
      </c>
      <c r="M3455" s="706"/>
      <c r="N3455" s="381" t="s">
        <v>4280</v>
      </c>
    </row>
    <row r="3456" spans="1:32">
      <c r="A3456" s="663"/>
      <c r="B3456" s="3130" t="s">
        <v>436</v>
      </c>
      <c r="C3456" s="663" t="s">
        <v>427</v>
      </c>
      <c r="D3456" s="678" t="s">
        <v>1979</v>
      </c>
      <c r="E3456" s="700" t="s">
        <v>430</v>
      </c>
      <c r="F3456" s="795">
        <v>1148</v>
      </c>
      <c r="G3456" s="964"/>
      <c r="H3456" s="709"/>
      <c r="I3456" s="709">
        <v>600</v>
      </c>
      <c r="J3456" s="1654" t="s">
        <v>1134</v>
      </c>
      <c r="K3456" s="825"/>
      <c r="L3456" s="962"/>
      <c r="M3456" s="701">
        <v>12500</v>
      </c>
      <c r="N3456" s="305" t="s">
        <v>4279</v>
      </c>
    </row>
    <row r="3457" spans="1:32">
      <c r="A3457" s="663"/>
      <c r="B3457" s="3130" t="s">
        <v>436</v>
      </c>
      <c r="C3457" s="663" t="s">
        <v>427</v>
      </c>
      <c r="D3457" s="678" t="s">
        <v>1979</v>
      </c>
      <c r="E3457" s="700" t="s">
        <v>430</v>
      </c>
      <c r="F3457" s="795">
        <v>1148</v>
      </c>
      <c r="G3457" s="750"/>
      <c r="H3457" s="701"/>
      <c r="I3457" s="701"/>
      <c r="J3457" s="1654" t="s">
        <v>1134</v>
      </c>
      <c r="K3457" s="792"/>
      <c r="L3457" s="714"/>
      <c r="M3457" s="701"/>
      <c r="N3457" s="305"/>
      <c r="O3457" s="187"/>
      <c r="P3457" s="187"/>
      <c r="Q3457" s="187"/>
      <c r="R3457" s="187"/>
      <c r="S3457" s="187"/>
      <c r="T3457" s="187"/>
      <c r="U3457" s="187"/>
      <c r="V3457" s="187"/>
      <c r="W3457" s="187"/>
      <c r="X3457" s="187"/>
      <c r="Y3457" s="187"/>
      <c r="Z3457" s="187"/>
      <c r="AA3457" s="187"/>
      <c r="AB3457" s="187"/>
      <c r="AC3457" s="187"/>
      <c r="AD3457" s="187"/>
      <c r="AE3457" s="187"/>
      <c r="AF3457" s="187"/>
    </row>
    <row r="3458" spans="1:32">
      <c r="A3458" s="683"/>
      <c r="B3458" s="3129" t="s">
        <v>436</v>
      </c>
      <c r="C3458" s="683" t="s">
        <v>322</v>
      </c>
      <c r="D3458" s="823" t="s">
        <v>1979</v>
      </c>
      <c r="E3458" s="720" t="s">
        <v>430</v>
      </c>
      <c r="F3458" s="824">
        <v>1150</v>
      </c>
      <c r="G3458" s="800" t="s">
        <v>245</v>
      </c>
      <c r="H3458" s="706">
        <v>0</v>
      </c>
      <c r="I3458" s="706"/>
      <c r="J3458" s="1654">
        <v>400</v>
      </c>
      <c r="K3458" s="802"/>
      <c r="L3458" s="713">
        <v>600</v>
      </c>
      <c r="M3458" s="706"/>
      <c r="N3458" s="381" t="s">
        <v>4283</v>
      </c>
    </row>
    <row r="3459" spans="1:32" ht="20.399999999999999">
      <c r="A3459" s="663"/>
      <c r="B3459" s="3130" t="s">
        <v>436</v>
      </c>
      <c r="C3459" s="663" t="s">
        <v>322</v>
      </c>
      <c r="D3459" s="794" t="s">
        <v>1979</v>
      </c>
      <c r="E3459" s="700" t="s">
        <v>430</v>
      </c>
      <c r="F3459" s="795">
        <v>1150</v>
      </c>
      <c r="G3459" s="750" t="s">
        <v>4834</v>
      </c>
      <c r="H3459" s="709"/>
      <c r="I3459" s="709"/>
      <c r="J3459" s="1654" t="s">
        <v>1134</v>
      </c>
      <c r="K3459" s="802"/>
      <c r="L3459" s="962"/>
      <c r="M3459" s="709">
        <v>600</v>
      </c>
      <c r="N3459" s="305"/>
      <c r="O3459" s="187"/>
      <c r="P3459" s="187"/>
      <c r="Q3459" s="187"/>
      <c r="R3459" s="187"/>
      <c r="S3459" s="187"/>
      <c r="T3459" s="187"/>
      <c r="U3459" s="187"/>
      <c r="V3459" s="187"/>
      <c r="W3459" s="187"/>
      <c r="X3459" s="187"/>
      <c r="Y3459" s="187"/>
      <c r="Z3459" s="187"/>
      <c r="AA3459" s="187"/>
      <c r="AB3459" s="187"/>
      <c r="AC3459" s="187"/>
      <c r="AD3459" s="187"/>
      <c r="AE3459" s="187"/>
      <c r="AF3459" s="187"/>
    </row>
    <row r="3460" spans="1:32">
      <c r="A3460" s="683"/>
      <c r="B3460" s="3129" t="s">
        <v>436</v>
      </c>
      <c r="C3460" s="683" t="s">
        <v>427</v>
      </c>
      <c r="D3460" s="823" t="s">
        <v>1979</v>
      </c>
      <c r="E3460" s="720" t="s">
        <v>430</v>
      </c>
      <c r="F3460" s="824">
        <v>1170</v>
      </c>
      <c r="G3460" s="800" t="s">
        <v>475</v>
      </c>
      <c r="H3460" s="706">
        <v>300</v>
      </c>
      <c r="I3460" s="706"/>
      <c r="J3460" s="1654">
        <v>285</v>
      </c>
      <c r="K3460" s="802"/>
      <c r="L3460" s="713">
        <v>300</v>
      </c>
      <c r="M3460" s="706"/>
      <c r="N3460" s="305" t="s">
        <v>4286</v>
      </c>
    </row>
    <row r="3461" spans="1:32" ht="20.399999999999999">
      <c r="A3461" s="663"/>
      <c r="B3461" s="3130" t="s">
        <v>436</v>
      </c>
      <c r="C3461" s="663" t="s">
        <v>427</v>
      </c>
      <c r="D3461" s="794" t="s">
        <v>1979</v>
      </c>
      <c r="E3461" s="700" t="s">
        <v>430</v>
      </c>
      <c r="F3461" s="795">
        <v>1170</v>
      </c>
      <c r="G3461" s="812" t="s">
        <v>4259</v>
      </c>
      <c r="H3461" s="701"/>
      <c r="I3461" s="701">
        <v>300</v>
      </c>
      <c r="J3461" s="1654" t="s">
        <v>1134</v>
      </c>
      <c r="K3461" s="792"/>
      <c r="L3461" s="714"/>
      <c r="M3461" s="709">
        <v>300</v>
      </c>
      <c r="N3461" s="305"/>
    </row>
    <row r="3462" spans="1:32" ht="20.399999999999999">
      <c r="A3462" s="683"/>
      <c r="B3462" s="3129" t="s">
        <v>326</v>
      </c>
      <c r="C3462" s="683" t="s">
        <v>321</v>
      </c>
      <c r="D3462" s="823" t="s">
        <v>1979</v>
      </c>
      <c r="E3462" s="720" t="s">
        <v>430</v>
      </c>
      <c r="F3462" s="824">
        <v>1210</v>
      </c>
      <c r="G3462" s="800" t="s">
        <v>515</v>
      </c>
      <c r="H3462" s="920">
        <v>0</v>
      </c>
      <c r="I3462" s="706"/>
      <c r="J3462" s="1654" t="s">
        <v>1134</v>
      </c>
      <c r="K3462" s="802"/>
      <c r="L3462" s="2490">
        <v>0</v>
      </c>
      <c r="M3462" s="706"/>
      <c r="N3462" s="305" t="s">
        <v>4286</v>
      </c>
    </row>
    <row r="3463" spans="1:32" ht="20.399999999999999">
      <c r="A3463" s="663"/>
      <c r="B3463" s="3130" t="s">
        <v>326</v>
      </c>
      <c r="C3463" s="663" t="s">
        <v>321</v>
      </c>
      <c r="D3463" s="794" t="s">
        <v>1979</v>
      </c>
      <c r="E3463" s="700" t="s">
        <v>430</v>
      </c>
      <c r="F3463" s="795">
        <v>1210</v>
      </c>
      <c r="G3463" s="750" t="s">
        <v>903</v>
      </c>
      <c r="H3463" s="701"/>
      <c r="I3463" s="709"/>
      <c r="J3463" s="1654" t="s">
        <v>1134</v>
      </c>
      <c r="K3463" s="792"/>
      <c r="L3463" s="714"/>
      <c r="M3463" s="709"/>
      <c r="N3463" s="305"/>
      <c r="O3463" s="187"/>
      <c r="P3463" s="187"/>
      <c r="Q3463" s="187"/>
      <c r="R3463" s="187"/>
      <c r="S3463" s="187"/>
      <c r="T3463" s="187"/>
      <c r="U3463" s="187"/>
      <c r="V3463" s="187"/>
      <c r="W3463" s="187"/>
      <c r="X3463" s="187"/>
      <c r="Y3463" s="187"/>
      <c r="Z3463" s="187"/>
      <c r="AA3463" s="187"/>
      <c r="AB3463" s="187"/>
      <c r="AC3463" s="187"/>
      <c r="AD3463" s="187"/>
      <c r="AE3463" s="187"/>
      <c r="AF3463" s="187"/>
    </row>
    <row r="3464" spans="1:32">
      <c r="A3464" s="683"/>
      <c r="B3464" s="3129" t="s">
        <v>436</v>
      </c>
      <c r="C3464" s="683" t="s">
        <v>427</v>
      </c>
      <c r="D3464" s="823" t="s">
        <v>1979</v>
      </c>
      <c r="E3464" s="720" t="s">
        <v>430</v>
      </c>
      <c r="F3464" s="824">
        <v>1210</v>
      </c>
      <c r="G3464" s="800" t="s">
        <v>113</v>
      </c>
      <c r="H3464" s="706">
        <v>102485.92866588999</v>
      </c>
      <c r="I3464" s="706"/>
      <c r="J3464" s="1654">
        <v>74700</v>
      </c>
      <c r="K3464" s="802"/>
      <c r="L3464" s="713">
        <v>109166.66009508005</v>
      </c>
      <c r="M3464" s="706"/>
      <c r="N3464" s="305"/>
    </row>
    <row r="3465" spans="1:32">
      <c r="A3465" s="663"/>
      <c r="B3465" s="3130" t="s">
        <v>436</v>
      </c>
      <c r="C3465" s="663" t="s">
        <v>427</v>
      </c>
      <c r="D3465" s="794" t="s">
        <v>1979</v>
      </c>
      <c r="E3465" s="700" t="s">
        <v>430</v>
      </c>
      <c r="F3465" s="795">
        <v>1210</v>
      </c>
      <c r="G3465" s="812" t="s">
        <v>436</v>
      </c>
      <c r="H3465" s="701"/>
      <c r="I3465" s="709">
        <v>99667.369894329997</v>
      </c>
      <c r="J3465" s="1654" t="s">
        <v>1134</v>
      </c>
      <c r="K3465" s="792"/>
      <c r="L3465" s="714"/>
      <c r="M3465" s="701">
        <v>106153.43428452004</v>
      </c>
      <c r="N3465" s="305"/>
      <c r="O3465" s="4"/>
      <c r="P3465" s="4"/>
      <c r="Q3465" s="4"/>
      <c r="R3465" s="4"/>
      <c r="S3465" s="4"/>
      <c r="T3465" s="4"/>
      <c r="U3465" s="4"/>
      <c r="V3465" s="4"/>
      <c r="W3465" s="4"/>
      <c r="X3465" s="4"/>
      <c r="Y3465" s="4"/>
      <c r="Z3465" s="4"/>
      <c r="AA3465" s="4"/>
      <c r="AB3465" s="4"/>
      <c r="AC3465" s="4"/>
      <c r="AD3465" s="4"/>
      <c r="AE3465" s="4"/>
      <c r="AF3465" s="4"/>
    </row>
    <row r="3466" spans="1:32">
      <c r="A3466" s="663"/>
      <c r="B3466" s="3130" t="s">
        <v>436</v>
      </c>
      <c r="C3466" s="663" t="s">
        <v>427</v>
      </c>
      <c r="D3466" s="794" t="s">
        <v>1979</v>
      </c>
      <c r="E3466" s="700" t="s">
        <v>430</v>
      </c>
      <c r="F3466" s="795">
        <v>1210</v>
      </c>
      <c r="G3466" s="2491" t="s">
        <v>1696</v>
      </c>
      <c r="H3466" s="701"/>
      <c r="I3466" s="709">
        <v>2818.5587715600004</v>
      </c>
      <c r="J3466" s="1654" t="s">
        <v>1134</v>
      </c>
      <c r="K3466" s="792"/>
      <c r="L3466" s="714"/>
      <c r="M3466" s="2492">
        <v>3013.2258105600004</v>
      </c>
      <c r="N3466" s="305" t="s">
        <v>4287</v>
      </c>
      <c r="O3466" s="187"/>
      <c r="P3466" s="187"/>
      <c r="Q3466" s="187"/>
      <c r="R3466" s="187"/>
      <c r="S3466" s="187"/>
      <c r="T3466" s="187"/>
      <c r="U3466" s="187"/>
      <c r="V3466" s="187"/>
      <c r="W3466" s="187"/>
      <c r="X3466" s="187"/>
      <c r="Y3466" s="187"/>
      <c r="Z3466" s="187"/>
      <c r="AA3466" s="187"/>
      <c r="AB3466" s="187"/>
      <c r="AC3466" s="187"/>
      <c r="AD3466" s="187"/>
      <c r="AE3466" s="187"/>
      <c r="AF3466" s="187"/>
    </row>
    <row r="3467" spans="1:32">
      <c r="A3467" s="683"/>
      <c r="B3467" s="3129" t="s">
        <v>436</v>
      </c>
      <c r="C3467" s="683" t="s">
        <v>427</v>
      </c>
      <c r="D3467" s="823" t="s">
        <v>1979</v>
      </c>
      <c r="E3467" s="720" t="s">
        <v>430</v>
      </c>
      <c r="F3467" s="824">
        <v>1221</v>
      </c>
      <c r="G3467" s="800" t="s">
        <v>114</v>
      </c>
      <c r="H3467" s="706">
        <v>28840.246047069999</v>
      </c>
      <c r="I3467" s="706"/>
      <c r="J3467" s="1654">
        <v>27426</v>
      </c>
      <c r="K3467" s="802"/>
      <c r="L3467" s="713">
        <v>23327.742857080008</v>
      </c>
      <c r="M3467" s="706"/>
      <c r="N3467" s="305"/>
      <c r="O3467" s="4"/>
      <c r="P3467" s="4"/>
      <c r="Q3467" s="4"/>
      <c r="R3467" s="4"/>
      <c r="S3467" s="4"/>
      <c r="T3467" s="4"/>
      <c r="U3467" s="4"/>
      <c r="V3467" s="4"/>
      <c r="W3467" s="4"/>
      <c r="X3467" s="4"/>
      <c r="Y3467" s="4"/>
      <c r="Z3467" s="4"/>
      <c r="AA3467" s="4"/>
      <c r="AB3467" s="4"/>
      <c r="AC3467" s="4"/>
      <c r="AD3467" s="4"/>
      <c r="AE3467" s="4"/>
      <c r="AF3467" s="4"/>
    </row>
    <row r="3468" spans="1:32" ht="20.399999999999999">
      <c r="A3468" s="663"/>
      <c r="B3468" s="3130" t="s">
        <v>436</v>
      </c>
      <c r="C3468" s="663" t="s">
        <v>427</v>
      </c>
      <c r="D3468" s="794" t="s">
        <v>1979</v>
      </c>
      <c r="E3468" s="700" t="s">
        <v>430</v>
      </c>
      <c r="F3468" s="795">
        <v>1221</v>
      </c>
      <c r="G3468" s="750" t="s">
        <v>752</v>
      </c>
      <c r="H3468" s="701"/>
      <c r="I3468" s="701">
        <v>23840.246047069999</v>
      </c>
      <c r="J3468" s="1654" t="s">
        <v>1134</v>
      </c>
      <c r="K3468" s="792"/>
      <c r="L3468" s="714"/>
      <c r="M3468" s="701">
        <v>23327.742857080008</v>
      </c>
      <c r="N3468" s="2048" t="s">
        <v>2707</v>
      </c>
      <c r="O3468" s="187"/>
      <c r="P3468" s="187"/>
      <c r="Q3468" s="187"/>
      <c r="R3468" s="187"/>
      <c r="S3468" s="187"/>
      <c r="T3468" s="187"/>
      <c r="U3468" s="187"/>
      <c r="V3468" s="187"/>
      <c r="W3468" s="187"/>
      <c r="X3468" s="187"/>
      <c r="Y3468" s="187"/>
      <c r="Z3468" s="187"/>
      <c r="AA3468" s="187"/>
      <c r="AB3468" s="187"/>
      <c r="AC3468" s="187"/>
      <c r="AD3468" s="187"/>
      <c r="AE3468" s="187"/>
      <c r="AF3468" s="187"/>
    </row>
    <row r="3469" spans="1:32" ht="20.399999999999999">
      <c r="A3469" s="603"/>
      <c r="B3469" s="3130" t="s">
        <v>436</v>
      </c>
      <c r="C3469" s="663" t="s">
        <v>427</v>
      </c>
      <c r="D3469" s="794" t="s">
        <v>1979</v>
      </c>
      <c r="E3469" s="700" t="s">
        <v>430</v>
      </c>
      <c r="F3469" s="795">
        <v>1221</v>
      </c>
      <c r="G3469" s="750" t="s">
        <v>3303</v>
      </c>
      <c r="H3469" s="1165"/>
      <c r="I3469" s="1165">
        <v>5000</v>
      </c>
      <c r="J3469" s="1654" t="s">
        <v>1134</v>
      </c>
      <c r="K3469" s="1439"/>
      <c r="L3469" s="1456"/>
      <c r="M3469" s="1165"/>
      <c r="N3469" s="305"/>
      <c r="O3469" s="4"/>
      <c r="P3469" s="4"/>
      <c r="Q3469" s="4"/>
      <c r="R3469" s="4"/>
      <c r="S3469" s="4"/>
      <c r="T3469" s="4"/>
      <c r="U3469" s="4"/>
      <c r="V3469" s="4"/>
      <c r="W3469" s="4"/>
      <c r="X3469" s="4"/>
      <c r="Y3469" s="4"/>
      <c r="Z3469" s="4"/>
      <c r="AA3469" s="4"/>
      <c r="AB3469" s="4"/>
      <c r="AC3469" s="4"/>
      <c r="AD3469" s="4"/>
      <c r="AE3469" s="4"/>
      <c r="AF3469" s="4"/>
    </row>
    <row r="3470" spans="1:32">
      <c r="A3470" s="683"/>
      <c r="B3470" s="3129" t="s">
        <v>772</v>
      </c>
      <c r="C3470" s="683" t="s">
        <v>427</v>
      </c>
      <c r="D3470" s="719" t="s">
        <v>1979</v>
      </c>
      <c r="E3470" s="720" t="s">
        <v>430</v>
      </c>
      <c r="F3470" s="824">
        <v>1223</v>
      </c>
      <c r="G3470" s="800" t="s">
        <v>935</v>
      </c>
      <c r="H3470" s="706">
        <v>2875</v>
      </c>
      <c r="I3470" s="706"/>
      <c r="J3470" s="1654">
        <v>2524</v>
      </c>
      <c r="K3470" s="802"/>
      <c r="L3470" s="713">
        <v>3500</v>
      </c>
      <c r="M3470" s="706"/>
      <c r="N3470" s="305"/>
      <c r="O3470" s="187"/>
      <c r="P3470" s="187"/>
      <c r="Q3470" s="187"/>
      <c r="R3470" s="187"/>
      <c r="S3470" s="187"/>
      <c r="T3470" s="187"/>
      <c r="U3470" s="187"/>
      <c r="V3470" s="187"/>
      <c r="W3470" s="187"/>
      <c r="X3470" s="187"/>
      <c r="Y3470" s="187"/>
      <c r="Z3470" s="187"/>
      <c r="AA3470" s="187"/>
      <c r="AB3470" s="187"/>
      <c r="AC3470" s="187"/>
      <c r="AD3470" s="187"/>
      <c r="AE3470" s="187"/>
      <c r="AF3470" s="187"/>
    </row>
    <row r="3471" spans="1:32">
      <c r="A3471" s="663"/>
      <c r="B3471" s="3130" t="s">
        <v>772</v>
      </c>
      <c r="C3471" s="663" t="s">
        <v>427</v>
      </c>
      <c r="D3471" s="678" t="s">
        <v>1979</v>
      </c>
      <c r="E3471" s="700" t="s">
        <v>430</v>
      </c>
      <c r="F3471" s="795">
        <v>1223</v>
      </c>
      <c r="G3471" s="750" t="s">
        <v>2267</v>
      </c>
      <c r="H3471" s="701"/>
      <c r="I3471" s="701">
        <v>2875</v>
      </c>
      <c r="J3471" s="1654" t="s">
        <v>1134</v>
      </c>
      <c r="K3471" s="792"/>
      <c r="L3471" s="714"/>
      <c r="M3471" s="714">
        <v>3500</v>
      </c>
      <c r="N3471" s="305" t="s">
        <v>4288</v>
      </c>
      <c r="O3471" s="187"/>
      <c r="P3471" s="187"/>
      <c r="Q3471" s="187"/>
      <c r="R3471" s="187"/>
      <c r="S3471" s="187"/>
      <c r="T3471" s="187"/>
      <c r="U3471" s="187"/>
      <c r="V3471" s="187"/>
      <c r="W3471" s="187"/>
      <c r="X3471" s="187"/>
      <c r="Y3471" s="187"/>
      <c r="Z3471" s="187"/>
      <c r="AA3471" s="187"/>
      <c r="AB3471" s="187"/>
      <c r="AC3471" s="187"/>
      <c r="AD3471" s="187"/>
      <c r="AE3471" s="187"/>
      <c r="AF3471" s="187"/>
    </row>
    <row r="3472" spans="1:32" ht="30.6">
      <c r="A3472" s="663"/>
      <c r="B3472" s="3130" t="s">
        <v>772</v>
      </c>
      <c r="C3472" s="663" t="s">
        <v>427</v>
      </c>
      <c r="D3472" s="678" t="s">
        <v>1979</v>
      </c>
      <c r="E3472" s="700" t="s">
        <v>430</v>
      </c>
      <c r="F3472" s="795">
        <v>1223</v>
      </c>
      <c r="G3472" s="750"/>
      <c r="H3472" s="701"/>
      <c r="I3472" s="701"/>
      <c r="J3472" s="1654" t="s">
        <v>1134</v>
      </c>
      <c r="K3472" s="792"/>
      <c r="L3472" s="714"/>
      <c r="M3472" s="701"/>
      <c r="N3472" s="381" t="s">
        <v>4289</v>
      </c>
      <c r="O3472" s="4"/>
      <c r="P3472" s="4"/>
      <c r="Q3472" s="4"/>
      <c r="R3472" s="4"/>
      <c r="S3472" s="4"/>
      <c r="T3472" s="4"/>
      <c r="U3472" s="4"/>
      <c r="V3472" s="4"/>
      <c r="W3472" s="4"/>
      <c r="X3472" s="4"/>
      <c r="Y3472" s="4"/>
      <c r="Z3472" s="4"/>
      <c r="AA3472" s="4"/>
      <c r="AB3472" s="4"/>
      <c r="AC3472" s="4"/>
      <c r="AD3472" s="4"/>
      <c r="AE3472" s="4"/>
      <c r="AF3472" s="4"/>
    </row>
    <row r="3473" spans="1:32">
      <c r="A3473" s="683"/>
      <c r="B3473" s="3129" t="s">
        <v>772</v>
      </c>
      <c r="C3473" s="683" t="s">
        <v>427</v>
      </c>
      <c r="D3473" s="719" t="s">
        <v>1979</v>
      </c>
      <c r="E3473" s="720" t="s">
        <v>430</v>
      </c>
      <c r="F3473" s="824">
        <v>1228</v>
      </c>
      <c r="G3473" s="800" t="s">
        <v>115</v>
      </c>
      <c r="H3473" s="706">
        <v>2364</v>
      </c>
      <c r="I3473" s="706"/>
      <c r="J3473" s="1654">
        <v>1939</v>
      </c>
      <c r="K3473" s="802"/>
      <c r="L3473" s="713">
        <v>2564</v>
      </c>
      <c r="M3473" s="706"/>
      <c r="N3473" s="305"/>
      <c r="O3473" s="187"/>
      <c r="P3473" s="187"/>
      <c r="Q3473" s="187"/>
      <c r="R3473" s="187"/>
      <c r="S3473" s="187"/>
      <c r="T3473" s="187"/>
      <c r="U3473" s="187"/>
      <c r="V3473" s="187"/>
      <c r="W3473" s="187"/>
      <c r="X3473" s="187"/>
      <c r="Y3473" s="187"/>
      <c r="Z3473" s="187"/>
      <c r="AA3473" s="187"/>
      <c r="AB3473" s="187"/>
      <c r="AC3473" s="187"/>
      <c r="AD3473" s="187"/>
      <c r="AE3473" s="187"/>
      <c r="AF3473" s="187"/>
    </row>
    <row r="3474" spans="1:32" ht="30.6">
      <c r="A3474" s="663"/>
      <c r="B3474" s="3130" t="s">
        <v>772</v>
      </c>
      <c r="C3474" s="663" t="s">
        <v>427</v>
      </c>
      <c r="D3474" s="678" t="s">
        <v>1979</v>
      </c>
      <c r="E3474" s="700" t="s">
        <v>430</v>
      </c>
      <c r="F3474" s="795">
        <v>1228</v>
      </c>
      <c r="G3474" s="750" t="s">
        <v>904</v>
      </c>
      <c r="H3474" s="701"/>
      <c r="I3474" s="701">
        <v>564</v>
      </c>
      <c r="J3474" s="1654" t="s">
        <v>1134</v>
      </c>
      <c r="K3474" s="792"/>
      <c r="L3474" s="714"/>
      <c r="M3474" s="701">
        <v>564</v>
      </c>
      <c r="N3474" s="7"/>
      <c r="O3474" s="4"/>
      <c r="P3474" s="4"/>
      <c r="Q3474" s="4"/>
      <c r="R3474" s="4"/>
      <c r="S3474" s="4"/>
      <c r="T3474" s="4"/>
      <c r="U3474" s="4"/>
      <c r="V3474" s="4"/>
      <c r="W3474" s="4"/>
      <c r="X3474" s="4"/>
      <c r="Y3474" s="4"/>
      <c r="Z3474" s="4"/>
      <c r="AA3474" s="4"/>
      <c r="AB3474" s="4"/>
      <c r="AC3474" s="4"/>
      <c r="AD3474" s="4"/>
      <c r="AE3474" s="4"/>
      <c r="AF3474" s="4"/>
    </row>
    <row r="3475" spans="1:32" ht="20.399999999999999">
      <c r="A3475" s="663"/>
      <c r="B3475" s="3130" t="s">
        <v>772</v>
      </c>
      <c r="C3475" s="663" t="s">
        <v>427</v>
      </c>
      <c r="D3475" s="678" t="s">
        <v>1979</v>
      </c>
      <c r="E3475" s="700" t="s">
        <v>430</v>
      </c>
      <c r="F3475" s="795">
        <v>1228</v>
      </c>
      <c r="G3475" s="750" t="s">
        <v>4262</v>
      </c>
      <c r="H3475" s="701"/>
      <c r="I3475" s="701">
        <v>1800</v>
      </c>
      <c r="J3475" s="1654" t="s">
        <v>1134</v>
      </c>
      <c r="K3475" s="792"/>
      <c r="L3475" s="714"/>
      <c r="M3475" s="701">
        <v>2000</v>
      </c>
      <c r="N3475" s="359" t="s">
        <v>4290</v>
      </c>
      <c r="O3475" s="187"/>
      <c r="P3475" s="187"/>
      <c r="Q3475" s="187"/>
      <c r="R3475" s="187"/>
      <c r="S3475" s="187"/>
      <c r="T3475" s="187"/>
      <c r="U3475" s="187"/>
      <c r="V3475" s="187"/>
      <c r="W3475" s="187"/>
      <c r="X3475" s="187"/>
      <c r="Y3475" s="187"/>
      <c r="Z3475" s="187"/>
      <c r="AA3475" s="187"/>
      <c r="AB3475" s="187"/>
      <c r="AC3475" s="187"/>
      <c r="AD3475" s="187"/>
      <c r="AE3475" s="187"/>
      <c r="AF3475" s="187"/>
    </row>
    <row r="3476" spans="1:32">
      <c r="A3476" s="683"/>
      <c r="B3476" s="3129" t="s">
        <v>772</v>
      </c>
      <c r="C3476" s="683" t="s">
        <v>320</v>
      </c>
      <c r="D3476" s="719" t="s">
        <v>1979</v>
      </c>
      <c r="E3476" s="720" t="s">
        <v>430</v>
      </c>
      <c r="F3476" s="824">
        <v>2111</v>
      </c>
      <c r="G3476" s="800" t="s">
        <v>633</v>
      </c>
      <c r="H3476" s="706">
        <v>300</v>
      </c>
      <c r="I3476" s="706"/>
      <c r="J3476" s="1654">
        <v>128</v>
      </c>
      <c r="K3476" s="802"/>
      <c r="L3476" s="713">
        <v>300</v>
      </c>
      <c r="M3476" s="706"/>
      <c r="N3476" s="305"/>
      <c r="O3476" s="187"/>
      <c r="P3476" s="187"/>
      <c r="Q3476" s="187"/>
      <c r="R3476" s="187"/>
      <c r="S3476" s="187"/>
      <c r="T3476" s="187"/>
      <c r="U3476" s="187"/>
      <c r="V3476" s="187"/>
      <c r="W3476" s="187"/>
      <c r="X3476" s="187"/>
      <c r="Y3476" s="187"/>
      <c r="Z3476" s="187"/>
      <c r="AA3476" s="187"/>
      <c r="AB3476" s="187"/>
      <c r="AC3476" s="187"/>
      <c r="AD3476" s="187"/>
      <c r="AE3476" s="187"/>
      <c r="AF3476" s="187"/>
    </row>
    <row r="3477" spans="1:32">
      <c r="A3477" s="663"/>
      <c r="B3477" s="3130" t="s">
        <v>772</v>
      </c>
      <c r="C3477" s="663" t="s">
        <v>320</v>
      </c>
      <c r="D3477" s="678" t="s">
        <v>1979</v>
      </c>
      <c r="E3477" s="700" t="s">
        <v>430</v>
      </c>
      <c r="F3477" s="795">
        <v>2111</v>
      </c>
      <c r="G3477" s="812" t="s">
        <v>152</v>
      </c>
      <c r="H3477" s="709"/>
      <c r="I3477" s="709">
        <v>300</v>
      </c>
      <c r="J3477" s="1654" t="s">
        <v>1134</v>
      </c>
      <c r="K3477" s="802"/>
      <c r="L3477" s="962"/>
      <c r="M3477" s="709">
        <v>300</v>
      </c>
      <c r="N3477" s="305"/>
      <c r="O3477" s="4"/>
      <c r="P3477" s="4"/>
      <c r="Q3477" s="4"/>
      <c r="R3477" s="4"/>
      <c r="S3477" s="4"/>
      <c r="T3477" s="4"/>
      <c r="U3477" s="4"/>
      <c r="V3477" s="4"/>
      <c r="W3477" s="4"/>
      <c r="X3477" s="4"/>
      <c r="Y3477" s="4"/>
      <c r="Z3477" s="4"/>
      <c r="AA3477" s="4"/>
      <c r="AB3477" s="4"/>
      <c r="AC3477" s="4"/>
      <c r="AD3477" s="4"/>
      <c r="AE3477" s="4"/>
      <c r="AF3477" s="4"/>
    </row>
    <row r="3478" spans="1:32" ht="20.399999999999999">
      <c r="A3478" s="683"/>
      <c r="B3478" s="3129" t="s">
        <v>772</v>
      </c>
      <c r="C3478" s="683" t="s">
        <v>320</v>
      </c>
      <c r="D3478" s="719" t="s">
        <v>1979</v>
      </c>
      <c r="E3478" s="720" t="s">
        <v>430</v>
      </c>
      <c r="F3478" s="824">
        <v>2112</v>
      </c>
      <c r="G3478" s="800" t="s">
        <v>634</v>
      </c>
      <c r="H3478" s="706">
        <v>0</v>
      </c>
      <c r="I3478" s="706"/>
      <c r="J3478" s="1654" t="s">
        <v>1134</v>
      </c>
      <c r="K3478" s="802"/>
      <c r="L3478" s="713">
        <v>0</v>
      </c>
      <c r="M3478" s="706"/>
      <c r="N3478" s="305"/>
      <c r="O3478" s="187"/>
      <c r="P3478" s="187"/>
      <c r="Q3478" s="187"/>
      <c r="R3478" s="187"/>
      <c r="S3478" s="187"/>
      <c r="T3478" s="187"/>
      <c r="U3478" s="187"/>
      <c r="V3478" s="187"/>
      <c r="W3478" s="187"/>
      <c r="X3478" s="187"/>
      <c r="Y3478" s="187"/>
      <c r="Z3478" s="187"/>
      <c r="AA3478" s="187"/>
      <c r="AB3478" s="187"/>
      <c r="AC3478" s="187"/>
      <c r="AD3478" s="187"/>
      <c r="AE3478" s="187"/>
      <c r="AF3478" s="187"/>
    </row>
    <row r="3479" spans="1:32">
      <c r="A3479" s="663"/>
      <c r="B3479" s="3130" t="s">
        <v>772</v>
      </c>
      <c r="C3479" s="663" t="s">
        <v>320</v>
      </c>
      <c r="D3479" s="678" t="s">
        <v>1979</v>
      </c>
      <c r="E3479" s="700" t="s">
        <v>430</v>
      </c>
      <c r="F3479" s="795">
        <v>2112</v>
      </c>
      <c r="G3479" s="812" t="s">
        <v>152</v>
      </c>
      <c r="H3479" s="709"/>
      <c r="I3479" s="709"/>
      <c r="J3479" s="1654" t="s">
        <v>1134</v>
      </c>
      <c r="K3479" s="802"/>
      <c r="L3479" s="962"/>
      <c r="M3479" s="709"/>
      <c r="N3479" s="381"/>
      <c r="O3479" s="187"/>
      <c r="P3479" s="187"/>
      <c r="Q3479" s="187"/>
      <c r="R3479" s="187"/>
      <c r="S3479" s="187"/>
      <c r="T3479" s="187"/>
      <c r="U3479" s="187"/>
      <c r="V3479" s="187"/>
      <c r="W3479" s="187"/>
      <c r="X3479" s="187"/>
      <c r="Y3479" s="187"/>
      <c r="Z3479" s="187"/>
      <c r="AA3479" s="187"/>
      <c r="AB3479" s="187"/>
      <c r="AC3479" s="187"/>
      <c r="AD3479" s="187"/>
      <c r="AE3479" s="187"/>
      <c r="AF3479" s="187"/>
    </row>
    <row r="3480" spans="1:32">
      <c r="A3480" s="683"/>
      <c r="B3480" s="3129" t="s">
        <v>772</v>
      </c>
      <c r="C3480" s="683" t="s">
        <v>320</v>
      </c>
      <c r="D3480" s="719" t="s">
        <v>1979</v>
      </c>
      <c r="E3480" s="720" t="s">
        <v>430</v>
      </c>
      <c r="F3480" s="824">
        <v>2121</v>
      </c>
      <c r="G3480" s="800" t="s">
        <v>584</v>
      </c>
      <c r="H3480" s="706">
        <v>200</v>
      </c>
      <c r="I3480" s="706"/>
      <c r="J3480" s="1654">
        <v>0</v>
      </c>
      <c r="K3480" s="802"/>
      <c r="L3480" s="713">
        <v>200</v>
      </c>
      <c r="M3480" s="706"/>
      <c r="N3480" s="305"/>
      <c r="O3480" s="187"/>
      <c r="P3480" s="187"/>
      <c r="Q3480" s="187"/>
      <c r="R3480" s="187"/>
      <c r="S3480" s="187"/>
      <c r="T3480" s="187"/>
      <c r="U3480" s="187"/>
      <c r="V3480" s="187"/>
      <c r="W3480" s="187"/>
      <c r="X3480" s="187"/>
      <c r="Y3480" s="187"/>
      <c r="Z3480" s="187"/>
      <c r="AA3480" s="187"/>
      <c r="AB3480" s="187"/>
      <c r="AC3480" s="187"/>
      <c r="AD3480" s="187"/>
      <c r="AE3480" s="187"/>
      <c r="AF3480" s="187"/>
    </row>
    <row r="3481" spans="1:32">
      <c r="A3481" s="663"/>
      <c r="B3481" s="3130" t="s">
        <v>772</v>
      </c>
      <c r="C3481" s="663" t="s">
        <v>320</v>
      </c>
      <c r="D3481" s="678" t="s">
        <v>1979</v>
      </c>
      <c r="E3481" s="700" t="s">
        <v>430</v>
      </c>
      <c r="F3481" s="795">
        <v>2121</v>
      </c>
      <c r="G3481" s="812"/>
      <c r="H3481" s="709"/>
      <c r="I3481" s="709">
        <v>200</v>
      </c>
      <c r="J3481" s="1654" t="s">
        <v>1134</v>
      </c>
      <c r="K3481" s="802"/>
      <c r="L3481" s="962"/>
      <c r="M3481" s="709">
        <v>200</v>
      </c>
      <c r="N3481" s="305" t="s">
        <v>4293</v>
      </c>
      <c r="O3481" s="187"/>
      <c r="P3481" s="187"/>
      <c r="Q3481" s="187"/>
      <c r="R3481" s="187"/>
      <c r="S3481" s="187"/>
      <c r="T3481" s="187"/>
      <c r="U3481" s="187"/>
      <c r="V3481" s="187"/>
      <c r="W3481" s="187"/>
      <c r="X3481" s="187"/>
      <c r="Y3481" s="187"/>
      <c r="Z3481" s="187"/>
      <c r="AA3481" s="187"/>
      <c r="AB3481" s="187"/>
      <c r="AC3481" s="187"/>
      <c r="AD3481" s="187"/>
      <c r="AE3481" s="187"/>
      <c r="AF3481" s="187"/>
    </row>
    <row r="3482" spans="1:32">
      <c r="A3482" s="683"/>
      <c r="B3482" s="3129" t="s">
        <v>772</v>
      </c>
      <c r="C3482" s="683" t="s">
        <v>322</v>
      </c>
      <c r="D3482" s="719" t="s">
        <v>1979</v>
      </c>
      <c r="E3482" s="720" t="s">
        <v>430</v>
      </c>
      <c r="F3482" s="824">
        <v>2210</v>
      </c>
      <c r="G3482" s="800" t="s">
        <v>572</v>
      </c>
      <c r="H3482" s="706">
        <v>8004</v>
      </c>
      <c r="I3482" s="706"/>
      <c r="J3482" s="1654">
        <v>7056</v>
      </c>
      <c r="K3482" s="802"/>
      <c r="L3482" s="713">
        <v>8614</v>
      </c>
      <c r="M3482" s="706"/>
      <c r="N3482" s="305"/>
      <c r="O3482" s="187"/>
      <c r="P3482" s="187"/>
      <c r="Q3482" s="187"/>
      <c r="R3482" s="187"/>
      <c r="S3482" s="187"/>
      <c r="T3482" s="187"/>
      <c r="U3482" s="187"/>
      <c r="V3482" s="187"/>
      <c r="W3482" s="187"/>
      <c r="X3482" s="187"/>
      <c r="Y3482" s="187"/>
      <c r="Z3482" s="187"/>
      <c r="AA3482" s="187"/>
      <c r="AB3482" s="187"/>
      <c r="AC3482" s="187"/>
      <c r="AD3482" s="187"/>
      <c r="AE3482" s="187"/>
      <c r="AF3482" s="187"/>
    </row>
    <row r="3483" spans="1:32" ht="11.4" customHeight="1">
      <c r="A3483" s="663"/>
      <c r="B3483" s="3130" t="s">
        <v>772</v>
      </c>
      <c r="C3483" s="663" t="s">
        <v>322</v>
      </c>
      <c r="D3483" s="678" t="s">
        <v>1979</v>
      </c>
      <c r="E3483" s="700" t="s">
        <v>430</v>
      </c>
      <c r="F3483" s="795">
        <v>2210</v>
      </c>
      <c r="G3483" s="750" t="s">
        <v>2268</v>
      </c>
      <c r="H3483" s="701"/>
      <c r="I3483" s="701">
        <v>2400</v>
      </c>
      <c r="J3483" s="1654" t="s">
        <v>1134</v>
      </c>
      <c r="K3483" s="792"/>
      <c r="L3483" s="714"/>
      <c r="M3483" s="714">
        <v>2350</v>
      </c>
      <c r="N3483" s="381"/>
      <c r="O3483" s="187"/>
      <c r="P3483" s="187"/>
      <c r="Q3483" s="187"/>
      <c r="R3483" s="187"/>
      <c r="S3483" s="187"/>
      <c r="T3483" s="187"/>
      <c r="U3483" s="187"/>
      <c r="V3483" s="187"/>
      <c r="W3483" s="187"/>
      <c r="X3483" s="187"/>
      <c r="Y3483" s="187"/>
      <c r="Z3483" s="187"/>
      <c r="AA3483" s="187"/>
      <c r="AB3483" s="187"/>
      <c r="AC3483" s="187"/>
      <c r="AD3483" s="187"/>
      <c r="AE3483" s="187"/>
      <c r="AF3483" s="187"/>
    </row>
    <row r="3484" spans="1:32" ht="20.399999999999999">
      <c r="A3484" s="663"/>
      <c r="B3484" s="3130" t="s">
        <v>772</v>
      </c>
      <c r="C3484" s="663" t="s">
        <v>322</v>
      </c>
      <c r="D3484" s="678" t="s">
        <v>1979</v>
      </c>
      <c r="E3484" s="700" t="s">
        <v>430</v>
      </c>
      <c r="F3484" s="795">
        <v>2210</v>
      </c>
      <c r="G3484" s="750" t="s">
        <v>2269</v>
      </c>
      <c r="H3484" s="701"/>
      <c r="I3484" s="701">
        <v>2700</v>
      </c>
      <c r="J3484" s="1654" t="s">
        <v>1134</v>
      </c>
      <c r="K3484" s="792"/>
      <c r="L3484" s="714"/>
      <c r="M3484" s="714">
        <v>3360</v>
      </c>
      <c r="N3484" s="381" t="s">
        <v>4294</v>
      </c>
      <c r="O3484" s="187"/>
      <c r="P3484" s="187"/>
      <c r="Q3484" s="187"/>
      <c r="R3484" s="187"/>
      <c r="S3484" s="187"/>
      <c r="T3484" s="187"/>
      <c r="U3484" s="187"/>
      <c r="V3484" s="187"/>
      <c r="W3484" s="187"/>
      <c r="X3484" s="187"/>
      <c r="Y3484" s="187"/>
      <c r="Z3484" s="187"/>
      <c r="AA3484" s="187"/>
      <c r="AB3484" s="187"/>
      <c r="AC3484" s="187"/>
      <c r="AD3484" s="187"/>
      <c r="AE3484" s="187"/>
      <c r="AF3484" s="187"/>
    </row>
    <row r="3485" spans="1:32" ht="20.399999999999999">
      <c r="A3485" s="663"/>
      <c r="B3485" s="3130" t="s">
        <v>772</v>
      </c>
      <c r="C3485" s="663" t="s">
        <v>322</v>
      </c>
      <c r="D3485" s="678" t="s">
        <v>1979</v>
      </c>
      <c r="E3485" s="700" t="s">
        <v>430</v>
      </c>
      <c r="F3485" s="795">
        <v>2210</v>
      </c>
      <c r="G3485" s="750" t="s">
        <v>4267</v>
      </c>
      <c r="H3485" s="701"/>
      <c r="I3485" s="701">
        <v>2904</v>
      </c>
      <c r="J3485" s="1654" t="s">
        <v>1134</v>
      </c>
      <c r="K3485" s="792"/>
      <c r="L3485" s="714"/>
      <c r="M3485" s="714">
        <v>2904</v>
      </c>
      <c r="N3485" s="305"/>
      <c r="O3485" s="187"/>
      <c r="P3485" s="187"/>
      <c r="Q3485" s="187"/>
      <c r="R3485" s="187"/>
      <c r="S3485" s="187"/>
      <c r="T3485" s="187"/>
      <c r="U3485" s="187"/>
      <c r="V3485" s="187"/>
      <c r="W3485" s="187"/>
      <c r="X3485" s="187"/>
      <c r="Y3485" s="187"/>
      <c r="Z3485" s="187"/>
      <c r="AA3485" s="187"/>
      <c r="AB3485" s="187"/>
      <c r="AC3485" s="187"/>
      <c r="AD3485" s="187"/>
      <c r="AE3485" s="187"/>
      <c r="AF3485" s="187"/>
    </row>
    <row r="3486" spans="1:32">
      <c r="A3486" s="683"/>
      <c r="B3486" s="3129" t="s">
        <v>772</v>
      </c>
      <c r="C3486" s="683" t="s">
        <v>320</v>
      </c>
      <c r="D3486" s="719" t="s">
        <v>1979</v>
      </c>
      <c r="E3486" s="720" t="s">
        <v>430</v>
      </c>
      <c r="F3486" s="824">
        <v>2221</v>
      </c>
      <c r="G3486" s="800" t="s">
        <v>623</v>
      </c>
      <c r="H3486" s="706">
        <v>3000</v>
      </c>
      <c r="I3486" s="706"/>
      <c r="J3486" s="1654">
        <v>1286.97</v>
      </c>
      <c r="K3486" s="802"/>
      <c r="L3486" s="713">
        <v>3100</v>
      </c>
      <c r="M3486" s="706"/>
      <c r="N3486" s="7"/>
      <c r="O3486" s="187"/>
      <c r="P3486" s="187"/>
      <c r="Q3486" s="187"/>
      <c r="R3486" s="187"/>
      <c r="S3486" s="187"/>
      <c r="T3486" s="187"/>
      <c r="U3486" s="187"/>
      <c r="V3486" s="187"/>
      <c r="W3486" s="187"/>
      <c r="X3486" s="187"/>
      <c r="Y3486" s="187"/>
      <c r="Z3486" s="187"/>
      <c r="AA3486" s="187"/>
      <c r="AB3486" s="187"/>
      <c r="AC3486" s="187"/>
      <c r="AD3486" s="187"/>
      <c r="AE3486" s="187"/>
      <c r="AF3486" s="187"/>
    </row>
    <row r="3487" spans="1:32" ht="11.4" customHeight="1">
      <c r="A3487" s="663"/>
      <c r="B3487" s="3130" t="s">
        <v>772</v>
      </c>
      <c r="C3487" s="663" t="s">
        <v>320</v>
      </c>
      <c r="D3487" s="678" t="s">
        <v>1979</v>
      </c>
      <c r="E3487" s="700" t="s">
        <v>430</v>
      </c>
      <c r="F3487" s="795">
        <v>2221</v>
      </c>
      <c r="G3487" s="750" t="s">
        <v>1590</v>
      </c>
      <c r="H3487" s="701"/>
      <c r="I3487" s="701">
        <v>500</v>
      </c>
      <c r="J3487" s="1654" t="s">
        <v>1134</v>
      </c>
      <c r="K3487" s="792"/>
      <c r="L3487" s="714"/>
      <c r="M3487" s="701"/>
      <c r="N3487" s="1777" t="s">
        <v>4869</v>
      </c>
      <c r="O3487" s="187"/>
      <c r="P3487" s="187"/>
      <c r="Q3487" s="187"/>
      <c r="R3487" s="187"/>
      <c r="S3487" s="187"/>
      <c r="T3487" s="187"/>
      <c r="U3487" s="187"/>
      <c r="V3487" s="187"/>
      <c r="W3487" s="187"/>
      <c r="X3487" s="187"/>
      <c r="Y3487" s="187"/>
      <c r="Z3487" s="187"/>
      <c r="AA3487" s="187"/>
      <c r="AB3487" s="187"/>
      <c r="AC3487" s="187"/>
      <c r="AD3487" s="187"/>
      <c r="AE3487" s="187"/>
      <c r="AF3487" s="187"/>
    </row>
    <row r="3488" spans="1:32" ht="90" customHeight="1">
      <c r="A3488" s="663"/>
      <c r="B3488" s="3130" t="s">
        <v>772</v>
      </c>
      <c r="C3488" s="663" t="s">
        <v>320</v>
      </c>
      <c r="D3488" s="678" t="s">
        <v>1979</v>
      </c>
      <c r="E3488" s="700" t="s">
        <v>430</v>
      </c>
      <c r="F3488" s="795">
        <v>2221</v>
      </c>
      <c r="G3488" s="750" t="s">
        <v>1597</v>
      </c>
      <c r="H3488" s="701"/>
      <c r="I3488" s="701">
        <v>2500</v>
      </c>
      <c r="J3488" s="1654" t="s">
        <v>1134</v>
      </c>
      <c r="K3488" s="792"/>
      <c r="L3488" s="714"/>
      <c r="M3488" s="701">
        <v>3100</v>
      </c>
      <c r="N3488" s="1777" t="s">
        <v>4870</v>
      </c>
      <c r="O3488" s="187"/>
      <c r="P3488" s="187"/>
      <c r="Q3488" s="187"/>
      <c r="R3488" s="187"/>
      <c r="S3488" s="187"/>
      <c r="T3488" s="187"/>
      <c r="U3488" s="187"/>
      <c r="V3488" s="187"/>
      <c r="W3488" s="187"/>
      <c r="X3488" s="187"/>
      <c r="Y3488" s="187"/>
      <c r="Z3488" s="187"/>
      <c r="AA3488" s="187"/>
      <c r="AB3488" s="187"/>
      <c r="AC3488" s="187"/>
      <c r="AD3488" s="187"/>
      <c r="AE3488" s="187"/>
      <c r="AF3488" s="187"/>
    </row>
    <row r="3489" spans="1:32">
      <c r="A3489" s="683"/>
      <c r="B3489" s="3129" t="s">
        <v>772</v>
      </c>
      <c r="C3489" s="683" t="s">
        <v>320</v>
      </c>
      <c r="D3489" s="719" t="s">
        <v>1979</v>
      </c>
      <c r="E3489" s="720" t="s">
        <v>430</v>
      </c>
      <c r="F3489" s="824">
        <v>2222</v>
      </c>
      <c r="G3489" s="800" t="s">
        <v>153</v>
      </c>
      <c r="H3489" s="706">
        <v>405</v>
      </c>
      <c r="I3489" s="706"/>
      <c r="J3489" s="1654">
        <v>335</v>
      </c>
      <c r="K3489" s="802"/>
      <c r="L3489" s="713">
        <v>410</v>
      </c>
      <c r="M3489" s="706"/>
      <c r="N3489" s="7"/>
      <c r="O3489" s="187"/>
      <c r="P3489" s="187"/>
      <c r="Q3489" s="187"/>
      <c r="R3489" s="187"/>
      <c r="S3489" s="187"/>
      <c r="T3489" s="187"/>
      <c r="U3489" s="187"/>
      <c r="V3489" s="187"/>
      <c r="W3489" s="187"/>
      <c r="X3489" s="187"/>
      <c r="Y3489" s="187"/>
      <c r="Z3489" s="187"/>
      <c r="AA3489" s="187"/>
      <c r="AB3489" s="187"/>
      <c r="AC3489" s="187"/>
      <c r="AD3489" s="187"/>
      <c r="AE3489" s="187"/>
      <c r="AF3489" s="187"/>
    </row>
    <row r="3490" spans="1:32">
      <c r="A3490" s="663"/>
      <c r="B3490" s="3130" t="s">
        <v>772</v>
      </c>
      <c r="C3490" s="663" t="s">
        <v>320</v>
      </c>
      <c r="D3490" s="678" t="s">
        <v>1979</v>
      </c>
      <c r="E3490" s="700" t="s">
        <v>430</v>
      </c>
      <c r="F3490" s="795">
        <v>2222</v>
      </c>
      <c r="G3490" s="750" t="s">
        <v>1597</v>
      </c>
      <c r="H3490" s="701"/>
      <c r="I3490" s="701">
        <v>300</v>
      </c>
      <c r="J3490" s="1654" t="s">
        <v>1134</v>
      </c>
      <c r="K3490" s="792"/>
      <c r="L3490" s="714"/>
      <c r="M3490" s="701">
        <v>410</v>
      </c>
      <c r="N3490" s="305"/>
      <c r="O3490" s="187"/>
      <c r="P3490" s="187"/>
      <c r="Q3490" s="187"/>
      <c r="R3490" s="187"/>
      <c r="S3490" s="187"/>
      <c r="T3490" s="187"/>
      <c r="U3490" s="187"/>
      <c r="V3490" s="187"/>
      <c r="W3490" s="187"/>
      <c r="X3490" s="187"/>
      <c r="Y3490" s="187"/>
      <c r="Z3490" s="187"/>
      <c r="AA3490" s="187"/>
      <c r="AB3490" s="187"/>
      <c r="AC3490" s="187"/>
      <c r="AD3490" s="187"/>
      <c r="AE3490" s="187"/>
    </row>
    <row r="3491" spans="1:32" ht="67.5" customHeight="1">
      <c r="A3491" s="1495"/>
      <c r="B3491" s="3138" t="s">
        <v>772</v>
      </c>
      <c r="C3491" s="1495" t="s">
        <v>320</v>
      </c>
      <c r="D3491" s="1561" t="s">
        <v>1979</v>
      </c>
      <c r="E3491" s="1590" t="s">
        <v>430</v>
      </c>
      <c r="F3491" s="1562">
        <v>2222</v>
      </c>
      <c r="G3491" s="1569" t="s">
        <v>3440</v>
      </c>
      <c r="H3491" s="1557"/>
      <c r="I3491" s="1557">
        <v>105</v>
      </c>
      <c r="J3491" s="1557"/>
      <c r="K3491" s="1563"/>
      <c r="L3491" s="1596"/>
      <c r="M3491" s="1557"/>
      <c r="N3491" s="305"/>
    </row>
    <row r="3492" spans="1:32" ht="11.4" customHeight="1">
      <c r="A3492" s="683"/>
      <c r="B3492" s="3129" t="s">
        <v>772</v>
      </c>
      <c r="C3492" s="683" t="s">
        <v>320</v>
      </c>
      <c r="D3492" s="719" t="s">
        <v>1979</v>
      </c>
      <c r="E3492" s="720" t="s">
        <v>430</v>
      </c>
      <c r="F3492" s="824">
        <v>2223</v>
      </c>
      <c r="G3492" s="800" t="s">
        <v>154</v>
      </c>
      <c r="H3492" s="706">
        <v>2200</v>
      </c>
      <c r="I3492" s="706"/>
      <c r="J3492" s="1654">
        <v>2008</v>
      </c>
      <c r="K3492" s="802"/>
      <c r="L3492" s="713">
        <v>2450</v>
      </c>
      <c r="M3492" s="706"/>
      <c r="N3492" s="305"/>
      <c r="O3492" s="187"/>
      <c r="P3492" s="187"/>
      <c r="Q3492" s="187"/>
      <c r="R3492" s="187"/>
      <c r="S3492" s="187"/>
      <c r="T3492" s="187"/>
      <c r="U3492" s="187"/>
      <c r="V3492" s="187"/>
      <c r="W3492" s="187"/>
      <c r="X3492" s="187"/>
      <c r="Y3492" s="187"/>
      <c r="Z3492" s="187"/>
      <c r="AA3492" s="187"/>
      <c r="AB3492" s="187"/>
      <c r="AC3492" s="187"/>
      <c r="AD3492" s="187"/>
      <c r="AE3492" s="187"/>
      <c r="AF3492" s="187"/>
    </row>
    <row r="3493" spans="1:32">
      <c r="A3493" s="663"/>
      <c r="B3493" s="3130" t="s">
        <v>772</v>
      </c>
      <c r="C3493" s="663" t="s">
        <v>320</v>
      </c>
      <c r="D3493" s="678" t="s">
        <v>1979</v>
      </c>
      <c r="E3493" s="700" t="s">
        <v>430</v>
      </c>
      <c r="F3493" s="795">
        <v>2223</v>
      </c>
      <c r="G3493" s="750" t="s">
        <v>1590</v>
      </c>
      <c r="H3493" s="701"/>
      <c r="I3493" s="701">
        <v>400</v>
      </c>
      <c r="J3493" s="1654" t="s">
        <v>1134</v>
      </c>
      <c r="K3493" s="792"/>
      <c r="L3493" s="714"/>
      <c r="M3493" s="2188">
        <v>450</v>
      </c>
      <c r="N3493" s="305"/>
    </row>
    <row r="3494" spans="1:32" ht="30.6">
      <c r="A3494" s="663"/>
      <c r="B3494" s="3130" t="s">
        <v>772</v>
      </c>
      <c r="C3494" s="663" t="s">
        <v>320</v>
      </c>
      <c r="D3494" s="678" t="s">
        <v>1979</v>
      </c>
      <c r="E3494" s="700" t="s">
        <v>430</v>
      </c>
      <c r="F3494" s="795">
        <v>2223</v>
      </c>
      <c r="G3494" s="750" t="s">
        <v>1597</v>
      </c>
      <c r="H3494" s="701"/>
      <c r="I3494" s="701">
        <v>1800</v>
      </c>
      <c r="J3494" s="1654" t="s">
        <v>1134</v>
      </c>
      <c r="K3494" s="792"/>
      <c r="L3494" s="714"/>
      <c r="M3494" s="2188">
        <v>2000</v>
      </c>
      <c r="N3494" s="1784" t="s">
        <v>4297</v>
      </c>
      <c r="O3494" s="187"/>
      <c r="P3494" s="187"/>
      <c r="Q3494" s="187"/>
      <c r="R3494" s="187"/>
      <c r="S3494" s="187"/>
      <c r="T3494" s="187"/>
      <c r="U3494" s="187"/>
      <c r="V3494" s="187"/>
      <c r="W3494" s="187"/>
      <c r="X3494" s="187"/>
      <c r="Y3494" s="187"/>
      <c r="Z3494" s="187"/>
      <c r="AA3494" s="187"/>
      <c r="AB3494" s="187"/>
      <c r="AC3494" s="187"/>
      <c r="AD3494" s="187"/>
      <c r="AE3494" s="187"/>
      <c r="AF3494" s="187"/>
    </row>
    <row r="3495" spans="1:32">
      <c r="A3495" s="683"/>
      <c r="B3495" s="3129" t="s">
        <v>772</v>
      </c>
      <c r="C3495" s="683" t="s">
        <v>320</v>
      </c>
      <c r="D3495" s="719" t="s">
        <v>1979</v>
      </c>
      <c r="E3495" s="720" t="s">
        <v>430</v>
      </c>
      <c r="F3495" s="824">
        <v>2234</v>
      </c>
      <c r="G3495" s="800" t="s">
        <v>120</v>
      </c>
      <c r="H3495" s="706">
        <v>834</v>
      </c>
      <c r="I3495" s="706"/>
      <c r="J3495" s="1654">
        <v>830</v>
      </c>
      <c r="K3495" s="802"/>
      <c r="L3495" s="713">
        <v>200</v>
      </c>
      <c r="M3495" s="706"/>
      <c r="N3495" s="1784" t="s">
        <v>4298</v>
      </c>
    </row>
    <row r="3496" spans="1:32" ht="11.4" customHeight="1">
      <c r="A3496" s="663"/>
      <c r="B3496" s="3130" t="s">
        <v>772</v>
      </c>
      <c r="C3496" s="663" t="s">
        <v>320</v>
      </c>
      <c r="D3496" s="678" t="s">
        <v>1979</v>
      </c>
      <c r="E3496" s="700" t="s">
        <v>430</v>
      </c>
      <c r="F3496" s="795">
        <v>2234</v>
      </c>
      <c r="G3496" s="750" t="s">
        <v>4273</v>
      </c>
      <c r="H3496" s="701"/>
      <c r="I3496" s="701">
        <v>480</v>
      </c>
      <c r="J3496" s="1654" t="s">
        <v>1134</v>
      </c>
      <c r="K3496" s="792"/>
      <c r="L3496" s="714"/>
      <c r="M3496" s="2188">
        <v>200</v>
      </c>
      <c r="N3496" s="305"/>
      <c r="O3496" s="187"/>
      <c r="P3496" s="187"/>
      <c r="Q3496" s="187"/>
      <c r="R3496" s="187"/>
      <c r="S3496" s="187"/>
      <c r="T3496" s="187"/>
      <c r="U3496" s="187"/>
      <c r="V3496" s="187"/>
      <c r="W3496" s="187"/>
      <c r="X3496" s="187"/>
      <c r="Y3496" s="187"/>
      <c r="Z3496" s="187"/>
      <c r="AA3496" s="187"/>
      <c r="AB3496" s="187"/>
      <c r="AC3496" s="187"/>
      <c r="AD3496" s="187"/>
      <c r="AE3496" s="187"/>
      <c r="AF3496" s="187"/>
    </row>
    <row r="3497" spans="1:32" ht="20.399999999999999">
      <c r="A3497" s="663"/>
      <c r="B3497" s="3130" t="s">
        <v>772</v>
      </c>
      <c r="C3497" s="663" t="s">
        <v>320</v>
      </c>
      <c r="D3497" s="678" t="s">
        <v>1979</v>
      </c>
      <c r="E3497" s="700" t="s">
        <v>430</v>
      </c>
      <c r="F3497" s="795">
        <v>2234</v>
      </c>
      <c r="G3497" s="750" t="s">
        <v>4276</v>
      </c>
      <c r="H3497" s="701"/>
      <c r="I3497" s="701">
        <v>354</v>
      </c>
      <c r="J3497" s="1654" t="s">
        <v>1134</v>
      </c>
      <c r="K3497" s="792"/>
      <c r="L3497" s="714"/>
      <c r="M3497" s="701"/>
      <c r="N3497" s="305"/>
    </row>
    <row r="3498" spans="1:32" ht="20.399999999999999">
      <c r="A3498" s="683"/>
      <c r="B3498" s="3129" t="s">
        <v>772</v>
      </c>
      <c r="C3498" s="683" t="s">
        <v>322</v>
      </c>
      <c r="D3498" s="719" t="s">
        <v>1979</v>
      </c>
      <c r="E3498" s="720" t="s">
        <v>430</v>
      </c>
      <c r="F3498" s="824">
        <v>2235</v>
      </c>
      <c r="G3498" s="800" t="s">
        <v>1139</v>
      </c>
      <c r="H3498" s="706">
        <v>9541</v>
      </c>
      <c r="I3498" s="706"/>
      <c r="J3498" s="1654">
        <v>6496</v>
      </c>
      <c r="K3498" s="802"/>
      <c r="L3498" s="713">
        <v>9400</v>
      </c>
      <c r="M3498" s="706"/>
      <c r="N3498" s="1784" t="s">
        <v>4301</v>
      </c>
    </row>
    <row r="3499" spans="1:32" ht="20.399999999999999">
      <c r="A3499" s="663"/>
      <c r="B3499" s="3130" t="s">
        <v>772</v>
      </c>
      <c r="C3499" s="663" t="s">
        <v>322</v>
      </c>
      <c r="D3499" s="678" t="s">
        <v>1979</v>
      </c>
      <c r="E3499" s="700" t="s">
        <v>430</v>
      </c>
      <c r="F3499" s="795">
        <v>2235</v>
      </c>
      <c r="G3499" s="750" t="s">
        <v>3242</v>
      </c>
      <c r="H3499" s="701"/>
      <c r="I3499" s="701">
        <v>10000</v>
      </c>
      <c r="J3499" s="1654" t="s">
        <v>1134</v>
      </c>
      <c r="K3499" s="792"/>
      <c r="L3499" s="714"/>
      <c r="M3499" s="2169">
        <v>10000</v>
      </c>
      <c r="N3499" s="1644"/>
      <c r="O3499" s="187"/>
      <c r="P3499" s="187"/>
      <c r="Q3499" s="187"/>
      <c r="R3499" s="187"/>
      <c r="S3499" s="187"/>
      <c r="T3499" s="187"/>
      <c r="U3499" s="187"/>
      <c r="V3499" s="187"/>
      <c r="W3499" s="187"/>
      <c r="X3499" s="187"/>
      <c r="Y3499" s="187"/>
      <c r="Z3499" s="187"/>
      <c r="AA3499" s="187"/>
      <c r="AB3499" s="187"/>
      <c r="AC3499" s="187"/>
      <c r="AD3499" s="187"/>
      <c r="AE3499" s="187"/>
      <c r="AF3499" s="187"/>
    </row>
    <row r="3500" spans="1:32">
      <c r="A3500" s="603"/>
      <c r="B3500" s="3130" t="s">
        <v>772</v>
      </c>
      <c r="C3500" s="663" t="s">
        <v>322</v>
      </c>
      <c r="D3500" s="678" t="s">
        <v>1979</v>
      </c>
      <c r="E3500" s="700" t="s">
        <v>430</v>
      </c>
      <c r="F3500" s="795">
        <v>2235</v>
      </c>
      <c r="G3500" s="1153" t="s">
        <v>4835</v>
      </c>
      <c r="H3500" s="1165"/>
      <c r="I3500" s="1165">
        <v>-204</v>
      </c>
      <c r="J3500" s="1654" t="s">
        <v>1134</v>
      </c>
      <c r="K3500" s="1439"/>
      <c r="L3500" s="1456"/>
      <c r="M3500" s="1165">
        <v>-600</v>
      </c>
      <c r="N3500" s="1784" t="s">
        <v>4302</v>
      </c>
    </row>
    <row r="3501" spans="1:32" ht="20.399999999999999">
      <c r="A3501" s="603"/>
      <c r="B3501" s="3130" t="s">
        <v>772</v>
      </c>
      <c r="C3501" s="663" t="s">
        <v>322</v>
      </c>
      <c r="D3501" s="678" t="s">
        <v>1979</v>
      </c>
      <c r="E3501" s="700" t="s">
        <v>430</v>
      </c>
      <c r="F3501" s="795">
        <v>2235</v>
      </c>
      <c r="G3501" s="1153" t="s">
        <v>3440</v>
      </c>
      <c r="H3501" s="1165"/>
      <c r="I3501" s="1165">
        <v>-105</v>
      </c>
      <c r="J3501" s="1654" t="s">
        <v>1134</v>
      </c>
      <c r="K3501" s="1439"/>
      <c r="L3501" s="1456"/>
      <c r="M3501" s="1165"/>
      <c r="N3501" s="305"/>
    </row>
    <row r="3502" spans="1:32" ht="30.6">
      <c r="A3502" s="683"/>
      <c r="B3502" s="3129" t="s">
        <v>772</v>
      </c>
      <c r="C3502" s="683" t="s">
        <v>322</v>
      </c>
      <c r="D3502" s="719" t="s">
        <v>1979</v>
      </c>
      <c r="E3502" s="720" t="s">
        <v>430</v>
      </c>
      <c r="F3502" s="824">
        <v>2239</v>
      </c>
      <c r="G3502" s="800" t="s">
        <v>122</v>
      </c>
      <c r="H3502" s="706">
        <v>250</v>
      </c>
      <c r="I3502" s="706"/>
      <c r="J3502" s="1654">
        <v>0.23</v>
      </c>
      <c r="K3502" s="802"/>
      <c r="L3502" s="713">
        <v>0</v>
      </c>
      <c r="M3502" s="706"/>
      <c r="N3502" s="1784" t="s">
        <v>4303</v>
      </c>
      <c r="O3502" s="187"/>
      <c r="P3502" s="187"/>
      <c r="Q3502" s="187"/>
      <c r="R3502" s="187"/>
      <c r="S3502" s="187"/>
      <c r="T3502" s="187"/>
      <c r="U3502" s="187"/>
      <c r="V3502" s="187"/>
      <c r="W3502" s="187"/>
      <c r="X3502" s="187"/>
      <c r="Y3502" s="187"/>
      <c r="Z3502" s="187"/>
      <c r="AA3502" s="187"/>
      <c r="AB3502" s="187"/>
      <c r="AC3502" s="187"/>
      <c r="AD3502" s="187"/>
      <c r="AE3502" s="187"/>
      <c r="AF3502" s="187"/>
    </row>
    <row r="3503" spans="1:32" ht="20.399999999999999">
      <c r="A3503" s="663"/>
      <c r="B3503" s="3130" t="s">
        <v>772</v>
      </c>
      <c r="C3503" s="663" t="s">
        <v>322</v>
      </c>
      <c r="D3503" s="678" t="s">
        <v>1979</v>
      </c>
      <c r="E3503" s="700" t="s">
        <v>430</v>
      </c>
      <c r="F3503" s="795">
        <v>2239</v>
      </c>
      <c r="G3503" s="750" t="s">
        <v>913</v>
      </c>
      <c r="H3503" s="701"/>
      <c r="I3503" s="701">
        <v>250</v>
      </c>
      <c r="J3503" s="1654" t="s">
        <v>1134</v>
      </c>
      <c r="K3503" s="792"/>
      <c r="L3503" s="714"/>
      <c r="M3503" s="701">
        <v>0</v>
      </c>
      <c r="N3503" s="381"/>
    </row>
    <row r="3504" spans="1:32">
      <c r="A3504" s="663"/>
      <c r="B3504" s="3130" t="s">
        <v>772</v>
      </c>
      <c r="C3504" s="663" t="s">
        <v>322</v>
      </c>
      <c r="D3504" s="678" t="s">
        <v>1979</v>
      </c>
      <c r="E3504" s="700" t="s">
        <v>430</v>
      </c>
      <c r="F3504" s="795">
        <v>2239</v>
      </c>
      <c r="G3504" s="750"/>
      <c r="H3504" s="701"/>
      <c r="I3504" s="701">
        <v>0</v>
      </c>
      <c r="J3504" s="1654" t="s">
        <v>1134</v>
      </c>
      <c r="K3504" s="792"/>
      <c r="L3504" s="714"/>
      <c r="M3504" s="714">
        <v>0</v>
      </c>
      <c r="N3504" s="305"/>
      <c r="O3504" s="187"/>
      <c r="P3504" s="187"/>
      <c r="Q3504" s="187"/>
      <c r="R3504" s="187"/>
      <c r="S3504" s="187"/>
      <c r="T3504" s="187"/>
      <c r="U3504" s="187"/>
      <c r="V3504" s="187"/>
      <c r="W3504" s="187"/>
      <c r="X3504" s="187"/>
      <c r="Y3504" s="187"/>
      <c r="Z3504" s="187"/>
      <c r="AA3504" s="187"/>
      <c r="AB3504" s="187"/>
      <c r="AC3504" s="187"/>
      <c r="AD3504" s="187"/>
      <c r="AE3504" s="187"/>
      <c r="AF3504" s="187"/>
    </row>
    <row r="3505" spans="1:32">
      <c r="A3505" s="683" t="s">
        <v>146</v>
      </c>
      <c r="B3505" s="3129" t="s">
        <v>772</v>
      </c>
      <c r="C3505" s="683" t="s">
        <v>320</v>
      </c>
      <c r="D3505" s="719" t="s">
        <v>1979</v>
      </c>
      <c r="E3505" s="720" t="s">
        <v>430</v>
      </c>
      <c r="F3505" s="824">
        <v>2243</v>
      </c>
      <c r="G3505" s="800" t="s">
        <v>159</v>
      </c>
      <c r="H3505" s="706">
        <v>572</v>
      </c>
      <c r="I3505" s="706"/>
      <c r="J3505" s="1654">
        <v>0</v>
      </c>
      <c r="K3505" s="802"/>
      <c r="L3505" s="713">
        <v>320</v>
      </c>
      <c r="M3505" s="706"/>
      <c r="N3505" s="1644" t="s">
        <v>4304</v>
      </c>
    </row>
    <row r="3506" spans="1:32">
      <c r="A3506" s="663" t="s">
        <v>146</v>
      </c>
      <c r="B3506" s="3130" t="s">
        <v>772</v>
      </c>
      <c r="C3506" s="663" t="s">
        <v>320</v>
      </c>
      <c r="D3506" s="678" t="s">
        <v>1979</v>
      </c>
      <c r="E3506" s="700" t="s">
        <v>430</v>
      </c>
      <c r="F3506" s="795">
        <v>2243</v>
      </c>
      <c r="G3506" s="750" t="s">
        <v>688</v>
      </c>
      <c r="H3506" s="701"/>
      <c r="I3506" s="701">
        <v>350</v>
      </c>
      <c r="J3506" s="1654" t="s">
        <v>1134</v>
      </c>
      <c r="K3506" s="792"/>
      <c r="L3506" s="714"/>
      <c r="M3506" s="701">
        <v>200</v>
      </c>
      <c r="N3506" s="305"/>
      <c r="O3506" s="187"/>
      <c r="P3506" s="187"/>
      <c r="Q3506" s="187"/>
      <c r="R3506" s="187"/>
      <c r="S3506" s="187"/>
      <c r="T3506" s="187"/>
      <c r="U3506" s="187"/>
      <c r="V3506" s="187"/>
      <c r="W3506" s="187"/>
      <c r="X3506" s="187"/>
      <c r="Y3506" s="187"/>
      <c r="Z3506" s="187"/>
      <c r="AA3506" s="187"/>
      <c r="AB3506" s="187"/>
      <c r="AC3506" s="187"/>
      <c r="AD3506" s="187"/>
      <c r="AE3506" s="187"/>
      <c r="AF3506" s="187"/>
    </row>
    <row r="3507" spans="1:32" ht="20.399999999999999">
      <c r="A3507" s="663" t="s">
        <v>709</v>
      </c>
      <c r="B3507" s="3130" t="s">
        <v>772</v>
      </c>
      <c r="C3507" s="663" t="s">
        <v>327</v>
      </c>
      <c r="D3507" s="678" t="s">
        <v>1979</v>
      </c>
      <c r="E3507" s="700" t="s">
        <v>430</v>
      </c>
      <c r="F3507" s="795">
        <v>2243</v>
      </c>
      <c r="G3507" s="750" t="s">
        <v>1595</v>
      </c>
      <c r="H3507" s="701"/>
      <c r="I3507" s="701">
        <v>400</v>
      </c>
      <c r="J3507" s="1654" t="s">
        <v>1134</v>
      </c>
      <c r="K3507" s="792"/>
      <c r="L3507" s="714"/>
      <c r="M3507" s="2188">
        <v>120</v>
      </c>
      <c r="N3507" s="1784" t="s">
        <v>4305</v>
      </c>
    </row>
    <row r="3508" spans="1:32" ht="20.399999999999999">
      <c r="A3508" s="663" t="s">
        <v>709</v>
      </c>
      <c r="B3508" s="3130" t="s">
        <v>772</v>
      </c>
      <c r="C3508" s="663" t="s">
        <v>327</v>
      </c>
      <c r="D3508" s="678" t="s">
        <v>1979</v>
      </c>
      <c r="E3508" s="700" t="s">
        <v>430</v>
      </c>
      <c r="F3508" s="795">
        <v>2243</v>
      </c>
      <c r="G3508" s="750" t="s">
        <v>3441</v>
      </c>
      <c r="H3508" s="701"/>
      <c r="I3508" s="701">
        <v>-178</v>
      </c>
      <c r="J3508" s="1654" t="s">
        <v>1134</v>
      </c>
      <c r="K3508" s="792"/>
      <c r="L3508" s="714"/>
      <c r="M3508" s="701"/>
      <c r="N3508" s="305"/>
      <c r="O3508" s="187"/>
      <c r="P3508" s="187"/>
      <c r="Q3508" s="187"/>
      <c r="R3508" s="187"/>
      <c r="S3508" s="187"/>
      <c r="T3508" s="187"/>
      <c r="U3508" s="187"/>
      <c r="V3508" s="187"/>
      <c r="W3508" s="187"/>
      <c r="X3508" s="187"/>
      <c r="Y3508" s="187"/>
      <c r="Z3508" s="187"/>
      <c r="AA3508" s="187"/>
      <c r="AB3508" s="187"/>
      <c r="AC3508" s="187"/>
      <c r="AD3508" s="187"/>
      <c r="AE3508" s="187"/>
      <c r="AF3508" s="187"/>
    </row>
    <row r="3509" spans="1:32" ht="22.8">
      <c r="A3509" s="683" t="s">
        <v>146</v>
      </c>
      <c r="B3509" s="3129" t="s">
        <v>772</v>
      </c>
      <c r="C3509" s="683" t="s">
        <v>320</v>
      </c>
      <c r="D3509" s="719" t="s">
        <v>1979</v>
      </c>
      <c r="E3509" s="720" t="s">
        <v>430</v>
      </c>
      <c r="F3509" s="824">
        <v>2247</v>
      </c>
      <c r="G3509" s="800" t="s">
        <v>161</v>
      </c>
      <c r="H3509" s="706">
        <v>4178</v>
      </c>
      <c r="I3509" s="706"/>
      <c r="J3509" s="1654">
        <v>4178</v>
      </c>
      <c r="K3509" s="802"/>
      <c r="L3509" s="713">
        <v>4000</v>
      </c>
      <c r="M3509" s="706"/>
      <c r="N3509" s="2268" t="s">
        <v>4306</v>
      </c>
    </row>
    <row r="3510" spans="1:32">
      <c r="A3510" s="663" t="s">
        <v>146</v>
      </c>
      <c r="B3510" s="3130" t="s">
        <v>772</v>
      </c>
      <c r="C3510" s="663" t="s">
        <v>320</v>
      </c>
      <c r="D3510" s="678" t="s">
        <v>1979</v>
      </c>
      <c r="E3510" s="700" t="s">
        <v>430</v>
      </c>
      <c r="F3510" s="795">
        <v>2247</v>
      </c>
      <c r="G3510" s="750" t="s">
        <v>1162</v>
      </c>
      <c r="H3510" s="701"/>
      <c r="I3510" s="701">
        <v>4000</v>
      </c>
      <c r="J3510" s="1654" t="s">
        <v>1134</v>
      </c>
      <c r="K3510" s="792"/>
      <c r="L3510" s="714"/>
      <c r="M3510" s="701">
        <v>4000</v>
      </c>
      <c r="N3510" s="305"/>
      <c r="O3510" s="187"/>
      <c r="P3510" s="187"/>
      <c r="Q3510" s="187"/>
      <c r="R3510" s="187"/>
      <c r="S3510" s="187"/>
      <c r="T3510" s="187"/>
      <c r="U3510" s="187"/>
      <c r="V3510" s="187"/>
      <c r="W3510" s="187"/>
      <c r="X3510" s="187"/>
      <c r="Y3510" s="187"/>
      <c r="Z3510" s="187"/>
      <c r="AA3510" s="187"/>
      <c r="AB3510" s="187"/>
      <c r="AC3510" s="187"/>
      <c r="AD3510" s="187"/>
      <c r="AE3510" s="187"/>
      <c r="AF3510" s="187"/>
    </row>
    <row r="3511" spans="1:32" ht="20.399999999999999">
      <c r="A3511" s="663" t="s">
        <v>146</v>
      </c>
      <c r="B3511" s="3130" t="s">
        <v>772</v>
      </c>
      <c r="C3511" s="663" t="s">
        <v>320</v>
      </c>
      <c r="D3511" s="678" t="s">
        <v>1979</v>
      </c>
      <c r="E3511" s="700" t="s">
        <v>430</v>
      </c>
      <c r="F3511" s="795">
        <v>2247</v>
      </c>
      <c r="G3511" s="750" t="s">
        <v>3441</v>
      </c>
      <c r="H3511" s="701"/>
      <c r="I3511" s="701">
        <v>178</v>
      </c>
      <c r="J3511" s="1654" t="s">
        <v>1134</v>
      </c>
      <c r="K3511" s="792"/>
      <c r="L3511" s="714"/>
      <c r="M3511" s="701"/>
      <c r="N3511" s="305" t="s">
        <v>4307</v>
      </c>
    </row>
    <row r="3512" spans="1:32">
      <c r="A3512" s="683" t="s">
        <v>146</v>
      </c>
      <c r="B3512" s="3129" t="s">
        <v>772</v>
      </c>
      <c r="C3512" s="683" t="s">
        <v>320</v>
      </c>
      <c r="D3512" s="719" t="s">
        <v>1979</v>
      </c>
      <c r="E3512" s="720" t="s">
        <v>430</v>
      </c>
      <c r="F3512" s="824">
        <v>2250</v>
      </c>
      <c r="G3512" s="800" t="s">
        <v>778</v>
      </c>
      <c r="H3512" s="706">
        <v>5228</v>
      </c>
      <c r="I3512" s="706"/>
      <c r="J3512" s="1654">
        <v>4356</v>
      </c>
      <c r="K3512" s="802"/>
      <c r="L3512" s="713">
        <v>6728</v>
      </c>
      <c r="M3512" s="706"/>
      <c r="N3512" s="305"/>
      <c r="O3512" s="187"/>
      <c r="P3512" s="187"/>
      <c r="Q3512" s="187"/>
      <c r="R3512" s="187"/>
      <c r="S3512" s="187"/>
      <c r="T3512" s="187"/>
      <c r="U3512" s="187"/>
      <c r="V3512" s="187"/>
      <c r="W3512" s="187"/>
      <c r="X3512" s="187"/>
      <c r="Y3512" s="187"/>
      <c r="Z3512" s="187"/>
      <c r="AA3512" s="187"/>
      <c r="AB3512" s="187"/>
      <c r="AC3512" s="187"/>
      <c r="AD3512" s="187"/>
      <c r="AE3512" s="187"/>
      <c r="AF3512" s="187"/>
    </row>
    <row r="3513" spans="1:32" ht="56.25" customHeight="1">
      <c r="A3513" s="663" t="s">
        <v>146</v>
      </c>
      <c r="B3513" s="3130" t="s">
        <v>772</v>
      </c>
      <c r="C3513" s="663" t="s">
        <v>320</v>
      </c>
      <c r="D3513" s="678" t="s">
        <v>1979</v>
      </c>
      <c r="E3513" s="700" t="s">
        <v>430</v>
      </c>
      <c r="F3513" s="795">
        <v>2250</v>
      </c>
      <c r="G3513" s="750" t="s">
        <v>4277</v>
      </c>
      <c r="H3513" s="701"/>
      <c r="I3513" s="701">
        <v>5228</v>
      </c>
      <c r="J3513" s="1654" t="s">
        <v>1134</v>
      </c>
      <c r="K3513" s="792"/>
      <c r="L3513" s="714"/>
      <c r="M3513" s="701">
        <v>5228</v>
      </c>
      <c r="N3513" s="305" t="s">
        <v>4308</v>
      </c>
    </row>
    <row r="3514" spans="1:32" ht="30.6">
      <c r="A3514" s="663" t="s">
        <v>146</v>
      </c>
      <c r="B3514" s="3130" t="s">
        <v>772</v>
      </c>
      <c r="C3514" s="663" t="s">
        <v>320</v>
      </c>
      <c r="D3514" s="678" t="s">
        <v>1979</v>
      </c>
      <c r="E3514" s="700" t="s">
        <v>430</v>
      </c>
      <c r="F3514" s="795">
        <v>2250</v>
      </c>
      <c r="G3514" s="2605" t="s">
        <v>5060</v>
      </c>
      <c r="H3514" s="2615"/>
      <c r="I3514" s="2615"/>
      <c r="J3514" s="2621"/>
      <c r="K3514" s="2622"/>
      <c r="L3514" s="2698"/>
      <c r="M3514" s="2615">
        <v>1200</v>
      </c>
      <c r="N3514" s="305"/>
      <c r="O3514" s="187"/>
      <c r="P3514" s="187"/>
      <c r="Q3514" s="187"/>
      <c r="R3514" s="187"/>
      <c r="S3514" s="187"/>
      <c r="T3514" s="187"/>
      <c r="U3514" s="187"/>
      <c r="V3514" s="187"/>
      <c r="W3514" s="187"/>
      <c r="X3514" s="187"/>
      <c r="Y3514" s="187"/>
      <c r="Z3514" s="187"/>
      <c r="AA3514" s="187"/>
      <c r="AB3514" s="187"/>
      <c r="AC3514" s="187"/>
      <c r="AD3514" s="187"/>
      <c r="AE3514" s="187"/>
      <c r="AF3514" s="187"/>
    </row>
    <row r="3515" spans="1:32" ht="22.5" customHeight="1">
      <c r="A3515" s="663" t="s">
        <v>146</v>
      </c>
      <c r="B3515" s="3130" t="s">
        <v>772</v>
      </c>
      <c r="C3515" s="663" t="s">
        <v>320</v>
      </c>
      <c r="D3515" s="678" t="s">
        <v>1979</v>
      </c>
      <c r="E3515" s="700" t="s">
        <v>430</v>
      </c>
      <c r="F3515" s="795">
        <v>2250</v>
      </c>
      <c r="G3515" s="2605" t="s">
        <v>5061</v>
      </c>
      <c r="H3515" s="2615"/>
      <c r="I3515" s="2615"/>
      <c r="J3515" s="2621"/>
      <c r="K3515" s="2622"/>
      <c r="L3515" s="2698"/>
      <c r="M3515" s="2615">
        <v>300</v>
      </c>
      <c r="N3515" s="381" t="s">
        <v>4310</v>
      </c>
    </row>
    <row r="3516" spans="1:32">
      <c r="A3516" s="683" t="s">
        <v>146</v>
      </c>
      <c r="B3516" s="3129" t="s">
        <v>772</v>
      </c>
      <c r="C3516" s="683" t="s">
        <v>320</v>
      </c>
      <c r="D3516" s="719" t="s">
        <v>1979</v>
      </c>
      <c r="E3516" s="720" t="s">
        <v>430</v>
      </c>
      <c r="F3516" s="824">
        <v>2261</v>
      </c>
      <c r="G3516" s="800" t="s">
        <v>199</v>
      </c>
      <c r="H3516" s="706">
        <v>12952</v>
      </c>
      <c r="I3516" s="706"/>
      <c r="J3516" s="1654">
        <v>10794</v>
      </c>
      <c r="K3516" s="802"/>
      <c r="L3516" s="713">
        <v>12952</v>
      </c>
      <c r="M3516" s="706"/>
      <c r="N3516" s="305"/>
      <c r="O3516" s="187"/>
      <c r="P3516" s="187"/>
      <c r="Q3516" s="187"/>
      <c r="R3516" s="187"/>
      <c r="S3516" s="187"/>
      <c r="T3516" s="187"/>
      <c r="U3516" s="187"/>
      <c r="V3516" s="187"/>
      <c r="W3516" s="187"/>
      <c r="X3516" s="187"/>
      <c r="Y3516" s="187"/>
      <c r="Z3516" s="187"/>
      <c r="AA3516" s="187"/>
      <c r="AB3516" s="187"/>
      <c r="AC3516" s="187"/>
      <c r="AD3516" s="187"/>
      <c r="AE3516" s="187"/>
      <c r="AF3516" s="187"/>
    </row>
    <row r="3517" spans="1:32" ht="22.5" customHeight="1">
      <c r="A3517" s="663" t="s">
        <v>146</v>
      </c>
      <c r="B3517" s="3130" t="s">
        <v>772</v>
      </c>
      <c r="C3517" s="663" t="s">
        <v>320</v>
      </c>
      <c r="D3517" s="678" t="s">
        <v>1979</v>
      </c>
      <c r="E3517" s="700" t="s">
        <v>430</v>
      </c>
      <c r="F3517" s="795">
        <v>2261</v>
      </c>
      <c r="G3517" s="750" t="s">
        <v>1596</v>
      </c>
      <c r="H3517" s="701"/>
      <c r="I3517" s="2027">
        <v>12952</v>
      </c>
      <c r="J3517" s="1654" t="s">
        <v>1134</v>
      </c>
      <c r="K3517" s="792"/>
      <c r="L3517" s="714"/>
      <c r="M3517" s="714">
        <v>12952</v>
      </c>
      <c r="N3517" s="381" t="s">
        <v>4311</v>
      </c>
    </row>
    <row r="3518" spans="1:32" ht="20.399999999999999">
      <c r="A3518" s="683" t="s">
        <v>146</v>
      </c>
      <c r="B3518" s="3129" t="s">
        <v>772</v>
      </c>
      <c r="C3518" s="683" t="s">
        <v>322</v>
      </c>
      <c r="D3518" s="719" t="s">
        <v>1979</v>
      </c>
      <c r="E3518" s="720" t="s">
        <v>430</v>
      </c>
      <c r="F3518" s="824">
        <v>2311</v>
      </c>
      <c r="G3518" s="800" t="s">
        <v>129</v>
      </c>
      <c r="H3518" s="706">
        <v>2800</v>
      </c>
      <c r="I3518" s="706"/>
      <c r="J3518" s="1654">
        <v>1206</v>
      </c>
      <c r="K3518" s="802"/>
      <c r="L3518" s="713">
        <v>2800</v>
      </c>
      <c r="M3518" s="706"/>
      <c r="N3518" s="381" t="s">
        <v>4313</v>
      </c>
      <c r="O3518" s="187"/>
      <c r="P3518" s="187"/>
      <c r="Q3518" s="187"/>
      <c r="R3518" s="187"/>
      <c r="S3518" s="187"/>
      <c r="T3518" s="187"/>
      <c r="U3518" s="187"/>
      <c r="V3518" s="187"/>
      <c r="W3518" s="187"/>
      <c r="X3518" s="187"/>
      <c r="Y3518" s="187"/>
      <c r="Z3518" s="187"/>
      <c r="AA3518" s="187"/>
      <c r="AB3518" s="187"/>
      <c r="AC3518" s="187"/>
      <c r="AD3518" s="187"/>
      <c r="AE3518" s="187"/>
      <c r="AF3518" s="187"/>
    </row>
    <row r="3519" spans="1:32">
      <c r="A3519" s="663"/>
      <c r="B3519" s="3130" t="s">
        <v>772</v>
      </c>
      <c r="C3519" s="663" t="s">
        <v>322</v>
      </c>
      <c r="D3519" s="678" t="s">
        <v>1979</v>
      </c>
      <c r="E3519" s="700" t="s">
        <v>430</v>
      </c>
      <c r="F3519" s="795">
        <v>2311</v>
      </c>
      <c r="G3519" s="1008" t="s">
        <v>1598</v>
      </c>
      <c r="H3519" s="701"/>
      <c r="I3519" s="2027">
        <v>1200</v>
      </c>
      <c r="J3519" s="1654" t="s">
        <v>1134</v>
      </c>
      <c r="K3519" s="792"/>
      <c r="L3519" s="714"/>
      <c r="M3519" s="714">
        <v>1200</v>
      </c>
      <c r="N3519" s="305"/>
    </row>
    <row r="3520" spans="1:32" ht="20.399999999999999">
      <c r="A3520" s="663"/>
      <c r="B3520" s="3130" t="s">
        <v>772</v>
      </c>
      <c r="C3520" s="663" t="s">
        <v>322</v>
      </c>
      <c r="D3520" s="678" t="s">
        <v>1979</v>
      </c>
      <c r="E3520" s="700" t="s">
        <v>430</v>
      </c>
      <c r="F3520" s="795">
        <v>2311</v>
      </c>
      <c r="G3520" s="750" t="s">
        <v>2270</v>
      </c>
      <c r="H3520" s="701"/>
      <c r="I3520" s="2027">
        <v>800</v>
      </c>
      <c r="J3520" s="1654" t="s">
        <v>1134</v>
      </c>
      <c r="K3520" s="792"/>
      <c r="L3520" s="714"/>
      <c r="M3520" s="714">
        <v>800</v>
      </c>
      <c r="N3520" s="381" t="s">
        <v>4314</v>
      </c>
      <c r="O3520" s="187"/>
      <c r="P3520" s="187"/>
      <c r="Q3520" s="187"/>
      <c r="R3520" s="187"/>
      <c r="S3520" s="187"/>
      <c r="T3520" s="187"/>
      <c r="U3520" s="187"/>
      <c r="V3520" s="187"/>
      <c r="W3520" s="187"/>
      <c r="X3520" s="187"/>
      <c r="Y3520" s="187"/>
      <c r="Z3520" s="187"/>
      <c r="AA3520" s="187"/>
      <c r="AB3520" s="187"/>
      <c r="AC3520" s="187"/>
      <c r="AD3520" s="187"/>
      <c r="AE3520" s="187"/>
      <c r="AF3520" s="187"/>
    </row>
    <row r="3521" spans="1:32">
      <c r="A3521" s="663"/>
      <c r="B3521" s="3130" t="s">
        <v>772</v>
      </c>
      <c r="C3521" s="663" t="s">
        <v>322</v>
      </c>
      <c r="D3521" s="678" t="s">
        <v>1979</v>
      </c>
      <c r="E3521" s="700" t="s">
        <v>430</v>
      </c>
      <c r="F3521" s="795">
        <v>2311</v>
      </c>
      <c r="G3521" s="750" t="s">
        <v>167</v>
      </c>
      <c r="H3521" s="701"/>
      <c r="I3521" s="2027">
        <v>800</v>
      </c>
      <c r="J3521" s="1654" t="s">
        <v>1134</v>
      </c>
      <c r="K3521" s="792"/>
      <c r="L3521" s="714"/>
      <c r="M3521" s="2262">
        <v>800</v>
      </c>
      <c r="N3521" s="381" t="s">
        <v>4298</v>
      </c>
    </row>
    <row r="3522" spans="1:32" ht="67.5" customHeight="1">
      <c r="A3522" s="683" t="s">
        <v>146</v>
      </c>
      <c r="B3522" s="3129" t="s">
        <v>772</v>
      </c>
      <c r="C3522" s="683" t="s">
        <v>320</v>
      </c>
      <c r="D3522" s="719" t="s">
        <v>1979</v>
      </c>
      <c r="E3522" s="720" t="s">
        <v>430</v>
      </c>
      <c r="F3522" s="824">
        <v>2312</v>
      </c>
      <c r="G3522" s="800" t="s">
        <v>131</v>
      </c>
      <c r="H3522" s="706">
        <v>1170</v>
      </c>
      <c r="I3522" s="706"/>
      <c r="J3522" s="1654">
        <v>990</v>
      </c>
      <c r="K3522" s="802"/>
      <c r="L3522" s="713">
        <v>2300</v>
      </c>
      <c r="M3522" s="706"/>
      <c r="N3522" s="305"/>
      <c r="O3522" s="187"/>
      <c r="P3522" s="187"/>
      <c r="Q3522" s="187"/>
      <c r="R3522" s="187"/>
      <c r="S3522" s="187"/>
      <c r="T3522" s="187"/>
      <c r="U3522" s="187"/>
      <c r="V3522" s="187"/>
      <c r="W3522" s="187"/>
      <c r="X3522" s="187"/>
      <c r="Y3522" s="187"/>
      <c r="Z3522" s="187"/>
      <c r="AA3522" s="187"/>
      <c r="AB3522" s="187"/>
      <c r="AC3522" s="187"/>
      <c r="AD3522" s="187"/>
      <c r="AE3522" s="187"/>
      <c r="AF3522" s="187"/>
    </row>
    <row r="3523" spans="1:32" ht="56.25" customHeight="1">
      <c r="A3523" s="663"/>
      <c r="B3523" s="3130" t="s">
        <v>772</v>
      </c>
      <c r="C3523" s="663" t="s">
        <v>320</v>
      </c>
      <c r="D3523" s="678" t="s">
        <v>1979</v>
      </c>
      <c r="E3523" s="700" t="s">
        <v>430</v>
      </c>
      <c r="F3523" s="795">
        <v>2312</v>
      </c>
      <c r="G3523" s="2195" t="s">
        <v>4281</v>
      </c>
      <c r="H3523" s="701"/>
      <c r="I3523" s="701"/>
      <c r="J3523" s="1654" t="s">
        <v>1134</v>
      </c>
      <c r="K3523" s="792"/>
      <c r="L3523" s="714"/>
      <c r="M3523" s="2188">
        <v>700</v>
      </c>
      <c r="N3523" s="305" t="s">
        <v>4315</v>
      </c>
    </row>
    <row r="3524" spans="1:32">
      <c r="A3524" s="663"/>
      <c r="B3524" s="3130" t="s">
        <v>772</v>
      </c>
      <c r="C3524" s="663" t="s">
        <v>320</v>
      </c>
      <c r="D3524" s="678" t="s">
        <v>1979</v>
      </c>
      <c r="E3524" s="700" t="s">
        <v>430</v>
      </c>
      <c r="F3524" s="795">
        <v>2312</v>
      </c>
      <c r="G3524" s="2195" t="s">
        <v>4282</v>
      </c>
      <c r="H3524" s="701"/>
      <c r="I3524" s="701"/>
      <c r="J3524" s="1654" t="s">
        <v>1134</v>
      </c>
      <c r="K3524" s="792"/>
      <c r="L3524" s="714"/>
      <c r="M3524" s="2188">
        <v>500</v>
      </c>
      <c r="N3524" s="305" t="s">
        <v>4316</v>
      </c>
      <c r="O3524" s="187"/>
      <c r="P3524" s="187"/>
      <c r="Q3524" s="187"/>
      <c r="R3524" s="187"/>
      <c r="S3524" s="187"/>
      <c r="T3524" s="187"/>
      <c r="U3524" s="187"/>
      <c r="V3524" s="187"/>
      <c r="W3524" s="187"/>
      <c r="X3524" s="187"/>
      <c r="Y3524" s="187"/>
      <c r="Z3524" s="187"/>
      <c r="AA3524" s="187"/>
      <c r="AB3524" s="187"/>
      <c r="AC3524" s="187"/>
      <c r="AD3524" s="187"/>
      <c r="AE3524" s="187"/>
      <c r="AF3524" s="187"/>
    </row>
    <row r="3525" spans="1:32" ht="30.6">
      <c r="A3525" s="663"/>
      <c r="B3525" s="3130" t="s">
        <v>772</v>
      </c>
      <c r="C3525" s="663" t="s">
        <v>320</v>
      </c>
      <c r="D3525" s="678" t="s">
        <v>1979</v>
      </c>
      <c r="E3525" s="700" t="s">
        <v>430</v>
      </c>
      <c r="F3525" s="795">
        <v>2312</v>
      </c>
      <c r="G3525" s="2195" t="s">
        <v>4284</v>
      </c>
      <c r="H3525" s="701"/>
      <c r="I3525" s="701"/>
      <c r="J3525" s="1654" t="s">
        <v>1134</v>
      </c>
      <c r="K3525" s="792"/>
      <c r="L3525" s="714"/>
      <c r="M3525" s="2188">
        <v>400</v>
      </c>
      <c r="N3525" s="381" t="s">
        <v>4871</v>
      </c>
    </row>
    <row r="3526" spans="1:32">
      <c r="A3526" s="663"/>
      <c r="B3526" s="3130" t="s">
        <v>772</v>
      </c>
      <c r="C3526" s="663" t="s">
        <v>320</v>
      </c>
      <c r="D3526" s="678" t="s">
        <v>1979</v>
      </c>
      <c r="E3526" s="700" t="s">
        <v>430</v>
      </c>
      <c r="F3526" s="795">
        <v>2312</v>
      </c>
      <c r="G3526" s="2195" t="s">
        <v>4285</v>
      </c>
      <c r="H3526" s="701"/>
      <c r="I3526" s="701"/>
      <c r="J3526" s="1654" t="s">
        <v>1134</v>
      </c>
      <c r="K3526" s="792"/>
      <c r="L3526" s="714"/>
      <c r="M3526" s="2188">
        <v>200</v>
      </c>
      <c r="N3526" s="381"/>
      <c r="O3526" s="187"/>
      <c r="P3526" s="187"/>
      <c r="Q3526" s="187"/>
      <c r="R3526" s="187"/>
      <c r="S3526" s="187"/>
      <c r="T3526" s="187"/>
      <c r="U3526" s="187"/>
      <c r="V3526" s="187"/>
      <c r="W3526" s="187"/>
      <c r="X3526" s="187"/>
      <c r="Y3526" s="187"/>
      <c r="Z3526" s="187"/>
      <c r="AA3526" s="187"/>
      <c r="AB3526" s="187"/>
      <c r="AC3526" s="187"/>
      <c r="AD3526" s="187"/>
      <c r="AE3526" s="187"/>
      <c r="AF3526" s="187"/>
    </row>
    <row r="3527" spans="1:32">
      <c r="A3527" s="663"/>
      <c r="B3527" s="3130" t="s">
        <v>772</v>
      </c>
      <c r="C3527" s="663" t="s">
        <v>320</v>
      </c>
      <c r="D3527" s="678" t="s">
        <v>1979</v>
      </c>
      <c r="E3527" s="700" t="s">
        <v>430</v>
      </c>
      <c r="F3527" s="795">
        <v>2312</v>
      </c>
      <c r="G3527" s="750" t="s">
        <v>2271</v>
      </c>
      <c r="H3527" s="701"/>
      <c r="I3527" s="701">
        <v>500</v>
      </c>
      <c r="J3527" s="1654" t="s">
        <v>1134</v>
      </c>
      <c r="K3527" s="792"/>
      <c r="L3527" s="714"/>
      <c r="M3527" s="701">
        <v>500</v>
      </c>
      <c r="N3527" s="305"/>
    </row>
    <row r="3528" spans="1:32" ht="20.399999999999999">
      <c r="A3528" s="663"/>
      <c r="B3528" s="3130" t="s">
        <v>772</v>
      </c>
      <c r="C3528" s="663" t="s">
        <v>320</v>
      </c>
      <c r="D3528" s="678" t="s">
        <v>1979</v>
      </c>
      <c r="E3528" s="700" t="s">
        <v>430</v>
      </c>
      <c r="F3528" s="795">
        <v>2312</v>
      </c>
      <c r="G3528" s="750" t="s">
        <v>1600</v>
      </c>
      <c r="H3528" s="701"/>
      <c r="I3528" s="701">
        <v>170</v>
      </c>
      <c r="J3528" s="1654" t="s">
        <v>1134</v>
      </c>
      <c r="K3528" s="792"/>
      <c r="L3528" s="714"/>
      <c r="M3528" s="701"/>
      <c r="N3528" s="381" t="s">
        <v>4318</v>
      </c>
      <c r="O3528" s="4"/>
      <c r="P3528" s="4"/>
      <c r="Q3528" s="4"/>
      <c r="R3528" s="4"/>
      <c r="S3528" s="4"/>
      <c r="T3528" s="4"/>
      <c r="U3528" s="4"/>
      <c r="V3528" s="4"/>
      <c r="W3528" s="4"/>
      <c r="X3528" s="4"/>
      <c r="Y3528" s="4"/>
      <c r="Z3528" s="4"/>
      <c r="AA3528" s="4"/>
      <c r="AB3528" s="4"/>
      <c r="AC3528" s="4"/>
      <c r="AD3528" s="4"/>
      <c r="AE3528" s="4"/>
      <c r="AF3528" s="4"/>
    </row>
    <row r="3529" spans="1:32">
      <c r="A3529" s="663" t="s">
        <v>146</v>
      </c>
      <c r="B3529" s="3130" t="s">
        <v>772</v>
      </c>
      <c r="C3529" s="663" t="s">
        <v>320</v>
      </c>
      <c r="D3529" s="678" t="s">
        <v>1979</v>
      </c>
      <c r="E3529" s="700" t="s">
        <v>430</v>
      </c>
      <c r="F3529" s="795">
        <v>2312</v>
      </c>
      <c r="G3529" s="750" t="s">
        <v>1603</v>
      </c>
      <c r="H3529" s="701"/>
      <c r="I3529" s="701">
        <v>500</v>
      </c>
      <c r="J3529" s="1654" t="s">
        <v>1134</v>
      </c>
      <c r="K3529" s="792"/>
      <c r="L3529" s="714"/>
      <c r="M3529" s="701"/>
      <c r="N3529" s="305" t="s">
        <v>4318</v>
      </c>
      <c r="O3529" s="187"/>
      <c r="P3529" s="187"/>
      <c r="Q3529" s="187"/>
      <c r="R3529" s="187"/>
      <c r="S3529" s="187"/>
      <c r="T3529" s="187"/>
      <c r="U3529" s="187"/>
      <c r="V3529" s="187"/>
      <c r="W3529" s="187"/>
      <c r="X3529" s="187"/>
      <c r="Y3529" s="187"/>
      <c r="Z3529" s="187"/>
      <c r="AA3529" s="187"/>
      <c r="AB3529" s="187"/>
      <c r="AC3529" s="187"/>
      <c r="AD3529" s="187"/>
      <c r="AE3529" s="187"/>
      <c r="AF3529" s="187"/>
    </row>
    <row r="3530" spans="1:32" ht="20.399999999999999" customHeight="1">
      <c r="A3530" s="683" t="s">
        <v>146</v>
      </c>
      <c r="B3530" s="3129" t="s">
        <v>772</v>
      </c>
      <c r="C3530" s="683" t="s">
        <v>320</v>
      </c>
      <c r="D3530" s="719" t="s">
        <v>1979</v>
      </c>
      <c r="E3530" s="720" t="s">
        <v>430</v>
      </c>
      <c r="F3530" s="824">
        <v>2314</v>
      </c>
      <c r="G3530" s="800" t="s">
        <v>1435</v>
      </c>
      <c r="H3530" s="706">
        <v>900</v>
      </c>
      <c r="I3530" s="706"/>
      <c r="J3530" s="1654">
        <v>170</v>
      </c>
      <c r="K3530" s="802"/>
      <c r="L3530" s="713">
        <v>650</v>
      </c>
      <c r="M3530" s="706"/>
      <c r="N3530" s="305" t="s">
        <v>4318</v>
      </c>
      <c r="O3530" s="4"/>
      <c r="P3530" s="4"/>
      <c r="Q3530" s="4"/>
      <c r="R3530" s="4"/>
      <c r="S3530" s="4"/>
      <c r="T3530" s="4"/>
      <c r="U3530" s="4"/>
      <c r="V3530" s="4"/>
      <c r="W3530" s="4"/>
      <c r="X3530" s="4"/>
      <c r="Y3530" s="4"/>
      <c r="Z3530" s="4"/>
      <c r="AA3530" s="4"/>
      <c r="AB3530" s="4"/>
      <c r="AC3530" s="4"/>
      <c r="AD3530" s="4"/>
      <c r="AE3530" s="4"/>
      <c r="AF3530" s="4"/>
    </row>
    <row r="3531" spans="1:32">
      <c r="A3531" s="663" t="s">
        <v>146</v>
      </c>
      <c r="B3531" s="3130" t="s">
        <v>772</v>
      </c>
      <c r="C3531" s="663" t="s">
        <v>320</v>
      </c>
      <c r="D3531" s="678" t="s">
        <v>1979</v>
      </c>
      <c r="E3531" s="700" t="s">
        <v>430</v>
      </c>
      <c r="F3531" s="795">
        <v>2314</v>
      </c>
      <c r="G3531" s="750" t="s">
        <v>283</v>
      </c>
      <c r="H3531" s="701"/>
      <c r="I3531" s="701">
        <v>400</v>
      </c>
      <c r="J3531" s="1654" t="s">
        <v>1134</v>
      </c>
      <c r="K3531" s="792"/>
      <c r="L3531" s="714"/>
      <c r="M3531" s="2188">
        <v>400</v>
      </c>
      <c r="N3531" s="305"/>
      <c r="O3531" s="187"/>
      <c r="P3531" s="187"/>
      <c r="Q3531" s="187"/>
      <c r="R3531" s="187"/>
      <c r="S3531" s="187"/>
      <c r="T3531" s="187"/>
      <c r="U3531" s="187"/>
      <c r="V3531" s="187"/>
      <c r="W3531" s="187"/>
      <c r="X3531" s="187"/>
      <c r="Y3531" s="187"/>
      <c r="Z3531" s="187"/>
      <c r="AA3531" s="187"/>
      <c r="AB3531" s="187"/>
      <c r="AC3531" s="187"/>
      <c r="AD3531" s="187"/>
      <c r="AE3531" s="187"/>
      <c r="AF3531" s="187"/>
    </row>
    <row r="3532" spans="1:32">
      <c r="A3532" s="663"/>
      <c r="B3532" s="3130" t="s">
        <v>772</v>
      </c>
      <c r="C3532" s="663" t="s">
        <v>320</v>
      </c>
      <c r="D3532" s="678" t="s">
        <v>1979</v>
      </c>
      <c r="E3532" s="700" t="s">
        <v>430</v>
      </c>
      <c r="F3532" s="795">
        <v>2314</v>
      </c>
      <c r="G3532" s="750" t="s">
        <v>2272</v>
      </c>
      <c r="H3532" s="701"/>
      <c r="I3532" s="701">
        <v>500</v>
      </c>
      <c r="J3532" s="1654" t="s">
        <v>1134</v>
      </c>
      <c r="K3532" s="792"/>
      <c r="L3532" s="714"/>
      <c r="M3532" s="2188">
        <v>250</v>
      </c>
      <c r="N3532" s="305"/>
      <c r="O3532" s="4"/>
      <c r="P3532" s="4"/>
      <c r="Q3532" s="4"/>
      <c r="R3532" s="4"/>
      <c r="S3532" s="4"/>
      <c r="T3532" s="4"/>
      <c r="U3532" s="4"/>
      <c r="V3532" s="4"/>
      <c r="W3532" s="4"/>
      <c r="X3532" s="4"/>
      <c r="Y3532" s="4"/>
      <c r="Z3532" s="4"/>
      <c r="AA3532" s="4"/>
      <c r="AB3532" s="4"/>
      <c r="AC3532" s="4"/>
      <c r="AD3532" s="4"/>
      <c r="AE3532" s="4"/>
      <c r="AF3532" s="4"/>
    </row>
    <row r="3533" spans="1:32" ht="20.399999999999999">
      <c r="A3533" s="683" t="s">
        <v>146</v>
      </c>
      <c r="B3533" s="3129" t="s">
        <v>772</v>
      </c>
      <c r="C3533" s="683" t="s">
        <v>320</v>
      </c>
      <c r="D3533" s="719" t="s">
        <v>1979</v>
      </c>
      <c r="E3533" s="720" t="s">
        <v>430</v>
      </c>
      <c r="F3533" s="824">
        <v>2322</v>
      </c>
      <c r="G3533" s="800" t="s">
        <v>191</v>
      </c>
      <c r="H3533" s="706">
        <v>700.19999999999982</v>
      </c>
      <c r="I3533" s="706"/>
      <c r="J3533" s="1654">
        <v>433</v>
      </c>
      <c r="K3533" s="802"/>
      <c r="L3533" s="713">
        <v>699.59999999999991</v>
      </c>
      <c r="M3533" s="706"/>
      <c r="N3533" s="381" t="s">
        <v>4321</v>
      </c>
      <c r="O3533" s="187"/>
      <c r="P3533" s="187"/>
      <c r="Q3533" s="187"/>
      <c r="R3533" s="187"/>
      <c r="S3533" s="187"/>
      <c r="T3533" s="187"/>
      <c r="U3533" s="187"/>
      <c r="V3533" s="187"/>
      <c r="W3533" s="187"/>
      <c r="X3533" s="187"/>
      <c r="Y3533" s="187"/>
      <c r="Z3533" s="187"/>
      <c r="AA3533" s="187"/>
      <c r="AB3533" s="187"/>
      <c r="AC3533" s="187"/>
      <c r="AD3533" s="187"/>
      <c r="AE3533" s="187"/>
      <c r="AF3533" s="187"/>
    </row>
    <row r="3534" spans="1:32" ht="30.6">
      <c r="A3534" s="663" t="s">
        <v>146</v>
      </c>
      <c r="B3534" s="3130" t="s">
        <v>772</v>
      </c>
      <c r="C3534" s="663" t="s">
        <v>320</v>
      </c>
      <c r="D3534" s="678" t="s">
        <v>1979</v>
      </c>
      <c r="E3534" s="700" t="s">
        <v>430</v>
      </c>
      <c r="F3534" s="795">
        <v>2322</v>
      </c>
      <c r="G3534" s="750" t="s">
        <v>1601</v>
      </c>
      <c r="H3534" s="701"/>
      <c r="I3534" s="701">
        <v>700.19999999999982</v>
      </c>
      <c r="J3534" s="1654" t="s">
        <v>1134</v>
      </c>
      <c r="K3534" s="792"/>
      <c r="L3534" s="714"/>
      <c r="M3534" s="2188">
        <v>699.59999999999991</v>
      </c>
      <c r="N3534" s="305" t="s">
        <v>4318</v>
      </c>
      <c r="O3534" s="4"/>
      <c r="P3534" s="4"/>
      <c r="Q3534" s="4"/>
      <c r="R3534" s="4"/>
      <c r="S3534" s="4"/>
      <c r="T3534" s="4"/>
      <c r="U3534" s="4"/>
      <c r="V3534" s="4"/>
      <c r="W3534" s="4"/>
      <c r="X3534" s="4"/>
      <c r="Y3534" s="4"/>
      <c r="Z3534" s="4"/>
      <c r="AA3534" s="4"/>
      <c r="AB3534" s="4"/>
      <c r="AC3534" s="4"/>
      <c r="AD3534" s="4"/>
      <c r="AE3534" s="4"/>
      <c r="AF3534" s="4"/>
    </row>
    <row r="3535" spans="1:32">
      <c r="A3535" s="683" t="s">
        <v>146</v>
      </c>
      <c r="B3535" s="3129" t="s">
        <v>772</v>
      </c>
      <c r="C3535" s="683" t="s">
        <v>320</v>
      </c>
      <c r="D3535" s="719" t="s">
        <v>1979</v>
      </c>
      <c r="E3535" s="720" t="s">
        <v>430</v>
      </c>
      <c r="F3535" s="824">
        <v>2350</v>
      </c>
      <c r="G3535" s="800" t="s">
        <v>133</v>
      </c>
      <c r="H3535" s="706">
        <v>1400</v>
      </c>
      <c r="I3535" s="706"/>
      <c r="J3535" s="1654">
        <v>122</v>
      </c>
      <c r="K3535" s="802"/>
      <c r="L3535" s="713">
        <v>1150</v>
      </c>
      <c r="M3535" s="706"/>
      <c r="N3535" s="305" t="s">
        <v>4318</v>
      </c>
      <c r="O3535" s="187"/>
      <c r="P3535" s="187"/>
      <c r="Q3535" s="187"/>
      <c r="R3535" s="187"/>
      <c r="S3535" s="187"/>
      <c r="T3535" s="187"/>
      <c r="U3535" s="187"/>
      <c r="V3535" s="187"/>
      <c r="W3535" s="187"/>
      <c r="X3535" s="187"/>
      <c r="Y3535" s="187"/>
      <c r="Z3535" s="187"/>
      <c r="AA3535" s="187"/>
      <c r="AB3535" s="187"/>
      <c r="AC3535" s="187"/>
      <c r="AD3535" s="187"/>
      <c r="AE3535" s="187"/>
      <c r="AF3535" s="187"/>
    </row>
    <row r="3536" spans="1:32" ht="40.799999999999997">
      <c r="A3536" s="663"/>
      <c r="B3536" s="3130" t="s">
        <v>772</v>
      </c>
      <c r="C3536" s="663" t="s">
        <v>320</v>
      </c>
      <c r="D3536" s="678" t="s">
        <v>1979</v>
      </c>
      <c r="E3536" s="700" t="s">
        <v>430</v>
      </c>
      <c r="F3536" s="795">
        <v>2350</v>
      </c>
      <c r="G3536" s="750" t="s">
        <v>335</v>
      </c>
      <c r="H3536" s="701"/>
      <c r="I3536" s="2027">
        <v>800</v>
      </c>
      <c r="J3536" s="1654" t="s">
        <v>1134</v>
      </c>
      <c r="K3536" s="792"/>
      <c r="L3536" s="714"/>
      <c r="M3536" s="2188">
        <v>550</v>
      </c>
      <c r="N3536" s="381" t="s">
        <v>4873</v>
      </c>
      <c r="O3536" s="3"/>
      <c r="P3536" s="3"/>
      <c r="Q3536" s="3"/>
      <c r="R3536" s="3"/>
      <c r="S3536" s="3"/>
      <c r="T3536" s="3"/>
      <c r="U3536" s="3"/>
      <c r="V3536" s="3"/>
      <c r="W3536" s="3"/>
      <c r="X3536" s="3"/>
      <c r="Y3536" s="3"/>
      <c r="Z3536" s="3"/>
      <c r="AA3536" s="3"/>
      <c r="AB3536" s="3"/>
      <c r="AC3536" s="3"/>
      <c r="AD3536" s="3"/>
      <c r="AE3536" s="3"/>
      <c r="AF3536" s="3"/>
    </row>
    <row r="3537" spans="1:32">
      <c r="A3537" s="663"/>
      <c r="B3537" s="3130" t="s">
        <v>772</v>
      </c>
      <c r="C3537" s="663" t="s">
        <v>320</v>
      </c>
      <c r="D3537" s="678" t="s">
        <v>1979</v>
      </c>
      <c r="E3537" s="700" t="s">
        <v>430</v>
      </c>
      <c r="F3537" s="795">
        <v>2350</v>
      </c>
      <c r="G3537" s="750" t="s">
        <v>343</v>
      </c>
      <c r="H3537" s="701"/>
      <c r="I3537" s="2027">
        <v>400</v>
      </c>
      <c r="J3537" s="1654" t="s">
        <v>1134</v>
      </c>
      <c r="K3537" s="792"/>
      <c r="L3537" s="714"/>
      <c r="M3537" s="701">
        <v>400</v>
      </c>
      <c r="N3537" s="381" t="s">
        <v>4325</v>
      </c>
      <c r="O3537" s="7"/>
      <c r="P3537" s="7"/>
      <c r="Q3537" s="7"/>
      <c r="R3537" s="7"/>
      <c r="S3537" s="7"/>
      <c r="T3537" s="7"/>
      <c r="U3537" s="7"/>
      <c r="V3537" s="7"/>
      <c r="W3537" s="7"/>
      <c r="X3537" s="7"/>
      <c r="Y3537" s="7"/>
      <c r="Z3537" s="7"/>
      <c r="AA3537" s="7"/>
      <c r="AB3537" s="7"/>
      <c r="AC3537" s="7"/>
      <c r="AD3537" s="7"/>
      <c r="AE3537" s="7"/>
      <c r="AF3537" s="7"/>
    </row>
    <row r="3538" spans="1:32" ht="61.2" customHeight="1">
      <c r="A3538" s="663"/>
      <c r="B3538" s="3130" t="s">
        <v>772</v>
      </c>
      <c r="C3538" s="663" t="s">
        <v>320</v>
      </c>
      <c r="D3538" s="678" t="s">
        <v>1979</v>
      </c>
      <c r="E3538" s="700" t="s">
        <v>430</v>
      </c>
      <c r="F3538" s="795">
        <v>2350</v>
      </c>
      <c r="G3538" s="750" t="s">
        <v>1602</v>
      </c>
      <c r="H3538" s="701"/>
      <c r="I3538" s="2027">
        <v>200</v>
      </c>
      <c r="J3538" s="1654" t="s">
        <v>1134</v>
      </c>
      <c r="K3538" s="792"/>
      <c r="L3538" s="714"/>
      <c r="M3538" s="2027">
        <v>200</v>
      </c>
      <c r="N3538" s="381" t="s">
        <v>4874</v>
      </c>
      <c r="O3538" s="7"/>
      <c r="P3538" s="7"/>
      <c r="Q3538" s="7"/>
      <c r="R3538" s="7"/>
      <c r="S3538" s="7"/>
      <c r="T3538" s="7"/>
      <c r="U3538" s="7"/>
      <c r="V3538" s="7"/>
      <c r="W3538" s="7"/>
      <c r="X3538" s="7"/>
      <c r="Y3538" s="7"/>
      <c r="Z3538" s="7"/>
      <c r="AA3538" s="7"/>
      <c r="AB3538" s="7"/>
      <c r="AC3538" s="7"/>
      <c r="AD3538" s="7"/>
      <c r="AE3538" s="7"/>
      <c r="AF3538" s="7"/>
    </row>
    <row r="3539" spans="1:32" ht="81.599999999999994">
      <c r="A3539" s="683" t="s">
        <v>146</v>
      </c>
      <c r="B3539" s="3136" t="s">
        <v>773</v>
      </c>
      <c r="C3539" s="683" t="s">
        <v>325</v>
      </c>
      <c r="D3539" s="719" t="s">
        <v>1979</v>
      </c>
      <c r="E3539" s="720" t="s">
        <v>430</v>
      </c>
      <c r="F3539" s="685">
        <v>3263</v>
      </c>
      <c r="G3539" s="686" t="s">
        <v>187</v>
      </c>
      <c r="H3539" s="689">
        <v>15000</v>
      </c>
      <c r="I3539" s="689"/>
      <c r="J3539" s="1494">
        <v>15000</v>
      </c>
      <c r="K3539" s="690"/>
      <c r="L3539" s="837">
        <v>19000</v>
      </c>
      <c r="M3539" s="689"/>
      <c r="N3539" s="381" t="s">
        <v>4328</v>
      </c>
      <c r="O3539" s="3"/>
      <c r="P3539" s="3"/>
      <c r="Q3539" s="3"/>
      <c r="R3539" s="3"/>
      <c r="S3539" s="3"/>
      <c r="T3539" s="3"/>
      <c r="U3539" s="3"/>
      <c r="V3539" s="3"/>
      <c r="W3539" s="3"/>
      <c r="X3539" s="3"/>
      <c r="Y3539" s="3"/>
      <c r="Z3539" s="3"/>
      <c r="AA3539" s="3"/>
      <c r="AB3539" s="3"/>
      <c r="AC3539" s="3"/>
      <c r="AD3539" s="3"/>
      <c r="AE3539" s="3"/>
    </row>
    <row r="3540" spans="1:32" ht="56.25" customHeight="1">
      <c r="A3540" s="663" t="s">
        <v>146</v>
      </c>
      <c r="B3540" s="3130" t="s">
        <v>773</v>
      </c>
      <c r="C3540" s="663" t="s">
        <v>325</v>
      </c>
      <c r="D3540" s="678" t="s">
        <v>1979</v>
      </c>
      <c r="E3540" s="700" t="s">
        <v>430</v>
      </c>
      <c r="F3540" s="679">
        <v>3263</v>
      </c>
      <c r="G3540" s="2177" t="s">
        <v>4291</v>
      </c>
      <c r="H3540" s="660"/>
      <c r="I3540" s="660">
        <v>15000</v>
      </c>
      <c r="J3540" s="1494" t="s">
        <v>1134</v>
      </c>
      <c r="K3540" s="661"/>
      <c r="L3540" s="676"/>
      <c r="M3540" s="660">
        <v>19000</v>
      </c>
      <c r="N3540" s="305"/>
      <c r="O3540" s="7"/>
      <c r="P3540" s="7"/>
      <c r="Q3540" s="7"/>
      <c r="R3540" s="7"/>
      <c r="S3540" s="7"/>
      <c r="T3540" s="7"/>
      <c r="U3540" s="7"/>
      <c r="V3540" s="7"/>
      <c r="W3540" s="7"/>
      <c r="X3540" s="7"/>
      <c r="Y3540" s="7"/>
      <c r="Z3540" s="7"/>
      <c r="AA3540" s="7"/>
      <c r="AB3540" s="7"/>
      <c r="AC3540" s="7"/>
      <c r="AD3540" s="7"/>
      <c r="AE3540" s="7"/>
    </row>
    <row r="3541" spans="1:32">
      <c r="A3541" s="683" t="s">
        <v>146</v>
      </c>
      <c r="B3541" s="3129" t="s">
        <v>774</v>
      </c>
      <c r="C3541" s="683" t="s">
        <v>324</v>
      </c>
      <c r="D3541" s="719" t="s">
        <v>1979</v>
      </c>
      <c r="E3541" s="720" t="s">
        <v>430</v>
      </c>
      <c r="F3541" s="824">
        <v>5238</v>
      </c>
      <c r="G3541" s="800" t="s">
        <v>139</v>
      </c>
      <c r="H3541" s="706">
        <v>0</v>
      </c>
      <c r="I3541" s="706"/>
      <c r="J3541" s="1654" t="s">
        <v>1134</v>
      </c>
      <c r="K3541" s="802"/>
      <c r="L3541" s="713">
        <v>0</v>
      </c>
      <c r="M3541" s="706"/>
      <c r="N3541" s="381"/>
      <c r="O3541" s="3"/>
      <c r="P3541" s="3"/>
      <c r="Q3541" s="3"/>
      <c r="R3541" s="3"/>
      <c r="S3541" s="3"/>
      <c r="T3541" s="3"/>
      <c r="U3541" s="3"/>
      <c r="V3541" s="3"/>
      <c r="W3541" s="3"/>
      <c r="X3541" s="3"/>
      <c r="Y3541" s="3"/>
      <c r="Z3541" s="3"/>
      <c r="AA3541" s="3"/>
      <c r="AB3541" s="3"/>
      <c r="AC3541" s="3"/>
      <c r="AD3541" s="3"/>
      <c r="AE3541" s="3"/>
      <c r="AF3541" s="3"/>
    </row>
    <row r="3542" spans="1:32">
      <c r="A3542" s="663" t="s">
        <v>146</v>
      </c>
      <c r="B3542" s="3130" t="s">
        <v>774</v>
      </c>
      <c r="C3542" s="663" t="s">
        <v>324</v>
      </c>
      <c r="D3542" s="678" t="s">
        <v>1979</v>
      </c>
      <c r="E3542" s="700" t="s">
        <v>430</v>
      </c>
      <c r="F3542" s="795">
        <v>5238</v>
      </c>
      <c r="G3542" s="750"/>
      <c r="H3542" s="701"/>
      <c r="I3542" s="701"/>
      <c r="J3542" s="1654" t="s">
        <v>1134</v>
      </c>
      <c r="K3542" s="792"/>
      <c r="L3542" s="714"/>
      <c r="M3542" s="701"/>
      <c r="N3542" s="305"/>
      <c r="O3542" s="3"/>
      <c r="P3542" s="3"/>
      <c r="Q3542" s="3"/>
      <c r="R3542" s="3"/>
      <c r="S3542" s="3"/>
      <c r="T3542" s="3"/>
      <c r="U3542" s="3"/>
      <c r="V3542" s="3"/>
      <c r="W3542" s="3"/>
      <c r="X3542" s="3"/>
      <c r="Y3542" s="3"/>
      <c r="Z3542" s="3"/>
      <c r="AA3542" s="3"/>
      <c r="AB3542" s="3"/>
      <c r="AC3542" s="3"/>
      <c r="AD3542" s="3"/>
      <c r="AE3542" s="3"/>
      <c r="AF3542" s="3"/>
    </row>
    <row r="3543" spans="1:32">
      <c r="A3543" s="683" t="s">
        <v>146</v>
      </c>
      <c r="B3543" s="3129" t="s">
        <v>774</v>
      </c>
      <c r="C3543" s="683" t="s">
        <v>324</v>
      </c>
      <c r="D3543" s="719" t="s">
        <v>1979</v>
      </c>
      <c r="E3543" s="720" t="s">
        <v>430</v>
      </c>
      <c r="F3543" s="824">
        <v>5239</v>
      </c>
      <c r="G3543" s="800" t="s">
        <v>138</v>
      </c>
      <c r="H3543" s="706">
        <v>0</v>
      </c>
      <c r="I3543" s="706"/>
      <c r="J3543" s="1654" t="s">
        <v>1134</v>
      </c>
      <c r="K3543" s="802"/>
      <c r="L3543" s="713">
        <v>0</v>
      </c>
      <c r="M3543" s="706"/>
      <c r="N3543" s="381"/>
      <c r="O3543" s="3"/>
      <c r="P3543" s="3"/>
      <c r="Q3543" s="3"/>
      <c r="R3543" s="3"/>
      <c r="S3543" s="3"/>
      <c r="T3543" s="3"/>
      <c r="U3543" s="3"/>
      <c r="V3543" s="3"/>
      <c r="W3543" s="3"/>
      <c r="X3543" s="3"/>
      <c r="Y3543" s="3"/>
      <c r="Z3543" s="3"/>
      <c r="AA3543" s="3"/>
      <c r="AB3543" s="3"/>
      <c r="AC3543" s="3"/>
      <c r="AD3543" s="3"/>
      <c r="AE3543" s="3"/>
      <c r="AF3543" s="3"/>
    </row>
    <row r="3544" spans="1:32">
      <c r="A3544" s="663"/>
      <c r="B3544" s="3130" t="s">
        <v>774</v>
      </c>
      <c r="C3544" s="663" t="s">
        <v>324</v>
      </c>
      <c r="D3544" s="678" t="s">
        <v>1979</v>
      </c>
      <c r="E3544" s="700" t="s">
        <v>430</v>
      </c>
      <c r="F3544" s="795">
        <v>5239</v>
      </c>
      <c r="G3544" s="750"/>
      <c r="H3544" s="701"/>
      <c r="I3544" s="701"/>
      <c r="J3544" s="1654" t="s">
        <v>1134</v>
      </c>
      <c r="K3544" s="792"/>
      <c r="L3544" s="714"/>
      <c r="M3544" s="701"/>
      <c r="N3544" s="305"/>
      <c r="O3544" s="7"/>
      <c r="P3544" s="7"/>
      <c r="Q3544" s="7"/>
      <c r="R3544" s="7"/>
      <c r="S3544" s="7"/>
      <c r="T3544" s="7"/>
      <c r="U3544" s="7"/>
      <c r="V3544" s="7"/>
      <c r="W3544" s="7"/>
      <c r="X3544" s="7"/>
      <c r="Y3544" s="7"/>
      <c r="Z3544" s="7"/>
      <c r="AA3544" s="7"/>
      <c r="AB3544" s="7"/>
      <c r="AC3544" s="7"/>
      <c r="AD3544" s="7"/>
      <c r="AE3544" s="7"/>
      <c r="AF3544" s="7"/>
    </row>
    <row r="3545" spans="1:32">
      <c r="A3545" s="683"/>
      <c r="B3545" s="3129" t="s">
        <v>338</v>
      </c>
      <c r="C3545" s="683" t="s">
        <v>336</v>
      </c>
      <c r="D3545" s="719" t="s">
        <v>1979</v>
      </c>
      <c r="E3545" s="720" t="s">
        <v>430</v>
      </c>
      <c r="F3545" s="824">
        <v>6252</v>
      </c>
      <c r="G3545" s="800" t="s">
        <v>689</v>
      </c>
      <c r="H3545" s="706">
        <v>17000</v>
      </c>
      <c r="I3545" s="706"/>
      <c r="J3545" s="1654">
        <v>13069</v>
      </c>
      <c r="K3545" s="802"/>
      <c r="L3545" s="713">
        <v>17000</v>
      </c>
      <c r="M3545" s="706"/>
      <c r="N3545" s="381" t="s">
        <v>4329</v>
      </c>
      <c r="O3545" s="3"/>
      <c r="P3545" s="3"/>
      <c r="Q3545" s="3"/>
      <c r="R3545" s="3"/>
      <c r="S3545" s="3"/>
      <c r="T3545" s="3"/>
      <c r="U3545" s="3"/>
      <c r="V3545" s="3"/>
      <c r="W3545" s="3"/>
      <c r="X3545" s="3"/>
      <c r="Y3545" s="3"/>
      <c r="Z3545" s="3"/>
      <c r="AA3545" s="3"/>
      <c r="AB3545" s="3"/>
      <c r="AC3545" s="3"/>
      <c r="AD3545" s="3"/>
      <c r="AE3545" s="3"/>
      <c r="AF3545" s="3"/>
    </row>
    <row r="3546" spans="1:32" ht="71.400000000000006">
      <c r="A3546" s="663"/>
      <c r="B3546" s="3130" t="s">
        <v>338</v>
      </c>
      <c r="C3546" s="663" t="s">
        <v>336</v>
      </c>
      <c r="D3546" s="678" t="s">
        <v>1979</v>
      </c>
      <c r="E3546" s="700" t="s">
        <v>430</v>
      </c>
      <c r="F3546" s="795">
        <v>6252</v>
      </c>
      <c r="G3546" s="2195" t="s">
        <v>4292</v>
      </c>
      <c r="H3546" s="2188"/>
      <c r="I3546" s="2188">
        <v>17000</v>
      </c>
      <c r="J3546" s="2191" t="s">
        <v>1134</v>
      </c>
      <c r="K3546" s="2205"/>
      <c r="L3546" s="2199"/>
      <c r="M3546" s="2188">
        <v>17000</v>
      </c>
      <c r="N3546" s="305"/>
      <c r="O3546" s="3"/>
      <c r="P3546" s="3"/>
      <c r="Q3546" s="3"/>
      <c r="R3546" s="3"/>
      <c r="S3546" s="3"/>
      <c r="T3546" s="3"/>
      <c r="U3546" s="3"/>
      <c r="V3546" s="3"/>
      <c r="W3546" s="3"/>
      <c r="X3546" s="3"/>
      <c r="Y3546" s="3"/>
      <c r="Z3546" s="3"/>
      <c r="AA3546" s="3"/>
      <c r="AB3546" s="3"/>
      <c r="AC3546" s="3"/>
      <c r="AD3546" s="3"/>
      <c r="AE3546" s="3"/>
      <c r="AF3546" s="3"/>
    </row>
    <row r="3547" spans="1:32" ht="20.399999999999999">
      <c r="A3547" s="683"/>
      <c r="B3547" s="3129" t="s">
        <v>338</v>
      </c>
      <c r="C3547" s="683" t="s">
        <v>336</v>
      </c>
      <c r="D3547" s="719" t="s">
        <v>1979</v>
      </c>
      <c r="E3547" s="720" t="s">
        <v>430</v>
      </c>
      <c r="F3547" s="824">
        <v>6254</v>
      </c>
      <c r="G3547" s="800" t="s">
        <v>498</v>
      </c>
      <c r="H3547" s="706">
        <v>10200</v>
      </c>
      <c r="I3547" s="706"/>
      <c r="J3547" s="1654">
        <v>5600</v>
      </c>
      <c r="K3547" s="802"/>
      <c r="L3547" s="713">
        <v>10000</v>
      </c>
      <c r="M3547" s="706"/>
      <c r="N3547" s="305"/>
      <c r="O3547" s="7"/>
      <c r="P3547" s="7"/>
      <c r="Q3547" s="7"/>
      <c r="R3547" s="7"/>
      <c r="S3547" s="7"/>
      <c r="T3547" s="7"/>
      <c r="U3547" s="7"/>
      <c r="V3547" s="7"/>
      <c r="W3547" s="7"/>
      <c r="X3547" s="7"/>
      <c r="Y3547" s="7"/>
      <c r="Z3547" s="7"/>
      <c r="AA3547" s="7"/>
      <c r="AB3547" s="7"/>
      <c r="AC3547" s="7"/>
      <c r="AD3547" s="7"/>
      <c r="AE3547" s="7"/>
      <c r="AF3547" s="7"/>
    </row>
    <row r="3548" spans="1:32" ht="40.799999999999997">
      <c r="A3548" s="663"/>
      <c r="B3548" s="3130" t="s">
        <v>338</v>
      </c>
      <c r="C3548" s="663" t="s">
        <v>336</v>
      </c>
      <c r="D3548" s="678" t="s">
        <v>1979</v>
      </c>
      <c r="E3548" s="700" t="s">
        <v>430</v>
      </c>
      <c r="F3548" s="795">
        <v>6254</v>
      </c>
      <c r="G3548" s="750" t="s">
        <v>2256</v>
      </c>
      <c r="H3548" s="701"/>
      <c r="I3548" s="701">
        <v>5000</v>
      </c>
      <c r="J3548" s="1654" t="s">
        <v>1134</v>
      </c>
      <c r="K3548" s="792"/>
      <c r="L3548" s="714"/>
      <c r="M3548" s="701">
        <v>5000</v>
      </c>
      <c r="N3548" s="381" t="s">
        <v>4875</v>
      </c>
      <c r="O3548" s="7"/>
      <c r="P3548" s="7"/>
      <c r="Q3548" s="7"/>
      <c r="R3548" s="7"/>
      <c r="S3548" s="7"/>
      <c r="T3548" s="7"/>
      <c r="U3548" s="7"/>
      <c r="V3548" s="7"/>
      <c r="W3548" s="7"/>
      <c r="X3548" s="7"/>
      <c r="Y3548" s="7"/>
      <c r="Z3548" s="7"/>
      <c r="AA3548" s="7"/>
      <c r="AB3548" s="7"/>
      <c r="AC3548" s="7"/>
      <c r="AD3548" s="7"/>
      <c r="AE3548" s="7"/>
      <c r="AF3548" s="7"/>
    </row>
    <row r="3549" spans="1:32" ht="20.399999999999999">
      <c r="A3549" s="663"/>
      <c r="B3549" s="3130" t="s">
        <v>338</v>
      </c>
      <c r="C3549" s="663" t="s">
        <v>336</v>
      </c>
      <c r="D3549" s="678" t="s">
        <v>1979</v>
      </c>
      <c r="E3549" s="700" t="s">
        <v>430</v>
      </c>
      <c r="F3549" s="795">
        <v>6254</v>
      </c>
      <c r="G3549" s="750" t="s">
        <v>906</v>
      </c>
      <c r="H3549" s="701"/>
      <c r="I3549" s="701">
        <v>5000</v>
      </c>
      <c r="J3549" s="1654" t="s">
        <v>1134</v>
      </c>
      <c r="K3549" s="792"/>
      <c r="L3549" s="714"/>
      <c r="M3549" s="701">
        <v>5000</v>
      </c>
      <c r="N3549" s="305"/>
      <c r="O3549" s="7"/>
      <c r="P3549" s="7"/>
      <c r="Q3549" s="7"/>
      <c r="R3549" s="7"/>
      <c r="S3549" s="7"/>
      <c r="T3549" s="7"/>
      <c r="U3549" s="7"/>
      <c r="V3549" s="7"/>
      <c r="W3549" s="7"/>
      <c r="X3549" s="7"/>
      <c r="Y3549" s="7"/>
      <c r="Z3549" s="7"/>
      <c r="AA3549" s="7"/>
      <c r="AB3549" s="7"/>
      <c r="AC3549" s="7"/>
      <c r="AD3549" s="7"/>
      <c r="AE3549" s="7"/>
      <c r="AF3549" s="7"/>
    </row>
    <row r="3550" spans="1:32" ht="30.6">
      <c r="A3550" s="663"/>
      <c r="B3550" s="3130" t="s">
        <v>338</v>
      </c>
      <c r="C3550" s="663" t="s">
        <v>336</v>
      </c>
      <c r="D3550" s="678" t="s">
        <v>1979</v>
      </c>
      <c r="E3550" s="700" t="s">
        <v>430</v>
      </c>
      <c r="F3550" s="795">
        <v>6254</v>
      </c>
      <c r="G3550" s="750" t="s">
        <v>1861</v>
      </c>
      <c r="H3550" s="701"/>
      <c r="I3550" s="701">
        <v>200</v>
      </c>
      <c r="J3550" s="1654" t="s">
        <v>1134</v>
      </c>
      <c r="K3550" s="792"/>
      <c r="L3550" s="714"/>
      <c r="M3550" s="701"/>
      <c r="N3550" s="359" t="s">
        <v>4876</v>
      </c>
      <c r="O3550" s="3"/>
      <c r="P3550" s="3"/>
      <c r="Q3550" s="3"/>
      <c r="R3550" s="3"/>
      <c r="S3550" s="3"/>
      <c r="T3550" s="3"/>
      <c r="U3550" s="3"/>
      <c r="V3550" s="3"/>
      <c r="W3550" s="3"/>
      <c r="X3550" s="3"/>
      <c r="Y3550" s="3"/>
      <c r="Z3550" s="3"/>
      <c r="AA3550" s="3"/>
      <c r="AB3550" s="3"/>
      <c r="AC3550" s="3"/>
      <c r="AD3550" s="3"/>
      <c r="AE3550" s="3"/>
    </row>
    <row r="3551" spans="1:32" ht="20.399999999999999">
      <c r="A3551" s="683"/>
      <c r="B3551" s="3129" t="s">
        <v>338</v>
      </c>
      <c r="C3551" s="683" t="s">
        <v>336</v>
      </c>
      <c r="D3551" s="719" t="s">
        <v>1979</v>
      </c>
      <c r="E3551" s="720" t="s">
        <v>430</v>
      </c>
      <c r="F3551" s="824">
        <v>6255</v>
      </c>
      <c r="G3551" s="800" t="s">
        <v>284</v>
      </c>
      <c r="H3551" s="706">
        <v>47560</v>
      </c>
      <c r="I3551" s="706"/>
      <c r="J3551" s="1654">
        <v>29707</v>
      </c>
      <c r="K3551" s="802"/>
      <c r="L3551" s="713">
        <v>78215</v>
      </c>
      <c r="M3551" s="706"/>
      <c r="N3551" s="7" t="s">
        <v>4334</v>
      </c>
      <c r="O3551" s="3"/>
      <c r="P3551" s="3"/>
      <c r="Q3551" s="3"/>
      <c r="R3551" s="3"/>
      <c r="S3551" s="3"/>
      <c r="T3551" s="3"/>
      <c r="U3551" s="3"/>
      <c r="V3551" s="3"/>
      <c r="W3551" s="3"/>
      <c r="X3551" s="3"/>
      <c r="Y3551" s="3"/>
      <c r="Z3551" s="3"/>
      <c r="AA3551" s="3"/>
      <c r="AB3551" s="3"/>
      <c r="AC3551" s="3"/>
      <c r="AD3551" s="3"/>
      <c r="AE3551" s="3"/>
    </row>
    <row r="3552" spans="1:32" ht="81.599999999999994">
      <c r="A3552" s="663"/>
      <c r="B3552" s="3130" t="s">
        <v>338</v>
      </c>
      <c r="C3552" s="663" t="s">
        <v>336</v>
      </c>
      <c r="D3552" s="678" t="s">
        <v>1979</v>
      </c>
      <c r="E3552" s="700" t="s">
        <v>430</v>
      </c>
      <c r="F3552" s="795">
        <v>6255</v>
      </c>
      <c r="G3552" s="2195" t="s">
        <v>4295</v>
      </c>
      <c r="H3552" s="2188"/>
      <c r="I3552" s="2188">
        <v>10820</v>
      </c>
      <c r="J3552" s="2191" t="s">
        <v>1134</v>
      </c>
      <c r="K3552" s="2205"/>
      <c r="L3552" s="2199"/>
      <c r="M3552" s="2188">
        <v>22000</v>
      </c>
      <c r="N3552" s="176" t="s">
        <v>4877</v>
      </c>
      <c r="O3552" s="7"/>
      <c r="P3552" s="7"/>
      <c r="Q3552" s="7"/>
      <c r="R3552" s="7"/>
      <c r="S3552" s="7"/>
      <c r="T3552" s="7"/>
      <c r="U3552" s="7"/>
      <c r="V3552" s="7"/>
      <c r="W3552" s="7"/>
      <c r="X3552" s="7"/>
      <c r="Y3552" s="3"/>
      <c r="Z3552" s="3"/>
      <c r="AA3552" s="3"/>
      <c r="AB3552" s="3"/>
      <c r="AC3552" s="3"/>
      <c r="AD3552" s="3"/>
      <c r="AE3552" s="3"/>
      <c r="AF3552" s="3"/>
    </row>
    <row r="3553" spans="1:32" ht="61.2">
      <c r="A3553" s="663"/>
      <c r="B3553" s="3130" t="s">
        <v>338</v>
      </c>
      <c r="C3553" s="663" t="s">
        <v>336</v>
      </c>
      <c r="D3553" s="678" t="s">
        <v>1979</v>
      </c>
      <c r="E3553" s="700" t="s">
        <v>430</v>
      </c>
      <c r="F3553" s="795">
        <v>6255</v>
      </c>
      <c r="G3553" s="2195" t="s">
        <v>4296</v>
      </c>
      <c r="H3553" s="2188"/>
      <c r="I3553" s="2188">
        <v>46740</v>
      </c>
      <c r="J3553" s="2191" t="s">
        <v>1134</v>
      </c>
      <c r="K3553" s="2205"/>
      <c r="L3553" s="2199"/>
      <c r="M3553" s="2188">
        <v>56215</v>
      </c>
      <c r="N3553" s="7" t="s">
        <v>4335</v>
      </c>
      <c r="O3553" s="3"/>
      <c r="P3553" s="3"/>
      <c r="Q3553" s="3"/>
      <c r="R3553" s="3"/>
      <c r="S3553" s="3"/>
      <c r="T3553" s="3"/>
      <c r="U3553" s="3"/>
      <c r="V3553" s="3"/>
      <c r="W3553" s="3"/>
      <c r="X3553" s="3"/>
      <c r="Y3553" s="3"/>
      <c r="Z3553" s="3"/>
      <c r="AA3553" s="3"/>
      <c r="AB3553" s="3"/>
      <c r="AC3553" s="3"/>
      <c r="AD3553" s="3"/>
      <c r="AE3553" s="3"/>
      <c r="AF3553" s="3"/>
    </row>
    <row r="3554" spans="1:32" ht="40.799999999999997">
      <c r="A3554" s="663"/>
      <c r="B3554" s="3130" t="s">
        <v>338</v>
      </c>
      <c r="C3554" s="663" t="s">
        <v>336</v>
      </c>
      <c r="D3554" s="678" t="s">
        <v>1979</v>
      </c>
      <c r="E3554" s="700" t="s">
        <v>430</v>
      </c>
      <c r="F3554" s="795">
        <v>6255</v>
      </c>
      <c r="G3554" s="1153" t="s">
        <v>3237</v>
      </c>
      <c r="H3554" s="1165"/>
      <c r="I3554" s="1165">
        <v>-10000</v>
      </c>
      <c r="J3554" s="1654" t="s">
        <v>1134</v>
      </c>
      <c r="K3554" s="1439"/>
      <c r="L3554" s="1456"/>
      <c r="M3554" s="1165"/>
      <c r="N3554" s="359" t="s">
        <v>4337</v>
      </c>
      <c r="O3554" s="7"/>
      <c r="P3554" s="7"/>
      <c r="Q3554" s="3"/>
      <c r="R3554" s="3"/>
      <c r="S3554" s="3"/>
      <c r="T3554" s="3"/>
      <c r="V3554" s="3"/>
      <c r="W3554" s="3"/>
      <c r="X3554" s="3"/>
      <c r="Y3554" s="3"/>
      <c r="Z3554" s="3"/>
      <c r="AA3554" s="3"/>
      <c r="AB3554" s="3"/>
      <c r="AC3554" s="3"/>
      <c r="AD3554" s="3"/>
      <c r="AE3554" s="3"/>
      <c r="AF3554" s="3"/>
    </row>
    <row r="3555" spans="1:32" ht="20.399999999999999">
      <c r="A3555" s="683"/>
      <c r="B3555" s="3129" t="s">
        <v>338</v>
      </c>
      <c r="C3555" s="683" t="s">
        <v>336</v>
      </c>
      <c r="D3555" s="719" t="s">
        <v>1979</v>
      </c>
      <c r="E3555" s="720" t="s">
        <v>430</v>
      </c>
      <c r="F3555" s="824">
        <v>6259</v>
      </c>
      <c r="G3555" s="800" t="s">
        <v>499</v>
      </c>
      <c r="H3555" s="706">
        <v>3000</v>
      </c>
      <c r="I3555" s="706"/>
      <c r="J3555" s="1654">
        <v>2365</v>
      </c>
      <c r="K3555" s="802"/>
      <c r="L3555" s="713">
        <v>3000</v>
      </c>
      <c r="M3555" s="706"/>
      <c r="N3555" s="7"/>
      <c r="O3555" s="7"/>
      <c r="P3555" s="7"/>
      <c r="Q3555" s="7"/>
      <c r="R3555" s="7"/>
      <c r="S3555" s="7"/>
      <c r="T3555" s="7"/>
      <c r="U3555" s="7"/>
      <c r="V3555" s="7"/>
      <c r="W3555" s="7"/>
      <c r="X3555" s="7"/>
      <c r="Y3555" s="7"/>
      <c r="Z3555" s="7"/>
      <c r="AA3555" s="7"/>
      <c r="AB3555" s="7"/>
      <c r="AC3555" s="7"/>
      <c r="AD3555" s="7"/>
      <c r="AE3555" s="7"/>
      <c r="AF3555" s="7"/>
    </row>
    <row r="3556" spans="1:32" ht="20.399999999999999">
      <c r="A3556" s="663"/>
      <c r="B3556" s="3130" t="s">
        <v>338</v>
      </c>
      <c r="C3556" s="663" t="s">
        <v>336</v>
      </c>
      <c r="D3556" s="678" t="s">
        <v>1979</v>
      </c>
      <c r="E3556" s="700" t="s">
        <v>430</v>
      </c>
      <c r="F3556" s="795">
        <v>6259</v>
      </c>
      <c r="G3556" s="750" t="s">
        <v>2257</v>
      </c>
      <c r="H3556" s="701"/>
      <c r="I3556" s="701">
        <v>2000</v>
      </c>
      <c r="J3556" s="1654" t="s">
        <v>1134</v>
      </c>
      <c r="K3556" s="792"/>
      <c r="L3556" s="714"/>
      <c r="M3556" s="714">
        <v>3000</v>
      </c>
      <c r="N3556" s="7"/>
      <c r="O3556" s="187"/>
      <c r="P3556" s="187"/>
      <c r="Q3556" s="187"/>
      <c r="R3556" s="187"/>
      <c r="S3556" s="187"/>
      <c r="T3556" s="187"/>
      <c r="V3556" s="4"/>
      <c r="W3556" s="4"/>
      <c r="X3556" s="4"/>
      <c r="Y3556" s="4"/>
      <c r="Z3556" s="4"/>
      <c r="AA3556" s="4"/>
      <c r="AB3556" s="4"/>
      <c r="AC3556" s="4"/>
      <c r="AD3556" s="4"/>
      <c r="AE3556" s="4"/>
      <c r="AF3556" s="4"/>
    </row>
    <row r="3557" spans="1:32" ht="71.400000000000006">
      <c r="A3557" s="603"/>
      <c r="B3557" s="3130" t="s">
        <v>338</v>
      </c>
      <c r="C3557" s="663" t="s">
        <v>336</v>
      </c>
      <c r="D3557" s="678" t="s">
        <v>1979</v>
      </c>
      <c r="E3557" s="700" t="s">
        <v>430</v>
      </c>
      <c r="F3557" s="795">
        <v>6259</v>
      </c>
      <c r="G3557" s="1153" t="s">
        <v>3283</v>
      </c>
      <c r="H3557" s="1165"/>
      <c r="I3557" s="1165">
        <v>1000</v>
      </c>
      <c r="J3557" s="1654" t="s">
        <v>1134</v>
      </c>
      <c r="K3557" s="1439"/>
      <c r="L3557" s="1456"/>
      <c r="M3557" s="1456"/>
      <c r="N3557" s="359" t="s">
        <v>4879</v>
      </c>
      <c r="O3557" s="187"/>
      <c r="P3557" s="187"/>
      <c r="Q3557" s="187"/>
      <c r="R3557" s="187"/>
      <c r="S3557" s="187"/>
      <c r="T3557" s="187"/>
      <c r="V3557" s="4"/>
      <c r="W3557" s="4"/>
      <c r="X3557" s="4"/>
      <c r="Y3557" s="4"/>
      <c r="Z3557" s="4"/>
      <c r="AA3557" s="4"/>
      <c r="AB3557" s="4"/>
      <c r="AC3557" s="4"/>
      <c r="AD3557" s="4"/>
      <c r="AE3557" s="4"/>
      <c r="AF3557" s="4"/>
    </row>
    <row r="3558" spans="1:32">
      <c r="A3558" s="683"/>
      <c r="B3558" s="3129" t="s">
        <v>338</v>
      </c>
      <c r="C3558" s="683" t="s">
        <v>336</v>
      </c>
      <c r="D3558" s="719" t="s">
        <v>1979</v>
      </c>
      <c r="E3558" s="720" t="s">
        <v>430</v>
      </c>
      <c r="F3558" s="824">
        <v>6260</v>
      </c>
      <c r="G3558" s="800" t="s">
        <v>2812</v>
      </c>
      <c r="H3558" s="706">
        <v>6000</v>
      </c>
      <c r="I3558" s="706"/>
      <c r="J3558" s="1654">
        <v>4708</v>
      </c>
      <c r="K3558" s="802"/>
      <c r="L3558" s="713">
        <v>13000</v>
      </c>
      <c r="M3558" s="706"/>
      <c r="N3558" s="7" t="s">
        <v>4341</v>
      </c>
      <c r="O3558" s="187"/>
      <c r="P3558" s="187"/>
      <c r="Q3558" s="187"/>
      <c r="R3558" s="187"/>
      <c r="S3558" s="187"/>
      <c r="T3558" s="187"/>
      <c r="V3558" s="4"/>
      <c r="W3558" s="4"/>
      <c r="X3558" s="4"/>
      <c r="Y3558" s="4"/>
      <c r="Z3558" s="4"/>
      <c r="AA3558" s="4"/>
      <c r="AB3558" s="4"/>
      <c r="AC3558" s="4"/>
      <c r="AD3558" s="4"/>
      <c r="AE3558" s="4"/>
      <c r="AF3558" s="4"/>
    </row>
    <row r="3559" spans="1:32" ht="30.6">
      <c r="A3559" s="774"/>
      <c r="B3559" s="3137" t="s">
        <v>338</v>
      </c>
      <c r="C3559" s="774" t="s">
        <v>336</v>
      </c>
      <c r="D3559" s="873" t="s">
        <v>1979</v>
      </c>
      <c r="E3559" s="841" t="s">
        <v>430</v>
      </c>
      <c r="F3559" s="2265">
        <v>6260</v>
      </c>
      <c r="G3559" s="2195" t="s">
        <v>4299</v>
      </c>
      <c r="H3559" s="1321"/>
      <c r="I3559" s="1321">
        <v>18900</v>
      </c>
      <c r="J3559" s="1654" t="s">
        <v>1134</v>
      </c>
      <c r="K3559" s="802"/>
      <c r="L3559" s="2266"/>
      <c r="M3559" s="2267">
        <v>10000</v>
      </c>
      <c r="N3559" s="7" t="s">
        <v>4342</v>
      </c>
      <c r="O3559" s="187"/>
      <c r="P3559" s="187"/>
      <c r="Q3559" s="187"/>
      <c r="R3559" s="187"/>
      <c r="S3559" s="187"/>
      <c r="T3559" s="187"/>
      <c r="V3559" s="4"/>
      <c r="W3559" s="4"/>
      <c r="X3559" s="4"/>
      <c r="Y3559" s="4"/>
      <c r="Z3559" s="4"/>
      <c r="AA3559" s="4"/>
      <c r="AB3559" s="4"/>
      <c r="AC3559" s="4"/>
      <c r="AD3559" s="4"/>
      <c r="AE3559" s="4"/>
      <c r="AF3559" s="4"/>
    </row>
    <row r="3560" spans="1:32">
      <c r="A3560" s="774"/>
      <c r="B3560" s="3137" t="s">
        <v>338</v>
      </c>
      <c r="C3560" s="774" t="s">
        <v>336</v>
      </c>
      <c r="D3560" s="873" t="s">
        <v>1979</v>
      </c>
      <c r="E3560" s="841" t="s">
        <v>430</v>
      </c>
      <c r="F3560" s="2265">
        <v>6260</v>
      </c>
      <c r="G3560" s="750" t="s">
        <v>4300</v>
      </c>
      <c r="H3560" s="1321"/>
      <c r="I3560" s="1321">
        <v>8100</v>
      </c>
      <c r="J3560" s="1654" t="s">
        <v>1134</v>
      </c>
      <c r="K3560" s="802"/>
      <c r="L3560" s="2266"/>
      <c r="M3560" s="2987">
        <v>3000</v>
      </c>
      <c r="N3560" s="7" t="s">
        <v>4343</v>
      </c>
      <c r="O3560" s="187"/>
      <c r="P3560" s="187"/>
      <c r="Q3560" s="187"/>
      <c r="R3560" s="187"/>
      <c r="S3560" s="187"/>
      <c r="T3560" s="187"/>
      <c r="V3560" s="4"/>
      <c r="W3560" s="4"/>
      <c r="X3560" s="4"/>
      <c r="Y3560" s="4"/>
      <c r="Z3560" s="4"/>
      <c r="AA3560" s="4"/>
      <c r="AB3560" s="4"/>
      <c r="AC3560" s="4"/>
      <c r="AD3560" s="4"/>
      <c r="AE3560" s="4"/>
      <c r="AF3560" s="4"/>
    </row>
    <row r="3561" spans="1:32" ht="20.399999999999999">
      <c r="A3561" s="774"/>
      <c r="B3561" s="3137" t="s">
        <v>338</v>
      </c>
      <c r="C3561" s="774" t="s">
        <v>336</v>
      </c>
      <c r="D3561" s="873" t="s">
        <v>1979</v>
      </c>
      <c r="E3561" s="841" t="s">
        <v>430</v>
      </c>
      <c r="F3561" s="2265">
        <v>6260</v>
      </c>
      <c r="G3561" s="1153" t="s">
        <v>3283</v>
      </c>
      <c r="H3561" s="1321"/>
      <c r="I3561" s="1321">
        <v>-1000</v>
      </c>
      <c r="J3561" s="1654" t="s">
        <v>1134</v>
      </c>
      <c r="K3561" s="802"/>
      <c r="L3561" s="2266"/>
      <c r="M3561" s="1321"/>
      <c r="N3561" s="7"/>
      <c r="O3561" s="187"/>
      <c r="P3561" s="187"/>
      <c r="Q3561" s="187"/>
      <c r="R3561" s="187"/>
      <c r="S3561" s="187"/>
      <c r="T3561" s="187"/>
      <c r="V3561" s="4"/>
      <c r="W3561" s="4"/>
      <c r="X3561" s="4"/>
      <c r="Y3561" s="4"/>
      <c r="Z3561" s="4"/>
      <c r="AA3561" s="4"/>
      <c r="AB3561" s="4"/>
      <c r="AC3561" s="4"/>
      <c r="AD3561" s="4"/>
      <c r="AE3561" s="4"/>
      <c r="AF3561" s="4"/>
    </row>
    <row r="3562" spans="1:32" ht="30.6">
      <c r="A3562" s="774"/>
      <c r="B3562" s="3137" t="s">
        <v>338</v>
      </c>
      <c r="C3562" s="774" t="s">
        <v>336</v>
      </c>
      <c r="D3562" s="873" t="s">
        <v>1979</v>
      </c>
      <c r="E3562" s="841" t="s">
        <v>430</v>
      </c>
      <c r="F3562" s="2265">
        <v>6260</v>
      </c>
      <c r="G3562" s="1153" t="s">
        <v>3442</v>
      </c>
      <c r="H3562" s="1321"/>
      <c r="I3562" s="1321">
        <v>-20000</v>
      </c>
      <c r="J3562" s="1654" t="s">
        <v>1134</v>
      </c>
      <c r="K3562" s="802"/>
      <c r="L3562" s="2266"/>
      <c r="M3562" s="1321"/>
      <c r="N3562" s="7" t="s">
        <v>4345</v>
      </c>
      <c r="O3562" s="187"/>
      <c r="P3562" s="187"/>
      <c r="Q3562" s="187"/>
      <c r="R3562" s="187"/>
      <c r="S3562" s="187"/>
      <c r="T3562" s="187"/>
      <c r="V3562" s="4"/>
      <c r="W3562" s="4"/>
      <c r="X3562" s="4"/>
      <c r="Y3562" s="4"/>
      <c r="Z3562" s="4"/>
      <c r="AA3562" s="4"/>
      <c r="AB3562" s="4"/>
      <c r="AC3562" s="4"/>
      <c r="AD3562" s="4"/>
      <c r="AE3562" s="4"/>
      <c r="AF3562" s="4"/>
    </row>
    <row r="3563" spans="1:32" ht="81.599999999999994">
      <c r="A3563" s="683"/>
      <c r="B3563" s="3129" t="s">
        <v>338</v>
      </c>
      <c r="C3563" s="683" t="s">
        <v>336</v>
      </c>
      <c r="D3563" s="719" t="s">
        <v>1979</v>
      </c>
      <c r="E3563" s="720" t="s">
        <v>430</v>
      </c>
      <c r="F3563" s="824">
        <v>6270</v>
      </c>
      <c r="G3563" s="800" t="s">
        <v>285</v>
      </c>
      <c r="H3563" s="706">
        <v>60000</v>
      </c>
      <c r="I3563" s="706"/>
      <c r="J3563" s="1654">
        <v>37654</v>
      </c>
      <c r="K3563" s="802"/>
      <c r="L3563" s="713">
        <v>60000</v>
      </c>
      <c r="M3563" s="706"/>
      <c r="N3563" s="176" t="s">
        <v>4347</v>
      </c>
      <c r="O3563" s="187"/>
      <c r="P3563" s="187"/>
      <c r="Q3563" s="187"/>
      <c r="R3563" s="187"/>
      <c r="S3563" s="187"/>
      <c r="T3563" s="187"/>
      <c r="V3563" s="4"/>
      <c r="W3563" s="4"/>
      <c r="X3563" s="4"/>
      <c r="Y3563" s="4"/>
      <c r="Z3563" s="4"/>
      <c r="AA3563" s="4"/>
      <c r="AB3563" s="4"/>
      <c r="AC3563" s="4"/>
      <c r="AD3563" s="4"/>
      <c r="AE3563" s="4"/>
      <c r="AF3563" s="4"/>
    </row>
    <row r="3564" spans="1:32">
      <c r="A3564" s="774"/>
      <c r="B3564" s="3137" t="s">
        <v>338</v>
      </c>
      <c r="C3564" s="774" t="s">
        <v>336</v>
      </c>
      <c r="D3564" s="873" t="s">
        <v>1979</v>
      </c>
      <c r="E3564" s="841" t="s">
        <v>430</v>
      </c>
      <c r="F3564" s="2265">
        <v>6270</v>
      </c>
      <c r="G3564" s="750" t="s">
        <v>1217</v>
      </c>
      <c r="H3564" s="1321"/>
      <c r="I3564" s="1321">
        <v>42000</v>
      </c>
      <c r="J3564" s="1654" t="s">
        <v>1134</v>
      </c>
      <c r="K3564" s="802"/>
      <c r="L3564" s="2266"/>
      <c r="M3564" s="1321">
        <v>42000</v>
      </c>
      <c r="N3564" s="305"/>
      <c r="O3564" s="187"/>
      <c r="P3564" s="187"/>
      <c r="Q3564" s="187"/>
      <c r="R3564" s="187"/>
      <c r="S3564" s="187"/>
      <c r="U3564" s="4"/>
      <c r="V3564" s="4"/>
      <c r="W3564" s="4"/>
      <c r="X3564" s="4"/>
      <c r="Y3564" s="4"/>
      <c r="Z3564" s="4"/>
      <c r="AA3564" s="4"/>
      <c r="AB3564" s="4"/>
      <c r="AC3564" s="4"/>
      <c r="AD3564" s="4"/>
      <c r="AE3564" s="4"/>
    </row>
    <row r="3565" spans="1:32">
      <c r="A3565" s="774"/>
      <c r="B3565" s="3137" t="s">
        <v>338</v>
      </c>
      <c r="C3565" s="774" t="s">
        <v>336</v>
      </c>
      <c r="D3565" s="873" t="s">
        <v>1979</v>
      </c>
      <c r="E3565" s="841" t="s">
        <v>430</v>
      </c>
      <c r="F3565" s="2265">
        <v>6270</v>
      </c>
      <c r="G3565" s="750" t="s">
        <v>2258</v>
      </c>
      <c r="H3565" s="1321"/>
      <c r="I3565" s="1321">
        <v>18000</v>
      </c>
      <c r="J3565" s="1654" t="s">
        <v>1134</v>
      </c>
      <c r="K3565" s="802"/>
      <c r="L3565" s="2266"/>
      <c r="M3565" s="2986">
        <v>18000</v>
      </c>
      <c r="N3565" s="359" t="s">
        <v>4348</v>
      </c>
      <c r="O3565" s="187"/>
      <c r="P3565" s="187"/>
      <c r="Q3565" s="187"/>
      <c r="R3565" s="187"/>
      <c r="S3565" s="187"/>
      <c r="T3565" s="187"/>
      <c r="V3565" s="4"/>
      <c r="W3565" s="4"/>
      <c r="X3565" s="4"/>
      <c r="Y3565" s="4"/>
      <c r="Z3565" s="4"/>
      <c r="AA3565" s="4"/>
      <c r="AB3565" s="4"/>
      <c r="AC3565" s="4"/>
      <c r="AD3565" s="4"/>
      <c r="AE3565" s="4"/>
      <c r="AF3565" s="4"/>
    </row>
    <row r="3566" spans="1:32" ht="30.6">
      <c r="A3566" s="683"/>
      <c r="B3566" s="3129" t="s">
        <v>338</v>
      </c>
      <c r="C3566" s="683" t="s">
        <v>336</v>
      </c>
      <c r="D3566" s="719" t="s">
        <v>1979</v>
      </c>
      <c r="E3566" s="720" t="s">
        <v>430</v>
      </c>
      <c r="F3566" s="824">
        <v>6299</v>
      </c>
      <c r="G3566" s="800" t="s">
        <v>286</v>
      </c>
      <c r="H3566" s="706">
        <v>30000</v>
      </c>
      <c r="I3566" s="706"/>
      <c r="J3566" s="1654">
        <v>23872</v>
      </c>
      <c r="K3566" s="802"/>
      <c r="L3566" s="713">
        <v>35000</v>
      </c>
      <c r="M3566" s="706"/>
      <c r="N3566" s="176"/>
      <c r="O3566" s="187"/>
      <c r="P3566" s="187"/>
      <c r="Q3566" s="187"/>
      <c r="R3566" s="187"/>
      <c r="S3566" s="187"/>
      <c r="T3566" s="187"/>
      <c r="U3566" s="187"/>
      <c r="V3566" s="187"/>
      <c r="W3566" s="187"/>
      <c r="X3566" s="187"/>
      <c r="Y3566" s="187"/>
      <c r="Z3566" s="187"/>
      <c r="AA3566" s="187"/>
      <c r="AB3566" s="187"/>
      <c r="AC3566" s="187"/>
      <c r="AD3566" s="187"/>
      <c r="AE3566" s="187"/>
      <c r="AF3566" s="187"/>
    </row>
    <row r="3567" spans="1:32" s="204" customFormat="1" ht="61.2">
      <c r="A3567" s="774"/>
      <c r="B3567" s="3137" t="s">
        <v>338</v>
      </c>
      <c r="C3567" s="774" t="s">
        <v>336</v>
      </c>
      <c r="D3567" s="873" t="s">
        <v>1979</v>
      </c>
      <c r="E3567" s="841" t="s">
        <v>430</v>
      </c>
      <c r="F3567" s="795">
        <v>6299</v>
      </c>
      <c r="G3567" s="2195" t="s">
        <v>1604</v>
      </c>
      <c r="H3567" s="1321"/>
      <c r="I3567" s="1321">
        <v>40000</v>
      </c>
      <c r="J3567" s="1654" t="s">
        <v>1134</v>
      </c>
      <c r="K3567" s="802"/>
      <c r="L3567" s="2266"/>
      <c r="M3567" s="2267">
        <v>35000</v>
      </c>
      <c r="N3567" s="359"/>
      <c r="O3567" s="206"/>
      <c r="P3567" s="206"/>
      <c r="Q3567" s="206"/>
      <c r="R3567" s="206"/>
      <c r="S3567" s="206"/>
      <c r="T3567" s="206"/>
      <c r="U3567" s="206"/>
      <c r="V3567" s="206"/>
      <c r="W3567" s="206"/>
      <c r="X3567" s="206"/>
      <c r="Y3567" s="206"/>
      <c r="Z3567" s="206"/>
      <c r="AA3567" s="206"/>
      <c r="AB3567" s="206"/>
      <c r="AC3567" s="206"/>
      <c r="AD3567" s="206"/>
      <c r="AE3567" s="206"/>
      <c r="AF3567" s="206"/>
    </row>
    <row r="3568" spans="1:32" s="204" customFormat="1" ht="30.6">
      <c r="A3568" s="774"/>
      <c r="B3568" s="3137" t="s">
        <v>338</v>
      </c>
      <c r="C3568" s="774" t="s">
        <v>336</v>
      </c>
      <c r="D3568" s="873" t="s">
        <v>1979</v>
      </c>
      <c r="E3568" s="841" t="s">
        <v>430</v>
      </c>
      <c r="F3568" s="795">
        <v>6299</v>
      </c>
      <c r="G3568" s="750" t="s">
        <v>3443</v>
      </c>
      <c r="H3568" s="1321"/>
      <c r="I3568" s="1321">
        <v>-10000</v>
      </c>
      <c r="J3568" s="1654" t="s">
        <v>1134</v>
      </c>
      <c r="K3568" s="802"/>
      <c r="L3568" s="2266"/>
      <c r="M3568" s="1321"/>
      <c r="N3568" s="381"/>
      <c r="O3568" s="206"/>
      <c r="P3568" s="206"/>
      <c r="Q3568" s="206"/>
      <c r="R3568" s="206"/>
      <c r="S3568" s="206"/>
      <c r="T3568" s="206"/>
      <c r="U3568" s="206"/>
      <c r="V3568" s="206"/>
      <c r="W3568" s="206"/>
      <c r="X3568" s="206"/>
      <c r="Y3568" s="206"/>
      <c r="Z3568" s="206"/>
      <c r="AA3568" s="206"/>
      <c r="AB3568" s="206"/>
      <c r="AC3568" s="206"/>
      <c r="AD3568" s="206"/>
      <c r="AE3568" s="206"/>
      <c r="AF3568" s="206"/>
    </row>
    <row r="3569" spans="1:16367" s="204" customFormat="1" ht="20.399999999999999">
      <c r="A3569" s="683"/>
      <c r="B3569" s="3129" t="s">
        <v>338</v>
      </c>
      <c r="C3569" s="683" t="s">
        <v>336</v>
      </c>
      <c r="D3569" s="719" t="s">
        <v>1979</v>
      </c>
      <c r="E3569" s="720" t="s">
        <v>430</v>
      </c>
      <c r="F3569" s="824">
        <v>6321</v>
      </c>
      <c r="G3569" s="800" t="s">
        <v>1889</v>
      </c>
      <c r="H3569" s="706">
        <v>500</v>
      </c>
      <c r="I3569" s="706"/>
      <c r="J3569" s="1654">
        <v>106</v>
      </c>
      <c r="K3569" s="802"/>
      <c r="L3569" s="713">
        <v>350</v>
      </c>
      <c r="M3569" s="706"/>
      <c r="N3569" s="381" t="s">
        <v>4351</v>
      </c>
      <c r="O3569" s="187"/>
      <c r="P3569" s="187"/>
      <c r="Q3569" s="187"/>
      <c r="R3569" s="187"/>
      <c r="S3569" s="187"/>
      <c r="T3569" s="187"/>
      <c r="U3569" s="187"/>
      <c r="V3569" s="187"/>
      <c r="W3569" s="187"/>
      <c r="X3569" s="187"/>
      <c r="Y3569" s="187"/>
      <c r="Z3569" s="187"/>
      <c r="AA3569" s="187"/>
      <c r="AB3569" s="187"/>
      <c r="AC3569" s="187"/>
      <c r="AD3569" s="187"/>
      <c r="AE3569" s="187"/>
      <c r="AF3569"/>
      <c r="AG3569"/>
      <c r="AH3569"/>
      <c r="AI3569"/>
      <c r="AJ3569"/>
      <c r="AK3569"/>
      <c r="AL3569"/>
      <c r="AM3569"/>
      <c r="AN3569"/>
      <c r="AO3569"/>
      <c r="AP3569"/>
      <c r="AQ3569"/>
      <c r="AR3569"/>
      <c r="AS3569"/>
      <c r="AT3569"/>
      <c r="AU3569"/>
      <c r="AV3569"/>
      <c r="AW3569"/>
      <c r="AX3569"/>
      <c r="AY3569"/>
      <c r="AZ3569"/>
      <c r="BA3569"/>
      <c r="BB3569"/>
      <c r="BC3569"/>
      <c r="BD3569"/>
      <c r="BE3569"/>
      <c r="BF3569"/>
      <c r="BG3569"/>
      <c r="BH3569"/>
      <c r="BI3569"/>
      <c r="BJ3569"/>
      <c r="BK3569"/>
      <c r="BL3569"/>
      <c r="BM3569"/>
      <c r="BN3569"/>
      <c r="BO3569"/>
      <c r="BP3569"/>
      <c r="BQ3569"/>
      <c r="BR3569"/>
      <c r="BS3569"/>
      <c r="BT3569"/>
      <c r="BU3569"/>
      <c r="BV3569"/>
      <c r="BW3569"/>
      <c r="BX3569"/>
      <c r="BY3569"/>
      <c r="BZ3569"/>
      <c r="CA3569"/>
      <c r="CB3569"/>
      <c r="CC3569"/>
      <c r="CD3569"/>
      <c r="CE3569"/>
      <c r="CF3569"/>
      <c r="CG3569"/>
      <c r="CH3569"/>
      <c r="CI3569"/>
      <c r="CJ3569"/>
      <c r="CK3569"/>
      <c r="CL3569"/>
      <c r="CM3569"/>
      <c r="CN3569"/>
      <c r="CO3569"/>
      <c r="CP3569"/>
      <c r="CQ3569"/>
      <c r="CR3569"/>
      <c r="CS3569"/>
      <c r="CT3569"/>
      <c r="CU3569"/>
      <c r="CV3569"/>
      <c r="CW3569"/>
      <c r="CX3569"/>
      <c r="CY3569"/>
      <c r="CZ3569"/>
      <c r="DA3569"/>
      <c r="DB3569"/>
      <c r="DC3569"/>
      <c r="DD3569"/>
      <c r="DE3569"/>
      <c r="DF3569"/>
      <c r="DG3569"/>
      <c r="DH3569"/>
      <c r="DI3569"/>
      <c r="DJ3569"/>
      <c r="DK3569"/>
      <c r="DL3569"/>
      <c r="DM3569"/>
      <c r="DN3569"/>
      <c r="DO3569"/>
      <c r="DP3569"/>
      <c r="DQ3569"/>
      <c r="DR3569"/>
      <c r="DS3569"/>
      <c r="DT3569"/>
      <c r="DU3569"/>
      <c r="DV3569"/>
      <c r="DW3569"/>
      <c r="DX3569"/>
      <c r="DY3569"/>
      <c r="DZ3569"/>
      <c r="EA3569"/>
      <c r="EB3569"/>
      <c r="EC3569"/>
      <c r="ED3569"/>
      <c r="EE3569"/>
      <c r="EF3569"/>
      <c r="EG3569"/>
      <c r="EH3569"/>
      <c r="EI3569"/>
      <c r="EJ3569"/>
      <c r="EK3569"/>
      <c r="EL3569"/>
      <c r="EM3569"/>
      <c r="EN3569"/>
      <c r="EO3569"/>
      <c r="EP3569"/>
      <c r="EQ3569"/>
      <c r="ER3569"/>
      <c r="ES3569"/>
      <c r="ET3569"/>
      <c r="EU3569"/>
      <c r="EV3569"/>
      <c r="EW3569"/>
      <c r="EX3569"/>
      <c r="EY3569"/>
      <c r="EZ3569"/>
      <c r="FA3569"/>
      <c r="FB3569"/>
      <c r="FC3569"/>
      <c r="FD3569"/>
      <c r="FE3569"/>
      <c r="FF3569"/>
      <c r="FG3569"/>
      <c r="FH3569"/>
      <c r="FI3569"/>
      <c r="FJ3569"/>
      <c r="FK3569"/>
      <c r="FL3569"/>
      <c r="FM3569"/>
      <c r="FN3569"/>
      <c r="FO3569"/>
      <c r="FP3569"/>
      <c r="FQ3569"/>
      <c r="FR3569"/>
      <c r="FS3569"/>
      <c r="FT3569"/>
      <c r="FU3569"/>
      <c r="FV3569"/>
      <c r="FW3569"/>
      <c r="FX3569"/>
      <c r="FY3569"/>
      <c r="FZ3569"/>
      <c r="GA3569"/>
      <c r="GB3569"/>
      <c r="GC3569"/>
      <c r="GD3569"/>
      <c r="GE3569"/>
      <c r="GF3569"/>
      <c r="GG3569"/>
      <c r="GH3569"/>
      <c r="GI3569"/>
      <c r="GJ3569"/>
      <c r="GK3569"/>
      <c r="GL3569"/>
      <c r="GM3569"/>
      <c r="GN3569"/>
      <c r="GO3569"/>
      <c r="GP3569"/>
      <c r="GQ3569"/>
      <c r="GR3569"/>
      <c r="GS3569"/>
      <c r="GT3569"/>
      <c r="GU3569"/>
      <c r="GV3569"/>
      <c r="GW3569"/>
      <c r="GX3569"/>
      <c r="GY3569"/>
      <c r="GZ3569"/>
      <c r="HA3569"/>
      <c r="HB3569"/>
      <c r="HC3569"/>
      <c r="HD3569"/>
      <c r="HE3569"/>
      <c r="HF3569"/>
      <c r="HG3569"/>
      <c r="HH3569"/>
      <c r="HI3569"/>
      <c r="HJ3569"/>
      <c r="HK3569"/>
      <c r="HL3569"/>
      <c r="HM3569"/>
      <c r="HN3569"/>
      <c r="HO3569"/>
      <c r="HP3569"/>
      <c r="HQ3569"/>
      <c r="HR3569"/>
      <c r="HS3569"/>
      <c r="HT3569"/>
      <c r="HU3569"/>
      <c r="HV3569"/>
      <c r="HW3569"/>
      <c r="HX3569"/>
      <c r="HY3569"/>
      <c r="HZ3569"/>
      <c r="IA3569"/>
      <c r="IB3569"/>
      <c r="IC3569"/>
      <c r="ID3569"/>
      <c r="IE3569"/>
      <c r="IF3569"/>
      <c r="IG3569"/>
      <c r="IH3569"/>
      <c r="II3569"/>
      <c r="IJ3569"/>
      <c r="IK3569"/>
      <c r="IL3569"/>
      <c r="IM3569"/>
      <c r="IN3569"/>
      <c r="IO3569"/>
      <c r="IP3569"/>
      <c r="IQ3569"/>
      <c r="IR3569"/>
      <c r="IS3569"/>
      <c r="IT3569"/>
      <c r="IU3569"/>
      <c r="IV3569"/>
      <c r="IW3569"/>
      <c r="IX3569"/>
      <c r="IY3569"/>
      <c r="IZ3569"/>
      <c r="JA3569"/>
      <c r="JB3569"/>
      <c r="JC3569"/>
      <c r="JD3569"/>
      <c r="JE3569"/>
      <c r="JF3569"/>
      <c r="JG3569"/>
      <c r="JH3569"/>
      <c r="JI3569"/>
      <c r="JJ3569"/>
      <c r="JK3569"/>
      <c r="JL3569"/>
      <c r="JM3569"/>
      <c r="JN3569"/>
      <c r="JO3569"/>
      <c r="JP3569"/>
      <c r="JQ3569"/>
      <c r="JR3569"/>
      <c r="JS3569"/>
      <c r="JT3569"/>
      <c r="JU3569"/>
      <c r="JV3569"/>
      <c r="JW3569"/>
      <c r="JX3569"/>
      <c r="JY3569"/>
      <c r="JZ3569"/>
      <c r="KA3569"/>
      <c r="KB3569"/>
      <c r="KC3569"/>
      <c r="KD3569"/>
      <c r="KE3569"/>
      <c r="KF3569"/>
      <c r="KG3569"/>
      <c r="KH3569"/>
      <c r="KI3569"/>
      <c r="KJ3569"/>
      <c r="KK3569"/>
      <c r="KL3569"/>
      <c r="KM3569"/>
      <c r="KN3569"/>
      <c r="KO3569"/>
      <c r="KP3569"/>
      <c r="KQ3569"/>
      <c r="KR3569"/>
      <c r="KS3569"/>
      <c r="KT3569"/>
      <c r="KU3569"/>
      <c r="KV3569"/>
      <c r="KW3569"/>
      <c r="KX3569"/>
      <c r="KY3569"/>
      <c r="KZ3569"/>
      <c r="LA3569"/>
      <c r="LB3569"/>
      <c r="LC3569"/>
      <c r="LD3569"/>
      <c r="LE3569"/>
      <c r="LF3569"/>
      <c r="LG3569"/>
      <c r="LH3569"/>
      <c r="LI3569"/>
      <c r="LJ3569"/>
      <c r="LK3569"/>
      <c r="LL3569"/>
      <c r="LM3569"/>
      <c r="LN3569"/>
      <c r="LO3569"/>
      <c r="LP3569"/>
      <c r="LQ3569"/>
      <c r="LR3569"/>
      <c r="LS3569"/>
      <c r="LT3569"/>
      <c r="LU3569"/>
      <c r="LV3569"/>
      <c r="LW3569"/>
      <c r="LX3569"/>
      <c r="LY3569"/>
      <c r="LZ3569"/>
      <c r="MA3569"/>
      <c r="MB3569"/>
      <c r="MC3569"/>
      <c r="MD3569"/>
      <c r="ME3569"/>
      <c r="MF3569"/>
      <c r="MG3569"/>
      <c r="MH3569"/>
      <c r="MI3569"/>
      <c r="MJ3569"/>
      <c r="MK3569"/>
      <c r="ML3569"/>
      <c r="MM3569"/>
      <c r="MN3569"/>
      <c r="MO3569"/>
      <c r="MP3569"/>
      <c r="MQ3569"/>
      <c r="MR3569"/>
      <c r="MS3569"/>
      <c r="MT3569"/>
      <c r="MU3569"/>
      <c r="MV3569"/>
      <c r="MW3569"/>
      <c r="MX3569"/>
      <c r="MY3569"/>
      <c r="MZ3569"/>
      <c r="NA3569"/>
      <c r="NB3569"/>
      <c r="NC3569"/>
      <c r="ND3569"/>
      <c r="NE3569"/>
      <c r="NF3569"/>
      <c r="NG3569"/>
      <c r="NH3569"/>
      <c r="NI3569"/>
      <c r="NJ3569"/>
      <c r="NK3569"/>
      <c r="NL3569"/>
      <c r="NM3569"/>
      <c r="NN3569"/>
      <c r="NO3569"/>
      <c r="NP3569"/>
      <c r="NQ3569"/>
      <c r="NR3569"/>
      <c r="NS3569"/>
      <c r="NT3569"/>
      <c r="NU3569"/>
      <c r="NV3569"/>
      <c r="NW3569"/>
      <c r="NX3569"/>
      <c r="NY3569"/>
      <c r="NZ3569"/>
      <c r="OA3569"/>
      <c r="OB3569"/>
      <c r="OC3569"/>
      <c r="OD3569"/>
      <c r="OE3569"/>
      <c r="OF3569"/>
      <c r="OG3569"/>
      <c r="OH3569"/>
      <c r="OI3569"/>
      <c r="OJ3569"/>
      <c r="OK3569"/>
      <c r="OL3569"/>
      <c r="OM3569"/>
      <c r="ON3569"/>
      <c r="OO3569"/>
      <c r="OP3569"/>
      <c r="OQ3569"/>
      <c r="OR3569"/>
      <c r="OS3569"/>
      <c r="OT3569"/>
      <c r="OU3569"/>
      <c r="OV3569"/>
      <c r="OW3569"/>
      <c r="OX3569"/>
      <c r="OY3569"/>
      <c r="OZ3569"/>
      <c r="PA3569"/>
      <c r="PB3569"/>
      <c r="PC3569"/>
      <c r="PD3569"/>
      <c r="PE3569"/>
      <c r="PF3569"/>
      <c r="PG3569"/>
      <c r="PH3569"/>
      <c r="PI3569"/>
      <c r="PJ3569"/>
      <c r="PK3569"/>
      <c r="PL3569"/>
      <c r="PM3569"/>
      <c r="PN3569"/>
      <c r="PO3569"/>
      <c r="PP3569"/>
      <c r="PQ3569"/>
      <c r="PR3569"/>
      <c r="PS3569"/>
      <c r="PT3569"/>
      <c r="PU3569"/>
      <c r="PV3569"/>
      <c r="PW3569"/>
      <c r="PX3569"/>
      <c r="PY3569"/>
      <c r="PZ3569"/>
      <c r="QA3569"/>
      <c r="QB3569"/>
      <c r="QC3569"/>
      <c r="QD3569"/>
      <c r="QE3569"/>
      <c r="QF3569"/>
      <c r="QG3569"/>
      <c r="QH3569"/>
      <c r="QI3569"/>
      <c r="QJ3569"/>
      <c r="QK3569"/>
      <c r="QL3569"/>
      <c r="QM3569"/>
      <c r="QN3569"/>
      <c r="QO3569"/>
      <c r="QP3569"/>
      <c r="QQ3569"/>
      <c r="QR3569"/>
      <c r="QS3569"/>
      <c r="QT3569"/>
      <c r="QU3569"/>
      <c r="QV3569"/>
      <c r="QW3569"/>
      <c r="QX3569"/>
      <c r="QY3569"/>
      <c r="QZ3569"/>
      <c r="RA3569"/>
      <c r="RB3569"/>
      <c r="RC3569"/>
      <c r="RD3569"/>
      <c r="RE3569"/>
      <c r="RF3569"/>
      <c r="RG3569"/>
      <c r="RH3569"/>
      <c r="RI3569"/>
      <c r="RJ3569"/>
      <c r="RK3569"/>
      <c r="RL3569"/>
      <c r="RM3569"/>
      <c r="RN3569"/>
      <c r="RO3569"/>
      <c r="RP3569"/>
      <c r="RQ3569"/>
      <c r="RR3569"/>
      <c r="RS3569"/>
      <c r="RT3569"/>
      <c r="RU3569"/>
      <c r="RV3569"/>
      <c r="RW3569"/>
      <c r="RX3569"/>
      <c r="RY3569"/>
      <c r="RZ3569"/>
      <c r="SA3569"/>
      <c r="SB3569"/>
      <c r="SC3569"/>
      <c r="SD3569"/>
      <c r="SE3569"/>
      <c r="SF3569"/>
      <c r="SG3569"/>
      <c r="SH3569"/>
      <c r="SI3569"/>
      <c r="SJ3569"/>
      <c r="SK3569"/>
      <c r="SL3569"/>
      <c r="SM3569"/>
      <c r="SN3569"/>
      <c r="SO3569"/>
      <c r="SP3569"/>
      <c r="SQ3569"/>
      <c r="SR3569"/>
      <c r="SS3569"/>
      <c r="ST3569"/>
      <c r="SU3569"/>
      <c r="SV3569"/>
      <c r="SW3569"/>
      <c r="SX3569"/>
      <c r="SY3569"/>
      <c r="SZ3569"/>
      <c r="TA3569"/>
      <c r="TB3569"/>
      <c r="TC3569"/>
      <c r="TD3569"/>
      <c r="TE3569"/>
      <c r="TF3569"/>
      <c r="TG3569"/>
      <c r="TH3569"/>
      <c r="TI3569"/>
      <c r="TJ3569"/>
      <c r="TK3569"/>
      <c r="TL3569"/>
      <c r="TM3569"/>
      <c r="TN3569"/>
      <c r="TO3569"/>
      <c r="TP3569"/>
      <c r="TQ3569"/>
      <c r="TR3569"/>
      <c r="TS3569"/>
      <c r="TT3569"/>
      <c r="TU3569"/>
      <c r="TV3569"/>
      <c r="TW3569"/>
      <c r="TX3569"/>
      <c r="TY3569"/>
      <c r="TZ3569"/>
      <c r="UA3569"/>
      <c r="UB3569"/>
      <c r="UC3569"/>
      <c r="UD3569"/>
      <c r="UE3569"/>
      <c r="UF3569"/>
      <c r="UG3569"/>
      <c r="UH3569"/>
      <c r="UI3569"/>
      <c r="UJ3569"/>
      <c r="UK3569"/>
      <c r="UL3569"/>
      <c r="UM3569"/>
      <c r="UN3569"/>
      <c r="UO3569"/>
      <c r="UP3569"/>
      <c r="UQ3569"/>
      <c r="UR3569"/>
      <c r="US3569"/>
      <c r="UT3569"/>
      <c r="UU3569"/>
      <c r="UV3569"/>
      <c r="UW3569"/>
      <c r="UX3569"/>
      <c r="UY3569"/>
      <c r="UZ3569"/>
      <c r="VA3569"/>
      <c r="VB3569"/>
      <c r="VC3569"/>
      <c r="VD3569"/>
      <c r="VE3569"/>
      <c r="VF3569"/>
      <c r="VG3569"/>
      <c r="VH3569"/>
      <c r="VI3569"/>
      <c r="VJ3569"/>
      <c r="VK3569"/>
      <c r="VL3569"/>
      <c r="VM3569"/>
      <c r="VN3569"/>
      <c r="VO3569"/>
      <c r="VP3569"/>
      <c r="VQ3569"/>
      <c r="VR3569"/>
      <c r="VS3569"/>
      <c r="VT3569"/>
      <c r="VU3569"/>
      <c r="VV3569"/>
      <c r="VW3569"/>
      <c r="VX3569"/>
      <c r="VY3569"/>
      <c r="VZ3569"/>
      <c r="WA3569"/>
      <c r="WB3569"/>
      <c r="WC3569"/>
      <c r="WD3569"/>
      <c r="WE3569"/>
      <c r="WF3569"/>
      <c r="WG3569"/>
      <c r="WH3569"/>
      <c r="WI3569"/>
      <c r="WJ3569"/>
      <c r="WK3569"/>
      <c r="WL3569"/>
      <c r="WM3569"/>
      <c r="WN3569"/>
      <c r="WO3569"/>
      <c r="WP3569"/>
      <c r="WQ3569"/>
      <c r="WR3569"/>
      <c r="WS3569"/>
      <c r="WT3569"/>
      <c r="WU3569"/>
      <c r="WV3569"/>
      <c r="WW3569"/>
      <c r="WX3569"/>
      <c r="WY3569"/>
      <c r="WZ3569"/>
      <c r="XA3569"/>
      <c r="XB3569"/>
      <c r="XC3569"/>
      <c r="XD3569"/>
      <c r="XE3569"/>
      <c r="XF3569"/>
      <c r="XG3569"/>
      <c r="XH3569"/>
      <c r="XI3569"/>
      <c r="XJ3569"/>
      <c r="XK3569"/>
      <c r="XL3569"/>
      <c r="XM3569"/>
      <c r="XN3569"/>
      <c r="XO3569"/>
      <c r="XP3569"/>
      <c r="XQ3569"/>
      <c r="XR3569"/>
      <c r="XS3569"/>
      <c r="XT3569"/>
      <c r="XU3569"/>
      <c r="XV3569"/>
      <c r="XW3569"/>
      <c r="XX3569"/>
      <c r="XY3569"/>
      <c r="XZ3569"/>
      <c r="YA3569"/>
      <c r="YB3569"/>
      <c r="YC3569"/>
      <c r="YD3569"/>
      <c r="YE3569"/>
      <c r="YF3569"/>
      <c r="YG3569"/>
      <c r="YH3569"/>
      <c r="YI3569"/>
      <c r="YJ3569"/>
      <c r="YK3569"/>
      <c r="YL3569"/>
      <c r="YM3569"/>
      <c r="YN3569"/>
      <c r="YO3569"/>
      <c r="YP3569"/>
      <c r="YQ3569"/>
      <c r="YR3569"/>
      <c r="YS3569"/>
      <c r="YT3569"/>
      <c r="YU3569"/>
      <c r="YV3569"/>
      <c r="YW3569"/>
      <c r="YX3569"/>
      <c r="YY3569"/>
      <c r="YZ3569"/>
      <c r="ZA3569"/>
      <c r="ZB3569"/>
      <c r="ZC3569"/>
      <c r="ZD3569"/>
      <c r="ZE3569"/>
      <c r="ZF3569"/>
      <c r="ZG3569"/>
      <c r="ZH3569"/>
      <c r="ZI3569"/>
      <c r="ZJ3569"/>
      <c r="ZK3569"/>
      <c r="ZL3569"/>
      <c r="ZM3569"/>
      <c r="ZN3569"/>
      <c r="ZO3569"/>
      <c r="ZP3569"/>
      <c r="ZQ3569"/>
      <c r="ZR3569"/>
      <c r="ZS3569"/>
      <c r="ZT3569"/>
      <c r="ZU3569"/>
      <c r="ZV3569"/>
      <c r="ZW3569"/>
      <c r="ZX3569"/>
      <c r="ZY3569"/>
      <c r="ZZ3569"/>
      <c r="AAA3569"/>
      <c r="AAB3569"/>
      <c r="AAC3569"/>
      <c r="AAD3569"/>
      <c r="AAE3569"/>
      <c r="AAF3569"/>
      <c r="AAG3569"/>
      <c r="AAH3569"/>
      <c r="AAI3569"/>
      <c r="AAJ3569"/>
      <c r="AAK3569"/>
      <c r="AAL3569"/>
      <c r="AAM3569"/>
      <c r="AAN3569"/>
      <c r="AAO3569"/>
      <c r="AAP3569"/>
      <c r="AAQ3569"/>
      <c r="AAR3569"/>
      <c r="AAS3569"/>
      <c r="AAT3569"/>
      <c r="AAU3569"/>
      <c r="AAV3569"/>
      <c r="AAW3569"/>
      <c r="AAX3569"/>
      <c r="AAY3569"/>
      <c r="AAZ3569"/>
      <c r="ABA3569"/>
      <c r="ABB3569"/>
      <c r="ABC3569"/>
      <c r="ABD3569"/>
      <c r="ABE3569"/>
      <c r="ABF3569"/>
      <c r="ABG3569"/>
      <c r="ABH3569"/>
      <c r="ABI3569"/>
      <c r="ABJ3569"/>
      <c r="ABK3569"/>
      <c r="ABL3569"/>
      <c r="ABM3569"/>
      <c r="ABN3569"/>
      <c r="ABO3569"/>
      <c r="ABP3569"/>
      <c r="ABQ3569"/>
      <c r="ABR3569"/>
      <c r="ABS3569"/>
      <c r="ABT3569"/>
      <c r="ABU3569"/>
      <c r="ABV3569"/>
      <c r="ABW3569"/>
      <c r="ABX3569"/>
      <c r="ABY3569"/>
      <c r="ABZ3569"/>
      <c r="ACA3569"/>
      <c r="ACB3569"/>
      <c r="ACC3569"/>
      <c r="ACD3569"/>
      <c r="ACE3569"/>
      <c r="ACF3569"/>
      <c r="ACG3569"/>
      <c r="ACH3569"/>
      <c r="ACI3569"/>
      <c r="ACJ3569"/>
      <c r="ACK3569"/>
      <c r="ACL3569"/>
      <c r="ACM3569"/>
      <c r="ACN3569"/>
      <c r="ACO3569"/>
      <c r="ACP3569"/>
      <c r="ACQ3569"/>
      <c r="ACR3569"/>
      <c r="ACS3569"/>
      <c r="ACT3569"/>
      <c r="ACU3569"/>
      <c r="ACV3569"/>
      <c r="ACW3569"/>
      <c r="ACX3569"/>
      <c r="ACY3569"/>
      <c r="ACZ3569"/>
      <c r="ADA3569"/>
      <c r="ADB3569"/>
      <c r="ADC3569"/>
      <c r="ADD3569"/>
      <c r="ADE3569"/>
      <c r="ADF3569"/>
      <c r="ADG3569"/>
      <c r="ADH3569"/>
      <c r="ADI3569"/>
      <c r="ADJ3569"/>
      <c r="ADK3569"/>
      <c r="ADL3569"/>
      <c r="ADM3569"/>
      <c r="ADN3569"/>
      <c r="ADO3569"/>
      <c r="ADP3569"/>
      <c r="ADQ3569"/>
      <c r="ADR3569"/>
      <c r="ADS3569"/>
      <c r="ADT3569"/>
      <c r="ADU3569"/>
      <c r="ADV3569"/>
      <c r="ADW3569"/>
      <c r="ADX3569"/>
      <c r="ADY3569"/>
      <c r="ADZ3569"/>
      <c r="AEA3569"/>
      <c r="AEB3569"/>
      <c r="AEC3569"/>
      <c r="AED3569"/>
      <c r="AEE3569"/>
      <c r="AEF3569"/>
      <c r="AEG3569"/>
      <c r="AEH3569"/>
      <c r="AEI3569"/>
      <c r="AEJ3569"/>
      <c r="AEK3569"/>
      <c r="AEL3569"/>
      <c r="AEM3569"/>
      <c r="AEN3569"/>
      <c r="AEO3569"/>
      <c r="AEP3569"/>
      <c r="AEQ3569"/>
      <c r="AER3569"/>
      <c r="AES3569"/>
      <c r="AET3569"/>
      <c r="AEU3569"/>
      <c r="AEV3569"/>
      <c r="AEW3569"/>
      <c r="AEX3569"/>
      <c r="AEY3569"/>
      <c r="AEZ3569"/>
      <c r="AFA3569"/>
      <c r="AFB3569"/>
      <c r="AFC3569"/>
      <c r="AFD3569"/>
      <c r="AFE3569"/>
      <c r="AFF3569"/>
      <c r="AFG3569"/>
      <c r="AFH3569"/>
      <c r="AFI3569"/>
      <c r="AFJ3569"/>
      <c r="AFK3569"/>
      <c r="AFL3569"/>
      <c r="AFM3569"/>
      <c r="AFN3569"/>
      <c r="AFO3569"/>
      <c r="AFP3569"/>
      <c r="AFQ3569"/>
      <c r="AFR3569"/>
      <c r="AFS3569"/>
      <c r="AFT3569"/>
      <c r="AFU3569"/>
      <c r="AFV3569"/>
      <c r="AFW3569"/>
      <c r="AFX3569"/>
      <c r="AFY3569"/>
      <c r="AFZ3569"/>
      <c r="AGA3569"/>
      <c r="AGB3569"/>
      <c r="AGC3569"/>
      <c r="AGD3569"/>
      <c r="AGE3569"/>
      <c r="AGF3569"/>
      <c r="AGG3569"/>
      <c r="AGH3569"/>
      <c r="AGI3569"/>
      <c r="AGJ3569"/>
      <c r="AGK3569"/>
      <c r="AGL3569"/>
      <c r="AGM3569"/>
      <c r="AGN3569"/>
      <c r="AGO3569"/>
      <c r="AGP3569"/>
      <c r="AGQ3569"/>
      <c r="AGR3569"/>
      <c r="AGS3569"/>
      <c r="AGT3569"/>
      <c r="AGU3569"/>
      <c r="AGV3569"/>
      <c r="AGW3569"/>
      <c r="AGX3569"/>
      <c r="AGY3569"/>
      <c r="AGZ3569"/>
      <c r="AHA3569"/>
      <c r="AHB3569"/>
      <c r="AHC3569"/>
      <c r="AHD3569"/>
      <c r="AHE3569"/>
      <c r="AHF3569"/>
      <c r="AHG3569"/>
      <c r="AHH3569"/>
      <c r="AHI3569"/>
      <c r="AHJ3569"/>
      <c r="AHK3569"/>
      <c r="AHL3569"/>
      <c r="AHM3569"/>
      <c r="AHN3569"/>
      <c r="AHO3569"/>
      <c r="AHP3569"/>
      <c r="AHQ3569"/>
      <c r="AHR3569"/>
      <c r="AHS3569"/>
      <c r="AHT3569"/>
      <c r="AHU3569"/>
      <c r="AHV3569"/>
      <c r="AHW3569"/>
      <c r="AHX3569"/>
      <c r="AHY3569"/>
      <c r="AHZ3569"/>
      <c r="AIA3569"/>
      <c r="AIB3569"/>
      <c r="AIC3569"/>
      <c r="AID3569"/>
      <c r="AIE3569"/>
      <c r="AIF3569"/>
      <c r="AIG3569"/>
      <c r="AIH3569"/>
      <c r="AII3569"/>
      <c r="AIJ3569"/>
      <c r="AIK3569"/>
      <c r="AIL3569"/>
      <c r="AIM3569"/>
      <c r="AIN3569"/>
      <c r="AIO3569"/>
      <c r="AIP3569"/>
      <c r="AIQ3569"/>
      <c r="AIR3569"/>
      <c r="AIS3569"/>
      <c r="AIT3569"/>
      <c r="AIU3569"/>
      <c r="AIV3569"/>
      <c r="AIW3569"/>
      <c r="AIX3569"/>
      <c r="AIY3569"/>
      <c r="AIZ3569"/>
      <c r="AJA3569"/>
      <c r="AJB3569"/>
      <c r="AJC3569"/>
      <c r="AJD3569"/>
      <c r="AJE3569"/>
      <c r="AJF3569"/>
      <c r="AJG3569"/>
      <c r="AJH3569"/>
      <c r="AJI3569"/>
      <c r="AJJ3569"/>
      <c r="AJK3569"/>
      <c r="AJL3569"/>
      <c r="AJM3569"/>
      <c r="AJN3569"/>
      <c r="AJO3569"/>
      <c r="AJP3569"/>
      <c r="AJQ3569"/>
      <c r="AJR3569"/>
      <c r="AJS3569"/>
      <c r="AJT3569"/>
      <c r="AJU3569"/>
      <c r="AJV3569"/>
      <c r="AJW3569"/>
      <c r="AJX3569"/>
      <c r="AJY3569"/>
      <c r="AJZ3569"/>
      <c r="AKA3569"/>
      <c r="AKB3569"/>
      <c r="AKC3569"/>
      <c r="AKD3569"/>
      <c r="AKE3569"/>
      <c r="AKF3569"/>
      <c r="AKG3569"/>
      <c r="AKH3569"/>
      <c r="AKI3569"/>
      <c r="AKJ3569"/>
      <c r="AKK3569"/>
      <c r="AKL3569"/>
      <c r="AKM3569"/>
      <c r="AKN3569"/>
      <c r="AKO3569"/>
      <c r="AKP3569"/>
      <c r="AKQ3569"/>
      <c r="AKR3569"/>
      <c r="AKS3569"/>
      <c r="AKT3569"/>
      <c r="AKU3569"/>
      <c r="AKV3569"/>
      <c r="AKW3569"/>
      <c r="AKX3569"/>
      <c r="AKY3569"/>
      <c r="AKZ3569"/>
      <c r="ALA3569"/>
      <c r="ALB3569"/>
      <c r="ALC3569"/>
      <c r="ALD3569"/>
      <c r="ALE3569"/>
      <c r="ALF3569"/>
      <c r="ALG3569"/>
      <c r="ALH3569"/>
      <c r="ALI3569"/>
      <c r="ALJ3569"/>
      <c r="ALK3569"/>
      <c r="ALL3569"/>
      <c r="ALM3569"/>
      <c r="ALN3569"/>
      <c r="ALO3569"/>
      <c r="ALP3569"/>
      <c r="ALQ3569"/>
      <c r="ALR3569"/>
      <c r="ALS3569"/>
      <c r="ALT3569"/>
      <c r="ALU3569"/>
      <c r="ALV3569"/>
      <c r="ALW3569"/>
      <c r="ALX3569"/>
      <c r="ALY3569"/>
      <c r="ALZ3569"/>
      <c r="AMA3569"/>
      <c r="AMB3569"/>
      <c r="AMC3569"/>
      <c r="AMD3569"/>
      <c r="AME3569"/>
      <c r="AMF3569"/>
      <c r="AMG3569"/>
      <c r="AMH3569"/>
      <c r="AMI3569"/>
      <c r="AMJ3569"/>
      <c r="AMK3569"/>
      <c r="AML3569"/>
      <c r="AMM3569"/>
      <c r="AMN3569"/>
      <c r="AMO3569"/>
      <c r="AMP3569"/>
      <c r="AMQ3569"/>
      <c r="AMR3569"/>
      <c r="AMS3569"/>
      <c r="AMT3569"/>
      <c r="AMU3569"/>
      <c r="AMV3569"/>
      <c r="AMW3569"/>
      <c r="AMX3569"/>
      <c r="AMY3569"/>
      <c r="AMZ3569"/>
      <c r="ANA3569"/>
      <c r="ANB3569"/>
      <c r="ANC3569"/>
      <c r="AND3569"/>
      <c r="ANE3569"/>
      <c r="ANF3569"/>
      <c r="ANG3569"/>
      <c r="ANH3569"/>
      <c r="ANI3569"/>
      <c r="ANJ3569"/>
      <c r="ANK3569"/>
      <c r="ANL3569"/>
      <c r="ANM3569"/>
      <c r="ANN3569"/>
      <c r="ANO3569"/>
      <c r="ANP3569"/>
      <c r="ANQ3569"/>
      <c r="ANR3569"/>
      <c r="ANS3569"/>
      <c r="ANT3569"/>
      <c r="ANU3569"/>
      <c r="ANV3569"/>
      <c r="ANW3569"/>
      <c r="ANX3569"/>
      <c r="ANY3569"/>
      <c r="ANZ3569"/>
      <c r="AOA3569"/>
      <c r="AOB3569"/>
      <c r="AOC3569"/>
      <c r="AOD3569"/>
      <c r="AOE3569"/>
      <c r="AOF3569"/>
      <c r="AOG3569"/>
      <c r="AOH3569"/>
      <c r="AOI3569"/>
      <c r="AOJ3569"/>
      <c r="AOK3569"/>
      <c r="AOL3569"/>
      <c r="AOM3569"/>
      <c r="AON3569"/>
      <c r="AOO3569"/>
      <c r="AOP3569"/>
      <c r="AOQ3569"/>
      <c r="AOR3569"/>
      <c r="AOS3569"/>
      <c r="AOT3569"/>
      <c r="AOU3569"/>
      <c r="AOV3569"/>
      <c r="AOW3569"/>
      <c r="AOX3569"/>
      <c r="AOY3569"/>
      <c r="AOZ3569"/>
      <c r="APA3569"/>
      <c r="APB3569"/>
      <c r="APC3569"/>
      <c r="APD3569"/>
      <c r="APE3569"/>
      <c r="APF3569"/>
      <c r="APG3569"/>
      <c r="APH3569"/>
      <c r="API3569"/>
      <c r="APJ3569"/>
      <c r="APK3569"/>
      <c r="APL3569"/>
      <c r="APM3569"/>
      <c r="APN3569"/>
      <c r="APO3569"/>
      <c r="APP3569"/>
      <c r="APQ3569"/>
      <c r="APR3569"/>
      <c r="APS3569"/>
      <c r="APT3569"/>
      <c r="APU3569"/>
      <c r="APV3569"/>
      <c r="APW3569"/>
      <c r="APX3569"/>
      <c r="APY3569"/>
      <c r="APZ3569"/>
      <c r="AQA3569"/>
      <c r="AQB3569"/>
      <c r="AQC3569"/>
      <c r="AQD3569"/>
      <c r="AQE3569"/>
      <c r="AQF3569"/>
      <c r="AQG3569"/>
      <c r="AQH3569"/>
      <c r="AQI3569"/>
      <c r="AQJ3569"/>
      <c r="AQK3569"/>
      <c r="AQL3569"/>
      <c r="AQM3569"/>
      <c r="AQN3569"/>
      <c r="AQO3569"/>
      <c r="AQP3569"/>
      <c r="AQQ3569"/>
      <c r="AQR3569"/>
      <c r="AQS3569"/>
      <c r="AQT3569"/>
      <c r="AQU3569"/>
      <c r="AQV3569"/>
      <c r="AQW3569"/>
      <c r="AQX3569"/>
      <c r="AQY3569"/>
      <c r="AQZ3569"/>
      <c r="ARA3569"/>
      <c r="ARB3569"/>
      <c r="ARC3569"/>
      <c r="ARD3569"/>
      <c r="ARE3569"/>
      <c r="ARF3569"/>
      <c r="ARG3569"/>
      <c r="ARH3569"/>
      <c r="ARI3569"/>
      <c r="ARJ3569"/>
      <c r="ARK3569"/>
      <c r="ARL3569"/>
      <c r="ARM3569"/>
      <c r="ARN3569"/>
      <c r="ARO3569"/>
      <c r="ARP3569"/>
      <c r="ARQ3569"/>
      <c r="ARR3569"/>
      <c r="ARS3569"/>
      <c r="ART3569"/>
      <c r="ARU3569"/>
      <c r="ARV3569"/>
      <c r="ARW3569"/>
      <c r="ARX3569"/>
      <c r="ARY3569"/>
      <c r="ARZ3569"/>
      <c r="ASA3569"/>
      <c r="ASB3569"/>
      <c r="ASC3569"/>
      <c r="ASD3569"/>
      <c r="ASE3569"/>
      <c r="ASF3569"/>
      <c r="ASG3569"/>
      <c r="ASH3569"/>
      <c r="ASI3569"/>
      <c r="ASJ3569"/>
      <c r="ASK3569"/>
      <c r="ASL3569"/>
      <c r="ASM3569"/>
      <c r="ASN3569"/>
      <c r="ASO3569"/>
      <c r="ASP3569"/>
      <c r="ASQ3569"/>
      <c r="ASR3569"/>
      <c r="ASS3569"/>
      <c r="AST3569"/>
      <c r="ASU3569"/>
      <c r="ASV3569"/>
      <c r="ASW3569"/>
      <c r="ASX3569"/>
      <c r="ASY3569"/>
      <c r="ASZ3569"/>
      <c r="ATA3569"/>
      <c r="ATB3569"/>
      <c r="ATC3569"/>
      <c r="ATD3569"/>
      <c r="ATE3569"/>
      <c r="ATF3569"/>
      <c r="ATG3569"/>
      <c r="ATH3569"/>
      <c r="ATI3569"/>
      <c r="ATJ3569"/>
      <c r="ATK3569"/>
      <c r="ATL3569"/>
      <c r="ATM3569"/>
      <c r="ATN3569"/>
      <c r="ATO3569"/>
      <c r="ATP3569"/>
      <c r="ATQ3569"/>
      <c r="ATR3569"/>
      <c r="ATS3569"/>
      <c r="ATT3569"/>
      <c r="ATU3569"/>
      <c r="ATV3569"/>
      <c r="ATW3569"/>
      <c r="ATX3569"/>
      <c r="ATY3569"/>
      <c r="ATZ3569"/>
      <c r="AUA3569"/>
      <c r="AUB3569"/>
      <c r="AUC3569"/>
      <c r="AUD3569"/>
      <c r="AUE3569"/>
      <c r="AUF3569"/>
      <c r="AUG3569"/>
      <c r="AUH3569"/>
      <c r="AUI3569"/>
      <c r="AUJ3569"/>
      <c r="AUK3569"/>
      <c r="AUL3569"/>
      <c r="AUM3569"/>
      <c r="AUN3569"/>
      <c r="AUO3569"/>
      <c r="AUP3569"/>
      <c r="AUQ3569"/>
      <c r="AUR3569"/>
      <c r="AUS3569"/>
      <c r="AUT3569"/>
      <c r="AUU3569"/>
      <c r="AUV3569"/>
      <c r="AUW3569"/>
      <c r="AUX3569"/>
      <c r="AUY3569"/>
      <c r="AUZ3569"/>
      <c r="AVA3569"/>
      <c r="AVB3569"/>
      <c r="AVC3569"/>
      <c r="AVD3569"/>
      <c r="AVE3569"/>
      <c r="AVF3569"/>
      <c r="AVG3569"/>
      <c r="AVH3569"/>
      <c r="AVI3569"/>
      <c r="AVJ3569"/>
      <c r="AVK3569"/>
      <c r="AVL3569"/>
      <c r="AVM3569"/>
      <c r="AVN3569"/>
      <c r="AVO3569"/>
      <c r="AVP3569"/>
      <c r="AVQ3569"/>
      <c r="AVR3569"/>
      <c r="AVS3569"/>
      <c r="AVT3569"/>
      <c r="AVU3569"/>
      <c r="AVV3569"/>
      <c r="AVW3569"/>
      <c r="AVX3569"/>
      <c r="AVY3569"/>
      <c r="AVZ3569"/>
      <c r="AWA3569"/>
      <c r="AWB3569"/>
      <c r="AWC3569"/>
      <c r="AWD3569"/>
      <c r="AWE3569"/>
      <c r="AWF3569"/>
      <c r="AWG3569"/>
      <c r="AWH3569"/>
      <c r="AWI3569"/>
      <c r="AWJ3569"/>
      <c r="AWK3569"/>
      <c r="AWL3569"/>
      <c r="AWM3569"/>
      <c r="AWN3569"/>
      <c r="AWO3569"/>
      <c r="AWP3569"/>
      <c r="AWQ3569"/>
      <c r="AWR3569"/>
      <c r="AWS3569"/>
      <c r="AWT3569"/>
      <c r="AWU3569"/>
      <c r="AWV3569"/>
      <c r="AWW3569"/>
      <c r="AWX3569"/>
      <c r="AWY3569"/>
      <c r="AWZ3569"/>
      <c r="AXA3569"/>
      <c r="AXB3569"/>
      <c r="AXC3569"/>
      <c r="AXD3569"/>
      <c r="AXE3569"/>
      <c r="AXF3569"/>
      <c r="AXG3569"/>
      <c r="AXH3569"/>
      <c r="AXI3569"/>
      <c r="AXJ3569"/>
      <c r="AXK3569"/>
      <c r="AXL3569"/>
      <c r="AXM3569"/>
      <c r="AXN3569"/>
      <c r="AXO3569"/>
      <c r="AXP3569"/>
      <c r="AXQ3569"/>
      <c r="AXR3569"/>
      <c r="AXS3569"/>
      <c r="AXT3569"/>
      <c r="AXU3569"/>
      <c r="AXV3569"/>
      <c r="AXW3569"/>
      <c r="AXX3569"/>
      <c r="AXY3569"/>
      <c r="AXZ3569"/>
      <c r="AYA3569"/>
      <c r="AYB3569"/>
      <c r="AYC3569"/>
      <c r="AYD3569"/>
      <c r="AYE3569"/>
      <c r="AYF3569"/>
      <c r="AYG3569"/>
      <c r="AYH3569"/>
      <c r="AYI3569"/>
      <c r="AYJ3569"/>
      <c r="AYK3569"/>
      <c r="AYL3569"/>
      <c r="AYM3569"/>
      <c r="AYN3569"/>
      <c r="AYO3569"/>
      <c r="AYP3569"/>
      <c r="AYQ3569"/>
      <c r="AYR3569"/>
      <c r="AYS3569"/>
      <c r="AYT3569"/>
      <c r="AYU3569"/>
      <c r="AYV3569"/>
      <c r="AYW3569"/>
      <c r="AYX3569"/>
      <c r="AYY3569"/>
      <c r="AYZ3569"/>
      <c r="AZA3569"/>
      <c r="AZB3569"/>
      <c r="AZC3569"/>
      <c r="AZD3569"/>
      <c r="AZE3569"/>
      <c r="AZF3569"/>
      <c r="AZG3569"/>
      <c r="AZH3569"/>
      <c r="AZI3569"/>
      <c r="AZJ3569"/>
      <c r="AZK3569"/>
      <c r="AZL3569"/>
      <c r="AZM3569"/>
      <c r="AZN3569"/>
      <c r="AZO3569"/>
      <c r="AZP3569"/>
      <c r="AZQ3569"/>
      <c r="AZR3569"/>
      <c r="AZS3569"/>
      <c r="AZT3569"/>
      <c r="AZU3569"/>
      <c r="AZV3569"/>
      <c r="AZW3569"/>
      <c r="AZX3569"/>
      <c r="AZY3569"/>
      <c r="AZZ3569"/>
      <c r="BAA3569"/>
      <c r="BAB3569"/>
      <c r="BAC3569"/>
      <c r="BAD3569"/>
      <c r="BAE3569"/>
      <c r="BAF3569"/>
      <c r="BAG3569"/>
      <c r="BAH3569"/>
      <c r="BAI3569"/>
      <c r="BAJ3569"/>
      <c r="BAK3569"/>
      <c r="BAL3569"/>
      <c r="BAM3569"/>
      <c r="BAN3569"/>
      <c r="BAO3569"/>
      <c r="BAP3569"/>
      <c r="BAQ3569"/>
      <c r="BAR3569"/>
      <c r="BAS3569"/>
      <c r="BAT3569"/>
      <c r="BAU3569"/>
      <c r="BAV3569"/>
      <c r="BAW3569"/>
      <c r="BAX3569"/>
      <c r="BAY3569"/>
      <c r="BAZ3569"/>
      <c r="BBA3569"/>
      <c r="BBB3569"/>
      <c r="BBC3569"/>
      <c r="BBD3569"/>
      <c r="BBE3569"/>
      <c r="BBF3569"/>
      <c r="BBG3569"/>
      <c r="BBH3569"/>
      <c r="BBI3569"/>
      <c r="BBJ3569"/>
      <c r="BBK3569"/>
      <c r="BBL3569"/>
      <c r="BBM3569"/>
      <c r="BBN3569"/>
      <c r="BBO3569"/>
      <c r="BBP3569"/>
      <c r="BBQ3569"/>
      <c r="BBR3569"/>
      <c r="BBS3569"/>
      <c r="BBT3569"/>
      <c r="BBU3569"/>
      <c r="BBV3569"/>
      <c r="BBW3569"/>
      <c r="BBX3569"/>
      <c r="BBY3569"/>
      <c r="BBZ3569"/>
      <c r="BCA3569"/>
      <c r="BCB3569"/>
      <c r="BCC3569"/>
      <c r="BCD3569"/>
      <c r="BCE3569"/>
      <c r="BCF3569"/>
      <c r="BCG3569"/>
      <c r="BCH3569"/>
      <c r="BCI3569"/>
      <c r="BCJ3569"/>
      <c r="BCK3569"/>
      <c r="BCL3569"/>
      <c r="BCM3569"/>
      <c r="BCN3569"/>
      <c r="BCO3569"/>
      <c r="BCP3569"/>
      <c r="BCQ3569"/>
      <c r="BCR3569"/>
      <c r="BCS3569"/>
      <c r="BCT3569"/>
      <c r="BCU3569"/>
      <c r="BCV3569"/>
      <c r="BCW3569"/>
      <c r="BCX3569"/>
      <c r="BCY3569"/>
      <c r="BCZ3569"/>
      <c r="BDA3569"/>
      <c r="BDB3569"/>
      <c r="BDC3569"/>
      <c r="BDD3569"/>
      <c r="BDE3569"/>
      <c r="BDF3569"/>
      <c r="BDG3569"/>
      <c r="BDH3569"/>
      <c r="BDI3569"/>
      <c r="BDJ3569"/>
      <c r="BDK3569"/>
      <c r="BDL3569"/>
      <c r="BDM3569"/>
      <c r="BDN3569"/>
      <c r="BDO3569"/>
      <c r="BDP3569"/>
      <c r="BDQ3569"/>
      <c r="BDR3569"/>
      <c r="BDS3569"/>
      <c r="BDT3569"/>
      <c r="BDU3569"/>
      <c r="BDV3569"/>
      <c r="BDW3569"/>
      <c r="BDX3569"/>
      <c r="BDY3569"/>
      <c r="BDZ3569"/>
      <c r="BEA3569"/>
      <c r="BEB3569"/>
      <c r="BEC3569"/>
      <c r="BED3569"/>
      <c r="BEE3569"/>
      <c r="BEF3569"/>
      <c r="BEG3569"/>
      <c r="BEH3569"/>
      <c r="BEI3569"/>
      <c r="BEJ3569"/>
      <c r="BEK3569"/>
      <c r="BEL3569"/>
      <c r="BEM3569"/>
      <c r="BEN3569"/>
      <c r="BEO3569"/>
      <c r="BEP3569"/>
      <c r="BEQ3569"/>
      <c r="BER3569"/>
      <c r="BES3569"/>
      <c r="BET3569"/>
      <c r="BEU3569"/>
      <c r="BEV3569"/>
      <c r="BEW3569"/>
      <c r="BEX3569"/>
      <c r="BEY3569"/>
      <c r="BEZ3569"/>
      <c r="BFA3569"/>
      <c r="BFB3569"/>
      <c r="BFC3569"/>
      <c r="BFD3569"/>
      <c r="BFE3569"/>
      <c r="BFF3569"/>
      <c r="BFG3569"/>
      <c r="BFH3569"/>
      <c r="BFI3569"/>
      <c r="BFJ3569"/>
      <c r="BFK3569"/>
      <c r="BFL3569"/>
      <c r="BFM3569"/>
      <c r="BFN3569"/>
      <c r="BFO3569"/>
      <c r="BFP3569"/>
      <c r="BFQ3569"/>
      <c r="BFR3569"/>
      <c r="BFS3569"/>
      <c r="BFT3569"/>
      <c r="BFU3569"/>
      <c r="BFV3569"/>
      <c r="BFW3569"/>
      <c r="BFX3569"/>
      <c r="BFY3569"/>
      <c r="BFZ3569"/>
      <c r="BGA3569"/>
      <c r="BGB3569"/>
      <c r="BGC3569"/>
      <c r="BGD3569"/>
      <c r="BGE3569"/>
      <c r="BGF3569"/>
      <c r="BGG3569"/>
      <c r="BGH3569"/>
      <c r="BGI3569"/>
      <c r="BGJ3569"/>
      <c r="BGK3569"/>
      <c r="BGL3569"/>
      <c r="BGM3569"/>
      <c r="BGN3569"/>
      <c r="BGO3569"/>
      <c r="BGP3569"/>
      <c r="BGQ3569"/>
      <c r="BGR3569"/>
      <c r="BGS3569"/>
      <c r="BGT3569"/>
      <c r="BGU3569"/>
      <c r="BGV3569"/>
      <c r="BGW3569"/>
      <c r="BGX3569"/>
      <c r="BGY3569"/>
      <c r="BGZ3569"/>
      <c r="BHA3569"/>
      <c r="BHB3569"/>
      <c r="BHC3569"/>
      <c r="BHD3569"/>
      <c r="BHE3569"/>
      <c r="BHF3569"/>
      <c r="BHG3569"/>
      <c r="BHH3569"/>
      <c r="BHI3569"/>
      <c r="BHJ3569"/>
      <c r="BHK3569"/>
      <c r="BHL3569"/>
      <c r="BHM3569"/>
      <c r="BHN3569"/>
      <c r="BHO3569"/>
      <c r="BHP3569"/>
      <c r="BHQ3569"/>
      <c r="BHR3569"/>
      <c r="BHS3569"/>
      <c r="BHT3569"/>
      <c r="BHU3569"/>
      <c r="BHV3569"/>
      <c r="BHW3569"/>
      <c r="BHX3569"/>
      <c r="BHY3569"/>
      <c r="BHZ3569"/>
      <c r="BIA3569"/>
      <c r="BIB3569"/>
      <c r="BIC3569"/>
      <c r="BID3569"/>
      <c r="BIE3569"/>
      <c r="BIF3569"/>
      <c r="BIG3569"/>
      <c r="BIH3569"/>
      <c r="BII3569"/>
      <c r="BIJ3569"/>
      <c r="BIK3569"/>
      <c r="BIL3569"/>
      <c r="BIM3569"/>
      <c r="BIN3569"/>
      <c r="BIO3569"/>
      <c r="BIP3569"/>
      <c r="BIQ3569"/>
      <c r="BIR3569"/>
      <c r="BIS3569"/>
      <c r="BIT3569"/>
      <c r="BIU3569"/>
      <c r="BIV3569"/>
      <c r="BIW3569"/>
      <c r="BIX3569"/>
      <c r="BIY3569"/>
      <c r="BIZ3569"/>
      <c r="BJA3569"/>
      <c r="BJB3569"/>
      <c r="BJC3569"/>
      <c r="BJD3569"/>
      <c r="BJE3569"/>
      <c r="BJF3569"/>
      <c r="BJG3569"/>
      <c r="BJH3569"/>
      <c r="BJI3569"/>
      <c r="BJJ3569"/>
      <c r="BJK3569"/>
      <c r="BJL3569"/>
      <c r="BJM3569"/>
      <c r="BJN3569"/>
      <c r="BJO3569"/>
      <c r="BJP3569"/>
      <c r="BJQ3569"/>
      <c r="BJR3569"/>
      <c r="BJS3569"/>
      <c r="BJT3569"/>
      <c r="BJU3569"/>
      <c r="BJV3569"/>
      <c r="BJW3569"/>
      <c r="BJX3569"/>
      <c r="BJY3569"/>
      <c r="BJZ3569"/>
      <c r="BKA3569"/>
      <c r="BKB3569"/>
      <c r="BKC3569"/>
      <c r="BKD3569"/>
      <c r="BKE3569"/>
      <c r="BKF3569"/>
      <c r="BKG3569"/>
      <c r="BKH3569"/>
      <c r="BKI3569"/>
      <c r="BKJ3569"/>
      <c r="BKK3569"/>
      <c r="BKL3569"/>
      <c r="BKM3569"/>
      <c r="BKN3569"/>
      <c r="BKO3569"/>
      <c r="BKP3569"/>
      <c r="BKQ3569"/>
      <c r="BKR3569"/>
      <c r="BKS3569"/>
      <c r="BKT3569"/>
      <c r="BKU3569"/>
      <c r="BKV3569"/>
      <c r="BKW3569"/>
      <c r="BKX3569"/>
      <c r="BKY3569"/>
      <c r="BKZ3569"/>
      <c r="BLA3569"/>
      <c r="BLB3569"/>
      <c r="BLC3569"/>
      <c r="BLD3569"/>
      <c r="BLE3569"/>
      <c r="BLF3569"/>
      <c r="BLG3569"/>
      <c r="BLH3569"/>
      <c r="BLI3569"/>
      <c r="BLJ3569"/>
      <c r="BLK3569"/>
      <c r="BLL3569"/>
      <c r="BLM3569"/>
      <c r="BLN3569"/>
      <c r="BLO3569"/>
      <c r="BLP3569"/>
      <c r="BLQ3569"/>
      <c r="BLR3569"/>
      <c r="BLS3569"/>
      <c r="BLT3569"/>
      <c r="BLU3569"/>
      <c r="BLV3569"/>
      <c r="BLW3569"/>
      <c r="BLX3569"/>
      <c r="BLY3569"/>
      <c r="BLZ3569"/>
      <c r="BMA3569"/>
      <c r="BMB3569"/>
      <c r="BMC3569"/>
      <c r="BMD3569"/>
      <c r="BME3569"/>
      <c r="BMF3569"/>
      <c r="BMG3569"/>
      <c r="BMH3569"/>
      <c r="BMI3569"/>
      <c r="BMJ3569"/>
      <c r="BMK3569"/>
      <c r="BML3569"/>
      <c r="BMM3569"/>
      <c r="BMN3569"/>
      <c r="BMO3569"/>
      <c r="BMP3569"/>
      <c r="BMQ3569"/>
      <c r="BMR3569"/>
      <c r="BMS3569"/>
      <c r="BMT3569"/>
      <c r="BMU3569"/>
      <c r="BMV3569"/>
      <c r="BMW3569"/>
      <c r="BMX3569"/>
      <c r="BMY3569"/>
      <c r="BMZ3569"/>
      <c r="BNA3569"/>
      <c r="BNB3569"/>
      <c r="BNC3569"/>
      <c r="BND3569"/>
      <c r="BNE3569"/>
      <c r="BNF3569"/>
      <c r="BNG3569"/>
      <c r="BNH3569"/>
      <c r="BNI3569"/>
      <c r="BNJ3569"/>
      <c r="BNK3569"/>
      <c r="BNL3569"/>
      <c r="BNM3569"/>
      <c r="BNN3569"/>
      <c r="BNO3569"/>
      <c r="BNP3569"/>
      <c r="BNQ3569"/>
      <c r="BNR3569"/>
      <c r="BNS3569"/>
      <c r="BNT3569"/>
      <c r="BNU3569"/>
      <c r="BNV3569"/>
      <c r="BNW3569"/>
      <c r="BNX3569"/>
      <c r="BNY3569"/>
      <c r="BNZ3569"/>
      <c r="BOA3569"/>
      <c r="BOB3569"/>
      <c r="BOC3569"/>
      <c r="BOD3569"/>
      <c r="BOE3569"/>
      <c r="BOF3569"/>
      <c r="BOG3569"/>
      <c r="BOH3569"/>
      <c r="BOI3569"/>
      <c r="BOJ3569"/>
      <c r="BOK3569"/>
      <c r="BOL3569"/>
      <c r="BOM3569"/>
      <c r="BON3569"/>
      <c r="BOO3569"/>
      <c r="BOP3569"/>
      <c r="BOQ3569"/>
      <c r="BOR3569"/>
      <c r="BOS3569"/>
      <c r="BOT3569"/>
      <c r="BOU3569"/>
      <c r="BOV3569"/>
      <c r="BOW3569"/>
      <c r="BOX3569"/>
      <c r="BOY3569"/>
      <c r="BOZ3569"/>
      <c r="BPA3569"/>
      <c r="BPB3569"/>
      <c r="BPC3569"/>
      <c r="BPD3569"/>
      <c r="BPE3569"/>
      <c r="BPF3569"/>
      <c r="BPG3569"/>
      <c r="BPH3569"/>
      <c r="BPI3569"/>
      <c r="BPJ3569"/>
      <c r="BPK3569"/>
      <c r="BPL3569"/>
      <c r="BPM3569"/>
      <c r="BPN3569"/>
      <c r="BPO3569"/>
      <c r="BPP3569"/>
      <c r="BPQ3569"/>
      <c r="BPR3569"/>
      <c r="BPS3569"/>
      <c r="BPT3569"/>
      <c r="BPU3569"/>
      <c r="BPV3569"/>
      <c r="BPW3569"/>
      <c r="BPX3569"/>
      <c r="BPY3569"/>
      <c r="BPZ3569"/>
      <c r="BQA3569"/>
      <c r="BQB3569"/>
      <c r="BQC3569"/>
      <c r="BQD3569"/>
      <c r="BQE3569"/>
      <c r="BQF3569"/>
      <c r="BQG3569"/>
      <c r="BQH3569"/>
      <c r="BQI3569"/>
      <c r="BQJ3569"/>
      <c r="BQK3569"/>
      <c r="BQL3569"/>
      <c r="BQM3569"/>
      <c r="BQN3569"/>
      <c r="BQO3569"/>
      <c r="BQP3569"/>
      <c r="BQQ3569"/>
      <c r="BQR3569"/>
      <c r="BQS3569"/>
      <c r="BQT3569"/>
      <c r="BQU3569"/>
      <c r="BQV3569"/>
      <c r="BQW3569"/>
      <c r="BQX3569"/>
      <c r="BQY3569"/>
      <c r="BQZ3569"/>
      <c r="BRA3569"/>
      <c r="BRB3569"/>
      <c r="BRC3569"/>
      <c r="BRD3569"/>
      <c r="BRE3569"/>
      <c r="BRF3569"/>
      <c r="BRG3569"/>
      <c r="BRH3569"/>
      <c r="BRI3569"/>
      <c r="BRJ3569"/>
      <c r="BRK3569"/>
      <c r="BRL3569"/>
      <c r="BRM3569"/>
      <c r="BRN3569"/>
      <c r="BRO3569"/>
      <c r="BRP3569"/>
      <c r="BRQ3569"/>
      <c r="BRR3569"/>
      <c r="BRS3569"/>
      <c r="BRT3569"/>
      <c r="BRU3569"/>
      <c r="BRV3569"/>
      <c r="BRW3569"/>
      <c r="BRX3569"/>
      <c r="BRY3569"/>
      <c r="BRZ3569"/>
      <c r="BSA3569"/>
      <c r="BSB3569"/>
      <c r="BSC3569"/>
      <c r="BSD3569"/>
      <c r="BSE3569"/>
      <c r="BSF3569"/>
      <c r="BSG3569"/>
      <c r="BSH3569"/>
      <c r="BSI3569"/>
      <c r="BSJ3569"/>
      <c r="BSK3569"/>
      <c r="BSL3569"/>
      <c r="BSM3569"/>
      <c r="BSN3569"/>
      <c r="BSO3569"/>
      <c r="BSP3569"/>
      <c r="BSQ3569"/>
      <c r="BSR3569"/>
      <c r="BSS3569"/>
      <c r="BST3569"/>
      <c r="BSU3569"/>
      <c r="BSV3569"/>
      <c r="BSW3569"/>
      <c r="BSX3569"/>
      <c r="BSY3569"/>
      <c r="BSZ3569"/>
      <c r="BTA3569"/>
      <c r="BTB3569"/>
      <c r="BTC3569"/>
      <c r="BTD3569"/>
      <c r="BTE3569"/>
      <c r="BTF3569"/>
      <c r="BTG3569"/>
      <c r="BTH3569"/>
      <c r="BTI3569"/>
      <c r="BTJ3569"/>
      <c r="BTK3569"/>
      <c r="BTL3569"/>
      <c r="BTM3569"/>
      <c r="BTN3569"/>
      <c r="BTO3569"/>
      <c r="BTP3569"/>
      <c r="BTQ3569"/>
      <c r="BTR3569"/>
      <c r="BTS3569"/>
      <c r="BTT3569"/>
      <c r="BTU3569"/>
      <c r="BTV3569"/>
      <c r="BTW3569"/>
      <c r="BTX3569"/>
      <c r="BTY3569"/>
      <c r="BTZ3569"/>
      <c r="BUA3569"/>
      <c r="BUB3569"/>
      <c r="BUC3569"/>
      <c r="BUD3569"/>
      <c r="BUE3569"/>
      <c r="BUF3569"/>
      <c r="BUG3569"/>
      <c r="BUH3569"/>
      <c r="BUI3569"/>
      <c r="BUJ3569"/>
      <c r="BUK3569"/>
      <c r="BUL3569"/>
      <c r="BUM3569"/>
      <c r="BUN3569"/>
      <c r="BUO3569"/>
      <c r="BUP3569"/>
      <c r="BUQ3569"/>
      <c r="BUR3569"/>
      <c r="BUS3569"/>
      <c r="BUT3569"/>
      <c r="BUU3569"/>
      <c r="BUV3569"/>
      <c r="BUW3569"/>
      <c r="BUX3569"/>
      <c r="BUY3569"/>
      <c r="BUZ3569"/>
      <c r="BVA3569"/>
      <c r="BVB3569"/>
      <c r="BVC3569"/>
      <c r="BVD3569"/>
      <c r="BVE3569"/>
      <c r="BVF3569"/>
      <c r="BVG3569"/>
      <c r="BVH3569"/>
      <c r="BVI3569"/>
      <c r="BVJ3569"/>
      <c r="BVK3569"/>
      <c r="BVL3569"/>
      <c r="BVM3569"/>
      <c r="BVN3569"/>
      <c r="BVO3569"/>
      <c r="BVP3569"/>
      <c r="BVQ3569"/>
      <c r="BVR3569"/>
      <c r="BVS3569"/>
      <c r="BVT3569"/>
      <c r="BVU3569"/>
      <c r="BVV3569"/>
      <c r="BVW3569"/>
      <c r="BVX3569"/>
      <c r="BVY3569"/>
      <c r="BVZ3569"/>
      <c r="BWA3569"/>
      <c r="BWB3569"/>
      <c r="BWC3569"/>
      <c r="BWD3569"/>
      <c r="BWE3569"/>
      <c r="BWF3569"/>
      <c r="BWG3569"/>
      <c r="BWH3569"/>
      <c r="BWI3569"/>
      <c r="BWJ3569"/>
      <c r="BWK3569"/>
      <c r="BWL3569"/>
      <c r="BWM3569"/>
      <c r="BWN3569"/>
      <c r="BWO3569"/>
      <c r="BWP3569"/>
      <c r="BWQ3569"/>
      <c r="BWR3569"/>
      <c r="BWS3569"/>
      <c r="BWT3569"/>
      <c r="BWU3569"/>
      <c r="BWV3569"/>
      <c r="BWW3569"/>
      <c r="BWX3569"/>
      <c r="BWY3569"/>
      <c r="BWZ3569"/>
      <c r="BXA3569"/>
      <c r="BXB3569"/>
      <c r="BXC3569"/>
      <c r="BXD3569"/>
      <c r="BXE3569"/>
      <c r="BXF3569"/>
      <c r="BXG3569"/>
      <c r="BXH3569"/>
      <c r="BXI3569"/>
      <c r="BXJ3569"/>
      <c r="BXK3569"/>
      <c r="BXL3569"/>
      <c r="BXM3569"/>
      <c r="BXN3569"/>
      <c r="BXO3569"/>
      <c r="BXP3569"/>
      <c r="BXQ3569"/>
      <c r="BXR3569"/>
      <c r="BXS3569"/>
      <c r="BXT3569"/>
      <c r="BXU3569"/>
      <c r="BXV3569"/>
      <c r="BXW3569"/>
      <c r="BXX3569"/>
      <c r="BXY3569"/>
      <c r="BXZ3569"/>
      <c r="BYA3569"/>
      <c r="BYB3569"/>
      <c r="BYC3569"/>
      <c r="BYD3569"/>
      <c r="BYE3569"/>
      <c r="BYF3569"/>
      <c r="BYG3569"/>
      <c r="BYH3569"/>
      <c r="BYI3569"/>
      <c r="BYJ3569"/>
      <c r="BYK3569"/>
      <c r="BYL3569"/>
      <c r="BYM3569"/>
      <c r="BYN3569"/>
      <c r="BYO3569"/>
      <c r="BYP3569"/>
      <c r="BYQ3569"/>
      <c r="BYR3569"/>
      <c r="BYS3569"/>
      <c r="BYT3569"/>
      <c r="BYU3569"/>
      <c r="BYV3569"/>
      <c r="BYW3569"/>
      <c r="BYX3569"/>
      <c r="BYY3569"/>
      <c r="BYZ3569"/>
      <c r="BZA3569"/>
      <c r="BZB3569"/>
      <c r="BZC3569"/>
      <c r="BZD3569"/>
      <c r="BZE3569"/>
      <c r="BZF3569"/>
      <c r="BZG3569"/>
      <c r="BZH3569"/>
      <c r="BZI3569"/>
      <c r="BZJ3569"/>
      <c r="BZK3569"/>
      <c r="BZL3569"/>
      <c r="BZM3569"/>
      <c r="BZN3569"/>
      <c r="BZO3569"/>
      <c r="BZP3569"/>
      <c r="BZQ3569"/>
      <c r="BZR3569"/>
      <c r="BZS3569"/>
      <c r="BZT3569"/>
      <c r="BZU3569"/>
      <c r="BZV3569"/>
      <c r="BZW3569"/>
      <c r="BZX3569"/>
      <c r="BZY3569"/>
      <c r="BZZ3569"/>
      <c r="CAA3569"/>
      <c r="CAB3569"/>
      <c r="CAC3569"/>
      <c r="CAD3569"/>
      <c r="CAE3569"/>
      <c r="CAF3569"/>
      <c r="CAG3569"/>
      <c r="CAH3569"/>
      <c r="CAI3569"/>
      <c r="CAJ3569"/>
      <c r="CAK3569"/>
      <c r="CAL3569"/>
      <c r="CAM3569"/>
      <c r="CAN3569"/>
      <c r="CAO3569"/>
      <c r="CAP3569"/>
      <c r="CAQ3569"/>
      <c r="CAR3569"/>
      <c r="CAS3569"/>
      <c r="CAT3569"/>
      <c r="CAU3569"/>
      <c r="CAV3569"/>
      <c r="CAW3569"/>
      <c r="CAX3569"/>
      <c r="CAY3569"/>
      <c r="CAZ3569"/>
      <c r="CBA3569"/>
      <c r="CBB3569"/>
      <c r="CBC3569"/>
      <c r="CBD3569"/>
      <c r="CBE3569"/>
      <c r="CBF3569"/>
      <c r="CBG3569"/>
      <c r="CBH3569"/>
      <c r="CBI3569"/>
      <c r="CBJ3569"/>
      <c r="CBK3569"/>
      <c r="CBL3569"/>
      <c r="CBM3569"/>
      <c r="CBN3569"/>
      <c r="CBO3569"/>
      <c r="CBP3569"/>
      <c r="CBQ3569"/>
      <c r="CBR3569"/>
      <c r="CBS3569"/>
      <c r="CBT3569"/>
      <c r="CBU3569"/>
      <c r="CBV3569"/>
      <c r="CBW3569"/>
      <c r="CBX3569"/>
      <c r="CBY3569"/>
      <c r="CBZ3569"/>
      <c r="CCA3569"/>
      <c r="CCB3569"/>
      <c r="CCC3569"/>
      <c r="CCD3569"/>
      <c r="CCE3569"/>
      <c r="CCF3569"/>
      <c r="CCG3569"/>
      <c r="CCH3569"/>
      <c r="CCI3569"/>
      <c r="CCJ3569"/>
      <c r="CCK3569"/>
      <c r="CCL3569"/>
      <c r="CCM3569"/>
      <c r="CCN3569"/>
      <c r="CCO3569"/>
      <c r="CCP3569"/>
      <c r="CCQ3569"/>
      <c r="CCR3569"/>
      <c r="CCS3569"/>
      <c r="CCT3569"/>
      <c r="CCU3569"/>
      <c r="CCV3569"/>
      <c r="CCW3569"/>
      <c r="CCX3569"/>
      <c r="CCY3569"/>
      <c r="CCZ3569"/>
      <c r="CDA3569"/>
      <c r="CDB3569"/>
      <c r="CDC3569"/>
      <c r="CDD3569"/>
      <c r="CDE3569"/>
      <c r="CDF3569"/>
      <c r="CDG3569"/>
      <c r="CDH3569"/>
      <c r="CDI3569"/>
      <c r="CDJ3569"/>
      <c r="CDK3569"/>
      <c r="CDL3569"/>
      <c r="CDM3569"/>
      <c r="CDN3569"/>
      <c r="CDO3569"/>
      <c r="CDP3569"/>
      <c r="CDQ3569"/>
      <c r="CDR3569"/>
      <c r="CDS3569"/>
      <c r="CDT3569"/>
      <c r="CDU3569"/>
      <c r="CDV3569"/>
      <c r="CDW3569"/>
      <c r="CDX3569"/>
      <c r="CDY3569"/>
      <c r="CDZ3569"/>
      <c r="CEA3569"/>
      <c r="CEB3569"/>
      <c r="CEC3569"/>
      <c r="CED3569"/>
      <c r="CEE3569"/>
      <c r="CEF3569"/>
      <c r="CEG3569"/>
      <c r="CEH3569"/>
      <c r="CEI3569"/>
      <c r="CEJ3569"/>
      <c r="CEK3569"/>
      <c r="CEL3569"/>
      <c r="CEM3569"/>
      <c r="CEN3569"/>
      <c r="CEO3569"/>
      <c r="CEP3569"/>
      <c r="CEQ3569"/>
      <c r="CER3569"/>
      <c r="CES3569"/>
      <c r="CET3569"/>
      <c r="CEU3569"/>
      <c r="CEV3569"/>
      <c r="CEW3569"/>
      <c r="CEX3569"/>
      <c r="CEY3569"/>
      <c r="CEZ3569"/>
      <c r="CFA3569"/>
      <c r="CFB3569"/>
      <c r="CFC3569"/>
      <c r="CFD3569"/>
      <c r="CFE3569"/>
      <c r="CFF3569"/>
      <c r="CFG3569"/>
      <c r="CFH3569"/>
      <c r="CFI3569"/>
      <c r="CFJ3569"/>
      <c r="CFK3569"/>
      <c r="CFL3569"/>
      <c r="CFM3569"/>
      <c r="CFN3569"/>
      <c r="CFO3569"/>
      <c r="CFP3569"/>
      <c r="CFQ3569"/>
      <c r="CFR3569"/>
      <c r="CFS3569"/>
      <c r="CFT3569"/>
      <c r="CFU3569"/>
      <c r="CFV3569"/>
      <c r="CFW3569"/>
      <c r="CFX3569"/>
      <c r="CFY3569"/>
      <c r="CFZ3569"/>
      <c r="CGA3569"/>
      <c r="CGB3569"/>
      <c r="CGC3569"/>
      <c r="CGD3569"/>
      <c r="CGE3569"/>
      <c r="CGF3569"/>
      <c r="CGG3569"/>
      <c r="CGH3569"/>
      <c r="CGI3569"/>
      <c r="CGJ3569"/>
      <c r="CGK3569"/>
      <c r="CGL3569"/>
      <c r="CGM3569"/>
      <c r="CGN3569"/>
      <c r="CGO3569"/>
      <c r="CGP3569"/>
      <c r="CGQ3569"/>
      <c r="CGR3569"/>
      <c r="CGS3569"/>
      <c r="CGT3569"/>
      <c r="CGU3569"/>
      <c r="CGV3569"/>
      <c r="CGW3569"/>
      <c r="CGX3569"/>
      <c r="CGY3569"/>
      <c r="CGZ3569"/>
      <c r="CHA3569"/>
      <c r="CHB3569"/>
      <c r="CHC3569"/>
      <c r="CHD3569"/>
      <c r="CHE3569"/>
      <c r="CHF3569"/>
      <c r="CHG3569"/>
      <c r="CHH3569"/>
      <c r="CHI3569"/>
      <c r="CHJ3569"/>
      <c r="CHK3569"/>
      <c r="CHL3569"/>
      <c r="CHM3569"/>
      <c r="CHN3569"/>
      <c r="CHO3569"/>
      <c r="CHP3569"/>
      <c r="CHQ3569"/>
      <c r="CHR3569"/>
      <c r="CHS3569"/>
      <c r="CHT3569"/>
      <c r="CHU3569"/>
      <c r="CHV3569"/>
      <c r="CHW3569"/>
      <c r="CHX3569"/>
      <c r="CHY3569"/>
      <c r="CHZ3569"/>
      <c r="CIA3569"/>
      <c r="CIB3569"/>
      <c r="CIC3569"/>
      <c r="CID3569"/>
      <c r="CIE3569"/>
      <c r="CIF3569"/>
      <c r="CIG3569"/>
      <c r="CIH3569"/>
      <c r="CII3569"/>
      <c r="CIJ3569"/>
      <c r="CIK3569"/>
      <c r="CIL3569"/>
      <c r="CIM3569"/>
      <c r="CIN3569"/>
      <c r="CIO3569"/>
      <c r="CIP3569"/>
      <c r="CIQ3569"/>
      <c r="CIR3569"/>
      <c r="CIS3569"/>
      <c r="CIT3569"/>
      <c r="CIU3569"/>
      <c r="CIV3569"/>
      <c r="CIW3569"/>
      <c r="CIX3569"/>
      <c r="CIY3569"/>
      <c r="CIZ3569"/>
      <c r="CJA3569"/>
      <c r="CJB3569"/>
      <c r="CJC3569"/>
      <c r="CJD3569"/>
      <c r="CJE3569"/>
      <c r="CJF3569"/>
      <c r="CJG3569"/>
      <c r="CJH3569"/>
      <c r="CJI3569"/>
      <c r="CJJ3569"/>
      <c r="CJK3569"/>
      <c r="CJL3569"/>
      <c r="CJM3569"/>
      <c r="CJN3569"/>
      <c r="CJO3569"/>
      <c r="CJP3569"/>
      <c r="CJQ3569"/>
      <c r="CJR3569"/>
      <c r="CJS3569"/>
      <c r="CJT3569"/>
      <c r="CJU3569"/>
      <c r="CJV3569"/>
      <c r="CJW3569"/>
      <c r="CJX3569"/>
      <c r="CJY3569"/>
      <c r="CJZ3569"/>
      <c r="CKA3569"/>
      <c r="CKB3569"/>
      <c r="CKC3569"/>
      <c r="CKD3569"/>
      <c r="CKE3569"/>
      <c r="CKF3569"/>
      <c r="CKG3569"/>
      <c r="CKH3569"/>
      <c r="CKI3569"/>
      <c r="CKJ3569"/>
      <c r="CKK3569"/>
      <c r="CKL3569"/>
      <c r="CKM3569"/>
      <c r="CKN3569"/>
      <c r="CKO3569"/>
      <c r="CKP3569"/>
      <c r="CKQ3569"/>
      <c r="CKR3569"/>
      <c r="CKS3569"/>
      <c r="CKT3569"/>
      <c r="CKU3569"/>
      <c r="CKV3569"/>
      <c r="CKW3569"/>
      <c r="CKX3569"/>
      <c r="CKY3569"/>
      <c r="CKZ3569"/>
      <c r="CLA3569"/>
      <c r="CLB3569"/>
      <c r="CLC3569"/>
      <c r="CLD3569"/>
      <c r="CLE3569"/>
      <c r="CLF3569"/>
      <c r="CLG3569"/>
      <c r="CLH3569"/>
      <c r="CLI3569"/>
      <c r="CLJ3569"/>
      <c r="CLK3569"/>
      <c r="CLL3569"/>
      <c r="CLM3569"/>
      <c r="CLN3569"/>
      <c r="CLO3569"/>
      <c r="CLP3569"/>
      <c r="CLQ3569"/>
      <c r="CLR3569"/>
      <c r="CLS3569"/>
      <c r="CLT3569"/>
      <c r="CLU3569"/>
      <c r="CLV3569"/>
      <c r="CLW3569"/>
      <c r="CLX3569"/>
      <c r="CLY3569"/>
      <c r="CLZ3569"/>
      <c r="CMA3569"/>
      <c r="CMB3569"/>
      <c r="CMC3569"/>
      <c r="CMD3569"/>
      <c r="CME3569"/>
      <c r="CMF3569"/>
      <c r="CMG3569"/>
      <c r="CMH3569"/>
      <c r="CMI3569"/>
      <c r="CMJ3569"/>
      <c r="CMK3569"/>
      <c r="CML3569"/>
      <c r="CMM3569"/>
      <c r="CMN3569"/>
      <c r="CMO3569"/>
      <c r="CMP3569"/>
      <c r="CMQ3569"/>
      <c r="CMR3569"/>
      <c r="CMS3569"/>
      <c r="CMT3569"/>
      <c r="CMU3569"/>
      <c r="CMV3569"/>
      <c r="CMW3569"/>
      <c r="CMX3569"/>
      <c r="CMY3569"/>
      <c r="CMZ3569"/>
      <c r="CNA3569"/>
      <c r="CNB3569"/>
      <c r="CNC3569"/>
      <c r="CND3569"/>
      <c r="CNE3569"/>
      <c r="CNF3569"/>
      <c r="CNG3569"/>
      <c r="CNH3569"/>
      <c r="CNI3569"/>
      <c r="CNJ3569"/>
      <c r="CNK3569"/>
      <c r="CNL3569"/>
      <c r="CNM3569"/>
      <c r="CNN3569"/>
      <c r="CNO3569"/>
      <c r="CNP3569"/>
      <c r="CNQ3569"/>
      <c r="CNR3569"/>
      <c r="CNS3569"/>
      <c r="CNT3569"/>
      <c r="CNU3569"/>
      <c r="CNV3569"/>
      <c r="CNW3569"/>
      <c r="CNX3569"/>
      <c r="CNY3569"/>
      <c r="CNZ3569"/>
      <c r="COA3569"/>
      <c r="COB3569"/>
      <c r="COC3569"/>
      <c r="COD3569"/>
      <c r="COE3569"/>
      <c r="COF3569"/>
      <c r="COG3569"/>
      <c r="COH3569"/>
      <c r="COI3569"/>
      <c r="COJ3569"/>
      <c r="COK3569"/>
      <c r="COL3569"/>
      <c r="COM3569"/>
      <c r="CON3569"/>
      <c r="COO3569"/>
      <c r="COP3569"/>
      <c r="COQ3569"/>
      <c r="COR3569"/>
      <c r="COS3569"/>
      <c r="COT3569"/>
      <c r="COU3569"/>
      <c r="COV3569"/>
      <c r="COW3569"/>
      <c r="COX3569"/>
      <c r="COY3569"/>
      <c r="COZ3569"/>
      <c r="CPA3569"/>
      <c r="CPB3569"/>
      <c r="CPC3569"/>
      <c r="CPD3569"/>
      <c r="CPE3569"/>
      <c r="CPF3569"/>
      <c r="CPG3569"/>
      <c r="CPH3569"/>
      <c r="CPI3569"/>
      <c r="CPJ3569"/>
      <c r="CPK3569"/>
      <c r="CPL3569"/>
      <c r="CPM3569"/>
      <c r="CPN3569"/>
      <c r="CPO3569"/>
      <c r="CPP3569"/>
      <c r="CPQ3569"/>
      <c r="CPR3569"/>
      <c r="CPS3569"/>
      <c r="CPT3569"/>
      <c r="CPU3569"/>
      <c r="CPV3569"/>
      <c r="CPW3569"/>
      <c r="CPX3569"/>
      <c r="CPY3569"/>
      <c r="CPZ3569"/>
      <c r="CQA3569"/>
      <c r="CQB3569"/>
      <c r="CQC3569"/>
      <c r="CQD3569"/>
      <c r="CQE3569"/>
      <c r="CQF3569"/>
      <c r="CQG3569"/>
      <c r="CQH3569"/>
      <c r="CQI3569"/>
      <c r="CQJ3569"/>
      <c r="CQK3569"/>
      <c r="CQL3569"/>
      <c r="CQM3569"/>
      <c r="CQN3569"/>
      <c r="CQO3569"/>
      <c r="CQP3569"/>
      <c r="CQQ3569"/>
      <c r="CQR3569"/>
      <c r="CQS3569"/>
      <c r="CQT3569"/>
      <c r="CQU3569"/>
      <c r="CQV3569"/>
      <c r="CQW3569"/>
      <c r="CQX3569"/>
      <c r="CQY3569"/>
      <c r="CQZ3569"/>
      <c r="CRA3569"/>
      <c r="CRB3569"/>
      <c r="CRC3569"/>
      <c r="CRD3569"/>
      <c r="CRE3569"/>
      <c r="CRF3569"/>
      <c r="CRG3569"/>
      <c r="CRH3569"/>
      <c r="CRI3569"/>
      <c r="CRJ3569"/>
      <c r="CRK3569"/>
      <c r="CRL3569"/>
      <c r="CRM3569"/>
      <c r="CRN3569"/>
      <c r="CRO3569"/>
      <c r="CRP3569"/>
      <c r="CRQ3569"/>
      <c r="CRR3569"/>
      <c r="CRS3569"/>
      <c r="CRT3569"/>
      <c r="CRU3569"/>
      <c r="CRV3569"/>
      <c r="CRW3569"/>
      <c r="CRX3569"/>
      <c r="CRY3569"/>
      <c r="CRZ3569"/>
      <c r="CSA3569"/>
      <c r="CSB3569"/>
      <c r="CSC3569"/>
      <c r="CSD3569"/>
      <c r="CSE3569"/>
      <c r="CSF3569"/>
      <c r="CSG3569"/>
      <c r="CSH3569"/>
      <c r="CSI3569"/>
      <c r="CSJ3569"/>
      <c r="CSK3569"/>
      <c r="CSL3569"/>
      <c r="CSM3569"/>
      <c r="CSN3569"/>
      <c r="CSO3569"/>
      <c r="CSP3569"/>
      <c r="CSQ3569"/>
      <c r="CSR3569"/>
      <c r="CSS3569"/>
      <c r="CST3569"/>
      <c r="CSU3569"/>
      <c r="CSV3569"/>
      <c r="CSW3569"/>
      <c r="CSX3569"/>
      <c r="CSY3569"/>
      <c r="CSZ3569"/>
      <c r="CTA3569"/>
      <c r="CTB3569"/>
      <c r="CTC3569"/>
      <c r="CTD3569"/>
      <c r="CTE3569"/>
      <c r="CTF3569"/>
      <c r="CTG3569"/>
      <c r="CTH3569"/>
      <c r="CTI3569"/>
      <c r="CTJ3569"/>
      <c r="CTK3569"/>
      <c r="CTL3569"/>
      <c r="CTM3569"/>
      <c r="CTN3569"/>
      <c r="CTO3569"/>
      <c r="CTP3569"/>
      <c r="CTQ3569"/>
      <c r="CTR3569"/>
      <c r="CTS3569"/>
      <c r="CTT3569"/>
      <c r="CTU3569"/>
      <c r="CTV3569"/>
      <c r="CTW3569"/>
      <c r="CTX3569"/>
      <c r="CTY3569"/>
      <c r="CTZ3569"/>
      <c r="CUA3569"/>
      <c r="CUB3569"/>
      <c r="CUC3569"/>
      <c r="CUD3569"/>
      <c r="CUE3569"/>
      <c r="CUF3569"/>
      <c r="CUG3569"/>
      <c r="CUH3569"/>
      <c r="CUI3569"/>
      <c r="CUJ3569"/>
      <c r="CUK3569"/>
      <c r="CUL3569"/>
      <c r="CUM3569"/>
      <c r="CUN3569"/>
      <c r="CUO3569"/>
      <c r="CUP3569"/>
      <c r="CUQ3569"/>
      <c r="CUR3569"/>
      <c r="CUS3569"/>
      <c r="CUT3569"/>
      <c r="CUU3569"/>
      <c r="CUV3569"/>
      <c r="CUW3569"/>
      <c r="CUX3569"/>
      <c r="CUY3569"/>
      <c r="CUZ3569"/>
      <c r="CVA3569"/>
      <c r="CVB3569"/>
      <c r="CVC3569"/>
      <c r="CVD3569"/>
      <c r="CVE3569"/>
      <c r="CVF3569"/>
      <c r="CVG3569"/>
      <c r="CVH3569"/>
      <c r="CVI3569"/>
      <c r="CVJ3569"/>
      <c r="CVK3569"/>
      <c r="CVL3569"/>
      <c r="CVM3569"/>
      <c r="CVN3569"/>
      <c r="CVO3569"/>
      <c r="CVP3569"/>
      <c r="CVQ3569"/>
      <c r="CVR3569"/>
      <c r="CVS3569"/>
      <c r="CVT3569"/>
      <c r="CVU3569"/>
      <c r="CVV3569"/>
      <c r="CVW3569"/>
      <c r="CVX3569"/>
      <c r="CVY3569"/>
      <c r="CVZ3569"/>
      <c r="CWA3569"/>
      <c r="CWB3569"/>
      <c r="CWC3569"/>
      <c r="CWD3569"/>
      <c r="CWE3569"/>
      <c r="CWF3569"/>
      <c r="CWG3569"/>
      <c r="CWH3569"/>
      <c r="CWI3569"/>
      <c r="CWJ3569"/>
      <c r="CWK3569"/>
      <c r="CWL3569"/>
      <c r="CWM3569"/>
      <c r="CWN3569"/>
      <c r="CWO3569"/>
      <c r="CWP3569"/>
      <c r="CWQ3569"/>
      <c r="CWR3569"/>
      <c r="CWS3569"/>
      <c r="CWT3569"/>
      <c r="CWU3569"/>
      <c r="CWV3569"/>
      <c r="CWW3569"/>
      <c r="CWX3569"/>
      <c r="CWY3569"/>
      <c r="CWZ3569"/>
      <c r="CXA3569"/>
      <c r="CXB3569"/>
      <c r="CXC3569"/>
      <c r="CXD3569"/>
      <c r="CXE3569"/>
      <c r="CXF3569"/>
      <c r="CXG3569"/>
      <c r="CXH3569"/>
      <c r="CXI3569"/>
      <c r="CXJ3569"/>
      <c r="CXK3569"/>
      <c r="CXL3569"/>
      <c r="CXM3569"/>
      <c r="CXN3569"/>
      <c r="CXO3569"/>
      <c r="CXP3569"/>
      <c r="CXQ3569"/>
      <c r="CXR3569"/>
      <c r="CXS3569"/>
      <c r="CXT3569"/>
      <c r="CXU3569"/>
      <c r="CXV3569"/>
      <c r="CXW3569"/>
      <c r="CXX3569"/>
      <c r="CXY3569"/>
      <c r="CXZ3569"/>
      <c r="CYA3569"/>
      <c r="CYB3569"/>
      <c r="CYC3569"/>
      <c r="CYD3569"/>
      <c r="CYE3569"/>
      <c r="CYF3569"/>
      <c r="CYG3569"/>
      <c r="CYH3569"/>
      <c r="CYI3569"/>
      <c r="CYJ3569"/>
      <c r="CYK3569"/>
      <c r="CYL3569"/>
      <c r="CYM3569"/>
      <c r="CYN3569"/>
      <c r="CYO3569"/>
      <c r="CYP3569"/>
      <c r="CYQ3569"/>
      <c r="CYR3569"/>
      <c r="CYS3569"/>
      <c r="CYT3569"/>
      <c r="CYU3569"/>
      <c r="CYV3569"/>
      <c r="CYW3569"/>
      <c r="CYX3569"/>
      <c r="CYY3569"/>
      <c r="CYZ3569"/>
      <c r="CZA3569"/>
      <c r="CZB3569"/>
      <c r="CZC3569"/>
      <c r="CZD3569"/>
      <c r="CZE3569"/>
      <c r="CZF3569"/>
      <c r="CZG3569"/>
      <c r="CZH3569"/>
      <c r="CZI3569"/>
      <c r="CZJ3569"/>
      <c r="CZK3569"/>
      <c r="CZL3569"/>
      <c r="CZM3569"/>
      <c r="CZN3569"/>
      <c r="CZO3569"/>
      <c r="CZP3569"/>
      <c r="CZQ3569"/>
      <c r="CZR3569"/>
      <c r="CZS3569"/>
      <c r="CZT3569"/>
      <c r="CZU3569"/>
      <c r="CZV3569"/>
      <c r="CZW3569"/>
      <c r="CZX3569"/>
      <c r="CZY3569"/>
      <c r="CZZ3569"/>
      <c r="DAA3569"/>
      <c r="DAB3569"/>
      <c r="DAC3569"/>
      <c r="DAD3569"/>
      <c r="DAE3569"/>
      <c r="DAF3569"/>
      <c r="DAG3569"/>
      <c r="DAH3569"/>
      <c r="DAI3569"/>
      <c r="DAJ3569"/>
      <c r="DAK3569"/>
      <c r="DAL3569"/>
      <c r="DAM3569"/>
      <c r="DAN3569"/>
      <c r="DAO3569"/>
      <c r="DAP3569"/>
      <c r="DAQ3569"/>
      <c r="DAR3569"/>
      <c r="DAS3569"/>
      <c r="DAT3569"/>
      <c r="DAU3569"/>
      <c r="DAV3569"/>
      <c r="DAW3569"/>
      <c r="DAX3569"/>
      <c r="DAY3569"/>
      <c r="DAZ3569"/>
      <c r="DBA3569"/>
      <c r="DBB3569"/>
      <c r="DBC3569"/>
      <c r="DBD3569"/>
      <c r="DBE3569"/>
      <c r="DBF3569"/>
      <c r="DBG3569"/>
      <c r="DBH3569"/>
      <c r="DBI3569"/>
      <c r="DBJ3569"/>
      <c r="DBK3569"/>
      <c r="DBL3569"/>
      <c r="DBM3569"/>
      <c r="DBN3569"/>
      <c r="DBO3569"/>
      <c r="DBP3569"/>
      <c r="DBQ3569"/>
      <c r="DBR3569"/>
      <c r="DBS3569"/>
      <c r="DBT3569"/>
      <c r="DBU3569"/>
      <c r="DBV3569"/>
      <c r="DBW3569"/>
      <c r="DBX3569"/>
      <c r="DBY3569"/>
      <c r="DBZ3569"/>
      <c r="DCA3569"/>
      <c r="DCB3569"/>
      <c r="DCC3569"/>
      <c r="DCD3569"/>
      <c r="DCE3569"/>
      <c r="DCF3569"/>
      <c r="DCG3569"/>
      <c r="DCH3569"/>
      <c r="DCI3569"/>
      <c r="DCJ3569"/>
      <c r="DCK3569"/>
      <c r="DCL3569"/>
      <c r="DCM3569"/>
      <c r="DCN3569"/>
      <c r="DCO3569"/>
      <c r="DCP3569"/>
      <c r="DCQ3569"/>
      <c r="DCR3569"/>
      <c r="DCS3569"/>
      <c r="DCT3569"/>
      <c r="DCU3569"/>
      <c r="DCV3569"/>
      <c r="DCW3569"/>
      <c r="DCX3569"/>
      <c r="DCY3569"/>
      <c r="DCZ3569"/>
      <c r="DDA3569"/>
      <c r="DDB3569"/>
      <c r="DDC3569"/>
      <c r="DDD3569"/>
      <c r="DDE3569"/>
      <c r="DDF3569"/>
      <c r="DDG3569"/>
      <c r="DDH3569"/>
      <c r="DDI3569"/>
      <c r="DDJ3569"/>
      <c r="DDK3569"/>
      <c r="DDL3569"/>
      <c r="DDM3569"/>
      <c r="DDN3569"/>
      <c r="DDO3569"/>
      <c r="DDP3569"/>
      <c r="DDQ3569"/>
      <c r="DDR3569"/>
      <c r="DDS3569"/>
      <c r="DDT3569"/>
      <c r="DDU3569"/>
      <c r="DDV3569"/>
      <c r="DDW3569"/>
      <c r="DDX3569"/>
      <c r="DDY3569"/>
      <c r="DDZ3569"/>
      <c r="DEA3569"/>
      <c r="DEB3569"/>
      <c r="DEC3569"/>
      <c r="DED3569"/>
      <c r="DEE3569"/>
      <c r="DEF3569"/>
      <c r="DEG3569"/>
      <c r="DEH3569"/>
      <c r="DEI3569"/>
      <c r="DEJ3569"/>
      <c r="DEK3569"/>
      <c r="DEL3569"/>
      <c r="DEM3569"/>
      <c r="DEN3569"/>
      <c r="DEO3569"/>
      <c r="DEP3569"/>
      <c r="DEQ3569"/>
      <c r="DER3569"/>
      <c r="DES3569"/>
      <c r="DET3569"/>
      <c r="DEU3569"/>
      <c r="DEV3569"/>
      <c r="DEW3569"/>
      <c r="DEX3569"/>
      <c r="DEY3569"/>
      <c r="DEZ3569"/>
      <c r="DFA3569"/>
      <c r="DFB3569"/>
      <c r="DFC3569"/>
      <c r="DFD3569"/>
      <c r="DFE3569"/>
      <c r="DFF3569"/>
      <c r="DFG3569"/>
      <c r="DFH3569"/>
      <c r="DFI3569"/>
      <c r="DFJ3569"/>
      <c r="DFK3569"/>
      <c r="DFL3569"/>
      <c r="DFM3569"/>
      <c r="DFN3569"/>
      <c r="DFO3569"/>
      <c r="DFP3569"/>
      <c r="DFQ3569"/>
      <c r="DFR3569"/>
      <c r="DFS3569"/>
      <c r="DFT3569"/>
      <c r="DFU3569"/>
      <c r="DFV3569"/>
      <c r="DFW3569"/>
      <c r="DFX3569"/>
      <c r="DFY3569"/>
      <c r="DFZ3569"/>
      <c r="DGA3569"/>
      <c r="DGB3569"/>
      <c r="DGC3569"/>
      <c r="DGD3569"/>
      <c r="DGE3569"/>
      <c r="DGF3569"/>
      <c r="DGG3569"/>
      <c r="DGH3569"/>
      <c r="DGI3569"/>
      <c r="DGJ3569"/>
      <c r="DGK3569"/>
      <c r="DGL3569"/>
      <c r="DGM3569"/>
      <c r="DGN3569"/>
      <c r="DGO3569"/>
      <c r="DGP3569"/>
      <c r="DGQ3569"/>
      <c r="DGR3569"/>
      <c r="DGS3569"/>
      <c r="DGT3569"/>
      <c r="DGU3569"/>
      <c r="DGV3569"/>
      <c r="DGW3569"/>
      <c r="DGX3569"/>
      <c r="DGY3569"/>
      <c r="DGZ3569"/>
      <c r="DHA3569"/>
      <c r="DHB3569"/>
      <c r="DHC3569"/>
      <c r="DHD3569"/>
      <c r="DHE3569"/>
      <c r="DHF3569"/>
      <c r="DHG3569"/>
      <c r="DHH3569"/>
      <c r="DHI3569"/>
      <c r="DHJ3569"/>
      <c r="DHK3569"/>
      <c r="DHL3569"/>
      <c r="DHM3569"/>
      <c r="DHN3569"/>
      <c r="DHO3569"/>
      <c r="DHP3569"/>
      <c r="DHQ3569"/>
      <c r="DHR3569"/>
      <c r="DHS3569"/>
      <c r="DHT3569"/>
      <c r="DHU3569"/>
      <c r="DHV3569"/>
      <c r="DHW3569"/>
      <c r="DHX3569"/>
      <c r="DHY3569"/>
      <c r="DHZ3569"/>
      <c r="DIA3569"/>
      <c r="DIB3569"/>
      <c r="DIC3569"/>
      <c r="DID3569"/>
      <c r="DIE3569"/>
      <c r="DIF3569"/>
      <c r="DIG3569"/>
      <c r="DIH3569"/>
      <c r="DII3569"/>
      <c r="DIJ3569"/>
      <c r="DIK3569"/>
      <c r="DIL3569"/>
      <c r="DIM3569"/>
      <c r="DIN3569"/>
      <c r="DIO3569"/>
      <c r="DIP3569"/>
      <c r="DIQ3569"/>
      <c r="DIR3569"/>
      <c r="DIS3569"/>
      <c r="DIT3569"/>
      <c r="DIU3569"/>
      <c r="DIV3569"/>
      <c r="DIW3569"/>
      <c r="DIX3569"/>
      <c r="DIY3569"/>
      <c r="DIZ3569"/>
      <c r="DJA3569"/>
      <c r="DJB3569"/>
      <c r="DJC3569"/>
      <c r="DJD3569"/>
      <c r="DJE3569"/>
      <c r="DJF3569"/>
      <c r="DJG3569"/>
      <c r="DJH3569"/>
      <c r="DJI3569"/>
      <c r="DJJ3569"/>
      <c r="DJK3569"/>
      <c r="DJL3569"/>
      <c r="DJM3569"/>
      <c r="DJN3569"/>
      <c r="DJO3569"/>
      <c r="DJP3569"/>
      <c r="DJQ3569"/>
      <c r="DJR3569"/>
      <c r="DJS3569"/>
      <c r="DJT3569"/>
      <c r="DJU3569"/>
      <c r="DJV3569"/>
      <c r="DJW3569"/>
      <c r="DJX3569"/>
      <c r="DJY3569"/>
      <c r="DJZ3569"/>
      <c r="DKA3569"/>
      <c r="DKB3569"/>
      <c r="DKC3569"/>
      <c r="DKD3569"/>
      <c r="DKE3569"/>
      <c r="DKF3569"/>
      <c r="DKG3569"/>
      <c r="DKH3569"/>
      <c r="DKI3569"/>
      <c r="DKJ3569"/>
      <c r="DKK3569"/>
      <c r="DKL3569"/>
      <c r="DKM3569"/>
      <c r="DKN3569"/>
      <c r="DKO3569"/>
      <c r="DKP3569"/>
      <c r="DKQ3569"/>
      <c r="DKR3569"/>
      <c r="DKS3569"/>
      <c r="DKT3569"/>
      <c r="DKU3569"/>
      <c r="DKV3569"/>
      <c r="DKW3569"/>
      <c r="DKX3569"/>
      <c r="DKY3569"/>
      <c r="DKZ3569"/>
      <c r="DLA3569"/>
      <c r="DLB3569"/>
      <c r="DLC3569"/>
      <c r="DLD3569"/>
      <c r="DLE3569"/>
      <c r="DLF3569"/>
      <c r="DLG3569"/>
      <c r="DLH3569"/>
      <c r="DLI3569"/>
      <c r="DLJ3569"/>
      <c r="DLK3569"/>
      <c r="DLL3569"/>
      <c r="DLM3569"/>
      <c r="DLN3569"/>
      <c r="DLO3569"/>
      <c r="DLP3569"/>
      <c r="DLQ3569"/>
      <c r="DLR3569"/>
      <c r="DLS3569"/>
      <c r="DLT3569"/>
      <c r="DLU3569"/>
      <c r="DLV3569"/>
      <c r="DLW3569"/>
      <c r="DLX3569"/>
      <c r="DLY3569"/>
      <c r="DLZ3569"/>
      <c r="DMA3569"/>
      <c r="DMB3569"/>
      <c r="DMC3569"/>
      <c r="DMD3569"/>
      <c r="DME3569"/>
      <c r="DMF3569"/>
      <c r="DMG3569"/>
      <c r="DMH3569"/>
      <c r="DMI3569"/>
      <c r="DMJ3569"/>
      <c r="DMK3569"/>
      <c r="DML3569"/>
      <c r="DMM3569"/>
      <c r="DMN3569"/>
      <c r="DMO3569"/>
      <c r="DMP3569"/>
      <c r="DMQ3569"/>
      <c r="DMR3569"/>
      <c r="DMS3569"/>
      <c r="DMT3569"/>
      <c r="DMU3569"/>
      <c r="DMV3569"/>
      <c r="DMW3569"/>
      <c r="DMX3569"/>
      <c r="DMY3569"/>
      <c r="DMZ3569"/>
      <c r="DNA3569"/>
      <c r="DNB3569"/>
      <c r="DNC3569"/>
      <c r="DND3569"/>
      <c r="DNE3569"/>
      <c r="DNF3569"/>
      <c r="DNG3569"/>
      <c r="DNH3569"/>
      <c r="DNI3569"/>
      <c r="DNJ3569"/>
      <c r="DNK3569"/>
      <c r="DNL3569"/>
      <c r="DNM3569"/>
      <c r="DNN3569"/>
      <c r="DNO3569"/>
      <c r="DNP3569"/>
      <c r="DNQ3569"/>
      <c r="DNR3569"/>
      <c r="DNS3569"/>
      <c r="DNT3569"/>
      <c r="DNU3569"/>
      <c r="DNV3569"/>
      <c r="DNW3569"/>
      <c r="DNX3569"/>
      <c r="DNY3569"/>
      <c r="DNZ3569"/>
      <c r="DOA3569"/>
      <c r="DOB3569"/>
      <c r="DOC3569"/>
      <c r="DOD3569"/>
      <c r="DOE3569"/>
      <c r="DOF3569"/>
      <c r="DOG3569"/>
      <c r="DOH3569"/>
      <c r="DOI3569"/>
      <c r="DOJ3569"/>
      <c r="DOK3569"/>
      <c r="DOL3569"/>
      <c r="DOM3569"/>
      <c r="DON3569"/>
      <c r="DOO3569"/>
      <c r="DOP3569"/>
      <c r="DOQ3569"/>
      <c r="DOR3569"/>
      <c r="DOS3569"/>
      <c r="DOT3569"/>
      <c r="DOU3569"/>
      <c r="DOV3569"/>
      <c r="DOW3569"/>
      <c r="DOX3569"/>
      <c r="DOY3569"/>
      <c r="DOZ3569"/>
      <c r="DPA3569"/>
      <c r="DPB3569"/>
      <c r="DPC3569"/>
      <c r="DPD3569"/>
      <c r="DPE3569"/>
      <c r="DPF3569"/>
      <c r="DPG3569"/>
      <c r="DPH3569"/>
      <c r="DPI3569"/>
      <c r="DPJ3569"/>
      <c r="DPK3569"/>
      <c r="DPL3569"/>
      <c r="DPM3569"/>
      <c r="DPN3569"/>
      <c r="DPO3569"/>
      <c r="DPP3569"/>
      <c r="DPQ3569"/>
      <c r="DPR3569"/>
      <c r="DPS3569"/>
      <c r="DPT3569"/>
      <c r="DPU3569"/>
      <c r="DPV3569"/>
      <c r="DPW3569"/>
      <c r="DPX3569"/>
      <c r="DPY3569"/>
      <c r="DPZ3569"/>
      <c r="DQA3569"/>
      <c r="DQB3569"/>
      <c r="DQC3569"/>
      <c r="DQD3569"/>
      <c r="DQE3569"/>
      <c r="DQF3569"/>
      <c r="DQG3569"/>
      <c r="DQH3569"/>
      <c r="DQI3569"/>
      <c r="DQJ3569"/>
      <c r="DQK3569"/>
      <c r="DQL3569"/>
      <c r="DQM3569"/>
      <c r="DQN3569"/>
      <c r="DQO3569"/>
      <c r="DQP3569"/>
      <c r="DQQ3569"/>
      <c r="DQR3569"/>
      <c r="DQS3569"/>
      <c r="DQT3569"/>
      <c r="DQU3569"/>
      <c r="DQV3569"/>
      <c r="DQW3569"/>
      <c r="DQX3569"/>
      <c r="DQY3569"/>
      <c r="DQZ3569"/>
      <c r="DRA3569"/>
      <c r="DRB3569"/>
      <c r="DRC3569"/>
      <c r="DRD3569"/>
      <c r="DRE3569"/>
      <c r="DRF3569"/>
      <c r="DRG3569"/>
      <c r="DRH3569"/>
      <c r="DRI3569"/>
      <c r="DRJ3569"/>
      <c r="DRK3569"/>
      <c r="DRL3569"/>
      <c r="DRM3569"/>
      <c r="DRN3569"/>
      <c r="DRO3569"/>
      <c r="DRP3569"/>
      <c r="DRQ3569"/>
      <c r="DRR3569"/>
      <c r="DRS3569"/>
      <c r="DRT3569"/>
      <c r="DRU3569"/>
      <c r="DRV3569"/>
      <c r="DRW3569"/>
      <c r="DRX3569"/>
      <c r="DRY3569"/>
      <c r="DRZ3569"/>
      <c r="DSA3569"/>
      <c r="DSB3569"/>
      <c r="DSC3569"/>
      <c r="DSD3569"/>
      <c r="DSE3569"/>
      <c r="DSF3569"/>
      <c r="DSG3569"/>
      <c r="DSH3569"/>
      <c r="DSI3569"/>
      <c r="DSJ3569"/>
      <c r="DSK3569"/>
      <c r="DSL3569"/>
      <c r="DSM3569"/>
      <c r="DSN3569"/>
      <c r="DSO3569"/>
      <c r="DSP3569"/>
      <c r="DSQ3569"/>
      <c r="DSR3569"/>
      <c r="DSS3569"/>
      <c r="DST3569"/>
      <c r="DSU3569"/>
      <c r="DSV3569"/>
      <c r="DSW3569"/>
      <c r="DSX3569"/>
      <c r="DSY3569"/>
      <c r="DSZ3569"/>
      <c r="DTA3569"/>
      <c r="DTB3569"/>
      <c r="DTC3569"/>
      <c r="DTD3569"/>
      <c r="DTE3569"/>
      <c r="DTF3569"/>
      <c r="DTG3569"/>
      <c r="DTH3569"/>
      <c r="DTI3569"/>
      <c r="DTJ3569"/>
      <c r="DTK3569"/>
      <c r="DTL3569"/>
      <c r="DTM3569"/>
      <c r="DTN3569"/>
      <c r="DTO3569"/>
      <c r="DTP3569"/>
      <c r="DTQ3569"/>
      <c r="DTR3569"/>
      <c r="DTS3569"/>
      <c r="DTT3569"/>
      <c r="DTU3569"/>
      <c r="DTV3569"/>
      <c r="DTW3569"/>
      <c r="DTX3569"/>
      <c r="DTY3569"/>
      <c r="DTZ3569"/>
      <c r="DUA3569"/>
      <c r="DUB3569"/>
      <c r="DUC3569"/>
      <c r="DUD3569"/>
      <c r="DUE3569"/>
      <c r="DUF3569"/>
      <c r="DUG3569"/>
      <c r="DUH3569"/>
      <c r="DUI3569"/>
      <c r="DUJ3569"/>
      <c r="DUK3569"/>
      <c r="DUL3569"/>
      <c r="DUM3569"/>
      <c r="DUN3569"/>
      <c r="DUO3569"/>
      <c r="DUP3569"/>
      <c r="DUQ3569"/>
      <c r="DUR3569"/>
      <c r="DUS3569"/>
      <c r="DUT3569"/>
      <c r="DUU3569"/>
      <c r="DUV3569"/>
      <c r="DUW3569"/>
      <c r="DUX3569"/>
      <c r="DUY3569"/>
      <c r="DUZ3569"/>
      <c r="DVA3569"/>
      <c r="DVB3569"/>
      <c r="DVC3569"/>
      <c r="DVD3569"/>
      <c r="DVE3569"/>
      <c r="DVF3569"/>
      <c r="DVG3569"/>
      <c r="DVH3569"/>
      <c r="DVI3569"/>
      <c r="DVJ3569"/>
      <c r="DVK3569"/>
      <c r="DVL3569"/>
      <c r="DVM3569"/>
      <c r="DVN3569"/>
      <c r="DVO3569"/>
      <c r="DVP3569"/>
      <c r="DVQ3569"/>
      <c r="DVR3569"/>
      <c r="DVS3569"/>
      <c r="DVT3569"/>
      <c r="DVU3569"/>
      <c r="DVV3569"/>
      <c r="DVW3569"/>
      <c r="DVX3569"/>
      <c r="DVY3569"/>
      <c r="DVZ3569"/>
      <c r="DWA3569"/>
      <c r="DWB3569"/>
      <c r="DWC3569"/>
      <c r="DWD3569"/>
      <c r="DWE3569"/>
      <c r="DWF3569"/>
      <c r="DWG3569"/>
      <c r="DWH3569"/>
      <c r="DWI3569"/>
      <c r="DWJ3569"/>
      <c r="DWK3569"/>
      <c r="DWL3569"/>
      <c r="DWM3569"/>
      <c r="DWN3569"/>
      <c r="DWO3569"/>
      <c r="DWP3569"/>
      <c r="DWQ3569"/>
      <c r="DWR3569"/>
      <c r="DWS3569"/>
      <c r="DWT3569"/>
      <c r="DWU3569"/>
      <c r="DWV3569"/>
      <c r="DWW3569"/>
      <c r="DWX3569"/>
      <c r="DWY3569"/>
      <c r="DWZ3569"/>
      <c r="DXA3569"/>
      <c r="DXB3569"/>
      <c r="DXC3569"/>
      <c r="DXD3569"/>
      <c r="DXE3569"/>
      <c r="DXF3569"/>
      <c r="DXG3569"/>
      <c r="DXH3569"/>
      <c r="DXI3569"/>
      <c r="DXJ3569"/>
      <c r="DXK3569"/>
      <c r="DXL3569"/>
      <c r="DXM3569"/>
      <c r="DXN3569"/>
      <c r="DXO3569"/>
      <c r="DXP3569"/>
      <c r="DXQ3569"/>
      <c r="DXR3569"/>
      <c r="DXS3569"/>
      <c r="DXT3569"/>
      <c r="DXU3569"/>
      <c r="DXV3569"/>
      <c r="DXW3569"/>
      <c r="DXX3569"/>
      <c r="DXY3569"/>
      <c r="DXZ3569"/>
      <c r="DYA3569"/>
      <c r="DYB3569"/>
      <c r="DYC3569"/>
      <c r="DYD3569"/>
      <c r="DYE3569"/>
      <c r="DYF3569"/>
      <c r="DYG3569"/>
      <c r="DYH3569"/>
      <c r="DYI3569"/>
      <c r="DYJ3569"/>
      <c r="DYK3569"/>
      <c r="DYL3569"/>
      <c r="DYM3569"/>
      <c r="DYN3569"/>
      <c r="DYO3569"/>
      <c r="DYP3569"/>
      <c r="DYQ3569"/>
      <c r="DYR3569"/>
      <c r="DYS3569"/>
      <c r="DYT3569"/>
      <c r="DYU3569"/>
      <c r="DYV3569"/>
      <c r="DYW3569"/>
      <c r="DYX3569"/>
      <c r="DYY3569"/>
      <c r="DYZ3569"/>
      <c r="DZA3569"/>
      <c r="DZB3569"/>
      <c r="DZC3569"/>
      <c r="DZD3569"/>
      <c r="DZE3569"/>
      <c r="DZF3569"/>
      <c r="DZG3569"/>
      <c r="DZH3569"/>
      <c r="DZI3569"/>
      <c r="DZJ3569"/>
      <c r="DZK3569"/>
      <c r="DZL3569"/>
      <c r="DZM3569"/>
      <c r="DZN3569"/>
      <c r="DZO3569"/>
      <c r="DZP3569"/>
      <c r="DZQ3569"/>
      <c r="DZR3569"/>
      <c r="DZS3569"/>
      <c r="DZT3569"/>
      <c r="DZU3569"/>
      <c r="DZV3569"/>
      <c r="DZW3569"/>
      <c r="DZX3569"/>
      <c r="DZY3569"/>
      <c r="DZZ3569"/>
      <c r="EAA3569"/>
      <c r="EAB3569"/>
      <c r="EAC3569"/>
      <c r="EAD3569"/>
      <c r="EAE3569"/>
      <c r="EAF3569"/>
      <c r="EAG3569"/>
      <c r="EAH3569"/>
      <c r="EAI3569"/>
      <c r="EAJ3569"/>
      <c r="EAK3569"/>
      <c r="EAL3569"/>
      <c r="EAM3569"/>
      <c r="EAN3569"/>
      <c r="EAO3569"/>
      <c r="EAP3569"/>
      <c r="EAQ3569"/>
      <c r="EAR3569"/>
      <c r="EAS3569"/>
      <c r="EAT3569"/>
      <c r="EAU3569"/>
      <c r="EAV3569"/>
      <c r="EAW3569"/>
      <c r="EAX3569"/>
      <c r="EAY3569"/>
      <c r="EAZ3569"/>
      <c r="EBA3569"/>
      <c r="EBB3569"/>
      <c r="EBC3569"/>
      <c r="EBD3569"/>
      <c r="EBE3569"/>
      <c r="EBF3569"/>
      <c r="EBG3569"/>
      <c r="EBH3569"/>
      <c r="EBI3569"/>
      <c r="EBJ3569"/>
      <c r="EBK3569"/>
      <c r="EBL3569"/>
      <c r="EBM3569"/>
      <c r="EBN3569"/>
      <c r="EBO3569"/>
      <c r="EBP3569"/>
      <c r="EBQ3569"/>
      <c r="EBR3569"/>
      <c r="EBS3569"/>
      <c r="EBT3569"/>
      <c r="EBU3569"/>
      <c r="EBV3569"/>
      <c r="EBW3569"/>
      <c r="EBX3569"/>
      <c r="EBY3569"/>
      <c r="EBZ3569"/>
      <c r="ECA3569"/>
      <c r="ECB3569"/>
      <c r="ECC3569"/>
      <c r="ECD3569"/>
      <c r="ECE3569"/>
      <c r="ECF3569"/>
      <c r="ECG3569"/>
      <c r="ECH3569"/>
      <c r="ECI3569"/>
      <c r="ECJ3569"/>
      <c r="ECK3569"/>
      <c r="ECL3569"/>
      <c r="ECM3569"/>
      <c r="ECN3569"/>
      <c r="ECO3569"/>
      <c r="ECP3569"/>
      <c r="ECQ3569"/>
      <c r="ECR3569"/>
      <c r="ECS3569"/>
      <c r="ECT3569"/>
      <c r="ECU3569"/>
      <c r="ECV3569"/>
      <c r="ECW3569"/>
      <c r="ECX3569"/>
      <c r="ECY3569"/>
      <c r="ECZ3569"/>
      <c r="EDA3569"/>
      <c r="EDB3569"/>
      <c r="EDC3569"/>
      <c r="EDD3569"/>
      <c r="EDE3569"/>
      <c r="EDF3569"/>
      <c r="EDG3569"/>
      <c r="EDH3569"/>
      <c r="EDI3569"/>
      <c r="EDJ3569"/>
      <c r="EDK3569"/>
      <c r="EDL3569"/>
      <c r="EDM3569"/>
      <c r="EDN3569"/>
      <c r="EDO3569"/>
      <c r="EDP3569"/>
      <c r="EDQ3569"/>
      <c r="EDR3569"/>
      <c r="EDS3569"/>
      <c r="EDT3569"/>
      <c r="EDU3569"/>
      <c r="EDV3569"/>
      <c r="EDW3569"/>
      <c r="EDX3569"/>
      <c r="EDY3569"/>
      <c r="EDZ3569"/>
      <c r="EEA3569"/>
      <c r="EEB3569"/>
      <c r="EEC3569"/>
      <c r="EED3569"/>
      <c r="EEE3569"/>
      <c r="EEF3569"/>
      <c r="EEG3569"/>
      <c r="EEH3569"/>
      <c r="EEI3569"/>
      <c r="EEJ3569"/>
      <c r="EEK3569"/>
      <c r="EEL3569"/>
      <c r="EEM3569"/>
      <c r="EEN3569"/>
      <c r="EEO3569"/>
      <c r="EEP3569"/>
      <c r="EEQ3569"/>
      <c r="EER3569"/>
      <c r="EES3569"/>
      <c r="EET3569"/>
      <c r="EEU3569"/>
      <c r="EEV3569"/>
      <c r="EEW3569"/>
      <c r="EEX3569"/>
      <c r="EEY3569"/>
      <c r="EEZ3569"/>
      <c r="EFA3569"/>
      <c r="EFB3569"/>
      <c r="EFC3569"/>
      <c r="EFD3569"/>
      <c r="EFE3569"/>
      <c r="EFF3569"/>
      <c r="EFG3569"/>
      <c r="EFH3569"/>
      <c r="EFI3569"/>
      <c r="EFJ3569"/>
      <c r="EFK3569"/>
      <c r="EFL3569"/>
      <c r="EFM3569"/>
      <c r="EFN3569"/>
      <c r="EFO3569"/>
      <c r="EFP3569"/>
      <c r="EFQ3569"/>
      <c r="EFR3569"/>
      <c r="EFS3569"/>
      <c r="EFT3569"/>
      <c r="EFU3569"/>
      <c r="EFV3569"/>
      <c r="EFW3569"/>
      <c r="EFX3569"/>
      <c r="EFY3569"/>
      <c r="EFZ3569"/>
      <c r="EGA3569"/>
      <c r="EGB3569"/>
      <c r="EGC3569"/>
      <c r="EGD3569"/>
      <c r="EGE3569"/>
      <c r="EGF3569"/>
      <c r="EGG3569"/>
      <c r="EGH3569"/>
      <c r="EGI3569"/>
      <c r="EGJ3569"/>
      <c r="EGK3569"/>
      <c r="EGL3569"/>
      <c r="EGM3569"/>
      <c r="EGN3569"/>
      <c r="EGO3569"/>
      <c r="EGP3569"/>
      <c r="EGQ3569"/>
      <c r="EGR3569"/>
      <c r="EGS3569"/>
      <c r="EGT3569"/>
      <c r="EGU3569"/>
      <c r="EGV3569"/>
      <c r="EGW3569"/>
      <c r="EGX3569"/>
      <c r="EGY3569"/>
      <c r="EGZ3569"/>
      <c r="EHA3569"/>
      <c r="EHB3569"/>
      <c r="EHC3569"/>
      <c r="EHD3569"/>
      <c r="EHE3569"/>
      <c r="EHF3569"/>
      <c r="EHG3569"/>
      <c r="EHH3569"/>
      <c r="EHI3569"/>
      <c r="EHJ3569"/>
      <c r="EHK3569"/>
      <c r="EHL3569"/>
      <c r="EHM3569"/>
      <c r="EHN3569"/>
      <c r="EHO3569"/>
      <c r="EHP3569"/>
      <c r="EHQ3569"/>
      <c r="EHR3569"/>
      <c r="EHS3569"/>
      <c r="EHT3569"/>
      <c r="EHU3569"/>
      <c r="EHV3569"/>
      <c r="EHW3569"/>
      <c r="EHX3569"/>
      <c r="EHY3569"/>
      <c r="EHZ3569"/>
      <c r="EIA3569"/>
      <c r="EIB3569"/>
      <c r="EIC3569"/>
      <c r="EID3569"/>
      <c r="EIE3569"/>
      <c r="EIF3569"/>
      <c r="EIG3569"/>
      <c r="EIH3569"/>
      <c r="EII3569"/>
      <c r="EIJ3569"/>
      <c r="EIK3569"/>
      <c r="EIL3569"/>
      <c r="EIM3569"/>
      <c r="EIN3569"/>
      <c r="EIO3569"/>
      <c r="EIP3569"/>
      <c r="EIQ3569"/>
      <c r="EIR3569"/>
      <c r="EIS3569"/>
      <c r="EIT3569"/>
      <c r="EIU3569"/>
      <c r="EIV3569"/>
      <c r="EIW3569"/>
      <c r="EIX3569"/>
      <c r="EIY3569"/>
      <c r="EIZ3569"/>
      <c r="EJA3569"/>
      <c r="EJB3569"/>
      <c r="EJC3569"/>
      <c r="EJD3569"/>
      <c r="EJE3569"/>
      <c r="EJF3569"/>
      <c r="EJG3569"/>
      <c r="EJH3569"/>
      <c r="EJI3569"/>
      <c r="EJJ3569"/>
      <c r="EJK3569"/>
      <c r="EJL3569"/>
      <c r="EJM3569"/>
      <c r="EJN3569"/>
      <c r="EJO3569"/>
      <c r="EJP3569"/>
      <c r="EJQ3569"/>
      <c r="EJR3569"/>
      <c r="EJS3569"/>
      <c r="EJT3569"/>
      <c r="EJU3569"/>
      <c r="EJV3569"/>
      <c r="EJW3569"/>
      <c r="EJX3569"/>
      <c r="EJY3569"/>
      <c r="EJZ3569"/>
      <c r="EKA3569"/>
      <c r="EKB3569"/>
      <c r="EKC3569"/>
      <c r="EKD3569"/>
      <c r="EKE3569"/>
      <c r="EKF3569"/>
      <c r="EKG3569"/>
      <c r="EKH3569"/>
      <c r="EKI3569"/>
      <c r="EKJ3569"/>
      <c r="EKK3569"/>
      <c r="EKL3569"/>
      <c r="EKM3569"/>
      <c r="EKN3569"/>
      <c r="EKO3569"/>
      <c r="EKP3569"/>
      <c r="EKQ3569"/>
      <c r="EKR3569"/>
      <c r="EKS3569"/>
      <c r="EKT3569"/>
      <c r="EKU3569"/>
      <c r="EKV3569"/>
      <c r="EKW3569"/>
      <c r="EKX3569"/>
      <c r="EKY3569"/>
      <c r="EKZ3569"/>
      <c r="ELA3569"/>
      <c r="ELB3569"/>
      <c r="ELC3569"/>
      <c r="ELD3569"/>
      <c r="ELE3569"/>
      <c r="ELF3569"/>
      <c r="ELG3569"/>
      <c r="ELH3569"/>
      <c r="ELI3569"/>
      <c r="ELJ3569"/>
      <c r="ELK3569"/>
      <c r="ELL3569"/>
      <c r="ELM3569"/>
      <c r="ELN3569"/>
      <c r="ELO3569"/>
      <c r="ELP3569"/>
      <c r="ELQ3569"/>
      <c r="ELR3569"/>
      <c r="ELS3569"/>
      <c r="ELT3569"/>
      <c r="ELU3569"/>
      <c r="ELV3569"/>
      <c r="ELW3569"/>
      <c r="ELX3569"/>
      <c r="ELY3569"/>
      <c r="ELZ3569"/>
      <c r="EMA3569"/>
      <c r="EMB3569"/>
      <c r="EMC3569"/>
      <c r="EMD3569"/>
      <c r="EME3569"/>
      <c r="EMF3569"/>
      <c r="EMG3569"/>
      <c r="EMH3569"/>
      <c r="EMI3569"/>
      <c r="EMJ3569"/>
      <c r="EMK3569"/>
      <c r="EML3569"/>
      <c r="EMM3569"/>
      <c r="EMN3569"/>
      <c r="EMO3569"/>
      <c r="EMP3569"/>
      <c r="EMQ3569"/>
      <c r="EMR3569"/>
      <c r="EMS3569"/>
      <c r="EMT3569"/>
      <c r="EMU3569"/>
      <c r="EMV3569"/>
      <c r="EMW3569"/>
      <c r="EMX3569"/>
      <c r="EMY3569"/>
      <c r="EMZ3569"/>
      <c r="ENA3569"/>
      <c r="ENB3569"/>
      <c r="ENC3569"/>
      <c r="END3569"/>
      <c r="ENE3569"/>
      <c r="ENF3569"/>
      <c r="ENG3569"/>
      <c r="ENH3569"/>
      <c r="ENI3569"/>
      <c r="ENJ3569"/>
      <c r="ENK3569"/>
      <c r="ENL3569"/>
      <c r="ENM3569"/>
      <c r="ENN3569"/>
      <c r="ENO3569"/>
      <c r="ENP3569"/>
      <c r="ENQ3569"/>
      <c r="ENR3569"/>
      <c r="ENS3569"/>
      <c r="ENT3569"/>
      <c r="ENU3569"/>
      <c r="ENV3569"/>
      <c r="ENW3569"/>
      <c r="ENX3569"/>
      <c r="ENY3569"/>
      <c r="ENZ3569"/>
      <c r="EOA3569"/>
      <c r="EOB3569"/>
      <c r="EOC3569"/>
      <c r="EOD3569"/>
      <c r="EOE3569"/>
      <c r="EOF3569"/>
      <c r="EOG3569"/>
      <c r="EOH3569"/>
      <c r="EOI3569"/>
      <c r="EOJ3569"/>
      <c r="EOK3569"/>
      <c r="EOL3569"/>
      <c r="EOM3569"/>
      <c r="EON3569"/>
      <c r="EOO3569"/>
      <c r="EOP3569"/>
      <c r="EOQ3569"/>
      <c r="EOR3569"/>
      <c r="EOS3569"/>
      <c r="EOT3569"/>
      <c r="EOU3569"/>
      <c r="EOV3569"/>
      <c r="EOW3569"/>
      <c r="EOX3569"/>
      <c r="EOY3569"/>
      <c r="EOZ3569"/>
      <c r="EPA3569"/>
      <c r="EPB3569"/>
      <c r="EPC3569"/>
      <c r="EPD3569"/>
      <c r="EPE3569"/>
      <c r="EPF3569"/>
      <c r="EPG3569"/>
      <c r="EPH3569"/>
      <c r="EPI3569"/>
      <c r="EPJ3569"/>
      <c r="EPK3569"/>
      <c r="EPL3569"/>
      <c r="EPM3569"/>
      <c r="EPN3569"/>
      <c r="EPO3569"/>
      <c r="EPP3569"/>
      <c r="EPQ3569"/>
      <c r="EPR3569"/>
      <c r="EPS3569"/>
      <c r="EPT3569"/>
      <c r="EPU3569"/>
      <c r="EPV3569"/>
      <c r="EPW3569"/>
      <c r="EPX3569"/>
      <c r="EPY3569"/>
      <c r="EPZ3569"/>
      <c r="EQA3569"/>
      <c r="EQB3569"/>
      <c r="EQC3569"/>
      <c r="EQD3569"/>
      <c r="EQE3569"/>
      <c r="EQF3569"/>
      <c r="EQG3569"/>
      <c r="EQH3569"/>
      <c r="EQI3569"/>
      <c r="EQJ3569"/>
      <c r="EQK3569"/>
      <c r="EQL3569"/>
      <c r="EQM3569"/>
      <c r="EQN3569"/>
      <c r="EQO3569"/>
      <c r="EQP3569"/>
      <c r="EQQ3569"/>
      <c r="EQR3569"/>
      <c r="EQS3569"/>
      <c r="EQT3569"/>
      <c r="EQU3569"/>
      <c r="EQV3569"/>
      <c r="EQW3569"/>
      <c r="EQX3569"/>
      <c r="EQY3569"/>
      <c r="EQZ3569"/>
      <c r="ERA3569"/>
      <c r="ERB3569"/>
      <c r="ERC3569"/>
      <c r="ERD3569"/>
      <c r="ERE3569"/>
      <c r="ERF3569"/>
      <c r="ERG3569"/>
      <c r="ERH3569"/>
      <c r="ERI3569"/>
      <c r="ERJ3569"/>
      <c r="ERK3569"/>
      <c r="ERL3569"/>
      <c r="ERM3569"/>
      <c r="ERN3569"/>
      <c r="ERO3569"/>
      <c r="ERP3569"/>
      <c r="ERQ3569"/>
      <c r="ERR3569"/>
      <c r="ERS3569"/>
      <c r="ERT3569"/>
      <c r="ERU3569"/>
      <c r="ERV3569"/>
      <c r="ERW3569"/>
      <c r="ERX3569"/>
      <c r="ERY3569"/>
      <c r="ERZ3569"/>
      <c r="ESA3569"/>
      <c r="ESB3569"/>
      <c r="ESC3569"/>
      <c r="ESD3569"/>
      <c r="ESE3569"/>
      <c r="ESF3569"/>
      <c r="ESG3569"/>
      <c r="ESH3569"/>
      <c r="ESI3569"/>
      <c r="ESJ3569"/>
      <c r="ESK3569"/>
      <c r="ESL3569"/>
      <c r="ESM3569"/>
      <c r="ESN3569"/>
      <c r="ESO3569"/>
      <c r="ESP3569"/>
      <c r="ESQ3569"/>
      <c r="ESR3569"/>
      <c r="ESS3569"/>
      <c r="EST3569"/>
      <c r="ESU3569"/>
      <c r="ESV3569"/>
      <c r="ESW3569"/>
      <c r="ESX3569"/>
      <c r="ESY3569"/>
      <c r="ESZ3569"/>
      <c r="ETA3569"/>
      <c r="ETB3569"/>
      <c r="ETC3569"/>
      <c r="ETD3569"/>
      <c r="ETE3569"/>
      <c r="ETF3569"/>
      <c r="ETG3569"/>
      <c r="ETH3569"/>
      <c r="ETI3569"/>
      <c r="ETJ3569"/>
      <c r="ETK3569"/>
      <c r="ETL3569"/>
      <c r="ETM3569"/>
      <c r="ETN3569"/>
      <c r="ETO3569"/>
      <c r="ETP3569"/>
      <c r="ETQ3569"/>
      <c r="ETR3569"/>
      <c r="ETS3569"/>
      <c r="ETT3569"/>
      <c r="ETU3569"/>
      <c r="ETV3569"/>
      <c r="ETW3569"/>
      <c r="ETX3569"/>
      <c r="ETY3569"/>
      <c r="ETZ3569"/>
      <c r="EUA3569"/>
      <c r="EUB3569"/>
      <c r="EUC3569"/>
      <c r="EUD3569"/>
      <c r="EUE3569"/>
      <c r="EUF3569"/>
      <c r="EUG3569"/>
      <c r="EUH3569"/>
      <c r="EUI3569"/>
      <c r="EUJ3569"/>
      <c r="EUK3569"/>
      <c r="EUL3569"/>
      <c r="EUM3569"/>
      <c r="EUN3569"/>
      <c r="EUO3569"/>
      <c r="EUP3569"/>
      <c r="EUQ3569"/>
      <c r="EUR3569"/>
      <c r="EUS3569"/>
      <c r="EUT3569"/>
      <c r="EUU3569"/>
      <c r="EUV3569"/>
      <c r="EUW3569"/>
      <c r="EUX3569"/>
      <c r="EUY3569"/>
      <c r="EUZ3569"/>
      <c r="EVA3569"/>
      <c r="EVB3569"/>
      <c r="EVC3569"/>
      <c r="EVD3569"/>
      <c r="EVE3569"/>
      <c r="EVF3569"/>
      <c r="EVG3569"/>
      <c r="EVH3569"/>
      <c r="EVI3569"/>
      <c r="EVJ3569"/>
      <c r="EVK3569"/>
      <c r="EVL3569"/>
      <c r="EVM3569"/>
      <c r="EVN3569"/>
      <c r="EVO3569"/>
      <c r="EVP3569"/>
      <c r="EVQ3569"/>
      <c r="EVR3569"/>
      <c r="EVS3569"/>
      <c r="EVT3569"/>
      <c r="EVU3569"/>
      <c r="EVV3569"/>
      <c r="EVW3569"/>
      <c r="EVX3569"/>
      <c r="EVY3569"/>
      <c r="EVZ3569"/>
      <c r="EWA3569"/>
      <c r="EWB3569"/>
      <c r="EWC3569"/>
      <c r="EWD3569"/>
      <c r="EWE3569"/>
      <c r="EWF3569"/>
      <c r="EWG3569"/>
      <c r="EWH3569"/>
      <c r="EWI3569"/>
      <c r="EWJ3569"/>
      <c r="EWK3569"/>
      <c r="EWL3569"/>
      <c r="EWM3569"/>
      <c r="EWN3569"/>
      <c r="EWO3569"/>
      <c r="EWP3569"/>
      <c r="EWQ3569"/>
      <c r="EWR3569"/>
      <c r="EWS3569"/>
      <c r="EWT3569"/>
      <c r="EWU3569"/>
      <c r="EWV3569"/>
      <c r="EWW3569"/>
      <c r="EWX3569"/>
      <c r="EWY3569"/>
      <c r="EWZ3569"/>
      <c r="EXA3569"/>
      <c r="EXB3569"/>
      <c r="EXC3569"/>
      <c r="EXD3569"/>
      <c r="EXE3569"/>
      <c r="EXF3569"/>
      <c r="EXG3569"/>
      <c r="EXH3569"/>
      <c r="EXI3569"/>
      <c r="EXJ3569"/>
      <c r="EXK3569"/>
      <c r="EXL3569"/>
      <c r="EXM3569"/>
      <c r="EXN3569"/>
      <c r="EXO3569"/>
      <c r="EXP3569"/>
      <c r="EXQ3569"/>
      <c r="EXR3569"/>
      <c r="EXS3569"/>
      <c r="EXT3569"/>
      <c r="EXU3569"/>
      <c r="EXV3569"/>
      <c r="EXW3569"/>
      <c r="EXX3569"/>
      <c r="EXY3569"/>
      <c r="EXZ3569"/>
      <c r="EYA3569"/>
      <c r="EYB3569"/>
      <c r="EYC3569"/>
      <c r="EYD3569"/>
      <c r="EYE3569"/>
      <c r="EYF3569"/>
      <c r="EYG3569"/>
      <c r="EYH3569"/>
      <c r="EYI3569"/>
      <c r="EYJ3569"/>
      <c r="EYK3569"/>
      <c r="EYL3569"/>
      <c r="EYM3569"/>
      <c r="EYN3569"/>
      <c r="EYO3569"/>
      <c r="EYP3569"/>
      <c r="EYQ3569"/>
      <c r="EYR3569"/>
      <c r="EYS3569"/>
      <c r="EYT3569"/>
      <c r="EYU3569"/>
      <c r="EYV3569"/>
      <c r="EYW3569"/>
      <c r="EYX3569"/>
      <c r="EYY3569"/>
      <c r="EYZ3569"/>
      <c r="EZA3569"/>
      <c r="EZB3569"/>
      <c r="EZC3569"/>
      <c r="EZD3569"/>
      <c r="EZE3569"/>
      <c r="EZF3569"/>
      <c r="EZG3569"/>
      <c r="EZH3569"/>
      <c r="EZI3569"/>
      <c r="EZJ3569"/>
      <c r="EZK3569"/>
      <c r="EZL3569"/>
      <c r="EZM3569"/>
      <c r="EZN3569"/>
      <c r="EZO3569"/>
      <c r="EZP3569"/>
      <c r="EZQ3569"/>
      <c r="EZR3569"/>
      <c r="EZS3569"/>
      <c r="EZT3569"/>
      <c r="EZU3569"/>
      <c r="EZV3569"/>
      <c r="EZW3569"/>
      <c r="EZX3569"/>
      <c r="EZY3569"/>
      <c r="EZZ3569"/>
      <c r="FAA3569"/>
      <c r="FAB3569"/>
      <c r="FAC3569"/>
      <c r="FAD3569"/>
      <c r="FAE3569"/>
      <c r="FAF3569"/>
      <c r="FAG3569"/>
      <c r="FAH3569"/>
      <c r="FAI3569"/>
      <c r="FAJ3569"/>
      <c r="FAK3569"/>
      <c r="FAL3569"/>
      <c r="FAM3569"/>
      <c r="FAN3569"/>
      <c r="FAO3569"/>
      <c r="FAP3569"/>
      <c r="FAQ3569"/>
      <c r="FAR3569"/>
      <c r="FAS3569"/>
      <c r="FAT3569"/>
      <c r="FAU3569"/>
      <c r="FAV3569"/>
      <c r="FAW3569"/>
      <c r="FAX3569"/>
      <c r="FAY3569"/>
      <c r="FAZ3569"/>
      <c r="FBA3569"/>
      <c r="FBB3569"/>
      <c r="FBC3569"/>
      <c r="FBD3569"/>
      <c r="FBE3569"/>
      <c r="FBF3569"/>
      <c r="FBG3569"/>
      <c r="FBH3569"/>
      <c r="FBI3569"/>
      <c r="FBJ3569"/>
      <c r="FBK3569"/>
      <c r="FBL3569"/>
      <c r="FBM3569"/>
      <c r="FBN3569"/>
      <c r="FBO3569"/>
      <c r="FBP3569"/>
      <c r="FBQ3569"/>
      <c r="FBR3569"/>
      <c r="FBS3569"/>
      <c r="FBT3569"/>
      <c r="FBU3569"/>
      <c r="FBV3569"/>
      <c r="FBW3569"/>
      <c r="FBX3569"/>
      <c r="FBY3569"/>
      <c r="FBZ3569"/>
      <c r="FCA3569"/>
      <c r="FCB3569"/>
      <c r="FCC3569"/>
      <c r="FCD3569"/>
      <c r="FCE3569"/>
      <c r="FCF3569"/>
      <c r="FCG3569"/>
      <c r="FCH3569"/>
      <c r="FCI3569"/>
      <c r="FCJ3569"/>
      <c r="FCK3569"/>
      <c r="FCL3569"/>
      <c r="FCM3569"/>
      <c r="FCN3569"/>
      <c r="FCO3569"/>
      <c r="FCP3569"/>
      <c r="FCQ3569"/>
      <c r="FCR3569"/>
      <c r="FCS3569"/>
      <c r="FCT3569"/>
      <c r="FCU3569"/>
      <c r="FCV3569"/>
      <c r="FCW3569"/>
      <c r="FCX3569"/>
      <c r="FCY3569"/>
      <c r="FCZ3569"/>
      <c r="FDA3569"/>
      <c r="FDB3569"/>
      <c r="FDC3569"/>
      <c r="FDD3569"/>
      <c r="FDE3569"/>
      <c r="FDF3569"/>
      <c r="FDG3569"/>
      <c r="FDH3569"/>
      <c r="FDI3569"/>
      <c r="FDJ3569"/>
      <c r="FDK3569"/>
      <c r="FDL3569"/>
      <c r="FDM3569"/>
      <c r="FDN3569"/>
      <c r="FDO3569"/>
      <c r="FDP3569"/>
      <c r="FDQ3569"/>
      <c r="FDR3569"/>
      <c r="FDS3569"/>
      <c r="FDT3569"/>
      <c r="FDU3569"/>
      <c r="FDV3569"/>
      <c r="FDW3569"/>
      <c r="FDX3569"/>
      <c r="FDY3569"/>
      <c r="FDZ3569"/>
      <c r="FEA3569"/>
      <c r="FEB3569"/>
      <c r="FEC3569"/>
      <c r="FED3569"/>
      <c r="FEE3569"/>
      <c r="FEF3569"/>
      <c r="FEG3569"/>
      <c r="FEH3569"/>
      <c r="FEI3569"/>
      <c r="FEJ3569"/>
      <c r="FEK3569"/>
      <c r="FEL3569"/>
      <c r="FEM3569"/>
      <c r="FEN3569"/>
      <c r="FEO3569"/>
      <c r="FEP3569"/>
      <c r="FEQ3569"/>
      <c r="FER3569"/>
      <c r="FES3569"/>
      <c r="FET3569"/>
      <c r="FEU3569"/>
      <c r="FEV3569"/>
      <c r="FEW3569"/>
      <c r="FEX3569"/>
      <c r="FEY3569"/>
      <c r="FEZ3569"/>
      <c r="FFA3569"/>
      <c r="FFB3569"/>
      <c r="FFC3569"/>
      <c r="FFD3569"/>
      <c r="FFE3569"/>
      <c r="FFF3569"/>
      <c r="FFG3569"/>
      <c r="FFH3569"/>
      <c r="FFI3569"/>
      <c r="FFJ3569"/>
      <c r="FFK3569"/>
      <c r="FFL3569"/>
      <c r="FFM3569"/>
      <c r="FFN3569"/>
      <c r="FFO3569"/>
      <c r="FFP3569"/>
      <c r="FFQ3569"/>
      <c r="FFR3569"/>
      <c r="FFS3569"/>
      <c r="FFT3569"/>
      <c r="FFU3569"/>
      <c r="FFV3569"/>
      <c r="FFW3569"/>
      <c r="FFX3569"/>
      <c r="FFY3569"/>
      <c r="FFZ3569"/>
      <c r="FGA3569"/>
      <c r="FGB3569"/>
      <c r="FGC3569"/>
      <c r="FGD3569"/>
      <c r="FGE3569"/>
      <c r="FGF3569"/>
      <c r="FGG3569"/>
      <c r="FGH3569"/>
      <c r="FGI3569"/>
      <c r="FGJ3569"/>
      <c r="FGK3569"/>
      <c r="FGL3569"/>
      <c r="FGM3569"/>
      <c r="FGN3569"/>
      <c r="FGO3569"/>
      <c r="FGP3569"/>
      <c r="FGQ3569"/>
      <c r="FGR3569"/>
      <c r="FGS3569"/>
      <c r="FGT3569"/>
      <c r="FGU3569"/>
      <c r="FGV3569"/>
      <c r="FGW3569"/>
      <c r="FGX3569"/>
      <c r="FGY3569"/>
      <c r="FGZ3569"/>
      <c r="FHA3569"/>
      <c r="FHB3569"/>
      <c r="FHC3569"/>
      <c r="FHD3569"/>
      <c r="FHE3569"/>
      <c r="FHF3569"/>
      <c r="FHG3569"/>
      <c r="FHH3569"/>
      <c r="FHI3569"/>
      <c r="FHJ3569"/>
      <c r="FHK3569"/>
      <c r="FHL3569"/>
      <c r="FHM3569"/>
      <c r="FHN3569"/>
      <c r="FHO3569"/>
      <c r="FHP3569"/>
      <c r="FHQ3569"/>
      <c r="FHR3569"/>
      <c r="FHS3569"/>
      <c r="FHT3569"/>
      <c r="FHU3569"/>
      <c r="FHV3569"/>
      <c r="FHW3569"/>
      <c r="FHX3569"/>
      <c r="FHY3569"/>
      <c r="FHZ3569"/>
      <c r="FIA3569"/>
      <c r="FIB3569"/>
      <c r="FIC3569"/>
      <c r="FID3569"/>
      <c r="FIE3569"/>
      <c r="FIF3569"/>
      <c r="FIG3569"/>
      <c r="FIH3569"/>
      <c r="FII3569"/>
      <c r="FIJ3569"/>
      <c r="FIK3569"/>
      <c r="FIL3569"/>
      <c r="FIM3569"/>
      <c r="FIN3569"/>
      <c r="FIO3569"/>
      <c r="FIP3569"/>
      <c r="FIQ3569"/>
      <c r="FIR3569"/>
      <c r="FIS3569"/>
      <c r="FIT3569"/>
      <c r="FIU3569"/>
      <c r="FIV3569"/>
      <c r="FIW3569"/>
      <c r="FIX3569"/>
      <c r="FIY3569"/>
      <c r="FIZ3569"/>
      <c r="FJA3569"/>
      <c r="FJB3569"/>
      <c r="FJC3569"/>
      <c r="FJD3569"/>
      <c r="FJE3569"/>
      <c r="FJF3569"/>
      <c r="FJG3569"/>
      <c r="FJH3569"/>
      <c r="FJI3569"/>
      <c r="FJJ3569"/>
      <c r="FJK3569"/>
      <c r="FJL3569"/>
      <c r="FJM3569"/>
      <c r="FJN3569"/>
      <c r="FJO3569"/>
      <c r="FJP3569"/>
      <c r="FJQ3569"/>
      <c r="FJR3569"/>
      <c r="FJS3569"/>
      <c r="FJT3569"/>
      <c r="FJU3569"/>
      <c r="FJV3569"/>
      <c r="FJW3569"/>
      <c r="FJX3569"/>
      <c r="FJY3569"/>
      <c r="FJZ3569"/>
      <c r="FKA3569"/>
      <c r="FKB3569"/>
      <c r="FKC3569"/>
      <c r="FKD3569"/>
      <c r="FKE3569"/>
      <c r="FKF3569"/>
      <c r="FKG3569"/>
      <c r="FKH3569"/>
      <c r="FKI3569"/>
      <c r="FKJ3569"/>
      <c r="FKK3569"/>
      <c r="FKL3569"/>
      <c r="FKM3569"/>
      <c r="FKN3569"/>
      <c r="FKO3569"/>
      <c r="FKP3569"/>
      <c r="FKQ3569"/>
      <c r="FKR3569"/>
      <c r="FKS3569"/>
      <c r="FKT3569"/>
      <c r="FKU3569"/>
      <c r="FKV3569"/>
      <c r="FKW3569"/>
      <c r="FKX3569"/>
      <c r="FKY3569"/>
      <c r="FKZ3569"/>
      <c r="FLA3569"/>
      <c r="FLB3569"/>
      <c r="FLC3569"/>
      <c r="FLD3569"/>
      <c r="FLE3569"/>
      <c r="FLF3569"/>
      <c r="FLG3569"/>
      <c r="FLH3569"/>
      <c r="FLI3569"/>
      <c r="FLJ3569"/>
      <c r="FLK3569"/>
      <c r="FLL3569"/>
      <c r="FLM3569"/>
      <c r="FLN3569"/>
      <c r="FLO3569"/>
      <c r="FLP3569"/>
      <c r="FLQ3569"/>
      <c r="FLR3569"/>
      <c r="FLS3569"/>
      <c r="FLT3569"/>
      <c r="FLU3569"/>
      <c r="FLV3569"/>
      <c r="FLW3569"/>
      <c r="FLX3569"/>
      <c r="FLY3569"/>
      <c r="FLZ3569"/>
      <c r="FMA3569"/>
      <c r="FMB3569"/>
      <c r="FMC3569"/>
      <c r="FMD3569"/>
      <c r="FME3569"/>
      <c r="FMF3569"/>
      <c r="FMG3569"/>
      <c r="FMH3569"/>
      <c r="FMI3569"/>
      <c r="FMJ3569"/>
      <c r="FMK3569"/>
      <c r="FML3569"/>
      <c r="FMM3569"/>
      <c r="FMN3569"/>
      <c r="FMO3569"/>
      <c r="FMP3569"/>
      <c r="FMQ3569"/>
      <c r="FMR3569"/>
      <c r="FMS3569"/>
      <c r="FMT3569"/>
      <c r="FMU3569"/>
      <c r="FMV3569"/>
      <c r="FMW3569"/>
      <c r="FMX3569"/>
      <c r="FMY3569"/>
      <c r="FMZ3569"/>
      <c r="FNA3569"/>
      <c r="FNB3569"/>
      <c r="FNC3569"/>
      <c r="FND3569"/>
      <c r="FNE3569"/>
      <c r="FNF3569"/>
      <c r="FNG3569"/>
      <c r="FNH3569"/>
      <c r="FNI3569"/>
      <c r="FNJ3569"/>
      <c r="FNK3569"/>
      <c r="FNL3569"/>
      <c r="FNM3569"/>
      <c r="FNN3569"/>
      <c r="FNO3569"/>
      <c r="FNP3569"/>
      <c r="FNQ3569"/>
      <c r="FNR3569"/>
      <c r="FNS3569"/>
      <c r="FNT3569"/>
      <c r="FNU3569"/>
      <c r="FNV3569"/>
      <c r="FNW3569"/>
      <c r="FNX3569"/>
      <c r="FNY3569"/>
      <c r="FNZ3569"/>
      <c r="FOA3569"/>
      <c r="FOB3569"/>
      <c r="FOC3569"/>
      <c r="FOD3569"/>
      <c r="FOE3569"/>
      <c r="FOF3569"/>
      <c r="FOG3569"/>
      <c r="FOH3569"/>
      <c r="FOI3569"/>
      <c r="FOJ3569"/>
      <c r="FOK3569"/>
      <c r="FOL3569"/>
      <c r="FOM3569"/>
      <c r="FON3569"/>
      <c r="FOO3569"/>
      <c r="FOP3569"/>
      <c r="FOQ3569"/>
      <c r="FOR3569"/>
      <c r="FOS3569"/>
      <c r="FOT3569"/>
      <c r="FOU3569"/>
      <c r="FOV3569"/>
      <c r="FOW3569"/>
      <c r="FOX3569"/>
      <c r="FOY3569"/>
      <c r="FOZ3569"/>
      <c r="FPA3569"/>
      <c r="FPB3569"/>
      <c r="FPC3569"/>
      <c r="FPD3569"/>
      <c r="FPE3569"/>
      <c r="FPF3569"/>
      <c r="FPG3569"/>
      <c r="FPH3569"/>
      <c r="FPI3569"/>
      <c r="FPJ3569"/>
      <c r="FPK3569"/>
      <c r="FPL3569"/>
      <c r="FPM3569"/>
      <c r="FPN3569"/>
      <c r="FPO3569"/>
      <c r="FPP3569"/>
      <c r="FPQ3569"/>
      <c r="FPR3569"/>
      <c r="FPS3569"/>
      <c r="FPT3569"/>
      <c r="FPU3569"/>
      <c r="FPV3569"/>
      <c r="FPW3569"/>
      <c r="FPX3569"/>
      <c r="FPY3569"/>
      <c r="FPZ3569"/>
      <c r="FQA3569"/>
      <c r="FQB3569"/>
      <c r="FQC3569"/>
      <c r="FQD3569"/>
      <c r="FQE3569"/>
      <c r="FQF3569"/>
      <c r="FQG3569"/>
      <c r="FQH3569"/>
      <c r="FQI3569"/>
      <c r="FQJ3569"/>
      <c r="FQK3569"/>
      <c r="FQL3569"/>
      <c r="FQM3569"/>
      <c r="FQN3569"/>
      <c r="FQO3569"/>
      <c r="FQP3569"/>
      <c r="FQQ3569"/>
      <c r="FQR3569"/>
      <c r="FQS3569"/>
      <c r="FQT3569"/>
      <c r="FQU3569"/>
      <c r="FQV3569"/>
      <c r="FQW3569"/>
      <c r="FQX3569"/>
      <c r="FQY3569"/>
      <c r="FQZ3569"/>
      <c r="FRA3569"/>
      <c r="FRB3569"/>
      <c r="FRC3569"/>
      <c r="FRD3569"/>
      <c r="FRE3569"/>
      <c r="FRF3569"/>
      <c r="FRG3569"/>
      <c r="FRH3569"/>
      <c r="FRI3569"/>
      <c r="FRJ3569"/>
      <c r="FRK3569"/>
      <c r="FRL3569"/>
      <c r="FRM3569"/>
      <c r="FRN3569"/>
      <c r="FRO3569"/>
      <c r="FRP3569"/>
      <c r="FRQ3569"/>
      <c r="FRR3569"/>
      <c r="FRS3569"/>
      <c r="FRT3569"/>
      <c r="FRU3569"/>
      <c r="FRV3569"/>
      <c r="FRW3569"/>
      <c r="FRX3569"/>
      <c r="FRY3569"/>
      <c r="FRZ3569"/>
      <c r="FSA3569"/>
      <c r="FSB3569"/>
      <c r="FSC3569"/>
      <c r="FSD3569"/>
      <c r="FSE3569"/>
      <c r="FSF3569"/>
      <c r="FSG3569"/>
      <c r="FSH3569"/>
      <c r="FSI3569"/>
      <c r="FSJ3569"/>
      <c r="FSK3569"/>
      <c r="FSL3569"/>
      <c r="FSM3569"/>
      <c r="FSN3569"/>
      <c r="FSO3569"/>
      <c r="FSP3569"/>
      <c r="FSQ3569"/>
      <c r="FSR3569"/>
      <c r="FSS3569"/>
      <c r="FST3569"/>
      <c r="FSU3569"/>
      <c r="FSV3569"/>
      <c r="FSW3569"/>
      <c r="FSX3569"/>
      <c r="FSY3569"/>
      <c r="FSZ3569"/>
      <c r="FTA3569"/>
      <c r="FTB3569"/>
      <c r="FTC3569"/>
      <c r="FTD3569"/>
      <c r="FTE3569"/>
      <c r="FTF3569"/>
      <c r="FTG3569"/>
      <c r="FTH3569"/>
      <c r="FTI3569"/>
      <c r="FTJ3569"/>
      <c r="FTK3569"/>
      <c r="FTL3569"/>
      <c r="FTM3569"/>
      <c r="FTN3569"/>
      <c r="FTO3569"/>
      <c r="FTP3569"/>
      <c r="FTQ3569"/>
      <c r="FTR3569"/>
      <c r="FTS3569"/>
      <c r="FTT3569"/>
      <c r="FTU3569"/>
      <c r="FTV3569"/>
      <c r="FTW3569"/>
      <c r="FTX3569"/>
      <c r="FTY3569"/>
      <c r="FTZ3569"/>
      <c r="FUA3569"/>
      <c r="FUB3569"/>
      <c r="FUC3569"/>
      <c r="FUD3569"/>
      <c r="FUE3569"/>
      <c r="FUF3569"/>
      <c r="FUG3569"/>
      <c r="FUH3569"/>
      <c r="FUI3569"/>
      <c r="FUJ3569"/>
      <c r="FUK3569"/>
      <c r="FUL3569"/>
      <c r="FUM3569"/>
      <c r="FUN3569"/>
      <c r="FUO3569"/>
      <c r="FUP3569"/>
      <c r="FUQ3569"/>
      <c r="FUR3569"/>
      <c r="FUS3569"/>
      <c r="FUT3569"/>
      <c r="FUU3569"/>
      <c r="FUV3569"/>
      <c r="FUW3569"/>
      <c r="FUX3569"/>
      <c r="FUY3569"/>
      <c r="FUZ3569"/>
      <c r="FVA3569"/>
      <c r="FVB3569"/>
      <c r="FVC3569"/>
      <c r="FVD3569"/>
      <c r="FVE3569"/>
      <c r="FVF3569"/>
      <c r="FVG3569"/>
      <c r="FVH3569"/>
      <c r="FVI3569"/>
      <c r="FVJ3569"/>
      <c r="FVK3569"/>
      <c r="FVL3569"/>
      <c r="FVM3569"/>
      <c r="FVN3569"/>
      <c r="FVO3569"/>
      <c r="FVP3569"/>
      <c r="FVQ3569"/>
      <c r="FVR3569"/>
      <c r="FVS3569"/>
      <c r="FVT3569"/>
      <c r="FVU3569"/>
      <c r="FVV3569"/>
      <c r="FVW3569"/>
      <c r="FVX3569"/>
      <c r="FVY3569"/>
      <c r="FVZ3569"/>
      <c r="FWA3569"/>
      <c r="FWB3569"/>
      <c r="FWC3569"/>
      <c r="FWD3569"/>
      <c r="FWE3569"/>
      <c r="FWF3569"/>
      <c r="FWG3569"/>
      <c r="FWH3569"/>
      <c r="FWI3569"/>
      <c r="FWJ3569"/>
      <c r="FWK3569"/>
      <c r="FWL3569"/>
      <c r="FWM3569"/>
      <c r="FWN3569"/>
      <c r="FWO3569"/>
      <c r="FWP3569"/>
      <c r="FWQ3569"/>
      <c r="FWR3569"/>
      <c r="FWS3569"/>
      <c r="FWT3569"/>
      <c r="FWU3569"/>
      <c r="FWV3569"/>
      <c r="FWW3569"/>
      <c r="FWX3569"/>
      <c r="FWY3569"/>
      <c r="FWZ3569"/>
      <c r="FXA3569"/>
      <c r="FXB3569"/>
      <c r="FXC3569"/>
      <c r="FXD3569"/>
      <c r="FXE3569"/>
      <c r="FXF3569"/>
      <c r="FXG3569"/>
      <c r="FXH3569"/>
      <c r="FXI3569"/>
      <c r="FXJ3569"/>
      <c r="FXK3569"/>
      <c r="FXL3569"/>
      <c r="FXM3569"/>
      <c r="FXN3569"/>
      <c r="FXO3569"/>
      <c r="FXP3569"/>
      <c r="FXQ3569"/>
      <c r="FXR3569"/>
      <c r="FXS3569"/>
      <c r="FXT3569"/>
      <c r="FXU3569"/>
      <c r="FXV3569"/>
      <c r="FXW3569"/>
      <c r="FXX3569"/>
      <c r="FXY3569"/>
      <c r="FXZ3569"/>
      <c r="FYA3569"/>
      <c r="FYB3569"/>
      <c r="FYC3569"/>
      <c r="FYD3569"/>
      <c r="FYE3569"/>
      <c r="FYF3569"/>
      <c r="FYG3569"/>
      <c r="FYH3569"/>
      <c r="FYI3569"/>
      <c r="FYJ3569"/>
      <c r="FYK3569"/>
      <c r="FYL3569"/>
      <c r="FYM3569"/>
      <c r="FYN3569"/>
      <c r="FYO3569"/>
      <c r="FYP3569"/>
      <c r="FYQ3569"/>
      <c r="FYR3569"/>
      <c r="FYS3569"/>
      <c r="FYT3569"/>
      <c r="FYU3569"/>
      <c r="FYV3569"/>
      <c r="FYW3569"/>
      <c r="FYX3569"/>
      <c r="FYY3569"/>
      <c r="FYZ3569"/>
      <c r="FZA3569"/>
      <c r="FZB3569"/>
      <c r="FZC3569"/>
      <c r="FZD3569"/>
      <c r="FZE3569"/>
      <c r="FZF3569"/>
      <c r="FZG3569"/>
      <c r="FZH3569"/>
      <c r="FZI3569"/>
      <c r="FZJ3569"/>
      <c r="FZK3569"/>
      <c r="FZL3569"/>
      <c r="FZM3569"/>
      <c r="FZN3569"/>
      <c r="FZO3569"/>
      <c r="FZP3569"/>
      <c r="FZQ3569"/>
      <c r="FZR3569"/>
      <c r="FZS3569"/>
      <c r="FZT3569"/>
      <c r="FZU3569"/>
      <c r="FZV3569"/>
      <c r="FZW3569"/>
      <c r="FZX3569"/>
      <c r="FZY3569"/>
      <c r="FZZ3569"/>
      <c r="GAA3569"/>
      <c r="GAB3569"/>
      <c r="GAC3569"/>
      <c r="GAD3569"/>
      <c r="GAE3569"/>
      <c r="GAF3569"/>
      <c r="GAG3569"/>
      <c r="GAH3569"/>
      <c r="GAI3569"/>
      <c r="GAJ3569"/>
      <c r="GAK3569"/>
      <c r="GAL3569"/>
      <c r="GAM3569"/>
      <c r="GAN3569"/>
      <c r="GAO3569"/>
      <c r="GAP3569"/>
      <c r="GAQ3569"/>
      <c r="GAR3569"/>
      <c r="GAS3569"/>
      <c r="GAT3569"/>
      <c r="GAU3569"/>
      <c r="GAV3569"/>
      <c r="GAW3569"/>
      <c r="GAX3569"/>
      <c r="GAY3569"/>
      <c r="GAZ3569"/>
      <c r="GBA3569"/>
      <c r="GBB3569"/>
      <c r="GBC3569"/>
      <c r="GBD3569"/>
      <c r="GBE3569"/>
      <c r="GBF3569"/>
      <c r="GBG3569"/>
      <c r="GBH3569"/>
      <c r="GBI3569"/>
      <c r="GBJ3569"/>
      <c r="GBK3569"/>
      <c r="GBL3569"/>
      <c r="GBM3569"/>
      <c r="GBN3569"/>
      <c r="GBO3569"/>
      <c r="GBP3569"/>
      <c r="GBQ3569"/>
      <c r="GBR3569"/>
      <c r="GBS3569"/>
      <c r="GBT3569"/>
      <c r="GBU3569"/>
      <c r="GBV3569"/>
      <c r="GBW3569"/>
      <c r="GBX3569"/>
      <c r="GBY3569"/>
      <c r="GBZ3569"/>
      <c r="GCA3569"/>
      <c r="GCB3569"/>
      <c r="GCC3569"/>
      <c r="GCD3569"/>
      <c r="GCE3569"/>
      <c r="GCF3569"/>
      <c r="GCG3569"/>
      <c r="GCH3569"/>
      <c r="GCI3569"/>
      <c r="GCJ3569"/>
      <c r="GCK3569"/>
      <c r="GCL3569"/>
      <c r="GCM3569"/>
      <c r="GCN3569"/>
      <c r="GCO3569"/>
      <c r="GCP3569"/>
      <c r="GCQ3569"/>
      <c r="GCR3569"/>
      <c r="GCS3569"/>
      <c r="GCT3569"/>
      <c r="GCU3569"/>
      <c r="GCV3569"/>
      <c r="GCW3569"/>
      <c r="GCX3569"/>
      <c r="GCY3569"/>
      <c r="GCZ3569"/>
      <c r="GDA3569"/>
      <c r="GDB3569"/>
      <c r="GDC3569"/>
      <c r="GDD3569"/>
      <c r="GDE3569"/>
      <c r="GDF3569"/>
      <c r="GDG3569"/>
      <c r="GDH3569"/>
      <c r="GDI3569"/>
      <c r="GDJ3569"/>
      <c r="GDK3569"/>
      <c r="GDL3569"/>
      <c r="GDM3569"/>
      <c r="GDN3569"/>
      <c r="GDO3569"/>
      <c r="GDP3569"/>
      <c r="GDQ3569"/>
      <c r="GDR3569"/>
      <c r="GDS3569"/>
      <c r="GDT3569"/>
      <c r="GDU3569"/>
      <c r="GDV3569"/>
      <c r="GDW3569"/>
      <c r="GDX3569"/>
      <c r="GDY3569"/>
      <c r="GDZ3569"/>
      <c r="GEA3569"/>
      <c r="GEB3569"/>
      <c r="GEC3569"/>
      <c r="GED3569"/>
      <c r="GEE3569"/>
      <c r="GEF3569"/>
      <c r="GEG3569"/>
      <c r="GEH3569"/>
      <c r="GEI3569"/>
      <c r="GEJ3569"/>
      <c r="GEK3569"/>
      <c r="GEL3569"/>
      <c r="GEM3569"/>
      <c r="GEN3569"/>
      <c r="GEO3569"/>
      <c r="GEP3569"/>
      <c r="GEQ3569"/>
      <c r="GER3569"/>
      <c r="GES3569"/>
      <c r="GET3569"/>
      <c r="GEU3569"/>
      <c r="GEV3569"/>
      <c r="GEW3569"/>
      <c r="GEX3569"/>
      <c r="GEY3569"/>
      <c r="GEZ3569"/>
      <c r="GFA3569"/>
      <c r="GFB3569"/>
      <c r="GFC3569"/>
      <c r="GFD3569"/>
      <c r="GFE3569"/>
      <c r="GFF3569"/>
      <c r="GFG3569"/>
      <c r="GFH3569"/>
      <c r="GFI3569"/>
      <c r="GFJ3569"/>
      <c r="GFK3569"/>
      <c r="GFL3569"/>
      <c r="GFM3569"/>
      <c r="GFN3569"/>
      <c r="GFO3569"/>
      <c r="GFP3569"/>
      <c r="GFQ3569"/>
      <c r="GFR3569"/>
      <c r="GFS3569"/>
      <c r="GFT3569"/>
      <c r="GFU3569"/>
      <c r="GFV3569"/>
      <c r="GFW3569"/>
      <c r="GFX3569"/>
      <c r="GFY3569"/>
      <c r="GFZ3569"/>
      <c r="GGA3569"/>
      <c r="GGB3569"/>
      <c r="GGC3569"/>
      <c r="GGD3569"/>
      <c r="GGE3569"/>
      <c r="GGF3569"/>
      <c r="GGG3569"/>
      <c r="GGH3569"/>
      <c r="GGI3569"/>
      <c r="GGJ3569"/>
      <c r="GGK3569"/>
      <c r="GGL3569"/>
      <c r="GGM3569"/>
      <c r="GGN3569"/>
      <c r="GGO3569"/>
      <c r="GGP3569"/>
      <c r="GGQ3569"/>
      <c r="GGR3569"/>
      <c r="GGS3569"/>
      <c r="GGT3569"/>
      <c r="GGU3569"/>
      <c r="GGV3569"/>
      <c r="GGW3569"/>
      <c r="GGX3569"/>
      <c r="GGY3569"/>
      <c r="GGZ3569"/>
      <c r="GHA3569"/>
      <c r="GHB3569"/>
      <c r="GHC3569"/>
      <c r="GHD3569"/>
      <c r="GHE3569"/>
      <c r="GHF3569"/>
      <c r="GHG3569"/>
      <c r="GHH3569"/>
      <c r="GHI3569"/>
      <c r="GHJ3569"/>
      <c r="GHK3569"/>
      <c r="GHL3569"/>
      <c r="GHM3569"/>
      <c r="GHN3569"/>
      <c r="GHO3569"/>
      <c r="GHP3569"/>
      <c r="GHQ3569"/>
      <c r="GHR3569"/>
      <c r="GHS3569"/>
      <c r="GHT3569"/>
      <c r="GHU3569"/>
      <c r="GHV3569"/>
      <c r="GHW3569"/>
      <c r="GHX3569"/>
      <c r="GHY3569"/>
      <c r="GHZ3569"/>
      <c r="GIA3569"/>
      <c r="GIB3569"/>
      <c r="GIC3569"/>
      <c r="GID3569"/>
      <c r="GIE3569"/>
      <c r="GIF3569"/>
      <c r="GIG3569"/>
      <c r="GIH3569"/>
      <c r="GII3569"/>
      <c r="GIJ3569"/>
      <c r="GIK3569"/>
      <c r="GIL3569"/>
      <c r="GIM3569"/>
      <c r="GIN3569"/>
      <c r="GIO3569"/>
      <c r="GIP3569"/>
      <c r="GIQ3569"/>
      <c r="GIR3569"/>
      <c r="GIS3569"/>
      <c r="GIT3569"/>
      <c r="GIU3569"/>
      <c r="GIV3569"/>
      <c r="GIW3569"/>
      <c r="GIX3569"/>
      <c r="GIY3569"/>
      <c r="GIZ3569"/>
      <c r="GJA3569"/>
      <c r="GJB3569"/>
      <c r="GJC3569"/>
      <c r="GJD3569"/>
      <c r="GJE3569"/>
      <c r="GJF3569"/>
      <c r="GJG3569"/>
      <c r="GJH3569"/>
      <c r="GJI3569"/>
      <c r="GJJ3569"/>
      <c r="GJK3569"/>
      <c r="GJL3569"/>
      <c r="GJM3569"/>
      <c r="GJN3569"/>
      <c r="GJO3569"/>
      <c r="GJP3569"/>
      <c r="GJQ3569"/>
      <c r="GJR3569"/>
      <c r="GJS3569"/>
      <c r="GJT3569"/>
      <c r="GJU3569"/>
      <c r="GJV3569"/>
      <c r="GJW3569"/>
      <c r="GJX3569"/>
      <c r="GJY3569"/>
      <c r="GJZ3569"/>
      <c r="GKA3569"/>
      <c r="GKB3569"/>
      <c r="GKC3569"/>
      <c r="GKD3569"/>
      <c r="GKE3569"/>
      <c r="GKF3569"/>
      <c r="GKG3569"/>
      <c r="GKH3569"/>
      <c r="GKI3569"/>
      <c r="GKJ3569"/>
      <c r="GKK3569"/>
      <c r="GKL3569"/>
      <c r="GKM3569"/>
      <c r="GKN3569"/>
      <c r="GKO3569"/>
      <c r="GKP3569"/>
      <c r="GKQ3569"/>
      <c r="GKR3569"/>
      <c r="GKS3569"/>
      <c r="GKT3569"/>
      <c r="GKU3569"/>
      <c r="GKV3569"/>
      <c r="GKW3569"/>
      <c r="GKX3569"/>
      <c r="GKY3569"/>
      <c r="GKZ3569"/>
      <c r="GLA3569"/>
      <c r="GLB3569"/>
      <c r="GLC3569"/>
      <c r="GLD3569"/>
      <c r="GLE3569"/>
      <c r="GLF3569"/>
      <c r="GLG3569"/>
      <c r="GLH3569"/>
      <c r="GLI3569"/>
      <c r="GLJ3569"/>
      <c r="GLK3569"/>
      <c r="GLL3569"/>
      <c r="GLM3569"/>
      <c r="GLN3569"/>
      <c r="GLO3569"/>
      <c r="GLP3569"/>
      <c r="GLQ3569"/>
      <c r="GLR3569"/>
      <c r="GLS3569"/>
      <c r="GLT3569"/>
      <c r="GLU3569"/>
      <c r="GLV3569"/>
      <c r="GLW3569"/>
      <c r="GLX3569"/>
      <c r="GLY3569"/>
      <c r="GLZ3569"/>
      <c r="GMA3569"/>
      <c r="GMB3569"/>
      <c r="GMC3569"/>
      <c r="GMD3569"/>
      <c r="GME3569"/>
      <c r="GMF3569"/>
      <c r="GMG3569"/>
      <c r="GMH3569"/>
      <c r="GMI3569"/>
      <c r="GMJ3569"/>
      <c r="GMK3569"/>
      <c r="GML3569"/>
      <c r="GMM3569"/>
      <c r="GMN3569"/>
      <c r="GMO3569"/>
      <c r="GMP3569"/>
      <c r="GMQ3569"/>
      <c r="GMR3569"/>
      <c r="GMS3569"/>
      <c r="GMT3569"/>
      <c r="GMU3569"/>
      <c r="GMV3569"/>
      <c r="GMW3569"/>
      <c r="GMX3569"/>
      <c r="GMY3569"/>
      <c r="GMZ3569"/>
      <c r="GNA3569"/>
      <c r="GNB3569"/>
      <c r="GNC3569"/>
      <c r="GND3569"/>
      <c r="GNE3569"/>
      <c r="GNF3569"/>
      <c r="GNG3569"/>
      <c r="GNH3569"/>
      <c r="GNI3569"/>
      <c r="GNJ3569"/>
      <c r="GNK3569"/>
      <c r="GNL3569"/>
      <c r="GNM3569"/>
      <c r="GNN3569"/>
      <c r="GNO3569"/>
      <c r="GNP3569"/>
      <c r="GNQ3569"/>
      <c r="GNR3569"/>
      <c r="GNS3569"/>
      <c r="GNT3569"/>
      <c r="GNU3569"/>
      <c r="GNV3569"/>
      <c r="GNW3569"/>
      <c r="GNX3569"/>
      <c r="GNY3569"/>
      <c r="GNZ3569"/>
      <c r="GOA3569"/>
      <c r="GOB3569"/>
      <c r="GOC3569"/>
      <c r="GOD3569"/>
      <c r="GOE3569"/>
      <c r="GOF3569"/>
      <c r="GOG3569"/>
      <c r="GOH3569"/>
      <c r="GOI3569"/>
      <c r="GOJ3569"/>
      <c r="GOK3569"/>
      <c r="GOL3569"/>
      <c r="GOM3569"/>
      <c r="GON3569"/>
      <c r="GOO3569"/>
      <c r="GOP3569"/>
      <c r="GOQ3569"/>
      <c r="GOR3569"/>
      <c r="GOS3569"/>
      <c r="GOT3569"/>
      <c r="GOU3569"/>
      <c r="GOV3569"/>
      <c r="GOW3569"/>
      <c r="GOX3569"/>
      <c r="GOY3569"/>
      <c r="GOZ3569"/>
      <c r="GPA3569"/>
      <c r="GPB3569"/>
      <c r="GPC3569"/>
      <c r="GPD3569"/>
      <c r="GPE3569"/>
      <c r="GPF3569"/>
      <c r="GPG3569"/>
      <c r="GPH3569"/>
      <c r="GPI3569"/>
      <c r="GPJ3569"/>
      <c r="GPK3569"/>
      <c r="GPL3569"/>
      <c r="GPM3569"/>
      <c r="GPN3569"/>
      <c r="GPO3569"/>
      <c r="GPP3569"/>
      <c r="GPQ3569"/>
      <c r="GPR3569"/>
      <c r="GPS3569"/>
      <c r="GPT3569"/>
      <c r="GPU3569"/>
      <c r="GPV3569"/>
      <c r="GPW3569"/>
      <c r="GPX3569"/>
      <c r="GPY3569"/>
      <c r="GPZ3569"/>
      <c r="GQA3569"/>
      <c r="GQB3569"/>
      <c r="GQC3569"/>
      <c r="GQD3569"/>
      <c r="GQE3569"/>
      <c r="GQF3569"/>
      <c r="GQG3569"/>
      <c r="GQH3569"/>
      <c r="GQI3569"/>
      <c r="GQJ3569"/>
      <c r="GQK3569"/>
      <c r="GQL3569"/>
      <c r="GQM3569"/>
      <c r="GQN3569"/>
      <c r="GQO3569"/>
      <c r="GQP3569"/>
      <c r="GQQ3569"/>
      <c r="GQR3569"/>
      <c r="GQS3569"/>
      <c r="GQT3569"/>
      <c r="GQU3569"/>
      <c r="GQV3569"/>
      <c r="GQW3569"/>
      <c r="GQX3569"/>
      <c r="GQY3569"/>
      <c r="GQZ3569"/>
      <c r="GRA3569"/>
      <c r="GRB3569"/>
      <c r="GRC3569"/>
      <c r="GRD3569"/>
      <c r="GRE3569"/>
      <c r="GRF3569"/>
      <c r="GRG3569"/>
      <c r="GRH3569"/>
      <c r="GRI3569"/>
      <c r="GRJ3569"/>
      <c r="GRK3569"/>
      <c r="GRL3569"/>
      <c r="GRM3569"/>
      <c r="GRN3569"/>
      <c r="GRO3569"/>
      <c r="GRP3569"/>
      <c r="GRQ3569"/>
      <c r="GRR3569"/>
      <c r="GRS3569"/>
      <c r="GRT3569"/>
      <c r="GRU3569"/>
      <c r="GRV3569"/>
      <c r="GRW3569"/>
      <c r="GRX3569"/>
      <c r="GRY3569"/>
      <c r="GRZ3569"/>
      <c r="GSA3569"/>
      <c r="GSB3569"/>
      <c r="GSC3569"/>
      <c r="GSD3569"/>
      <c r="GSE3569"/>
      <c r="GSF3569"/>
      <c r="GSG3569"/>
      <c r="GSH3569"/>
      <c r="GSI3569"/>
      <c r="GSJ3569"/>
      <c r="GSK3569"/>
      <c r="GSL3569"/>
      <c r="GSM3569"/>
      <c r="GSN3569"/>
      <c r="GSO3569"/>
      <c r="GSP3569"/>
      <c r="GSQ3569"/>
      <c r="GSR3569"/>
      <c r="GSS3569"/>
      <c r="GST3569"/>
      <c r="GSU3569"/>
      <c r="GSV3569"/>
      <c r="GSW3569"/>
      <c r="GSX3569"/>
      <c r="GSY3569"/>
      <c r="GSZ3569"/>
      <c r="GTA3569"/>
      <c r="GTB3569"/>
      <c r="GTC3569"/>
      <c r="GTD3569"/>
      <c r="GTE3569"/>
      <c r="GTF3569"/>
      <c r="GTG3569"/>
      <c r="GTH3569"/>
      <c r="GTI3569"/>
      <c r="GTJ3569"/>
      <c r="GTK3569"/>
      <c r="GTL3569"/>
      <c r="GTM3569"/>
      <c r="GTN3569"/>
      <c r="GTO3569"/>
      <c r="GTP3569"/>
      <c r="GTQ3569"/>
      <c r="GTR3569"/>
      <c r="GTS3569"/>
      <c r="GTT3569"/>
      <c r="GTU3569"/>
      <c r="GTV3569"/>
      <c r="GTW3569"/>
      <c r="GTX3569"/>
      <c r="GTY3569"/>
      <c r="GTZ3569"/>
      <c r="GUA3569"/>
      <c r="GUB3569"/>
      <c r="GUC3569"/>
      <c r="GUD3569"/>
      <c r="GUE3569"/>
      <c r="GUF3569"/>
      <c r="GUG3569"/>
      <c r="GUH3569"/>
      <c r="GUI3569"/>
      <c r="GUJ3569"/>
      <c r="GUK3569"/>
      <c r="GUL3569"/>
      <c r="GUM3569"/>
      <c r="GUN3569"/>
      <c r="GUO3569"/>
      <c r="GUP3569"/>
      <c r="GUQ3569"/>
      <c r="GUR3569"/>
      <c r="GUS3569"/>
      <c r="GUT3569"/>
      <c r="GUU3569"/>
      <c r="GUV3569"/>
      <c r="GUW3569"/>
      <c r="GUX3569"/>
      <c r="GUY3569"/>
      <c r="GUZ3569"/>
      <c r="GVA3569"/>
      <c r="GVB3569"/>
      <c r="GVC3569"/>
      <c r="GVD3569"/>
      <c r="GVE3569"/>
      <c r="GVF3569"/>
      <c r="GVG3569"/>
      <c r="GVH3569"/>
      <c r="GVI3569"/>
      <c r="GVJ3569"/>
      <c r="GVK3569"/>
      <c r="GVL3569"/>
      <c r="GVM3569"/>
      <c r="GVN3569"/>
      <c r="GVO3569"/>
      <c r="GVP3569"/>
      <c r="GVQ3569"/>
      <c r="GVR3569"/>
      <c r="GVS3569"/>
      <c r="GVT3569"/>
      <c r="GVU3569"/>
      <c r="GVV3569"/>
      <c r="GVW3569"/>
      <c r="GVX3569"/>
      <c r="GVY3569"/>
      <c r="GVZ3569"/>
      <c r="GWA3569"/>
      <c r="GWB3569"/>
      <c r="GWC3569"/>
      <c r="GWD3569"/>
      <c r="GWE3569"/>
      <c r="GWF3569"/>
      <c r="GWG3569"/>
      <c r="GWH3569"/>
      <c r="GWI3569"/>
      <c r="GWJ3569"/>
      <c r="GWK3569"/>
      <c r="GWL3569"/>
      <c r="GWM3569"/>
      <c r="GWN3569"/>
      <c r="GWO3569"/>
      <c r="GWP3569"/>
      <c r="GWQ3569"/>
      <c r="GWR3569"/>
      <c r="GWS3569"/>
      <c r="GWT3569"/>
      <c r="GWU3569"/>
      <c r="GWV3569"/>
      <c r="GWW3569"/>
      <c r="GWX3569"/>
      <c r="GWY3569"/>
      <c r="GWZ3569"/>
      <c r="GXA3569"/>
      <c r="GXB3569"/>
      <c r="GXC3569"/>
      <c r="GXD3569"/>
      <c r="GXE3569"/>
      <c r="GXF3569"/>
      <c r="GXG3569"/>
      <c r="GXH3569"/>
      <c r="GXI3569"/>
      <c r="GXJ3569"/>
      <c r="GXK3569"/>
      <c r="GXL3569"/>
      <c r="GXM3569"/>
      <c r="GXN3569"/>
      <c r="GXO3569"/>
      <c r="GXP3569"/>
      <c r="GXQ3569"/>
      <c r="GXR3569"/>
      <c r="GXS3569"/>
      <c r="GXT3569"/>
      <c r="GXU3569"/>
      <c r="GXV3569"/>
      <c r="GXW3569"/>
      <c r="GXX3569"/>
      <c r="GXY3569"/>
      <c r="GXZ3569"/>
      <c r="GYA3569"/>
      <c r="GYB3569"/>
      <c r="GYC3569"/>
      <c r="GYD3569"/>
      <c r="GYE3569"/>
      <c r="GYF3569"/>
      <c r="GYG3569"/>
      <c r="GYH3569"/>
      <c r="GYI3569"/>
      <c r="GYJ3569"/>
      <c r="GYK3569"/>
      <c r="GYL3569"/>
      <c r="GYM3569"/>
      <c r="GYN3569"/>
      <c r="GYO3569"/>
      <c r="GYP3569"/>
      <c r="GYQ3569"/>
      <c r="GYR3569"/>
      <c r="GYS3569"/>
      <c r="GYT3569"/>
      <c r="GYU3569"/>
      <c r="GYV3569"/>
      <c r="GYW3569"/>
      <c r="GYX3569"/>
      <c r="GYY3569"/>
      <c r="GYZ3569"/>
      <c r="GZA3569"/>
      <c r="GZB3569"/>
      <c r="GZC3569"/>
      <c r="GZD3569"/>
      <c r="GZE3569"/>
      <c r="GZF3569"/>
      <c r="GZG3569"/>
      <c r="GZH3569"/>
      <c r="GZI3569"/>
      <c r="GZJ3569"/>
      <c r="GZK3569"/>
      <c r="GZL3569"/>
      <c r="GZM3569"/>
      <c r="GZN3569"/>
      <c r="GZO3569"/>
      <c r="GZP3569"/>
      <c r="GZQ3569"/>
      <c r="GZR3569"/>
      <c r="GZS3569"/>
      <c r="GZT3569"/>
      <c r="GZU3569"/>
      <c r="GZV3569"/>
      <c r="GZW3569"/>
      <c r="GZX3569"/>
      <c r="GZY3569"/>
      <c r="GZZ3569"/>
      <c r="HAA3569"/>
      <c r="HAB3569"/>
      <c r="HAC3569"/>
      <c r="HAD3569"/>
      <c r="HAE3569"/>
      <c r="HAF3569"/>
      <c r="HAG3569"/>
      <c r="HAH3569"/>
      <c r="HAI3569"/>
      <c r="HAJ3569"/>
      <c r="HAK3569"/>
      <c r="HAL3569"/>
      <c r="HAM3569"/>
      <c r="HAN3569"/>
      <c r="HAO3569"/>
      <c r="HAP3569"/>
      <c r="HAQ3569"/>
      <c r="HAR3569"/>
      <c r="HAS3569"/>
      <c r="HAT3569"/>
      <c r="HAU3569"/>
      <c r="HAV3569"/>
      <c r="HAW3569"/>
      <c r="HAX3569"/>
      <c r="HAY3569"/>
      <c r="HAZ3569"/>
      <c r="HBA3569"/>
      <c r="HBB3569"/>
      <c r="HBC3569"/>
      <c r="HBD3569"/>
      <c r="HBE3569"/>
      <c r="HBF3569"/>
      <c r="HBG3569"/>
      <c r="HBH3569"/>
      <c r="HBI3569"/>
      <c r="HBJ3569"/>
      <c r="HBK3569"/>
      <c r="HBL3569"/>
      <c r="HBM3569"/>
      <c r="HBN3569"/>
      <c r="HBO3569"/>
      <c r="HBP3569"/>
      <c r="HBQ3569"/>
      <c r="HBR3569"/>
      <c r="HBS3569"/>
      <c r="HBT3569"/>
      <c r="HBU3569"/>
      <c r="HBV3569"/>
      <c r="HBW3569"/>
      <c r="HBX3569"/>
      <c r="HBY3569"/>
      <c r="HBZ3569"/>
      <c r="HCA3569"/>
      <c r="HCB3569"/>
      <c r="HCC3569"/>
      <c r="HCD3569"/>
      <c r="HCE3569"/>
      <c r="HCF3569"/>
      <c r="HCG3569"/>
      <c r="HCH3569"/>
      <c r="HCI3569"/>
      <c r="HCJ3569"/>
      <c r="HCK3569"/>
      <c r="HCL3569"/>
      <c r="HCM3569"/>
      <c r="HCN3569"/>
      <c r="HCO3569"/>
      <c r="HCP3569"/>
      <c r="HCQ3569"/>
      <c r="HCR3569"/>
      <c r="HCS3569"/>
      <c r="HCT3569"/>
      <c r="HCU3569"/>
      <c r="HCV3569"/>
      <c r="HCW3569"/>
      <c r="HCX3569"/>
      <c r="HCY3569"/>
      <c r="HCZ3569"/>
      <c r="HDA3569"/>
      <c r="HDB3569"/>
      <c r="HDC3569"/>
      <c r="HDD3569"/>
      <c r="HDE3569"/>
      <c r="HDF3569"/>
      <c r="HDG3569"/>
      <c r="HDH3569"/>
      <c r="HDI3569"/>
      <c r="HDJ3569"/>
      <c r="HDK3569"/>
      <c r="HDL3569"/>
      <c r="HDM3569"/>
      <c r="HDN3569"/>
      <c r="HDO3569"/>
      <c r="HDP3569"/>
      <c r="HDQ3569"/>
      <c r="HDR3569"/>
      <c r="HDS3569"/>
      <c r="HDT3569"/>
      <c r="HDU3569"/>
      <c r="HDV3569"/>
      <c r="HDW3569"/>
      <c r="HDX3569"/>
      <c r="HDY3569"/>
      <c r="HDZ3569"/>
      <c r="HEA3569"/>
      <c r="HEB3569"/>
      <c r="HEC3569"/>
      <c r="HED3569"/>
      <c r="HEE3569"/>
      <c r="HEF3569"/>
      <c r="HEG3569"/>
      <c r="HEH3569"/>
      <c r="HEI3569"/>
      <c r="HEJ3569"/>
      <c r="HEK3569"/>
      <c r="HEL3569"/>
      <c r="HEM3569"/>
      <c r="HEN3569"/>
      <c r="HEO3569"/>
      <c r="HEP3569"/>
      <c r="HEQ3569"/>
      <c r="HER3569"/>
      <c r="HES3569"/>
      <c r="HET3569"/>
      <c r="HEU3569"/>
      <c r="HEV3569"/>
      <c r="HEW3569"/>
      <c r="HEX3569"/>
      <c r="HEY3569"/>
      <c r="HEZ3569"/>
      <c r="HFA3569"/>
      <c r="HFB3569"/>
      <c r="HFC3569"/>
      <c r="HFD3569"/>
      <c r="HFE3569"/>
      <c r="HFF3569"/>
      <c r="HFG3569"/>
      <c r="HFH3569"/>
      <c r="HFI3569"/>
      <c r="HFJ3569"/>
      <c r="HFK3569"/>
      <c r="HFL3569"/>
      <c r="HFM3569"/>
      <c r="HFN3569"/>
      <c r="HFO3569"/>
      <c r="HFP3569"/>
      <c r="HFQ3569"/>
      <c r="HFR3569"/>
      <c r="HFS3569"/>
      <c r="HFT3569"/>
      <c r="HFU3569"/>
      <c r="HFV3569"/>
      <c r="HFW3569"/>
      <c r="HFX3569"/>
      <c r="HFY3569"/>
      <c r="HFZ3569"/>
      <c r="HGA3569"/>
      <c r="HGB3569"/>
      <c r="HGC3569"/>
      <c r="HGD3569"/>
      <c r="HGE3569"/>
      <c r="HGF3569"/>
      <c r="HGG3569"/>
      <c r="HGH3569"/>
      <c r="HGI3569"/>
      <c r="HGJ3569"/>
      <c r="HGK3569"/>
      <c r="HGL3569"/>
      <c r="HGM3569"/>
      <c r="HGN3569"/>
      <c r="HGO3569"/>
      <c r="HGP3569"/>
      <c r="HGQ3569"/>
      <c r="HGR3569"/>
      <c r="HGS3569"/>
      <c r="HGT3569"/>
      <c r="HGU3569"/>
      <c r="HGV3569"/>
      <c r="HGW3569"/>
      <c r="HGX3569"/>
      <c r="HGY3569"/>
      <c r="HGZ3569"/>
      <c r="HHA3569"/>
      <c r="HHB3569"/>
      <c r="HHC3569"/>
      <c r="HHD3569"/>
      <c r="HHE3569"/>
      <c r="HHF3569"/>
      <c r="HHG3569"/>
      <c r="HHH3569"/>
      <c r="HHI3569"/>
      <c r="HHJ3569"/>
      <c r="HHK3569"/>
      <c r="HHL3569"/>
      <c r="HHM3569"/>
      <c r="HHN3569"/>
      <c r="HHO3569"/>
      <c r="HHP3569"/>
      <c r="HHQ3569"/>
      <c r="HHR3569"/>
      <c r="HHS3569"/>
      <c r="HHT3569"/>
      <c r="HHU3569"/>
      <c r="HHV3569"/>
      <c r="HHW3569"/>
      <c r="HHX3569"/>
      <c r="HHY3569"/>
      <c r="HHZ3569"/>
      <c r="HIA3569"/>
      <c r="HIB3569"/>
      <c r="HIC3569"/>
      <c r="HID3569"/>
      <c r="HIE3569"/>
      <c r="HIF3569"/>
      <c r="HIG3569"/>
      <c r="HIH3569"/>
      <c r="HII3569"/>
      <c r="HIJ3569"/>
      <c r="HIK3569"/>
      <c r="HIL3569"/>
      <c r="HIM3569"/>
      <c r="HIN3569"/>
      <c r="HIO3569"/>
      <c r="HIP3569"/>
      <c r="HIQ3569"/>
      <c r="HIR3569"/>
      <c r="HIS3569"/>
      <c r="HIT3569"/>
      <c r="HIU3569"/>
      <c r="HIV3569"/>
      <c r="HIW3569"/>
      <c r="HIX3569"/>
      <c r="HIY3569"/>
      <c r="HIZ3569"/>
      <c r="HJA3569"/>
      <c r="HJB3569"/>
      <c r="HJC3569"/>
      <c r="HJD3569"/>
      <c r="HJE3569"/>
      <c r="HJF3569"/>
      <c r="HJG3569"/>
      <c r="HJH3569"/>
      <c r="HJI3569"/>
      <c r="HJJ3569"/>
      <c r="HJK3569"/>
      <c r="HJL3569"/>
      <c r="HJM3569"/>
      <c r="HJN3569"/>
      <c r="HJO3569"/>
      <c r="HJP3569"/>
      <c r="HJQ3569"/>
      <c r="HJR3569"/>
      <c r="HJS3569"/>
      <c r="HJT3569"/>
      <c r="HJU3569"/>
      <c r="HJV3569"/>
      <c r="HJW3569"/>
      <c r="HJX3569"/>
      <c r="HJY3569"/>
      <c r="HJZ3569"/>
      <c r="HKA3569"/>
      <c r="HKB3569"/>
      <c r="HKC3569"/>
      <c r="HKD3569"/>
      <c r="HKE3569"/>
      <c r="HKF3569"/>
      <c r="HKG3569"/>
      <c r="HKH3569"/>
      <c r="HKI3569"/>
      <c r="HKJ3569"/>
      <c r="HKK3569"/>
      <c r="HKL3569"/>
      <c r="HKM3569"/>
      <c r="HKN3569"/>
      <c r="HKO3569"/>
      <c r="HKP3569"/>
      <c r="HKQ3569"/>
      <c r="HKR3569"/>
      <c r="HKS3569"/>
      <c r="HKT3569"/>
      <c r="HKU3569"/>
      <c r="HKV3569"/>
      <c r="HKW3569"/>
      <c r="HKX3569"/>
      <c r="HKY3569"/>
      <c r="HKZ3569"/>
      <c r="HLA3569"/>
      <c r="HLB3569"/>
      <c r="HLC3569"/>
      <c r="HLD3569"/>
      <c r="HLE3569"/>
      <c r="HLF3569"/>
      <c r="HLG3569"/>
      <c r="HLH3569"/>
      <c r="HLI3569"/>
      <c r="HLJ3569"/>
      <c r="HLK3569"/>
      <c r="HLL3569"/>
      <c r="HLM3569"/>
      <c r="HLN3569"/>
      <c r="HLO3569"/>
      <c r="HLP3569"/>
      <c r="HLQ3569"/>
      <c r="HLR3569"/>
      <c r="HLS3569"/>
      <c r="HLT3569"/>
      <c r="HLU3569"/>
      <c r="HLV3569"/>
      <c r="HLW3569"/>
      <c r="HLX3569"/>
      <c r="HLY3569"/>
      <c r="HLZ3569"/>
      <c r="HMA3569"/>
      <c r="HMB3569"/>
      <c r="HMC3569"/>
      <c r="HMD3569"/>
      <c r="HME3569"/>
      <c r="HMF3569"/>
      <c r="HMG3569"/>
      <c r="HMH3569"/>
      <c r="HMI3569"/>
      <c r="HMJ3569"/>
      <c r="HMK3569"/>
      <c r="HML3569"/>
      <c r="HMM3569"/>
      <c r="HMN3569"/>
      <c r="HMO3569"/>
      <c r="HMP3569"/>
      <c r="HMQ3569"/>
      <c r="HMR3569"/>
      <c r="HMS3569"/>
      <c r="HMT3569"/>
      <c r="HMU3569"/>
      <c r="HMV3569"/>
      <c r="HMW3569"/>
      <c r="HMX3569"/>
      <c r="HMY3569"/>
      <c r="HMZ3569"/>
      <c r="HNA3569"/>
      <c r="HNB3569"/>
      <c r="HNC3569"/>
      <c r="HND3569"/>
      <c r="HNE3569"/>
      <c r="HNF3569"/>
      <c r="HNG3569"/>
      <c r="HNH3569"/>
      <c r="HNI3569"/>
      <c r="HNJ3569"/>
      <c r="HNK3569"/>
      <c r="HNL3569"/>
      <c r="HNM3569"/>
      <c r="HNN3569"/>
      <c r="HNO3569"/>
      <c r="HNP3569"/>
      <c r="HNQ3569"/>
      <c r="HNR3569"/>
      <c r="HNS3569"/>
      <c r="HNT3569"/>
      <c r="HNU3569"/>
      <c r="HNV3569"/>
      <c r="HNW3569"/>
      <c r="HNX3569"/>
      <c r="HNY3569"/>
      <c r="HNZ3569"/>
      <c r="HOA3569"/>
      <c r="HOB3569"/>
      <c r="HOC3569"/>
      <c r="HOD3569"/>
      <c r="HOE3569"/>
      <c r="HOF3569"/>
      <c r="HOG3569"/>
      <c r="HOH3569"/>
      <c r="HOI3569"/>
      <c r="HOJ3569"/>
      <c r="HOK3569"/>
      <c r="HOL3569"/>
      <c r="HOM3569"/>
      <c r="HON3569"/>
      <c r="HOO3569"/>
      <c r="HOP3569"/>
      <c r="HOQ3569"/>
      <c r="HOR3569"/>
      <c r="HOS3569"/>
      <c r="HOT3569"/>
      <c r="HOU3569"/>
      <c r="HOV3569"/>
      <c r="HOW3569"/>
      <c r="HOX3569"/>
      <c r="HOY3569"/>
      <c r="HOZ3569"/>
      <c r="HPA3569"/>
      <c r="HPB3569"/>
      <c r="HPC3569"/>
      <c r="HPD3569"/>
      <c r="HPE3569"/>
      <c r="HPF3569"/>
      <c r="HPG3569"/>
      <c r="HPH3569"/>
      <c r="HPI3569"/>
      <c r="HPJ3569"/>
      <c r="HPK3569"/>
      <c r="HPL3569"/>
      <c r="HPM3569"/>
      <c r="HPN3569"/>
      <c r="HPO3569"/>
      <c r="HPP3569"/>
      <c r="HPQ3569"/>
      <c r="HPR3569"/>
      <c r="HPS3569"/>
      <c r="HPT3569"/>
      <c r="HPU3569"/>
      <c r="HPV3569"/>
      <c r="HPW3569"/>
      <c r="HPX3569"/>
      <c r="HPY3569"/>
      <c r="HPZ3569"/>
      <c r="HQA3569"/>
      <c r="HQB3569"/>
      <c r="HQC3569"/>
      <c r="HQD3569"/>
      <c r="HQE3569"/>
      <c r="HQF3569"/>
      <c r="HQG3569"/>
      <c r="HQH3569"/>
      <c r="HQI3569"/>
      <c r="HQJ3569"/>
      <c r="HQK3569"/>
      <c r="HQL3569"/>
      <c r="HQM3569"/>
      <c r="HQN3569"/>
      <c r="HQO3569"/>
      <c r="HQP3569"/>
      <c r="HQQ3569"/>
      <c r="HQR3569"/>
      <c r="HQS3569"/>
      <c r="HQT3569"/>
      <c r="HQU3569"/>
      <c r="HQV3569"/>
      <c r="HQW3569"/>
      <c r="HQX3569"/>
      <c r="HQY3569"/>
      <c r="HQZ3569"/>
      <c r="HRA3569"/>
      <c r="HRB3569"/>
      <c r="HRC3569"/>
      <c r="HRD3569"/>
      <c r="HRE3569"/>
      <c r="HRF3569"/>
      <c r="HRG3569"/>
      <c r="HRH3569"/>
      <c r="HRI3569"/>
      <c r="HRJ3569"/>
      <c r="HRK3569"/>
      <c r="HRL3569"/>
      <c r="HRM3569"/>
      <c r="HRN3569"/>
      <c r="HRO3569"/>
      <c r="HRP3569"/>
      <c r="HRQ3569"/>
      <c r="HRR3569"/>
      <c r="HRS3569"/>
      <c r="HRT3569"/>
      <c r="HRU3569"/>
      <c r="HRV3569"/>
      <c r="HRW3569"/>
      <c r="HRX3569"/>
      <c r="HRY3569"/>
      <c r="HRZ3569"/>
      <c r="HSA3569"/>
      <c r="HSB3569"/>
      <c r="HSC3569"/>
      <c r="HSD3569"/>
      <c r="HSE3569"/>
      <c r="HSF3569"/>
      <c r="HSG3569"/>
      <c r="HSH3569"/>
      <c r="HSI3569"/>
      <c r="HSJ3569"/>
      <c r="HSK3569"/>
      <c r="HSL3569"/>
      <c r="HSM3569"/>
      <c r="HSN3569"/>
      <c r="HSO3569"/>
      <c r="HSP3569"/>
      <c r="HSQ3569"/>
      <c r="HSR3569"/>
      <c r="HSS3569"/>
      <c r="HST3569"/>
      <c r="HSU3569"/>
      <c r="HSV3569"/>
      <c r="HSW3569"/>
      <c r="HSX3569"/>
      <c r="HSY3569"/>
      <c r="HSZ3569"/>
      <c r="HTA3569"/>
      <c r="HTB3569"/>
      <c r="HTC3569"/>
      <c r="HTD3569"/>
      <c r="HTE3569"/>
      <c r="HTF3569"/>
      <c r="HTG3569"/>
      <c r="HTH3569"/>
      <c r="HTI3569"/>
      <c r="HTJ3569"/>
      <c r="HTK3569"/>
      <c r="HTL3569"/>
      <c r="HTM3569"/>
      <c r="HTN3569"/>
      <c r="HTO3569"/>
      <c r="HTP3569"/>
      <c r="HTQ3569"/>
      <c r="HTR3569"/>
      <c r="HTS3569"/>
      <c r="HTT3569"/>
      <c r="HTU3569"/>
      <c r="HTV3569"/>
      <c r="HTW3569"/>
      <c r="HTX3569"/>
      <c r="HTY3569"/>
      <c r="HTZ3569"/>
      <c r="HUA3569"/>
      <c r="HUB3569"/>
      <c r="HUC3569"/>
      <c r="HUD3569"/>
      <c r="HUE3569"/>
      <c r="HUF3569"/>
      <c r="HUG3569"/>
      <c r="HUH3569"/>
      <c r="HUI3569"/>
      <c r="HUJ3569"/>
      <c r="HUK3569"/>
      <c r="HUL3569"/>
      <c r="HUM3569"/>
      <c r="HUN3569"/>
      <c r="HUO3569"/>
      <c r="HUP3569"/>
      <c r="HUQ3569"/>
      <c r="HUR3569"/>
      <c r="HUS3569"/>
      <c r="HUT3569"/>
      <c r="HUU3569"/>
      <c r="HUV3569"/>
      <c r="HUW3569"/>
      <c r="HUX3569"/>
      <c r="HUY3569"/>
      <c r="HUZ3569"/>
      <c r="HVA3569"/>
      <c r="HVB3569"/>
      <c r="HVC3569"/>
      <c r="HVD3569"/>
      <c r="HVE3569"/>
      <c r="HVF3569"/>
      <c r="HVG3569"/>
      <c r="HVH3569"/>
      <c r="HVI3569"/>
      <c r="HVJ3569"/>
      <c r="HVK3569"/>
      <c r="HVL3569"/>
      <c r="HVM3569"/>
      <c r="HVN3569"/>
      <c r="HVO3569"/>
      <c r="HVP3569"/>
      <c r="HVQ3569"/>
      <c r="HVR3569"/>
      <c r="HVS3569"/>
      <c r="HVT3569"/>
      <c r="HVU3569"/>
      <c r="HVV3569"/>
      <c r="HVW3569"/>
      <c r="HVX3569"/>
      <c r="HVY3569"/>
      <c r="HVZ3569"/>
      <c r="HWA3569"/>
      <c r="HWB3569"/>
      <c r="HWC3569"/>
      <c r="HWD3569"/>
      <c r="HWE3569"/>
      <c r="HWF3569"/>
      <c r="HWG3569"/>
      <c r="HWH3569"/>
      <c r="HWI3569"/>
      <c r="HWJ3569"/>
      <c r="HWK3569"/>
      <c r="HWL3569"/>
      <c r="HWM3569"/>
      <c r="HWN3569"/>
      <c r="HWO3569"/>
      <c r="HWP3569"/>
      <c r="HWQ3569"/>
      <c r="HWR3569"/>
      <c r="HWS3569"/>
      <c r="HWT3569"/>
      <c r="HWU3569"/>
      <c r="HWV3569"/>
      <c r="HWW3569"/>
      <c r="HWX3569"/>
      <c r="HWY3569"/>
      <c r="HWZ3569"/>
      <c r="HXA3569"/>
      <c r="HXB3569"/>
      <c r="HXC3569"/>
      <c r="HXD3569"/>
      <c r="HXE3569"/>
      <c r="HXF3569"/>
      <c r="HXG3569"/>
      <c r="HXH3569"/>
      <c r="HXI3569"/>
      <c r="HXJ3569"/>
      <c r="HXK3569"/>
      <c r="HXL3569"/>
      <c r="HXM3569"/>
      <c r="HXN3569"/>
      <c r="HXO3569"/>
      <c r="HXP3569"/>
      <c r="HXQ3569"/>
      <c r="HXR3569"/>
      <c r="HXS3569"/>
      <c r="HXT3569"/>
      <c r="HXU3569"/>
      <c r="HXV3569"/>
      <c r="HXW3569"/>
      <c r="HXX3569"/>
      <c r="HXY3569"/>
      <c r="HXZ3569"/>
      <c r="HYA3569"/>
      <c r="HYB3569"/>
      <c r="HYC3569"/>
      <c r="HYD3569"/>
      <c r="HYE3569"/>
      <c r="HYF3569"/>
      <c r="HYG3569"/>
      <c r="HYH3569"/>
      <c r="HYI3569"/>
      <c r="HYJ3569"/>
      <c r="HYK3569"/>
      <c r="HYL3569"/>
      <c r="HYM3569"/>
      <c r="HYN3569"/>
      <c r="HYO3569"/>
      <c r="HYP3569"/>
      <c r="HYQ3569"/>
      <c r="HYR3569"/>
      <c r="HYS3569"/>
      <c r="HYT3569"/>
      <c r="HYU3569"/>
      <c r="HYV3569"/>
      <c r="HYW3569"/>
      <c r="HYX3569"/>
      <c r="HYY3569"/>
      <c r="HYZ3569"/>
      <c r="HZA3569"/>
      <c r="HZB3569"/>
      <c r="HZC3569"/>
      <c r="HZD3569"/>
      <c r="HZE3569"/>
      <c r="HZF3569"/>
      <c r="HZG3569"/>
      <c r="HZH3569"/>
      <c r="HZI3569"/>
      <c r="HZJ3569"/>
      <c r="HZK3569"/>
      <c r="HZL3569"/>
      <c r="HZM3569"/>
      <c r="HZN3569"/>
      <c r="HZO3569"/>
      <c r="HZP3569"/>
      <c r="HZQ3569"/>
      <c r="HZR3569"/>
      <c r="HZS3569"/>
      <c r="HZT3569"/>
      <c r="HZU3569"/>
      <c r="HZV3569"/>
      <c r="HZW3569"/>
      <c r="HZX3569"/>
      <c r="HZY3569"/>
      <c r="HZZ3569"/>
      <c r="IAA3569"/>
      <c r="IAB3569"/>
      <c r="IAC3569"/>
      <c r="IAD3569"/>
      <c r="IAE3569"/>
      <c r="IAF3569"/>
      <c r="IAG3569"/>
      <c r="IAH3569"/>
      <c r="IAI3569"/>
      <c r="IAJ3569"/>
      <c r="IAK3569"/>
      <c r="IAL3569"/>
      <c r="IAM3569"/>
      <c r="IAN3569"/>
      <c r="IAO3569"/>
      <c r="IAP3569"/>
      <c r="IAQ3569"/>
      <c r="IAR3569"/>
      <c r="IAS3569"/>
      <c r="IAT3569"/>
      <c r="IAU3569"/>
      <c r="IAV3569"/>
      <c r="IAW3569"/>
      <c r="IAX3569"/>
      <c r="IAY3569"/>
      <c r="IAZ3569"/>
      <c r="IBA3569"/>
      <c r="IBB3569"/>
      <c r="IBC3569"/>
      <c r="IBD3569"/>
      <c r="IBE3569"/>
      <c r="IBF3569"/>
      <c r="IBG3569"/>
      <c r="IBH3569"/>
      <c r="IBI3569"/>
      <c r="IBJ3569"/>
      <c r="IBK3569"/>
      <c r="IBL3569"/>
      <c r="IBM3569"/>
      <c r="IBN3569"/>
      <c r="IBO3569"/>
      <c r="IBP3569"/>
      <c r="IBQ3569"/>
      <c r="IBR3569"/>
      <c r="IBS3569"/>
      <c r="IBT3569"/>
      <c r="IBU3569"/>
      <c r="IBV3569"/>
      <c r="IBW3569"/>
      <c r="IBX3569"/>
      <c r="IBY3569"/>
      <c r="IBZ3569"/>
      <c r="ICA3569"/>
      <c r="ICB3569"/>
      <c r="ICC3569"/>
      <c r="ICD3569"/>
      <c r="ICE3569"/>
      <c r="ICF3569"/>
      <c r="ICG3569"/>
      <c r="ICH3569"/>
      <c r="ICI3569"/>
      <c r="ICJ3569"/>
      <c r="ICK3569"/>
      <c r="ICL3569"/>
      <c r="ICM3569"/>
      <c r="ICN3569"/>
      <c r="ICO3569"/>
      <c r="ICP3569"/>
      <c r="ICQ3569"/>
      <c r="ICR3569"/>
      <c r="ICS3569"/>
      <c r="ICT3569"/>
      <c r="ICU3569"/>
      <c r="ICV3569"/>
      <c r="ICW3569"/>
      <c r="ICX3569"/>
      <c r="ICY3569"/>
      <c r="ICZ3569"/>
      <c r="IDA3569"/>
      <c r="IDB3569"/>
      <c r="IDC3569"/>
      <c r="IDD3569"/>
      <c r="IDE3569"/>
      <c r="IDF3569"/>
      <c r="IDG3569"/>
      <c r="IDH3569"/>
      <c r="IDI3569"/>
      <c r="IDJ3569"/>
      <c r="IDK3569"/>
      <c r="IDL3569"/>
      <c r="IDM3569"/>
      <c r="IDN3569"/>
      <c r="IDO3569"/>
      <c r="IDP3569"/>
      <c r="IDQ3569"/>
      <c r="IDR3569"/>
      <c r="IDS3569"/>
      <c r="IDT3569"/>
      <c r="IDU3569"/>
      <c r="IDV3569"/>
      <c r="IDW3569"/>
      <c r="IDX3569"/>
      <c r="IDY3569"/>
      <c r="IDZ3569"/>
      <c r="IEA3569"/>
      <c r="IEB3569"/>
      <c r="IEC3569"/>
      <c r="IED3569"/>
      <c r="IEE3569"/>
      <c r="IEF3569"/>
      <c r="IEG3569"/>
      <c r="IEH3569"/>
      <c r="IEI3569"/>
      <c r="IEJ3569"/>
      <c r="IEK3569"/>
      <c r="IEL3569"/>
      <c r="IEM3569"/>
      <c r="IEN3569"/>
      <c r="IEO3569"/>
      <c r="IEP3569"/>
      <c r="IEQ3569"/>
      <c r="IER3569"/>
      <c r="IES3569"/>
      <c r="IET3569"/>
      <c r="IEU3569"/>
      <c r="IEV3569"/>
      <c r="IEW3569"/>
      <c r="IEX3569"/>
      <c r="IEY3569"/>
      <c r="IEZ3569"/>
      <c r="IFA3569"/>
      <c r="IFB3569"/>
      <c r="IFC3569"/>
      <c r="IFD3569"/>
      <c r="IFE3569"/>
      <c r="IFF3569"/>
      <c r="IFG3569"/>
      <c r="IFH3569"/>
      <c r="IFI3569"/>
      <c r="IFJ3569"/>
      <c r="IFK3569"/>
      <c r="IFL3569"/>
      <c r="IFM3569"/>
      <c r="IFN3569"/>
      <c r="IFO3569"/>
      <c r="IFP3569"/>
      <c r="IFQ3569"/>
      <c r="IFR3569"/>
      <c r="IFS3569"/>
      <c r="IFT3569"/>
      <c r="IFU3569"/>
      <c r="IFV3569"/>
      <c r="IFW3569"/>
      <c r="IFX3569"/>
      <c r="IFY3569"/>
      <c r="IFZ3569"/>
      <c r="IGA3569"/>
      <c r="IGB3569"/>
      <c r="IGC3569"/>
      <c r="IGD3569"/>
      <c r="IGE3569"/>
      <c r="IGF3569"/>
      <c r="IGG3569"/>
      <c r="IGH3569"/>
      <c r="IGI3569"/>
      <c r="IGJ3569"/>
      <c r="IGK3569"/>
      <c r="IGL3569"/>
      <c r="IGM3569"/>
      <c r="IGN3569"/>
      <c r="IGO3569"/>
      <c r="IGP3569"/>
      <c r="IGQ3569"/>
      <c r="IGR3569"/>
      <c r="IGS3569"/>
      <c r="IGT3569"/>
      <c r="IGU3569"/>
      <c r="IGV3569"/>
      <c r="IGW3569"/>
      <c r="IGX3569"/>
      <c r="IGY3569"/>
      <c r="IGZ3569"/>
      <c r="IHA3569"/>
      <c r="IHB3569"/>
      <c r="IHC3569"/>
      <c r="IHD3569"/>
      <c r="IHE3569"/>
      <c r="IHF3569"/>
      <c r="IHG3569"/>
      <c r="IHH3569"/>
      <c r="IHI3569"/>
      <c r="IHJ3569"/>
      <c r="IHK3569"/>
      <c r="IHL3569"/>
      <c r="IHM3569"/>
      <c r="IHN3569"/>
      <c r="IHO3569"/>
      <c r="IHP3569"/>
      <c r="IHQ3569"/>
      <c r="IHR3569"/>
      <c r="IHS3569"/>
      <c r="IHT3569"/>
      <c r="IHU3569"/>
      <c r="IHV3569"/>
      <c r="IHW3569"/>
      <c r="IHX3569"/>
      <c r="IHY3569"/>
      <c r="IHZ3569"/>
      <c r="IIA3569"/>
      <c r="IIB3569"/>
      <c r="IIC3569"/>
      <c r="IID3569"/>
      <c r="IIE3569"/>
      <c r="IIF3569"/>
      <c r="IIG3569"/>
      <c r="IIH3569"/>
      <c r="III3569"/>
      <c r="IIJ3569"/>
      <c r="IIK3569"/>
      <c r="IIL3569"/>
      <c r="IIM3569"/>
      <c r="IIN3569"/>
      <c r="IIO3569"/>
      <c r="IIP3569"/>
      <c r="IIQ3569"/>
      <c r="IIR3569"/>
      <c r="IIS3569"/>
      <c r="IIT3569"/>
      <c r="IIU3569"/>
      <c r="IIV3569"/>
      <c r="IIW3569"/>
      <c r="IIX3569"/>
      <c r="IIY3569"/>
      <c r="IIZ3569"/>
      <c r="IJA3569"/>
      <c r="IJB3569"/>
      <c r="IJC3569"/>
      <c r="IJD3569"/>
      <c r="IJE3569"/>
      <c r="IJF3569"/>
      <c r="IJG3569"/>
      <c r="IJH3569"/>
      <c r="IJI3569"/>
      <c r="IJJ3569"/>
      <c r="IJK3569"/>
      <c r="IJL3569"/>
      <c r="IJM3569"/>
      <c r="IJN3569"/>
      <c r="IJO3569"/>
      <c r="IJP3569"/>
      <c r="IJQ3569"/>
      <c r="IJR3569"/>
      <c r="IJS3569"/>
      <c r="IJT3569"/>
      <c r="IJU3569"/>
      <c r="IJV3569"/>
      <c r="IJW3569"/>
      <c r="IJX3569"/>
      <c r="IJY3569"/>
      <c r="IJZ3569"/>
      <c r="IKA3569"/>
      <c r="IKB3569"/>
      <c r="IKC3569"/>
      <c r="IKD3569"/>
      <c r="IKE3569"/>
      <c r="IKF3569"/>
      <c r="IKG3569"/>
      <c r="IKH3569"/>
      <c r="IKI3569"/>
      <c r="IKJ3569"/>
      <c r="IKK3569"/>
      <c r="IKL3569"/>
      <c r="IKM3569"/>
      <c r="IKN3569"/>
      <c r="IKO3569"/>
      <c r="IKP3569"/>
      <c r="IKQ3569"/>
      <c r="IKR3569"/>
      <c r="IKS3569"/>
      <c r="IKT3569"/>
      <c r="IKU3569"/>
      <c r="IKV3569"/>
      <c r="IKW3569"/>
      <c r="IKX3569"/>
      <c r="IKY3569"/>
      <c r="IKZ3569"/>
      <c r="ILA3569"/>
      <c r="ILB3569"/>
      <c r="ILC3569"/>
      <c r="ILD3569"/>
      <c r="ILE3569"/>
      <c r="ILF3569"/>
      <c r="ILG3569"/>
      <c r="ILH3569"/>
      <c r="ILI3569"/>
      <c r="ILJ3569"/>
      <c r="ILK3569"/>
      <c r="ILL3569"/>
      <c r="ILM3569"/>
      <c r="ILN3569"/>
      <c r="ILO3569"/>
      <c r="ILP3569"/>
      <c r="ILQ3569"/>
      <c r="ILR3569"/>
      <c r="ILS3569"/>
      <c r="ILT3569"/>
      <c r="ILU3569"/>
      <c r="ILV3569"/>
      <c r="ILW3569"/>
      <c r="ILX3569"/>
      <c r="ILY3569"/>
      <c r="ILZ3569"/>
      <c r="IMA3569"/>
      <c r="IMB3569"/>
      <c r="IMC3569"/>
      <c r="IMD3569"/>
      <c r="IME3569"/>
      <c r="IMF3569"/>
      <c r="IMG3569"/>
      <c r="IMH3569"/>
      <c r="IMI3569"/>
      <c r="IMJ3569"/>
      <c r="IMK3569"/>
      <c r="IML3569"/>
      <c r="IMM3569"/>
      <c r="IMN3569"/>
      <c r="IMO3569"/>
      <c r="IMP3569"/>
      <c r="IMQ3569"/>
      <c r="IMR3569"/>
      <c r="IMS3569"/>
      <c r="IMT3569"/>
      <c r="IMU3569"/>
      <c r="IMV3569"/>
      <c r="IMW3569"/>
      <c r="IMX3569"/>
      <c r="IMY3569"/>
      <c r="IMZ3569"/>
      <c r="INA3569"/>
      <c r="INB3569"/>
      <c r="INC3569"/>
      <c r="IND3569"/>
      <c r="INE3569"/>
      <c r="INF3569"/>
      <c r="ING3569"/>
      <c r="INH3569"/>
      <c r="INI3569"/>
      <c r="INJ3569"/>
      <c r="INK3569"/>
      <c r="INL3569"/>
      <c r="INM3569"/>
      <c r="INN3569"/>
      <c r="INO3569"/>
      <c r="INP3569"/>
      <c r="INQ3569"/>
      <c r="INR3569"/>
      <c r="INS3569"/>
      <c r="INT3569"/>
      <c r="INU3569"/>
      <c r="INV3569"/>
      <c r="INW3569"/>
      <c r="INX3569"/>
      <c r="INY3569"/>
      <c r="INZ3569"/>
      <c r="IOA3569"/>
      <c r="IOB3569"/>
      <c r="IOC3569"/>
      <c r="IOD3569"/>
      <c r="IOE3569"/>
      <c r="IOF3569"/>
      <c r="IOG3569"/>
      <c r="IOH3569"/>
      <c r="IOI3569"/>
      <c r="IOJ3569"/>
      <c r="IOK3569"/>
      <c r="IOL3569"/>
      <c r="IOM3569"/>
      <c r="ION3569"/>
      <c r="IOO3569"/>
      <c r="IOP3569"/>
      <c r="IOQ3569"/>
      <c r="IOR3569"/>
      <c r="IOS3569"/>
      <c r="IOT3569"/>
      <c r="IOU3569"/>
      <c r="IOV3569"/>
      <c r="IOW3569"/>
      <c r="IOX3569"/>
      <c r="IOY3569"/>
      <c r="IOZ3569"/>
      <c r="IPA3569"/>
      <c r="IPB3569"/>
      <c r="IPC3569"/>
      <c r="IPD3569"/>
      <c r="IPE3569"/>
      <c r="IPF3569"/>
      <c r="IPG3569"/>
      <c r="IPH3569"/>
      <c r="IPI3569"/>
      <c r="IPJ3569"/>
      <c r="IPK3569"/>
      <c r="IPL3569"/>
      <c r="IPM3569"/>
      <c r="IPN3569"/>
      <c r="IPO3569"/>
      <c r="IPP3569"/>
      <c r="IPQ3569"/>
      <c r="IPR3569"/>
      <c r="IPS3569"/>
      <c r="IPT3569"/>
      <c r="IPU3569"/>
      <c r="IPV3569"/>
      <c r="IPW3569"/>
      <c r="IPX3569"/>
      <c r="IPY3569"/>
      <c r="IPZ3569"/>
      <c r="IQA3569"/>
      <c r="IQB3569"/>
      <c r="IQC3569"/>
      <c r="IQD3569"/>
      <c r="IQE3569"/>
      <c r="IQF3569"/>
      <c r="IQG3569"/>
      <c r="IQH3569"/>
      <c r="IQI3569"/>
      <c r="IQJ3569"/>
      <c r="IQK3569"/>
      <c r="IQL3569"/>
      <c r="IQM3569"/>
      <c r="IQN3569"/>
      <c r="IQO3569"/>
      <c r="IQP3569"/>
      <c r="IQQ3569"/>
      <c r="IQR3569"/>
      <c r="IQS3569"/>
      <c r="IQT3569"/>
      <c r="IQU3569"/>
      <c r="IQV3569"/>
      <c r="IQW3569"/>
      <c r="IQX3569"/>
      <c r="IQY3569"/>
      <c r="IQZ3569"/>
      <c r="IRA3569"/>
      <c r="IRB3569"/>
      <c r="IRC3569"/>
      <c r="IRD3569"/>
      <c r="IRE3569"/>
      <c r="IRF3569"/>
      <c r="IRG3569"/>
      <c r="IRH3569"/>
      <c r="IRI3569"/>
      <c r="IRJ3569"/>
      <c r="IRK3569"/>
      <c r="IRL3569"/>
      <c r="IRM3569"/>
      <c r="IRN3569"/>
      <c r="IRO3569"/>
      <c r="IRP3569"/>
      <c r="IRQ3569"/>
      <c r="IRR3569"/>
      <c r="IRS3569"/>
      <c r="IRT3569"/>
      <c r="IRU3569"/>
      <c r="IRV3569"/>
      <c r="IRW3569"/>
      <c r="IRX3569"/>
      <c r="IRY3569"/>
      <c r="IRZ3569"/>
      <c r="ISA3569"/>
      <c r="ISB3569"/>
      <c r="ISC3569"/>
      <c r="ISD3569"/>
      <c r="ISE3569"/>
      <c r="ISF3569"/>
      <c r="ISG3569"/>
      <c r="ISH3569"/>
      <c r="ISI3569"/>
      <c r="ISJ3569"/>
      <c r="ISK3569"/>
      <c r="ISL3569"/>
      <c r="ISM3569"/>
      <c r="ISN3569"/>
      <c r="ISO3569"/>
      <c r="ISP3569"/>
      <c r="ISQ3569"/>
      <c r="ISR3569"/>
      <c r="ISS3569"/>
      <c r="IST3569"/>
      <c r="ISU3569"/>
      <c r="ISV3569"/>
      <c r="ISW3569"/>
      <c r="ISX3569"/>
      <c r="ISY3569"/>
      <c r="ISZ3569"/>
      <c r="ITA3569"/>
      <c r="ITB3569"/>
      <c r="ITC3569"/>
      <c r="ITD3569"/>
      <c r="ITE3569"/>
      <c r="ITF3569"/>
      <c r="ITG3569"/>
      <c r="ITH3569"/>
      <c r="ITI3569"/>
      <c r="ITJ3569"/>
      <c r="ITK3569"/>
      <c r="ITL3569"/>
      <c r="ITM3569"/>
      <c r="ITN3569"/>
      <c r="ITO3569"/>
      <c r="ITP3569"/>
      <c r="ITQ3569"/>
      <c r="ITR3569"/>
      <c r="ITS3569"/>
      <c r="ITT3569"/>
      <c r="ITU3569"/>
      <c r="ITV3569"/>
      <c r="ITW3569"/>
      <c r="ITX3569"/>
      <c r="ITY3569"/>
      <c r="ITZ3569"/>
      <c r="IUA3569"/>
      <c r="IUB3569"/>
      <c r="IUC3569"/>
      <c r="IUD3569"/>
      <c r="IUE3569"/>
      <c r="IUF3569"/>
      <c r="IUG3569"/>
      <c r="IUH3569"/>
      <c r="IUI3569"/>
      <c r="IUJ3569"/>
      <c r="IUK3569"/>
      <c r="IUL3569"/>
      <c r="IUM3569"/>
      <c r="IUN3569"/>
      <c r="IUO3569"/>
      <c r="IUP3569"/>
      <c r="IUQ3569"/>
      <c r="IUR3569"/>
      <c r="IUS3569"/>
      <c r="IUT3569"/>
      <c r="IUU3569"/>
      <c r="IUV3569"/>
      <c r="IUW3569"/>
      <c r="IUX3569"/>
      <c r="IUY3569"/>
      <c r="IUZ3569"/>
      <c r="IVA3569"/>
      <c r="IVB3569"/>
      <c r="IVC3569"/>
      <c r="IVD3569"/>
      <c r="IVE3569"/>
      <c r="IVF3569"/>
      <c r="IVG3569"/>
      <c r="IVH3569"/>
      <c r="IVI3569"/>
      <c r="IVJ3569"/>
      <c r="IVK3569"/>
      <c r="IVL3569"/>
      <c r="IVM3569"/>
      <c r="IVN3569"/>
      <c r="IVO3569"/>
      <c r="IVP3569"/>
      <c r="IVQ3569"/>
      <c r="IVR3569"/>
      <c r="IVS3569"/>
      <c r="IVT3569"/>
      <c r="IVU3569"/>
      <c r="IVV3569"/>
      <c r="IVW3569"/>
      <c r="IVX3569"/>
      <c r="IVY3569"/>
      <c r="IVZ3569"/>
      <c r="IWA3569"/>
      <c r="IWB3569"/>
      <c r="IWC3569"/>
      <c r="IWD3569"/>
      <c r="IWE3569"/>
      <c r="IWF3569"/>
      <c r="IWG3569"/>
      <c r="IWH3569"/>
      <c r="IWI3569"/>
      <c r="IWJ3569"/>
      <c r="IWK3569"/>
      <c r="IWL3569"/>
      <c r="IWM3569"/>
      <c r="IWN3569"/>
      <c r="IWO3569"/>
      <c r="IWP3569"/>
      <c r="IWQ3569"/>
      <c r="IWR3569"/>
      <c r="IWS3569"/>
      <c r="IWT3569"/>
      <c r="IWU3569"/>
      <c r="IWV3569"/>
      <c r="IWW3569"/>
      <c r="IWX3569"/>
      <c r="IWY3569"/>
      <c r="IWZ3569"/>
      <c r="IXA3569"/>
      <c r="IXB3569"/>
      <c r="IXC3569"/>
      <c r="IXD3569"/>
      <c r="IXE3569"/>
      <c r="IXF3569"/>
      <c r="IXG3569"/>
      <c r="IXH3569"/>
      <c r="IXI3569"/>
      <c r="IXJ3569"/>
      <c r="IXK3569"/>
      <c r="IXL3569"/>
      <c r="IXM3569"/>
      <c r="IXN3569"/>
      <c r="IXO3569"/>
      <c r="IXP3569"/>
      <c r="IXQ3569"/>
      <c r="IXR3569"/>
      <c r="IXS3569"/>
      <c r="IXT3569"/>
      <c r="IXU3569"/>
      <c r="IXV3569"/>
      <c r="IXW3569"/>
      <c r="IXX3569"/>
      <c r="IXY3569"/>
      <c r="IXZ3569"/>
      <c r="IYA3569"/>
      <c r="IYB3569"/>
      <c r="IYC3569"/>
      <c r="IYD3569"/>
      <c r="IYE3569"/>
      <c r="IYF3569"/>
      <c r="IYG3569"/>
      <c r="IYH3569"/>
      <c r="IYI3569"/>
      <c r="IYJ3569"/>
      <c r="IYK3569"/>
      <c r="IYL3569"/>
      <c r="IYM3569"/>
      <c r="IYN3569"/>
      <c r="IYO3569"/>
      <c r="IYP3569"/>
      <c r="IYQ3569"/>
      <c r="IYR3569"/>
      <c r="IYS3569"/>
      <c r="IYT3569"/>
      <c r="IYU3569"/>
      <c r="IYV3569"/>
      <c r="IYW3569"/>
      <c r="IYX3569"/>
      <c r="IYY3569"/>
      <c r="IYZ3569"/>
      <c r="IZA3569"/>
      <c r="IZB3569"/>
      <c r="IZC3569"/>
      <c r="IZD3569"/>
      <c r="IZE3569"/>
      <c r="IZF3569"/>
      <c r="IZG3569"/>
      <c r="IZH3569"/>
      <c r="IZI3569"/>
      <c r="IZJ3569"/>
      <c r="IZK3569"/>
      <c r="IZL3569"/>
      <c r="IZM3569"/>
      <c r="IZN3569"/>
      <c r="IZO3569"/>
      <c r="IZP3569"/>
      <c r="IZQ3569"/>
      <c r="IZR3569"/>
      <c r="IZS3569"/>
      <c r="IZT3569"/>
      <c r="IZU3569"/>
      <c r="IZV3569"/>
      <c r="IZW3569"/>
      <c r="IZX3569"/>
      <c r="IZY3569"/>
      <c r="IZZ3569"/>
      <c r="JAA3569"/>
      <c r="JAB3569"/>
      <c r="JAC3569"/>
      <c r="JAD3569"/>
      <c r="JAE3569"/>
      <c r="JAF3569"/>
      <c r="JAG3569"/>
      <c r="JAH3569"/>
      <c r="JAI3569"/>
      <c r="JAJ3569"/>
      <c r="JAK3569"/>
      <c r="JAL3569"/>
      <c r="JAM3569"/>
      <c r="JAN3569"/>
      <c r="JAO3569"/>
      <c r="JAP3569"/>
      <c r="JAQ3569"/>
      <c r="JAR3569"/>
      <c r="JAS3569"/>
      <c r="JAT3569"/>
      <c r="JAU3569"/>
      <c r="JAV3569"/>
      <c r="JAW3569"/>
      <c r="JAX3569"/>
      <c r="JAY3569"/>
      <c r="JAZ3569"/>
      <c r="JBA3569"/>
      <c r="JBB3569"/>
      <c r="JBC3569"/>
      <c r="JBD3569"/>
      <c r="JBE3569"/>
      <c r="JBF3569"/>
      <c r="JBG3569"/>
      <c r="JBH3569"/>
      <c r="JBI3569"/>
      <c r="JBJ3569"/>
      <c r="JBK3569"/>
      <c r="JBL3569"/>
      <c r="JBM3569"/>
      <c r="JBN3569"/>
      <c r="JBO3569"/>
      <c r="JBP3569"/>
      <c r="JBQ3569"/>
      <c r="JBR3569"/>
      <c r="JBS3569"/>
      <c r="JBT3569"/>
      <c r="JBU3569"/>
      <c r="JBV3569"/>
      <c r="JBW3569"/>
      <c r="JBX3569"/>
      <c r="JBY3569"/>
      <c r="JBZ3569"/>
      <c r="JCA3569"/>
      <c r="JCB3569"/>
      <c r="JCC3569"/>
      <c r="JCD3569"/>
      <c r="JCE3569"/>
      <c r="JCF3569"/>
      <c r="JCG3569"/>
      <c r="JCH3569"/>
      <c r="JCI3569"/>
      <c r="JCJ3569"/>
      <c r="JCK3569"/>
      <c r="JCL3569"/>
      <c r="JCM3569"/>
      <c r="JCN3569"/>
      <c r="JCO3569"/>
      <c r="JCP3569"/>
      <c r="JCQ3569"/>
      <c r="JCR3569"/>
      <c r="JCS3569"/>
      <c r="JCT3569"/>
      <c r="JCU3569"/>
      <c r="JCV3569"/>
      <c r="JCW3569"/>
      <c r="JCX3569"/>
      <c r="JCY3569"/>
      <c r="JCZ3569"/>
      <c r="JDA3569"/>
      <c r="JDB3569"/>
      <c r="JDC3569"/>
      <c r="JDD3569"/>
      <c r="JDE3569"/>
      <c r="JDF3569"/>
      <c r="JDG3569"/>
      <c r="JDH3569"/>
      <c r="JDI3569"/>
      <c r="JDJ3569"/>
      <c r="JDK3569"/>
      <c r="JDL3569"/>
      <c r="JDM3569"/>
      <c r="JDN3569"/>
      <c r="JDO3569"/>
      <c r="JDP3569"/>
      <c r="JDQ3569"/>
      <c r="JDR3569"/>
      <c r="JDS3569"/>
      <c r="JDT3569"/>
      <c r="JDU3569"/>
      <c r="JDV3569"/>
      <c r="JDW3569"/>
      <c r="JDX3569"/>
      <c r="JDY3569"/>
      <c r="JDZ3569"/>
      <c r="JEA3569"/>
      <c r="JEB3569"/>
      <c r="JEC3569"/>
      <c r="JED3569"/>
      <c r="JEE3569"/>
      <c r="JEF3569"/>
      <c r="JEG3569"/>
      <c r="JEH3569"/>
      <c r="JEI3569"/>
      <c r="JEJ3569"/>
      <c r="JEK3569"/>
      <c r="JEL3569"/>
      <c r="JEM3569"/>
      <c r="JEN3569"/>
      <c r="JEO3569"/>
      <c r="JEP3569"/>
      <c r="JEQ3569"/>
      <c r="JER3569"/>
      <c r="JES3569"/>
      <c r="JET3569"/>
      <c r="JEU3569"/>
      <c r="JEV3569"/>
      <c r="JEW3569"/>
      <c r="JEX3569"/>
      <c r="JEY3569"/>
      <c r="JEZ3569"/>
      <c r="JFA3569"/>
      <c r="JFB3569"/>
      <c r="JFC3569"/>
      <c r="JFD3569"/>
      <c r="JFE3569"/>
      <c r="JFF3569"/>
      <c r="JFG3569"/>
      <c r="JFH3569"/>
      <c r="JFI3569"/>
      <c r="JFJ3569"/>
      <c r="JFK3569"/>
      <c r="JFL3569"/>
      <c r="JFM3569"/>
      <c r="JFN3569"/>
      <c r="JFO3569"/>
      <c r="JFP3569"/>
      <c r="JFQ3569"/>
      <c r="JFR3569"/>
      <c r="JFS3569"/>
      <c r="JFT3569"/>
      <c r="JFU3569"/>
      <c r="JFV3569"/>
      <c r="JFW3569"/>
      <c r="JFX3569"/>
      <c r="JFY3569"/>
      <c r="JFZ3569"/>
      <c r="JGA3569"/>
      <c r="JGB3569"/>
      <c r="JGC3569"/>
      <c r="JGD3569"/>
      <c r="JGE3569"/>
      <c r="JGF3569"/>
      <c r="JGG3569"/>
      <c r="JGH3569"/>
      <c r="JGI3569"/>
      <c r="JGJ3569"/>
      <c r="JGK3569"/>
      <c r="JGL3569"/>
      <c r="JGM3569"/>
      <c r="JGN3569"/>
      <c r="JGO3569"/>
      <c r="JGP3569"/>
      <c r="JGQ3569"/>
      <c r="JGR3569"/>
      <c r="JGS3569"/>
      <c r="JGT3569"/>
      <c r="JGU3569"/>
      <c r="JGV3569"/>
      <c r="JGW3569"/>
      <c r="JGX3569"/>
      <c r="JGY3569"/>
      <c r="JGZ3569"/>
      <c r="JHA3569"/>
      <c r="JHB3569"/>
      <c r="JHC3569"/>
      <c r="JHD3569"/>
      <c r="JHE3569"/>
      <c r="JHF3569"/>
      <c r="JHG3569"/>
      <c r="JHH3569"/>
      <c r="JHI3569"/>
      <c r="JHJ3569"/>
      <c r="JHK3569"/>
      <c r="JHL3569"/>
      <c r="JHM3569"/>
      <c r="JHN3569"/>
      <c r="JHO3569"/>
      <c r="JHP3569"/>
      <c r="JHQ3569"/>
      <c r="JHR3569"/>
      <c r="JHS3569"/>
      <c r="JHT3569"/>
      <c r="JHU3569"/>
      <c r="JHV3569"/>
      <c r="JHW3569"/>
      <c r="JHX3569"/>
      <c r="JHY3569"/>
      <c r="JHZ3569"/>
      <c r="JIA3569"/>
      <c r="JIB3569"/>
      <c r="JIC3569"/>
      <c r="JID3569"/>
      <c r="JIE3569"/>
      <c r="JIF3569"/>
      <c r="JIG3569"/>
      <c r="JIH3569"/>
      <c r="JII3569"/>
      <c r="JIJ3569"/>
      <c r="JIK3569"/>
      <c r="JIL3569"/>
      <c r="JIM3569"/>
      <c r="JIN3569"/>
      <c r="JIO3569"/>
      <c r="JIP3569"/>
      <c r="JIQ3569"/>
      <c r="JIR3569"/>
      <c r="JIS3569"/>
      <c r="JIT3569"/>
      <c r="JIU3569"/>
      <c r="JIV3569"/>
      <c r="JIW3569"/>
      <c r="JIX3569"/>
      <c r="JIY3569"/>
      <c r="JIZ3569"/>
      <c r="JJA3569"/>
      <c r="JJB3569"/>
      <c r="JJC3569"/>
      <c r="JJD3569"/>
      <c r="JJE3569"/>
      <c r="JJF3569"/>
      <c r="JJG3569"/>
      <c r="JJH3569"/>
      <c r="JJI3569"/>
      <c r="JJJ3569"/>
      <c r="JJK3569"/>
      <c r="JJL3569"/>
      <c r="JJM3569"/>
      <c r="JJN3569"/>
      <c r="JJO3569"/>
      <c r="JJP3569"/>
      <c r="JJQ3569"/>
      <c r="JJR3569"/>
      <c r="JJS3569"/>
      <c r="JJT3569"/>
      <c r="JJU3569"/>
      <c r="JJV3569"/>
      <c r="JJW3569"/>
      <c r="JJX3569"/>
      <c r="JJY3569"/>
      <c r="JJZ3569"/>
      <c r="JKA3569"/>
      <c r="JKB3569"/>
      <c r="JKC3569"/>
      <c r="JKD3569"/>
      <c r="JKE3569"/>
      <c r="JKF3569"/>
      <c r="JKG3569"/>
      <c r="JKH3569"/>
      <c r="JKI3569"/>
      <c r="JKJ3569"/>
      <c r="JKK3569"/>
      <c r="JKL3569"/>
      <c r="JKM3569"/>
      <c r="JKN3569"/>
      <c r="JKO3569"/>
      <c r="JKP3569"/>
      <c r="JKQ3569"/>
      <c r="JKR3569"/>
      <c r="JKS3569"/>
      <c r="JKT3569"/>
      <c r="JKU3569"/>
      <c r="JKV3569"/>
      <c r="JKW3569"/>
      <c r="JKX3569"/>
      <c r="JKY3569"/>
      <c r="JKZ3569"/>
      <c r="JLA3569"/>
      <c r="JLB3569"/>
      <c r="JLC3569"/>
      <c r="JLD3569"/>
      <c r="JLE3569"/>
      <c r="JLF3569"/>
      <c r="JLG3569"/>
      <c r="JLH3569"/>
      <c r="JLI3569"/>
      <c r="JLJ3569"/>
      <c r="JLK3569"/>
      <c r="JLL3569"/>
      <c r="JLM3569"/>
      <c r="JLN3569"/>
      <c r="JLO3569"/>
      <c r="JLP3569"/>
      <c r="JLQ3569"/>
      <c r="JLR3569"/>
      <c r="JLS3569"/>
      <c r="JLT3569"/>
      <c r="JLU3569"/>
      <c r="JLV3569"/>
      <c r="JLW3569"/>
      <c r="JLX3569"/>
      <c r="JLY3569"/>
      <c r="JLZ3569"/>
      <c r="JMA3569"/>
      <c r="JMB3569"/>
      <c r="JMC3569"/>
      <c r="JMD3569"/>
      <c r="JME3569"/>
      <c r="JMF3569"/>
      <c r="JMG3569"/>
      <c r="JMH3569"/>
      <c r="JMI3569"/>
      <c r="JMJ3569"/>
      <c r="JMK3569"/>
      <c r="JML3569"/>
      <c r="JMM3569"/>
      <c r="JMN3569"/>
      <c r="JMO3569"/>
      <c r="JMP3569"/>
      <c r="JMQ3569"/>
      <c r="JMR3569"/>
      <c r="JMS3569"/>
      <c r="JMT3569"/>
      <c r="JMU3569"/>
      <c r="JMV3569"/>
      <c r="JMW3569"/>
      <c r="JMX3569"/>
      <c r="JMY3569"/>
      <c r="JMZ3569"/>
      <c r="JNA3569"/>
      <c r="JNB3569"/>
      <c r="JNC3569"/>
      <c r="JND3569"/>
      <c r="JNE3569"/>
      <c r="JNF3569"/>
      <c r="JNG3569"/>
      <c r="JNH3569"/>
      <c r="JNI3569"/>
      <c r="JNJ3569"/>
      <c r="JNK3569"/>
      <c r="JNL3569"/>
      <c r="JNM3569"/>
      <c r="JNN3569"/>
      <c r="JNO3569"/>
      <c r="JNP3569"/>
      <c r="JNQ3569"/>
      <c r="JNR3569"/>
      <c r="JNS3569"/>
      <c r="JNT3569"/>
      <c r="JNU3569"/>
      <c r="JNV3569"/>
      <c r="JNW3569"/>
      <c r="JNX3569"/>
      <c r="JNY3569"/>
      <c r="JNZ3569"/>
      <c r="JOA3569"/>
      <c r="JOB3569"/>
      <c r="JOC3569"/>
      <c r="JOD3569"/>
      <c r="JOE3569"/>
      <c r="JOF3569"/>
      <c r="JOG3569"/>
      <c r="JOH3569"/>
      <c r="JOI3569"/>
      <c r="JOJ3569"/>
      <c r="JOK3569"/>
      <c r="JOL3569"/>
      <c r="JOM3569"/>
      <c r="JON3569"/>
      <c r="JOO3569"/>
      <c r="JOP3569"/>
      <c r="JOQ3569"/>
      <c r="JOR3569"/>
      <c r="JOS3569"/>
      <c r="JOT3569"/>
      <c r="JOU3569"/>
      <c r="JOV3569"/>
      <c r="JOW3569"/>
      <c r="JOX3569"/>
      <c r="JOY3569"/>
      <c r="JOZ3569"/>
      <c r="JPA3569"/>
      <c r="JPB3569"/>
      <c r="JPC3569"/>
      <c r="JPD3569"/>
      <c r="JPE3569"/>
      <c r="JPF3569"/>
      <c r="JPG3569"/>
      <c r="JPH3569"/>
      <c r="JPI3569"/>
      <c r="JPJ3569"/>
      <c r="JPK3569"/>
      <c r="JPL3569"/>
      <c r="JPM3569"/>
      <c r="JPN3569"/>
      <c r="JPO3569"/>
      <c r="JPP3569"/>
      <c r="JPQ3569"/>
      <c r="JPR3569"/>
      <c r="JPS3569"/>
      <c r="JPT3569"/>
      <c r="JPU3569"/>
      <c r="JPV3569"/>
      <c r="JPW3569"/>
      <c r="JPX3569"/>
      <c r="JPY3569"/>
      <c r="JPZ3569"/>
      <c r="JQA3569"/>
      <c r="JQB3569"/>
      <c r="JQC3569"/>
      <c r="JQD3569"/>
      <c r="JQE3569"/>
      <c r="JQF3569"/>
      <c r="JQG3569"/>
      <c r="JQH3569"/>
      <c r="JQI3569"/>
      <c r="JQJ3569"/>
      <c r="JQK3569"/>
      <c r="JQL3569"/>
      <c r="JQM3569"/>
      <c r="JQN3569"/>
      <c r="JQO3569"/>
      <c r="JQP3569"/>
      <c r="JQQ3569"/>
      <c r="JQR3569"/>
      <c r="JQS3569"/>
      <c r="JQT3569"/>
      <c r="JQU3569"/>
      <c r="JQV3569"/>
      <c r="JQW3569"/>
      <c r="JQX3569"/>
      <c r="JQY3569"/>
      <c r="JQZ3569"/>
      <c r="JRA3569"/>
      <c r="JRB3569"/>
      <c r="JRC3569"/>
      <c r="JRD3569"/>
      <c r="JRE3569"/>
      <c r="JRF3569"/>
      <c r="JRG3569"/>
      <c r="JRH3569"/>
      <c r="JRI3569"/>
      <c r="JRJ3569"/>
      <c r="JRK3569"/>
      <c r="JRL3569"/>
      <c r="JRM3569"/>
      <c r="JRN3569"/>
      <c r="JRO3569"/>
      <c r="JRP3569"/>
      <c r="JRQ3569"/>
      <c r="JRR3569"/>
      <c r="JRS3569"/>
      <c r="JRT3569"/>
      <c r="JRU3569"/>
      <c r="JRV3569"/>
      <c r="JRW3569"/>
      <c r="JRX3569"/>
      <c r="JRY3569"/>
      <c r="JRZ3569"/>
      <c r="JSA3569"/>
      <c r="JSB3569"/>
      <c r="JSC3569"/>
      <c r="JSD3569"/>
      <c r="JSE3569"/>
      <c r="JSF3569"/>
      <c r="JSG3569"/>
      <c r="JSH3569"/>
      <c r="JSI3569"/>
      <c r="JSJ3569"/>
      <c r="JSK3569"/>
      <c r="JSL3569"/>
      <c r="JSM3569"/>
      <c r="JSN3569"/>
      <c r="JSO3569"/>
      <c r="JSP3569"/>
      <c r="JSQ3569"/>
      <c r="JSR3569"/>
      <c r="JSS3569"/>
      <c r="JST3569"/>
      <c r="JSU3569"/>
      <c r="JSV3569"/>
      <c r="JSW3569"/>
      <c r="JSX3569"/>
      <c r="JSY3569"/>
      <c r="JSZ3569"/>
      <c r="JTA3569"/>
      <c r="JTB3569"/>
      <c r="JTC3569"/>
      <c r="JTD3569"/>
      <c r="JTE3569"/>
      <c r="JTF3569"/>
      <c r="JTG3569"/>
      <c r="JTH3569"/>
      <c r="JTI3569"/>
      <c r="JTJ3569"/>
      <c r="JTK3569"/>
      <c r="JTL3569"/>
      <c r="JTM3569"/>
      <c r="JTN3569"/>
      <c r="JTO3569"/>
      <c r="JTP3569"/>
      <c r="JTQ3569"/>
      <c r="JTR3569"/>
      <c r="JTS3569"/>
      <c r="JTT3569"/>
      <c r="JTU3569"/>
      <c r="JTV3569"/>
      <c r="JTW3569"/>
      <c r="JTX3569"/>
      <c r="JTY3569"/>
      <c r="JTZ3569"/>
      <c r="JUA3569"/>
      <c r="JUB3569"/>
      <c r="JUC3569"/>
      <c r="JUD3569"/>
      <c r="JUE3569"/>
      <c r="JUF3569"/>
      <c r="JUG3569"/>
      <c r="JUH3569"/>
      <c r="JUI3569"/>
      <c r="JUJ3569"/>
      <c r="JUK3569"/>
      <c r="JUL3569"/>
      <c r="JUM3569"/>
      <c r="JUN3569"/>
      <c r="JUO3569"/>
      <c r="JUP3569"/>
      <c r="JUQ3569"/>
      <c r="JUR3569"/>
      <c r="JUS3569"/>
      <c r="JUT3569"/>
      <c r="JUU3569"/>
      <c r="JUV3569"/>
      <c r="JUW3569"/>
      <c r="JUX3569"/>
      <c r="JUY3569"/>
      <c r="JUZ3569"/>
      <c r="JVA3569"/>
      <c r="JVB3569"/>
      <c r="JVC3569"/>
      <c r="JVD3569"/>
      <c r="JVE3569"/>
      <c r="JVF3569"/>
      <c r="JVG3569"/>
      <c r="JVH3569"/>
      <c r="JVI3569"/>
      <c r="JVJ3569"/>
      <c r="JVK3569"/>
      <c r="JVL3569"/>
      <c r="JVM3569"/>
      <c r="JVN3569"/>
      <c r="JVO3569"/>
      <c r="JVP3569"/>
      <c r="JVQ3569"/>
      <c r="JVR3569"/>
      <c r="JVS3569"/>
      <c r="JVT3569"/>
      <c r="JVU3569"/>
      <c r="JVV3569"/>
      <c r="JVW3569"/>
      <c r="JVX3569"/>
      <c r="JVY3569"/>
      <c r="JVZ3569"/>
      <c r="JWA3569"/>
      <c r="JWB3569"/>
      <c r="JWC3569"/>
      <c r="JWD3569"/>
      <c r="JWE3569"/>
      <c r="JWF3569"/>
      <c r="JWG3569"/>
      <c r="JWH3569"/>
      <c r="JWI3569"/>
      <c r="JWJ3569"/>
      <c r="JWK3569"/>
      <c r="JWL3569"/>
      <c r="JWM3569"/>
      <c r="JWN3569"/>
      <c r="JWO3569"/>
      <c r="JWP3569"/>
      <c r="JWQ3569"/>
      <c r="JWR3569"/>
      <c r="JWS3569"/>
      <c r="JWT3569"/>
      <c r="JWU3569"/>
      <c r="JWV3569"/>
      <c r="JWW3569"/>
      <c r="JWX3569"/>
      <c r="JWY3569"/>
      <c r="JWZ3569"/>
      <c r="JXA3569"/>
      <c r="JXB3569"/>
      <c r="JXC3569"/>
      <c r="JXD3569"/>
      <c r="JXE3569"/>
      <c r="JXF3569"/>
      <c r="JXG3569"/>
      <c r="JXH3569"/>
      <c r="JXI3569"/>
      <c r="JXJ3569"/>
      <c r="JXK3569"/>
      <c r="JXL3569"/>
      <c r="JXM3569"/>
      <c r="JXN3569"/>
      <c r="JXO3569"/>
      <c r="JXP3569"/>
      <c r="JXQ3569"/>
      <c r="JXR3569"/>
      <c r="JXS3569"/>
      <c r="JXT3569"/>
      <c r="JXU3569"/>
      <c r="JXV3569"/>
      <c r="JXW3569"/>
      <c r="JXX3569"/>
      <c r="JXY3569"/>
      <c r="JXZ3569"/>
      <c r="JYA3569"/>
      <c r="JYB3569"/>
      <c r="JYC3569"/>
      <c r="JYD3569"/>
      <c r="JYE3569"/>
      <c r="JYF3569"/>
      <c r="JYG3569"/>
      <c r="JYH3569"/>
      <c r="JYI3569"/>
      <c r="JYJ3569"/>
      <c r="JYK3569"/>
      <c r="JYL3569"/>
      <c r="JYM3569"/>
      <c r="JYN3569"/>
      <c r="JYO3569"/>
      <c r="JYP3569"/>
      <c r="JYQ3569"/>
      <c r="JYR3569"/>
      <c r="JYS3569"/>
      <c r="JYT3569"/>
      <c r="JYU3569"/>
      <c r="JYV3569"/>
      <c r="JYW3569"/>
      <c r="JYX3569"/>
      <c r="JYY3569"/>
      <c r="JYZ3569"/>
      <c r="JZA3569"/>
      <c r="JZB3569"/>
      <c r="JZC3569"/>
      <c r="JZD3569"/>
      <c r="JZE3569"/>
      <c r="JZF3569"/>
      <c r="JZG3569"/>
      <c r="JZH3569"/>
      <c r="JZI3569"/>
      <c r="JZJ3569"/>
      <c r="JZK3569"/>
      <c r="JZL3569"/>
      <c r="JZM3569"/>
      <c r="JZN3569"/>
      <c r="JZO3569"/>
      <c r="JZP3569"/>
      <c r="JZQ3569"/>
      <c r="JZR3569"/>
      <c r="JZS3569"/>
      <c r="JZT3569"/>
      <c r="JZU3569"/>
      <c r="JZV3569"/>
      <c r="JZW3569"/>
      <c r="JZX3569"/>
      <c r="JZY3569"/>
      <c r="JZZ3569"/>
      <c r="KAA3569"/>
      <c r="KAB3569"/>
      <c r="KAC3569"/>
      <c r="KAD3569"/>
      <c r="KAE3569"/>
      <c r="KAF3569"/>
      <c r="KAG3569"/>
      <c r="KAH3569"/>
      <c r="KAI3569"/>
      <c r="KAJ3569"/>
      <c r="KAK3569"/>
      <c r="KAL3569"/>
      <c r="KAM3569"/>
      <c r="KAN3569"/>
      <c r="KAO3569"/>
      <c r="KAP3569"/>
      <c r="KAQ3569"/>
      <c r="KAR3569"/>
      <c r="KAS3569"/>
      <c r="KAT3569"/>
      <c r="KAU3569"/>
      <c r="KAV3569"/>
      <c r="KAW3569"/>
      <c r="KAX3569"/>
      <c r="KAY3569"/>
      <c r="KAZ3569"/>
      <c r="KBA3569"/>
      <c r="KBB3569"/>
      <c r="KBC3569"/>
      <c r="KBD3569"/>
      <c r="KBE3569"/>
      <c r="KBF3569"/>
      <c r="KBG3569"/>
      <c r="KBH3569"/>
      <c r="KBI3569"/>
      <c r="KBJ3569"/>
      <c r="KBK3569"/>
      <c r="KBL3569"/>
      <c r="KBM3569"/>
      <c r="KBN3569"/>
      <c r="KBO3569"/>
      <c r="KBP3569"/>
      <c r="KBQ3569"/>
      <c r="KBR3569"/>
      <c r="KBS3569"/>
      <c r="KBT3569"/>
      <c r="KBU3569"/>
      <c r="KBV3569"/>
      <c r="KBW3569"/>
      <c r="KBX3569"/>
      <c r="KBY3569"/>
      <c r="KBZ3569"/>
      <c r="KCA3569"/>
      <c r="KCB3569"/>
      <c r="KCC3569"/>
      <c r="KCD3569"/>
      <c r="KCE3569"/>
      <c r="KCF3569"/>
      <c r="KCG3569"/>
      <c r="KCH3569"/>
      <c r="KCI3569"/>
      <c r="KCJ3569"/>
      <c r="KCK3569"/>
      <c r="KCL3569"/>
      <c r="KCM3569"/>
      <c r="KCN3569"/>
      <c r="KCO3569"/>
      <c r="KCP3569"/>
      <c r="KCQ3569"/>
      <c r="KCR3569"/>
      <c r="KCS3569"/>
      <c r="KCT3569"/>
      <c r="KCU3569"/>
      <c r="KCV3569"/>
      <c r="KCW3569"/>
      <c r="KCX3569"/>
      <c r="KCY3569"/>
      <c r="KCZ3569"/>
      <c r="KDA3569"/>
      <c r="KDB3569"/>
      <c r="KDC3569"/>
      <c r="KDD3569"/>
      <c r="KDE3569"/>
      <c r="KDF3569"/>
      <c r="KDG3569"/>
      <c r="KDH3569"/>
      <c r="KDI3569"/>
      <c r="KDJ3569"/>
      <c r="KDK3569"/>
      <c r="KDL3569"/>
      <c r="KDM3569"/>
      <c r="KDN3569"/>
      <c r="KDO3569"/>
      <c r="KDP3569"/>
      <c r="KDQ3569"/>
      <c r="KDR3569"/>
      <c r="KDS3569"/>
      <c r="KDT3569"/>
      <c r="KDU3569"/>
      <c r="KDV3569"/>
      <c r="KDW3569"/>
      <c r="KDX3569"/>
      <c r="KDY3569"/>
      <c r="KDZ3569"/>
      <c r="KEA3569"/>
      <c r="KEB3569"/>
      <c r="KEC3569"/>
      <c r="KED3569"/>
      <c r="KEE3569"/>
      <c r="KEF3569"/>
      <c r="KEG3569"/>
      <c r="KEH3569"/>
      <c r="KEI3569"/>
      <c r="KEJ3569"/>
      <c r="KEK3569"/>
      <c r="KEL3569"/>
      <c r="KEM3569"/>
      <c r="KEN3569"/>
      <c r="KEO3569"/>
      <c r="KEP3569"/>
      <c r="KEQ3569"/>
      <c r="KER3569"/>
      <c r="KES3569"/>
      <c r="KET3569"/>
      <c r="KEU3569"/>
      <c r="KEV3569"/>
      <c r="KEW3569"/>
      <c r="KEX3569"/>
      <c r="KEY3569"/>
      <c r="KEZ3569"/>
      <c r="KFA3569"/>
      <c r="KFB3569"/>
      <c r="KFC3569"/>
      <c r="KFD3569"/>
      <c r="KFE3569"/>
      <c r="KFF3569"/>
      <c r="KFG3569"/>
      <c r="KFH3569"/>
      <c r="KFI3569"/>
      <c r="KFJ3569"/>
      <c r="KFK3569"/>
      <c r="KFL3569"/>
      <c r="KFM3569"/>
      <c r="KFN3569"/>
      <c r="KFO3569"/>
      <c r="KFP3569"/>
      <c r="KFQ3569"/>
      <c r="KFR3569"/>
      <c r="KFS3569"/>
      <c r="KFT3569"/>
      <c r="KFU3569"/>
      <c r="KFV3569"/>
      <c r="KFW3569"/>
      <c r="KFX3569"/>
      <c r="KFY3569"/>
      <c r="KFZ3569"/>
      <c r="KGA3569"/>
      <c r="KGB3569"/>
      <c r="KGC3569"/>
      <c r="KGD3569"/>
      <c r="KGE3569"/>
      <c r="KGF3569"/>
      <c r="KGG3569"/>
      <c r="KGH3569"/>
      <c r="KGI3569"/>
      <c r="KGJ3569"/>
      <c r="KGK3569"/>
      <c r="KGL3569"/>
      <c r="KGM3569"/>
      <c r="KGN3569"/>
      <c r="KGO3569"/>
      <c r="KGP3569"/>
      <c r="KGQ3569"/>
      <c r="KGR3569"/>
      <c r="KGS3569"/>
      <c r="KGT3569"/>
      <c r="KGU3569"/>
      <c r="KGV3569"/>
      <c r="KGW3569"/>
      <c r="KGX3569"/>
      <c r="KGY3569"/>
      <c r="KGZ3569"/>
      <c r="KHA3569"/>
      <c r="KHB3569"/>
      <c r="KHC3569"/>
      <c r="KHD3569"/>
      <c r="KHE3569"/>
      <c r="KHF3569"/>
      <c r="KHG3569"/>
      <c r="KHH3569"/>
      <c r="KHI3569"/>
      <c r="KHJ3569"/>
      <c r="KHK3569"/>
      <c r="KHL3569"/>
      <c r="KHM3569"/>
      <c r="KHN3569"/>
      <c r="KHO3569"/>
      <c r="KHP3569"/>
      <c r="KHQ3569"/>
      <c r="KHR3569"/>
      <c r="KHS3569"/>
      <c r="KHT3569"/>
      <c r="KHU3569"/>
      <c r="KHV3569"/>
      <c r="KHW3569"/>
      <c r="KHX3569"/>
      <c r="KHY3569"/>
      <c r="KHZ3569"/>
      <c r="KIA3569"/>
      <c r="KIB3569"/>
      <c r="KIC3569"/>
      <c r="KID3569"/>
      <c r="KIE3569"/>
      <c r="KIF3569"/>
      <c r="KIG3569"/>
      <c r="KIH3569"/>
      <c r="KII3569"/>
      <c r="KIJ3569"/>
      <c r="KIK3569"/>
      <c r="KIL3569"/>
      <c r="KIM3569"/>
      <c r="KIN3569"/>
      <c r="KIO3569"/>
      <c r="KIP3569"/>
      <c r="KIQ3569"/>
      <c r="KIR3569"/>
      <c r="KIS3569"/>
      <c r="KIT3569"/>
      <c r="KIU3569"/>
      <c r="KIV3569"/>
      <c r="KIW3569"/>
      <c r="KIX3569"/>
      <c r="KIY3569"/>
      <c r="KIZ3569"/>
      <c r="KJA3569"/>
      <c r="KJB3569"/>
      <c r="KJC3569"/>
      <c r="KJD3569"/>
      <c r="KJE3569"/>
      <c r="KJF3569"/>
      <c r="KJG3569"/>
      <c r="KJH3569"/>
      <c r="KJI3569"/>
      <c r="KJJ3569"/>
      <c r="KJK3569"/>
      <c r="KJL3569"/>
      <c r="KJM3569"/>
      <c r="KJN3569"/>
      <c r="KJO3569"/>
      <c r="KJP3569"/>
      <c r="KJQ3569"/>
      <c r="KJR3569"/>
      <c r="KJS3569"/>
      <c r="KJT3569"/>
      <c r="KJU3569"/>
      <c r="KJV3569"/>
      <c r="KJW3569"/>
      <c r="KJX3569"/>
      <c r="KJY3569"/>
      <c r="KJZ3569"/>
      <c r="KKA3569"/>
      <c r="KKB3569"/>
      <c r="KKC3569"/>
      <c r="KKD3569"/>
      <c r="KKE3569"/>
      <c r="KKF3569"/>
      <c r="KKG3569"/>
      <c r="KKH3569"/>
      <c r="KKI3569"/>
      <c r="KKJ3569"/>
      <c r="KKK3569"/>
      <c r="KKL3569"/>
      <c r="KKM3569"/>
      <c r="KKN3569"/>
      <c r="KKO3569"/>
      <c r="KKP3569"/>
      <c r="KKQ3569"/>
      <c r="KKR3569"/>
      <c r="KKS3569"/>
      <c r="KKT3569"/>
      <c r="KKU3569"/>
      <c r="KKV3569"/>
      <c r="KKW3569"/>
      <c r="KKX3569"/>
      <c r="KKY3569"/>
      <c r="KKZ3569"/>
      <c r="KLA3569"/>
      <c r="KLB3569"/>
      <c r="KLC3569"/>
      <c r="KLD3569"/>
      <c r="KLE3569"/>
      <c r="KLF3569"/>
      <c r="KLG3569"/>
      <c r="KLH3569"/>
      <c r="KLI3569"/>
      <c r="KLJ3569"/>
      <c r="KLK3569"/>
      <c r="KLL3569"/>
      <c r="KLM3569"/>
      <c r="KLN3569"/>
      <c r="KLO3569"/>
      <c r="KLP3569"/>
      <c r="KLQ3569"/>
      <c r="KLR3569"/>
      <c r="KLS3569"/>
      <c r="KLT3569"/>
      <c r="KLU3569"/>
      <c r="KLV3569"/>
      <c r="KLW3569"/>
      <c r="KLX3569"/>
      <c r="KLY3569"/>
      <c r="KLZ3569"/>
      <c r="KMA3569"/>
      <c r="KMB3569"/>
      <c r="KMC3569"/>
      <c r="KMD3569"/>
      <c r="KME3569"/>
      <c r="KMF3569"/>
      <c r="KMG3569"/>
      <c r="KMH3569"/>
      <c r="KMI3569"/>
      <c r="KMJ3569"/>
      <c r="KMK3569"/>
      <c r="KML3569"/>
      <c r="KMM3569"/>
      <c r="KMN3569"/>
      <c r="KMO3569"/>
      <c r="KMP3569"/>
      <c r="KMQ3569"/>
      <c r="KMR3569"/>
      <c r="KMS3569"/>
      <c r="KMT3569"/>
      <c r="KMU3569"/>
      <c r="KMV3569"/>
      <c r="KMW3569"/>
      <c r="KMX3569"/>
      <c r="KMY3569"/>
      <c r="KMZ3569"/>
      <c r="KNA3569"/>
      <c r="KNB3569"/>
      <c r="KNC3569"/>
      <c r="KND3569"/>
      <c r="KNE3569"/>
      <c r="KNF3569"/>
      <c r="KNG3569"/>
      <c r="KNH3569"/>
      <c r="KNI3569"/>
      <c r="KNJ3569"/>
      <c r="KNK3569"/>
      <c r="KNL3569"/>
      <c r="KNM3569"/>
      <c r="KNN3569"/>
      <c r="KNO3569"/>
      <c r="KNP3569"/>
      <c r="KNQ3569"/>
      <c r="KNR3569"/>
      <c r="KNS3569"/>
      <c r="KNT3569"/>
      <c r="KNU3569"/>
      <c r="KNV3569"/>
      <c r="KNW3569"/>
      <c r="KNX3569"/>
      <c r="KNY3569"/>
      <c r="KNZ3569"/>
      <c r="KOA3569"/>
      <c r="KOB3569"/>
      <c r="KOC3569"/>
      <c r="KOD3569"/>
      <c r="KOE3569"/>
      <c r="KOF3569"/>
      <c r="KOG3569"/>
      <c r="KOH3569"/>
      <c r="KOI3569"/>
      <c r="KOJ3569"/>
      <c r="KOK3569"/>
      <c r="KOL3569"/>
      <c r="KOM3569"/>
      <c r="KON3569"/>
      <c r="KOO3569"/>
      <c r="KOP3569"/>
      <c r="KOQ3569"/>
      <c r="KOR3569"/>
      <c r="KOS3569"/>
      <c r="KOT3569"/>
      <c r="KOU3569"/>
      <c r="KOV3569"/>
      <c r="KOW3569"/>
      <c r="KOX3569"/>
      <c r="KOY3569"/>
      <c r="KOZ3569"/>
      <c r="KPA3569"/>
      <c r="KPB3569"/>
      <c r="KPC3569"/>
      <c r="KPD3569"/>
      <c r="KPE3569"/>
      <c r="KPF3569"/>
      <c r="KPG3569"/>
      <c r="KPH3569"/>
      <c r="KPI3569"/>
      <c r="KPJ3569"/>
      <c r="KPK3569"/>
      <c r="KPL3569"/>
      <c r="KPM3569"/>
      <c r="KPN3569"/>
      <c r="KPO3569"/>
      <c r="KPP3569"/>
      <c r="KPQ3569"/>
      <c r="KPR3569"/>
      <c r="KPS3569"/>
      <c r="KPT3569"/>
      <c r="KPU3569"/>
      <c r="KPV3569"/>
      <c r="KPW3569"/>
      <c r="KPX3569"/>
      <c r="KPY3569"/>
      <c r="KPZ3569"/>
      <c r="KQA3569"/>
      <c r="KQB3569"/>
      <c r="KQC3569"/>
      <c r="KQD3569"/>
      <c r="KQE3569"/>
      <c r="KQF3569"/>
      <c r="KQG3569"/>
      <c r="KQH3569"/>
      <c r="KQI3569"/>
      <c r="KQJ3569"/>
      <c r="KQK3569"/>
      <c r="KQL3569"/>
      <c r="KQM3569"/>
      <c r="KQN3569"/>
      <c r="KQO3569"/>
      <c r="KQP3569"/>
      <c r="KQQ3569"/>
      <c r="KQR3569"/>
      <c r="KQS3569"/>
      <c r="KQT3569"/>
      <c r="KQU3569"/>
      <c r="KQV3569"/>
      <c r="KQW3569"/>
      <c r="KQX3569"/>
      <c r="KQY3569"/>
      <c r="KQZ3569"/>
      <c r="KRA3569"/>
      <c r="KRB3569"/>
      <c r="KRC3569"/>
      <c r="KRD3569"/>
      <c r="KRE3569"/>
      <c r="KRF3569"/>
      <c r="KRG3569"/>
      <c r="KRH3569"/>
      <c r="KRI3569"/>
      <c r="KRJ3569"/>
      <c r="KRK3569"/>
      <c r="KRL3569"/>
      <c r="KRM3569"/>
      <c r="KRN3569"/>
      <c r="KRO3569"/>
      <c r="KRP3569"/>
      <c r="KRQ3569"/>
      <c r="KRR3569"/>
      <c r="KRS3569"/>
      <c r="KRT3569"/>
      <c r="KRU3569"/>
      <c r="KRV3569"/>
      <c r="KRW3569"/>
      <c r="KRX3569"/>
      <c r="KRY3569"/>
      <c r="KRZ3569"/>
      <c r="KSA3569"/>
      <c r="KSB3569"/>
      <c r="KSC3569"/>
      <c r="KSD3569"/>
      <c r="KSE3569"/>
      <c r="KSF3569"/>
      <c r="KSG3569"/>
      <c r="KSH3569"/>
      <c r="KSI3569"/>
      <c r="KSJ3569"/>
      <c r="KSK3569"/>
      <c r="KSL3569"/>
      <c r="KSM3569"/>
      <c r="KSN3569"/>
      <c r="KSO3569"/>
      <c r="KSP3569"/>
      <c r="KSQ3569"/>
      <c r="KSR3569"/>
      <c r="KSS3569"/>
      <c r="KST3569"/>
      <c r="KSU3569"/>
      <c r="KSV3569"/>
      <c r="KSW3569"/>
      <c r="KSX3569"/>
      <c r="KSY3569"/>
      <c r="KSZ3569"/>
      <c r="KTA3569"/>
      <c r="KTB3569"/>
      <c r="KTC3569"/>
      <c r="KTD3569"/>
      <c r="KTE3569"/>
      <c r="KTF3569"/>
      <c r="KTG3569"/>
      <c r="KTH3569"/>
      <c r="KTI3569"/>
      <c r="KTJ3569"/>
      <c r="KTK3569"/>
      <c r="KTL3569"/>
      <c r="KTM3569"/>
      <c r="KTN3569"/>
      <c r="KTO3569"/>
      <c r="KTP3569"/>
      <c r="KTQ3569"/>
      <c r="KTR3569"/>
      <c r="KTS3569"/>
      <c r="KTT3569"/>
      <c r="KTU3569"/>
      <c r="KTV3569"/>
      <c r="KTW3569"/>
      <c r="KTX3569"/>
      <c r="KTY3569"/>
      <c r="KTZ3569"/>
      <c r="KUA3569"/>
      <c r="KUB3569"/>
      <c r="KUC3569"/>
      <c r="KUD3569"/>
      <c r="KUE3569"/>
      <c r="KUF3569"/>
      <c r="KUG3569"/>
      <c r="KUH3569"/>
      <c r="KUI3569"/>
      <c r="KUJ3569"/>
      <c r="KUK3569"/>
      <c r="KUL3569"/>
      <c r="KUM3569"/>
      <c r="KUN3569"/>
      <c r="KUO3569"/>
      <c r="KUP3569"/>
      <c r="KUQ3569"/>
      <c r="KUR3569"/>
      <c r="KUS3569"/>
      <c r="KUT3569"/>
      <c r="KUU3569"/>
      <c r="KUV3569"/>
      <c r="KUW3569"/>
      <c r="KUX3569"/>
      <c r="KUY3569"/>
      <c r="KUZ3569"/>
      <c r="KVA3569"/>
      <c r="KVB3569"/>
      <c r="KVC3569"/>
      <c r="KVD3569"/>
      <c r="KVE3569"/>
      <c r="KVF3569"/>
      <c r="KVG3569"/>
      <c r="KVH3569"/>
      <c r="KVI3569"/>
      <c r="KVJ3569"/>
      <c r="KVK3569"/>
      <c r="KVL3569"/>
      <c r="KVM3569"/>
      <c r="KVN3569"/>
      <c r="KVO3569"/>
      <c r="KVP3569"/>
      <c r="KVQ3569"/>
      <c r="KVR3569"/>
      <c r="KVS3569"/>
      <c r="KVT3569"/>
      <c r="KVU3569"/>
      <c r="KVV3569"/>
      <c r="KVW3569"/>
      <c r="KVX3569"/>
      <c r="KVY3569"/>
      <c r="KVZ3569"/>
      <c r="KWA3569"/>
      <c r="KWB3569"/>
      <c r="KWC3569"/>
      <c r="KWD3569"/>
      <c r="KWE3569"/>
      <c r="KWF3569"/>
      <c r="KWG3569"/>
      <c r="KWH3569"/>
      <c r="KWI3569"/>
      <c r="KWJ3569"/>
      <c r="KWK3569"/>
      <c r="KWL3569"/>
      <c r="KWM3569"/>
      <c r="KWN3569"/>
      <c r="KWO3569"/>
      <c r="KWP3569"/>
      <c r="KWQ3569"/>
      <c r="KWR3569"/>
      <c r="KWS3569"/>
      <c r="KWT3569"/>
      <c r="KWU3569"/>
      <c r="KWV3569"/>
      <c r="KWW3569"/>
      <c r="KWX3569"/>
      <c r="KWY3569"/>
      <c r="KWZ3569"/>
      <c r="KXA3569"/>
      <c r="KXB3569"/>
      <c r="KXC3569"/>
      <c r="KXD3569"/>
      <c r="KXE3569"/>
      <c r="KXF3569"/>
      <c r="KXG3569"/>
      <c r="KXH3569"/>
      <c r="KXI3569"/>
      <c r="KXJ3569"/>
      <c r="KXK3569"/>
      <c r="KXL3569"/>
      <c r="KXM3569"/>
      <c r="KXN3569"/>
      <c r="KXO3569"/>
      <c r="KXP3569"/>
      <c r="KXQ3569"/>
      <c r="KXR3569"/>
      <c r="KXS3569"/>
      <c r="KXT3569"/>
      <c r="KXU3569"/>
      <c r="KXV3569"/>
      <c r="KXW3569"/>
      <c r="KXX3569"/>
      <c r="KXY3569"/>
      <c r="KXZ3569"/>
      <c r="KYA3569"/>
      <c r="KYB3569"/>
      <c r="KYC3569"/>
      <c r="KYD3569"/>
      <c r="KYE3569"/>
      <c r="KYF3569"/>
      <c r="KYG3569"/>
      <c r="KYH3569"/>
      <c r="KYI3569"/>
      <c r="KYJ3569"/>
      <c r="KYK3569"/>
      <c r="KYL3569"/>
      <c r="KYM3569"/>
      <c r="KYN3569"/>
      <c r="KYO3569"/>
      <c r="KYP3569"/>
      <c r="KYQ3569"/>
      <c r="KYR3569"/>
      <c r="KYS3569"/>
      <c r="KYT3569"/>
      <c r="KYU3569"/>
      <c r="KYV3569"/>
      <c r="KYW3569"/>
      <c r="KYX3569"/>
      <c r="KYY3569"/>
      <c r="KYZ3569"/>
      <c r="KZA3569"/>
      <c r="KZB3569"/>
      <c r="KZC3569"/>
      <c r="KZD3569"/>
      <c r="KZE3569"/>
      <c r="KZF3569"/>
      <c r="KZG3569"/>
      <c r="KZH3569"/>
      <c r="KZI3569"/>
      <c r="KZJ3569"/>
      <c r="KZK3569"/>
      <c r="KZL3569"/>
      <c r="KZM3569"/>
      <c r="KZN3569"/>
      <c r="KZO3569"/>
      <c r="KZP3569"/>
      <c r="KZQ3569"/>
      <c r="KZR3569"/>
      <c r="KZS3569"/>
      <c r="KZT3569"/>
      <c r="KZU3569"/>
      <c r="KZV3569"/>
      <c r="KZW3569"/>
      <c r="KZX3569"/>
      <c r="KZY3569"/>
      <c r="KZZ3569"/>
      <c r="LAA3569"/>
      <c r="LAB3569"/>
      <c r="LAC3569"/>
      <c r="LAD3569"/>
      <c r="LAE3569"/>
      <c r="LAF3569"/>
      <c r="LAG3569"/>
      <c r="LAH3569"/>
      <c r="LAI3569"/>
      <c r="LAJ3569"/>
      <c r="LAK3569"/>
      <c r="LAL3569"/>
      <c r="LAM3569"/>
      <c r="LAN3569"/>
      <c r="LAO3569"/>
      <c r="LAP3569"/>
      <c r="LAQ3569"/>
      <c r="LAR3569"/>
      <c r="LAS3569"/>
      <c r="LAT3569"/>
      <c r="LAU3569"/>
      <c r="LAV3569"/>
      <c r="LAW3569"/>
      <c r="LAX3569"/>
      <c r="LAY3569"/>
      <c r="LAZ3569"/>
      <c r="LBA3569"/>
      <c r="LBB3569"/>
      <c r="LBC3569"/>
      <c r="LBD3569"/>
      <c r="LBE3569"/>
      <c r="LBF3569"/>
      <c r="LBG3569"/>
      <c r="LBH3569"/>
      <c r="LBI3569"/>
      <c r="LBJ3569"/>
      <c r="LBK3569"/>
      <c r="LBL3569"/>
      <c r="LBM3569"/>
      <c r="LBN3569"/>
      <c r="LBO3569"/>
      <c r="LBP3569"/>
      <c r="LBQ3569"/>
      <c r="LBR3569"/>
      <c r="LBS3569"/>
      <c r="LBT3569"/>
      <c r="LBU3569"/>
      <c r="LBV3569"/>
      <c r="LBW3569"/>
      <c r="LBX3569"/>
      <c r="LBY3569"/>
      <c r="LBZ3569"/>
      <c r="LCA3569"/>
      <c r="LCB3569"/>
      <c r="LCC3569"/>
      <c r="LCD3569"/>
      <c r="LCE3569"/>
      <c r="LCF3569"/>
      <c r="LCG3569"/>
      <c r="LCH3569"/>
      <c r="LCI3569"/>
      <c r="LCJ3569"/>
      <c r="LCK3569"/>
      <c r="LCL3569"/>
      <c r="LCM3569"/>
      <c r="LCN3569"/>
      <c r="LCO3569"/>
      <c r="LCP3569"/>
      <c r="LCQ3569"/>
      <c r="LCR3569"/>
      <c r="LCS3569"/>
      <c r="LCT3569"/>
      <c r="LCU3569"/>
      <c r="LCV3569"/>
      <c r="LCW3569"/>
      <c r="LCX3569"/>
      <c r="LCY3569"/>
      <c r="LCZ3569"/>
      <c r="LDA3569"/>
      <c r="LDB3569"/>
      <c r="LDC3569"/>
      <c r="LDD3569"/>
      <c r="LDE3569"/>
      <c r="LDF3569"/>
      <c r="LDG3569"/>
      <c r="LDH3569"/>
      <c r="LDI3569"/>
      <c r="LDJ3569"/>
      <c r="LDK3569"/>
      <c r="LDL3569"/>
      <c r="LDM3569"/>
      <c r="LDN3569"/>
      <c r="LDO3569"/>
      <c r="LDP3569"/>
      <c r="LDQ3569"/>
      <c r="LDR3569"/>
      <c r="LDS3569"/>
      <c r="LDT3569"/>
      <c r="LDU3569"/>
      <c r="LDV3569"/>
      <c r="LDW3569"/>
      <c r="LDX3569"/>
      <c r="LDY3569"/>
      <c r="LDZ3569"/>
      <c r="LEA3569"/>
      <c r="LEB3569"/>
      <c r="LEC3569"/>
      <c r="LED3569"/>
      <c r="LEE3569"/>
      <c r="LEF3569"/>
      <c r="LEG3569"/>
      <c r="LEH3569"/>
      <c r="LEI3569"/>
      <c r="LEJ3569"/>
      <c r="LEK3569"/>
      <c r="LEL3569"/>
      <c r="LEM3569"/>
      <c r="LEN3569"/>
      <c r="LEO3569"/>
      <c r="LEP3569"/>
      <c r="LEQ3569"/>
      <c r="LER3569"/>
      <c r="LES3569"/>
      <c r="LET3569"/>
      <c r="LEU3569"/>
      <c r="LEV3569"/>
      <c r="LEW3569"/>
      <c r="LEX3569"/>
      <c r="LEY3569"/>
      <c r="LEZ3569"/>
      <c r="LFA3569"/>
      <c r="LFB3569"/>
      <c r="LFC3569"/>
      <c r="LFD3569"/>
      <c r="LFE3569"/>
      <c r="LFF3569"/>
      <c r="LFG3569"/>
      <c r="LFH3569"/>
      <c r="LFI3569"/>
      <c r="LFJ3569"/>
      <c r="LFK3569"/>
      <c r="LFL3569"/>
      <c r="LFM3569"/>
      <c r="LFN3569"/>
      <c r="LFO3569"/>
      <c r="LFP3569"/>
      <c r="LFQ3569"/>
      <c r="LFR3569"/>
      <c r="LFS3569"/>
      <c r="LFT3569"/>
      <c r="LFU3569"/>
      <c r="LFV3569"/>
      <c r="LFW3569"/>
      <c r="LFX3569"/>
      <c r="LFY3569"/>
      <c r="LFZ3569"/>
      <c r="LGA3569"/>
      <c r="LGB3569"/>
      <c r="LGC3569"/>
      <c r="LGD3569"/>
      <c r="LGE3569"/>
      <c r="LGF3569"/>
      <c r="LGG3569"/>
      <c r="LGH3569"/>
      <c r="LGI3569"/>
      <c r="LGJ3569"/>
      <c r="LGK3569"/>
      <c r="LGL3569"/>
      <c r="LGM3569"/>
      <c r="LGN3569"/>
      <c r="LGO3569"/>
      <c r="LGP3569"/>
      <c r="LGQ3569"/>
      <c r="LGR3569"/>
      <c r="LGS3569"/>
      <c r="LGT3569"/>
      <c r="LGU3569"/>
      <c r="LGV3569"/>
      <c r="LGW3569"/>
      <c r="LGX3569"/>
      <c r="LGY3569"/>
      <c r="LGZ3569"/>
      <c r="LHA3569"/>
      <c r="LHB3569"/>
      <c r="LHC3569"/>
      <c r="LHD3569"/>
      <c r="LHE3569"/>
      <c r="LHF3569"/>
      <c r="LHG3569"/>
      <c r="LHH3569"/>
      <c r="LHI3569"/>
      <c r="LHJ3569"/>
      <c r="LHK3569"/>
      <c r="LHL3569"/>
      <c r="LHM3569"/>
      <c r="LHN3569"/>
      <c r="LHO3569"/>
      <c r="LHP3569"/>
      <c r="LHQ3569"/>
      <c r="LHR3569"/>
      <c r="LHS3569"/>
      <c r="LHT3569"/>
      <c r="LHU3569"/>
      <c r="LHV3569"/>
      <c r="LHW3569"/>
      <c r="LHX3569"/>
      <c r="LHY3569"/>
      <c r="LHZ3569"/>
      <c r="LIA3569"/>
      <c r="LIB3569"/>
      <c r="LIC3569"/>
      <c r="LID3569"/>
      <c r="LIE3569"/>
      <c r="LIF3569"/>
      <c r="LIG3569"/>
      <c r="LIH3569"/>
      <c r="LII3569"/>
      <c r="LIJ3569"/>
      <c r="LIK3569"/>
      <c r="LIL3569"/>
      <c r="LIM3569"/>
      <c r="LIN3569"/>
      <c r="LIO3569"/>
      <c r="LIP3569"/>
      <c r="LIQ3569"/>
      <c r="LIR3569"/>
      <c r="LIS3569"/>
      <c r="LIT3569"/>
      <c r="LIU3569"/>
      <c r="LIV3569"/>
      <c r="LIW3569"/>
      <c r="LIX3569"/>
      <c r="LIY3569"/>
      <c r="LIZ3569"/>
      <c r="LJA3569"/>
      <c r="LJB3569"/>
      <c r="LJC3569"/>
      <c r="LJD3569"/>
      <c r="LJE3569"/>
      <c r="LJF3569"/>
      <c r="LJG3569"/>
      <c r="LJH3569"/>
      <c r="LJI3569"/>
      <c r="LJJ3569"/>
      <c r="LJK3569"/>
      <c r="LJL3569"/>
      <c r="LJM3569"/>
      <c r="LJN3569"/>
      <c r="LJO3569"/>
      <c r="LJP3569"/>
      <c r="LJQ3569"/>
      <c r="LJR3569"/>
      <c r="LJS3569"/>
      <c r="LJT3569"/>
      <c r="LJU3569"/>
      <c r="LJV3569"/>
      <c r="LJW3569"/>
      <c r="LJX3569"/>
      <c r="LJY3569"/>
      <c r="LJZ3569"/>
      <c r="LKA3569"/>
      <c r="LKB3569"/>
      <c r="LKC3569"/>
      <c r="LKD3569"/>
      <c r="LKE3569"/>
      <c r="LKF3569"/>
      <c r="LKG3569"/>
      <c r="LKH3569"/>
      <c r="LKI3569"/>
      <c r="LKJ3569"/>
      <c r="LKK3569"/>
      <c r="LKL3569"/>
      <c r="LKM3569"/>
      <c r="LKN3569"/>
      <c r="LKO3569"/>
      <c r="LKP3569"/>
      <c r="LKQ3569"/>
      <c r="LKR3569"/>
      <c r="LKS3569"/>
      <c r="LKT3569"/>
      <c r="LKU3569"/>
      <c r="LKV3569"/>
      <c r="LKW3569"/>
      <c r="LKX3569"/>
      <c r="LKY3569"/>
      <c r="LKZ3569"/>
      <c r="LLA3569"/>
      <c r="LLB3569"/>
      <c r="LLC3569"/>
      <c r="LLD3569"/>
      <c r="LLE3569"/>
      <c r="LLF3569"/>
      <c r="LLG3569"/>
      <c r="LLH3569"/>
      <c r="LLI3569"/>
      <c r="LLJ3569"/>
      <c r="LLK3569"/>
      <c r="LLL3569"/>
      <c r="LLM3569"/>
      <c r="LLN3569"/>
      <c r="LLO3569"/>
      <c r="LLP3569"/>
      <c r="LLQ3569"/>
      <c r="LLR3569"/>
      <c r="LLS3569"/>
      <c r="LLT3569"/>
      <c r="LLU3569"/>
      <c r="LLV3569"/>
      <c r="LLW3569"/>
      <c r="LLX3569"/>
      <c r="LLY3569"/>
      <c r="LLZ3569"/>
      <c r="LMA3569"/>
      <c r="LMB3569"/>
      <c r="LMC3569"/>
      <c r="LMD3569"/>
      <c r="LME3569"/>
      <c r="LMF3569"/>
      <c r="LMG3569"/>
      <c r="LMH3569"/>
      <c r="LMI3569"/>
      <c r="LMJ3569"/>
      <c r="LMK3569"/>
      <c r="LML3569"/>
      <c r="LMM3569"/>
      <c r="LMN3569"/>
      <c r="LMO3569"/>
      <c r="LMP3569"/>
      <c r="LMQ3569"/>
      <c r="LMR3569"/>
      <c r="LMS3569"/>
      <c r="LMT3569"/>
      <c r="LMU3569"/>
      <c r="LMV3569"/>
      <c r="LMW3569"/>
      <c r="LMX3569"/>
      <c r="LMY3569"/>
      <c r="LMZ3569"/>
      <c r="LNA3569"/>
      <c r="LNB3569"/>
      <c r="LNC3569"/>
      <c r="LND3569"/>
      <c r="LNE3569"/>
      <c r="LNF3569"/>
      <c r="LNG3569"/>
      <c r="LNH3569"/>
      <c r="LNI3569"/>
      <c r="LNJ3569"/>
      <c r="LNK3569"/>
      <c r="LNL3569"/>
      <c r="LNM3569"/>
      <c r="LNN3569"/>
      <c r="LNO3569"/>
      <c r="LNP3569"/>
      <c r="LNQ3569"/>
      <c r="LNR3569"/>
      <c r="LNS3569"/>
      <c r="LNT3569"/>
      <c r="LNU3569"/>
      <c r="LNV3569"/>
      <c r="LNW3569"/>
      <c r="LNX3569"/>
      <c r="LNY3569"/>
      <c r="LNZ3569"/>
      <c r="LOA3569"/>
      <c r="LOB3569"/>
      <c r="LOC3569"/>
      <c r="LOD3569"/>
      <c r="LOE3569"/>
      <c r="LOF3569"/>
      <c r="LOG3569"/>
      <c r="LOH3569"/>
      <c r="LOI3569"/>
      <c r="LOJ3569"/>
      <c r="LOK3569"/>
      <c r="LOL3569"/>
      <c r="LOM3569"/>
      <c r="LON3569"/>
      <c r="LOO3569"/>
      <c r="LOP3569"/>
      <c r="LOQ3569"/>
      <c r="LOR3569"/>
      <c r="LOS3569"/>
      <c r="LOT3569"/>
      <c r="LOU3569"/>
      <c r="LOV3569"/>
      <c r="LOW3569"/>
      <c r="LOX3569"/>
      <c r="LOY3569"/>
      <c r="LOZ3569"/>
      <c r="LPA3569"/>
      <c r="LPB3569"/>
      <c r="LPC3569"/>
      <c r="LPD3569"/>
      <c r="LPE3569"/>
      <c r="LPF3569"/>
      <c r="LPG3569"/>
      <c r="LPH3569"/>
      <c r="LPI3569"/>
      <c r="LPJ3569"/>
      <c r="LPK3569"/>
      <c r="LPL3569"/>
      <c r="LPM3569"/>
      <c r="LPN3569"/>
      <c r="LPO3569"/>
      <c r="LPP3569"/>
      <c r="LPQ3569"/>
      <c r="LPR3569"/>
      <c r="LPS3569"/>
      <c r="LPT3569"/>
      <c r="LPU3569"/>
      <c r="LPV3569"/>
      <c r="LPW3569"/>
      <c r="LPX3569"/>
      <c r="LPY3569"/>
      <c r="LPZ3569"/>
      <c r="LQA3569"/>
      <c r="LQB3569"/>
      <c r="LQC3569"/>
      <c r="LQD3569"/>
      <c r="LQE3569"/>
      <c r="LQF3569"/>
      <c r="LQG3569"/>
      <c r="LQH3569"/>
      <c r="LQI3569"/>
      <c r="LQJ3569"/>
      <c r="LQK3569"/>
      <c r="LQL3569"/>
      <c r="LQM3569"/>
      <c r="LQN3569"/>
      <c r="LQO3569"/>
      <c r="LQP3569"/>
      <c r="LQQ3569"/>
      <c r="LQR3569"/>
      <c r="LQS3569"/>
      <c r="LQT3569"/>
      <c r="LQU3569"/>
      <c r="LQV3569"/>
      <c r="LQW3569"/>
      <c r="LQX3569"/>
      <c r="LQY3569"/>
      <c r="LQZ3569"/>
      <c r="LRA3569"/>
      <c r="LRB3569"/>
      <c r="LRC3569"/>
      <c r="LRD3569"/>
      <c r="LRE3569"/>
      <c r="LRF3569"/>
      <c r="LRG3569"/>
      <c r="LRH3569"/>
      <c r="LRI3569"/>
      <c r="LRJ3569"/>
      <c r="LRK3569"/>
      <c r="LRL3569"/>
      <c r="LRM3569"/>
      <c r="LRN3569"/>
      <c r="LRO3569"/>
      <c r="LRP3569"/>
      <c r="LRQ3569"/>
      <c r="LRR3569"/>
      <c r="LRS3569"/>
      <c r="LRT3569"/>
      <c r="LRU3569"/>
      <c r="LRV3569"/>
      <c r="LRW3569"/>
      <c r="LRX3569"/>
      <c r="LRY3569"/>
      <c r="LRZ3569"/>
      <c r="LSA3569"/>
      <c r="LSB3569"/>
      <c r="LSC3569"/>
      <c r="LSD3569"/>
      <c r="LSE3569"/>
      <c r="LSF3569"/>
      <c r="LSG3569"/>
      <c r="LSH3569"/>
      <c r="LSI3569"/>
      <c r="LSJ3569"/>
      <c r="LSK3569"/>
      <c r="LSL3569"/>
      <c r="LSM3569"/>
      <c r="LSN3569"/>
      <c r="LSO3569"/>
      <c r="LSP3569"/>
      <c r="LSQ3569"/>
      <c r="LSR3569"/>
      <c r="LSS3569"/>
      <c r="LST3569"/>
      <c r="LSU3569"/>
      <c r="LSV3569"/>
      <c r="LSW3569"/>
      <c r="LSX3569"/>
      <c r="LSY3569"/>
      <c r="LSZ3569"/>
      <c r="LTA3569"/>
      <c r="LTB3569"/>
      <c r="LTC3569"/>
      <c r="LTD3569"/>
      <c r="LTE3569"/>
      <c r="LTF3569"/>
      <c r="LTG3569"/>
      <c r="LTH3569"/>
      <c r="LTI3569"/>
      <c r="LTJ3569"/>
      <c r="LTK3569"/>
      <c r="LTL3569"/>
      <c r="LTM3569"/>
      <c r="LTN3569"/>
      <c r="LTO3569"/>
      <c r="LTP3569"/>
      <c r="LTQ3569"/>
      <c r="LTR3569"/>
      <c r="LTS3569"/>
      <c r="LTT3569"/>
      <c r="LTU3569"/>
      <c r="LTV3569"/>
      <c r="LTW3569"/>
      <c r="LTX3569"/>
      <c r="LTY3569"/>
      <c r="LTZ3569"/>
      <c r="LUA3569"/>
      <c r="LUB3569"/>
      <c r="LUC3569"/>
      <c r="LUD3569"/>
      <c r="LUE3569"/>
      <c r="LUF3569"/>
      <c r="LUG3569"/>
      <c r="LUH3569"/>
      <c r="LUI3569"/>
      <c r="LUJ3569"/>
      <c r="LUK3569"/>
      <c r="LUL3569"/>
      <c r="LUM3569"/>
      <c r="LUN3569"/>
      <c r="LUO3569"/>
      <c r="LUP3569"/>
      <c r="LUQ3569"/>
      <c r="LUR3569"/>
      <c r="LUS3569"/>
      <c r="LUT3569"/>
      <c r="LUU3569"/>
      <c r="LUV3569"/>
      <c r="LUW3569"/>
      <c r="LUX3569"/>
      <c r="LUY3569"/>
      <c r="LUZ3569"/>
      <c r="LVA3569"/>
      <c r="LVB3569"/>
      <c r="LVC3569"/>
      <c r="LVD3569"/>
      <c r="LVE3569"/>
      <c r="LVF3569"/>
      <c r="LVG3569"/>
      <c r="LVH3569"/>
      <c r="LVI3569"/>
      <c r="LVJ3569"/>
      <c r="LVK3569"/>
      <c r="LVL3569"/>
      <c r="LVM3569"/>
      <c r="LVN3569"/>
      <c r="LVO3569"/>
      <c r="LVP3569"/>
      <c r="LVQ3569"/>
      <c r="LVR3569"/>
      <c r="LVS3569"/>
      <c r="LVT3569"/>
      <c r="LVU3569"/>
      <c r="LVV3569"/>
      <c r="LVW3569"/>
      <c r="LVX3569"/>
      <c r="LVY3569"/>
      <c r="LVZ3569"/>
      <c r="LWA3569"/>
      <c r="LWB3569"/>
      <c r="LWC3569"/>
      <c r="LWD3569"/>
      <c r="LWE3569"/>
      <c r="LWF3569"/>
      <c r="LWG3569"/>
      <c r="LWH3569"/>
      <c r="LWI3569"/>
      <c r="LWJ3569"/>
      <c r="LWK3569"/>
      <c r="LWL3569"/>
      <c r="LWM3569"/>
      <c r="LWN3569"/>
      <c r="LWO3569"/>
      <c r="LWP3569"/>
      <c r="LWQ3569"/>
      <c r="LWR3569"/>
      <c r="LWS3569"/>
      <c r="LWT3569"/>
      <c r="LWU3569"/>
      <c r="LWV3569"/>
      <c r="LWW3569"/>
      <c r="LWX3569"/>
      <c r="LWY3569"/>
      <c r="LWZ3569"/>
      <c r="LXA3569"/>
      <c r="LXB3569"/>
      <c r="LXC3569"/>
      <c r="LXD3569"/>
      <c r="LXE3569"/>
      <c r="LXF3569"/>
      <c r="LXG3569"/>
      <c r="LXH3569"/>
      <c r="LXI3569"/>
      <c r="LXJ3569"/>
      <c r="LXK3569"/>
      <c r="LXL3569"/>
      <c r="LXM3569"/>
      <c r="LXN3569"/>
      <c r="LXO3569"/>
      <c r="LXP3569"/>
      <c r="LXQ3569"/>
      <c r="LXR3569"/>
      <c r="LXS3569"/>
      <c r="LXT3569"/>
      <c r="LXU3569"/>
      <c r="LXV3569"/>
      <c r="LXW3569"/>
      <c r="LXX3569"/>
      <c r="LXY3569"/>
      <c r="LXZ3569"/>
      <c r="LYA3569"/>
      <c r="LYB3569"/>
      <c r="LYC3569"/>
      <c r="LYD3569"/>
      <c r="LYE3569"/>
      <c r="LYF3569"/>
      <c r="LYG3569"/>
      <c r="LYH3569"/>
      <c r="LYI3569"/>
      <c r="LYJ3569"/>
      <c r="LYK3569"/>
      <c r="LYL3569"/>
      <c r="LYM3569"/>
      <c r="LYN3569"/>
      <c r="LYO3569"/>
      <c r="LYP3569"/>
      <c r="LYQ3569"/>
      <c r="LYR3569"/>
      <c r="LYS3569"/>
      <c r="LYT3569"/>
      <c r="LYU3569"/>
      <c r="LYV3569"/>
      <c r="LYW3569"/>
      <c r="LYX3569"/>
      <c r="LYY3569"/>
      <c r="LYZ3569"/>
      <c r="LZA3569"/>
      <c r="LZB3569"/>
      <c r="LZC3569"/>
      <c r="LZD3569"/>
      <c r="LZE3569"/>
      <c r="LZF3569"/>
      <c r="LZG3569"/>
      <c r="LZH3569"/>
      <c r="LZI3569"/>
      <c r="LZJ3569"/>
      <c r="LZK3569"/>
      <c r="LZL3569"/>
      <c r="LZM3569"/>
      <c r="LZN3569"/>
      <c r="LZO3569"/>
      <c r="LZP3569"/>
      <c r="LZQ3569"/>
      <c r="LZR3569"/>
      <c r="LZS3569"/>
      <c r="LZT3569"/>
      <c r="LZU3569"/>
      <c r="LZV3569"/>
      <c r="LZW3569"/>
      <c r="LZX3569"/>
      <c r="LZY3569"/>
      <c r="LZZ3569"/>
      <c r="MAA3569"/>
      <c r="MAB3569"/>
      <c r="MAC3569"/>
      <c r="MAD3569"/>
      <c r="MAE3569"/>
      <c r="MAF3569"/>
      <c r="MAG3569"/>
      <c r="MAH3569"/>
      <c r="MAI3569"/>
      <c r="MAJ3569"/>
      <c r="MAK3569"/>
      <c r="MAL3569"/>
      <c r="MAM3569"/>
      <c r="MAN3569"/>
      <c r="MAO3569"/>
      <c r="MAP3569"/>
      <c r="MAQ3569"/>
      <c r="MAR3569"/>
      <c r="MAS3569"/>
      <c r="MAT3569"/>
      <c r="MAU3569"/>
      <c r="MAV3569"/>
      <c r="MAW3569"/>
      <c r="MAX3569"/>
      <c r="MAY3569"/>
      <c r="MAZ3569"/>
      <c r="MBA3569"/>
      <c r="MBB3569"/>
      <c r="MBC3569"/>
      <c r="MBD3569"/>
      <c r="MBE3569"/>
      <c r="MBF3569"/>
      <c r="MBG3569"/>
      <c r="MBH3569"/>
      <c r="MBI3569"/>
      <c r="MBJ3569"/>
      <c r="MBK3569"/>
      <c r="MBL3569"/>
      <c r="MBM3569"/>
      <c r="MBN3569"/>
      <c r="MBO3569"/>
      <c r="MBP3569"/>
      <c r="MBQ3569"/>
      <c r="MBR3569"/>
      <c r="MBS3569"/>
      <c r="MBT3569"/>
      <c r="MBU3569"/>
      <c r="MBV3569"/>
      <c r="MBW3569"/>
      <c r="MBX3569"/>
      <c r="MBY3569"/>
      <c r="MBZ3569"/>
      <c r="MCA3569"/>
      <c r="MCB3569"/>
      <c r="MCC3569"/>
      <c r="MCD3569"/>
      <c r="MCE3569"/>
      <c r="MCF3569"/>
      <c r="MCG3569"/>
      <c r="MCH3569"/>
      <c r="MCI3569"/>
      <c r="MCJ3569"/>
      <c r="MCK3569"/>
      <c r="MCL3569"/>
      <c r="MCM3569"/>
      <c r="MCN3569"/>
      <c r="MCO3569"/>
      <c r="MCP3569"/>
      <c r="MCQ3569"/>
      <c r="MCR3569"/>
      <c r="MCS3569"/>
      <c r="MCT3569"/>
      <c r="MCU3569"/>
      <c r="MCV3569"/>
      <c r="MCW3569"/>
      <c r="MCX3569"/>
      <c r="MCY3569"/>
      <c r="MCZ3569"/>
      <c r="MDA3569"/>
      <c r="MDB3569"/>
      <c r="MDC3569"/>
      <c r="MDD3569"/>
      <c r="MDE3569"/>
      <c r="MDF3569"/>
      <c r="MDG3569"/>
      <c r="MDH3569"/>
      <c r="MDI3569"/>
      <c r="MDJ3569"/>
      <c r="MDK3569"/>
      <c r="MDL3569"/>
      <c r="MDM3569"/>
      <c r="MDN3569"/>
      <c r="MDO3569"/>
      <c r="MDP3569"/>
      <c r="MDQ3569"/>
      <c r="MDR3569"/>
      <c r="MDS3569"/>
      <c r="MDT3569"/>
      <c r="MDU3569"/>
      <c r="MDV3569"/>
      <c r="MDW3569"/>
      <c r="MDX3569"/>
      <c r="MDY3569"/>
      <c r="MDZ3569"/>
      <c r="MEA3569"/>
      <c r="MEB3569"/>
      <c r="MEC3569"/>
      <c r="MED3569"/>
      <c r="MEE3569"/>
      <c r="MEF3569"/>
      <c r="MEG3569"/>
      <c r="MEH3569"/>
      <c r="MEI3569"/>
      <c r="MEJ3569"/>
      <c r="MEK3569"/>
      <c r="MEL3569"/>
      <c r="MEM3569"/>
      <c r="MEN3569"/>
      <c r="MEO3569"/>
      <c r="MEP3569"/>
      <c r="MEQ3569"/>
      <c r="MER3569"/>
      <c r="MES3569"/>
      <c r="MET3569"/>
      <c r="MEU3569"/>
      <c r="MEV3569"/>
      <c r="MEW3569"/>
      <c r="MEX3569"/>
      <c r="MEY3569"/>
      <c r="MEZ3569"/>
      <c r="MFA3569"/>
      <c r="MFB3569"/>
      <c r="MFC3569"/>
      <c r="MFD3569"/>
      <c r="MFE3569"/>
      <c r="MFF3569"/>
      <c r="MFG3569"/>
      <c r="MFH3569"/>
      <c r="MFI3569"/>
      <c r="MFJ3569"/>
      <c r="MFK3569"/>
      <c r="MFL3569"/>
      <c r="MFM3569"/>
      <c r="MFN3569"/>
      <c r="MFO3569"/>
      <c r="MFP3569"/>
      <c r="MFQ3569"/>
      <c r="MFR3569"/>
      <c r="MFS3569"/>
      <c r="MFT3569"/>
      <c r="MFU3569"/>
      <c r="MFV3569"/>
      <c r="MFW3569"/>
      <c r="MFX3569"/>
      <c r="MFY3569"/>
      <c r="MFZ3569"/>
      <c r="MGA3569"/>
      <c r="MGB3569"/>
      <c r="MGC3569"/>
      <c r="MGD3569"/>
      <c r="MGE3569"/>
      <c r="MGF3569"/>
      <c r="MGG3569"/>
      <c r="MGH3569"/>
      <c r="MGI3569"/>
      <c r="MGJ3569"/>
      <c r="MGK3569"/>
      <c r="MGL3569"/>
      <c r="MGM3569"/>
      <c r="MGN3569"/>
      <c r="MGO3569"/>
      <c r="MGP3569"/>
      <c r="MGQ3569"/>
      <c r="MGR3569"/>
      <c r="MGS3569"/>
      <c r="MGT3569"/>
      <c r="MGU3569"/>
      <c r="MGV3569"/>
      <c r="MGW3569"/>
      <c r="MGX3569"/>
      <c r="MGY3569"/>
      <c r="MGZ3569"/>
      <c r="MHA3569"/>
      <c r="MHB3569"/>
      <c r="MHC3569"/>
      <c r="MHD3569"/>
      <c r="MHE3569"/>
      <c r="MHF3569"/>
      <c r="MHG3569"/>
      <c r="MHH3569"/>
      <c r="MHI3569"/>
      <c r="MHJ3569"/>
      <c r="MHK3569"/>
      <c r="MHL3569"/>
      <c r="MHM3569"/>
      <c r="MHN3569"/>
      <c r="MHO3569"/>
      <c r="MHP3569"/>
      <c r="MHQ3569"/>
      <c r="MHR3569"/>
      <c r="MHS3569"/>
      <c r="MHT3569"/>
      <c r="MHU3569"/>
      <c r="MHV3569"/>
      <c r="MHW3569"/>
      <c r="MHX3569"/>
      <c r="MHY3569"/>
      <c r="MHZ3569"/>
      <c r="MIA3569"/>
      <c r="MIB3569"/>
      <c r="MIC3569"/>
      <c r="MID3569"/>
      <c r="MIE3569"/>
      <c r="MIF3569"/>
      <c r="MIG3569"/>
      <c r="MIH3569"/>
      <c r="MII3569"/>
      <c r="MIJ3569"/>
      <c r="MIK3569"/>
      <c r="MIL3569"/>
      <c r="MIM3569"/>
      <c r="MIN3569"/>
      <c r="MIO3569"/>
      <c r="MIP3569"/>
      <c r="MIQ3569"/>
      <c r="MIR3569"/>
      <c r="MIS3569"/>
      <c r="MIT3569"/>
      <c r="MIU3569"/>
      <c r="MIV3569"/>
      <c r="MIW3569"/>
      <c r="MIX3569"/>
      <c r="MIY3569"/>
      <c r="MIZ3569"/>
      <c r="MJA3569"/>
      <c r="MJB3569"/>
      <c r="MJC3569"/>
      <c r="MJD3569"/>
      <c r="MJE3569"/>
      <c r="MJF3569"/>
      <c r="MJG3569"/>
      <c r="MJH3569"/>
      <c r="MJI3569"/>
      <c r="MJJ3569"/>
      <c r="MJK3569"/>
      <c r="MJL3569"/>
      <c r="MJM3569"/>
      <c r="MJN3569"/>
      <c r="MJO3569"/>
      <c r="MJP3569"/>
      <c r="MJQ3569"/>
      <c r="MJR3569"/>
      <c r="MJS3569"/>
      <c r="MJT3569"/>
      <c r="MJU3569"/>
      <c r="MJV3569"/>
      <c r="MJW3569"/>
      <c r="MJX3569"/>
      <c r="MJY3569"/>
      <c r="MJZ3569"/>
      <c r="MKA3569"/>
      <c r="MKB3569"/>
      <c r="MKC3569"/>
      <c r="MKD3569"/>
      <c r="MKE3569"/>
      <c r="MKF3569"/>
      <c r="MKG3569"/>
      <c r="MKH3569"/>
      <c r="MKI3569"/>
      <c r="MKJ3569"/>
      <c r="MKK3569"/>
      <c r="MKL3569"/>
      <c r="MKM3569"/>
      <c r="MKN3569"/>
      <c r="MKO3569"/>
      <c r="MKP3569"/>
      <c r="MKQ3569"/>
      <c r="MKR3569"/>
      <c r="MKS3569"/>
      <c r="MKT3569"/>
      <c r="MKU3569"/>
      <c r="MKV3569"/>
      <c r="MKW3569"/>
      <c r="MKX3569"/>
      <c r="MKY3569"/>
      <c r="MKZ3569"/>
      <c r="MLA3569"/>
      <c r="MLB3569"/>
      <c r="MLC3569"/>
      <c r="MLD3569"/>
      <c r="MLE3569"/>
      <c r="MLF3569"/>
      <c r="MLG3569"/>
      <c r="MLH3569"/>
      <c r="MLI3569"/>
      <c r="MLJ3569"/>
      <c r="MLK3569"/>
      <c r="MLL3569"/>
      <c r="MLM3569"/>
      <c r="MLN3569"/>
      <c r="MLO3569"/>
      <c r="MLP3569"/>
      <c r="MLQ3569"/>
      <c r="MLR3569"/>
      <c r="MLS3569"/>
      <c r="MLT3569"/>
      <c r="MLU3569"/>
      <c r="MLV3569"/>
      <c r="MLW3569"/>
      <c r="MLX3569"/>
      <c r="MLY3569"/>
      <c r="MLZ3569"/>
      <c r="MMA3569"/>
      <c r="MMB3569"/>
      <c r="MMC3569"/>
      <c r="MMD3569"/>
      <c r="MME3569"/>
      <c r="MMF3569"/>
      <c r="MMG3569"/>
      <c r="MMH3569"/>
      <c r="MMI3569"/>
      <c r="MMJ3569"/>
      <c r="MMK3569"/>
      <c r="MML3569"/>
      <c r="MMM3569"/>
      <c r="MMN3569"/>
      <c r="MMO3569"/>
      <c r="MMP3569"/>
      <c r="MMQ3569"/>
      <c r="MMR3569"/>
      <c r="MMS3569"/>
      <c r="MMT3569"/>
      <c r="MMU3569"/>
      <c r="MMV3569"/>
      <c r="MMW3569"/>
      <c r="MMX3569"/>
      <c r="MMY3569"/>
      <c r="MMZ3569"/>
      <c r="MNA3569"/>
      <c r="MNB3569"/>
      <c r="MNC3569"/>
      <c r="MND3569"/>
      <c r="MNE3569"/>
      <c r="MNF3569"/>
      <c r="MNG3569"/>
      <c r="MNH3569"/>
      <c r="MNI3569"/>
      <c r="MNJ3569"/>
      <c r="MNK3569"/>
      <c r="MNL3569"/>
      <c r="MNM3569"/>
      <c r="MNN3569"/>
      <c r="MNO3569"/>
      <c r="MNP3569"/>
      <c r="MNQ3569"/>
      <c r="MNR3569"/>
      <c r="MNS3569"/>
      <c r="MNT3569"/>
      <c r="MNU3569"/>
      <c r="MNV3569"/>
      <c r="MNW3569"/>
      <c r="MNX3569"/>
      <c r="MNY3569"/>
      <c r="MNZ3569"/>
      <c r="MOA3569"/>
      <c r="MOB3569"/>
      <c r="MOC3569"/>
      <c r="MOD3569"/>
      <c r="MOE3569"/>
      <c r="MOF3569"/>
      <c r="MOG3569"/>
      <c r="MOH3569"/>
      <c r="MOI3569"/>
      <c r="MOJ3569"/>
      <c r="MOK3569"/>
      <c r="MOL3569"/>
      <c r="MOM3569"/>
      <c r="MON3569"/>
      <c r="MOO3569"/>
      <c r="MOP3569"/>
      <c r="MOQ3569"/>
      <c r="MOR3569"/>
      <c r="MOS3569"/>
      <c r="MOT3569"/>
      <c r="MOU3569"/>
      <c r="MOV3569"/>
      <c r="MOW3569"/>
      <c r="MOX3569"/>
      <c r="MOY3569"/>
      <c r="MOZ3569"/>
      <c r="MPA3569"/>
      <c r="MPB3569"/>
      <c r="MPC3569"/>
      <c r="MPD3569"/>
      <c r="MPE3569"/>
      <c r="MPF3569"/>
      <c r="MPG3569"/>
      <c r="MPH3569"/>
      <c r="MPI3569"/>
      <c r="MPJ3569"/>
      <c r="MPK3569"/>
      <c r="MPL3569"/>
      <c r="MPM3569"/>
      <c r="MPN3569"/>
      <c r="MPO3569"/>
      <c r="MPP3569"/>
      <c r="MPQ3569"/>
      <c r="MPR3569"/>
      <c r="MPS3569"/>
      <c r="MPT3569"/>
      <c r="MPU3569"/>
      <c r="MPV3569"/>
      <c r="MPW3569"/>
      <c r="MPX3569"/>
      <c r="MPY3569"/>
      <c r="MPZ3569"/>
      <c r="MQA3569"/>
      <c r="MQB3569"/>
      <c r="MQC3569"/>
      <c r="MQD3569"/>
      <c r="MQE3569"/>
      <c r="MQF3569"/>
      <c r="MQG3569"/>
      <c r="MQH3569"/>
      <c r="MQI3569"/>
      <c r="MQJ3569"/>
      <c r="MQK3569"/>
      <c r="MQL3569"/>
      <c r="MQM3569"/>
      <c r="MQN3569"/>
      <c r="MQO3569"/>
      <c r="MQP3569"/>
      <c r="MQQ3569"/>
      <c r="MQR3569"/>
      <c r="MQS3569"/>
      <c r="MQT3569"/>
      <c r="MQU3569"/>
      <c r="MQV3569"/>
      <c r="MQW3569"/>
      <c r="MQX3569"/>
      <c r="MQY3569"/>
      <c r="MQZ3569"/>
      <c r="MRA3569"/>
      <c r="MRB3569"/>
      <c r="MRC3569"/>
      <c r="MRD3569"/>
      <c r="MRE3569"/>
      <c r="MRF3569"/>
      <c r="MRG3569"/>
      <c r="MRH3569"/>
      <c r="MRI3569"/>
      <c r="MRJ3569"/>
      <c r="MRK3569"/>
      <c r="MRL3569"/>
      <c r="MRM3569"/>
      <c r="MRN3569"/>
      <c r="MRO3569"/>
      <c r="MRP3569"/>
      <c r="MRQ3569"/>
      <c r="MRR3569"/>
      <c r="MRS3569"/>
      <c r="MRT3569"/>
      <c r="MRU3569"/>
      <c r="MRV3569"/>
      <c r="MRW3569"/>
      <c r="MRX3569"/>
      <c r="MRY3569"/>
      <c r="MRZ3569"/>
      <c r="MSA3569"/>
      <c r="MSB3569"/>
      <c r="MSC3569"/>
      <c r="MSD3569"/>
      <c r="MSE3569"/>
      <c r="MSF3569"/>
      <c r="MSG3569"/>
      <c r="MSH3569"/>
      <c r="MSI3569"/>
      <c r="MSJ3569"/>
      <c r="MSK3569"/>
      <c r="MSL3569"/>
      <c r="MSM3569"/>
      <c r="MSN3569"/>
      <c r="MSO3569"/>
      <c r="MSP3569"/>
      <c r="MSQ3569"/>
      <c r="MSR3569"/>
      <c r="MSS3569"/>
      <c r="MST3569"/>
      <c r="MSU3569"/>
      <c r="MSV3569"/>
      <c r="MSW3569"/>
      <c r="MSX3569"/>
      <c r="MSY3569"/>
      <c r="MSZ3569"/>
      <c r="MTA3569"/>
      <c r="MTB3569"/>
      <c r="MTC3569"/>
      <c r="MTD3569"/>
      <c r="MTE3569"/>
      <c r="MTF3569"/>
      <c r="MTG3569"/>
      <c r="MTH3569"/>
      <c r="MTI3569"/>
      <c r="MTJ3569"/>
      <c r="MTK3569"/>
      <c r="MTL3569"/>
      <c r="MTM3569"/>
      <c r="MTN3569"/>
      <c r="MTO3569"/>
      <c r="MTP3569"/>
      <c r="MTQ3569"/>
      <c r="MTR3569"/>
      <c r="MTS3569"/>
      <c r="MTT3569"/>
      <c r="MTU3569"/>
      <c r="MTV3569"/>
      <c r="MTW3569"/>
      <c r="MTX3569"/>
      <c r="MTY3569"/>
      <c r="MTZ3569"/>
      <c r="MUA3569"/>
      <c r="MUB3569"/>
      <c r="MUC3569"/>
      <c r="MUD3569"/>
      <c r="MUE3569"/>
      <c r="MUF3569"/>
      <c r="MUG3569"/>
      <c r="MUH3569"/>
      <c r="MUI3569"/>
      <c r="MUJ3569"/>
      <c r="MUK3569"/>
      <c r="MUL3569"/>
      <c r="MUM3569"/>
      <c r="MUN3569"/>
      <c r="MUO3569"/>
      <c r="MUP3569"/>
      <c r="MUQ3569"/>
      <c r="MUR3569"/>
      <c r="MUS3569"/>
      <c r="MUT3569"/>
      <c r="MUU3569"/>
      <c r="MUV3569"/>
      <c r="MUW3569"/>
      <c r="MUX3569"/>
      <c r="MUY3569"/>
      <c r="MUZ3569"/>
      <c r="MVA3569"/>
      <c r="MVB3569"/>
      <c r="MVC3569"/>
      <c r="MVD3569"/>
      <c r="MVE3569"/>
      <c r="MVF3569"/>
      <c r="MVG3569"/>
      <c r="MVH3569"/>
      <c r="MVI3569"/>
      <c r="MVJ3569"/>
      <c r="MVK3569"/>
      <c r="MVL3569"/>
      <c r="MVM3569"/>
      <c r="MVN3569"/>
      <c r="MVO3569"/>
      <c r="MVP3569"/>
      <c r="MVQ3569"/>
      <c r="MVR3569"/>
      <c r="MVS3569"/>
      <c r="MVT3569"/>
      <c r="MVU3569"/>
      <c r="MVV3569"/>
      <c r="MVW3569"/>
      <c r="MVX3569"/>
      <c r="MVY3569"/>
      <c r="MVZ3569"/>
      <c r="MWA3569"/>
      <c r="MWB3569"/>
      <c r="MWC3569"/>
      <c r="MWD3569"/>
      <c r="MWE3569"/>
      <c r="MWF3569"/>
      <c r="MWG3569"/>
      <c r="MWH3569"/>
      <c r="MWI3569"/>
      <c r="MWJ3569"/>
      <c r="MWK3569"/>
      <c r="MWL3569"/>
      <c r="MWM3569"/>
      <c r="MWN3569"/>
      <c r="MWO3569"/>
      <c r="MWP3569"/>
      <c r="MWQ3569"/>
      <c r="MWR3569"/>
      <c r="MWS3569"/>
      <c r="MWT3569"/>
      <c r="MWU3569"/>
      <c r="MWV3569"/>
      <c r="MWW3569"/>
      <c r="MWX3569"/>
      <c r="MWY3569"/>
      <c r="MWZ3569"/>
      <c r="MXA3569"/>
      <c r="MXB3569"/>
      <c r="MXC3569"/>
      <c r="MXD3569"/>
      <c r="MXE3569"/>
      <c r="MXF3569"/>
      <c r="MXG3569"/>
      <c r="MXH3569"/>
      <c r="MXI3569"/>
      <c r="MXJ3569"/>
      <c r="MXK3569"/>
      <c r="MXL3569"/>
      <c r="MXM3569"/>
      <c r="MXN3569"/>
      <c r="MXO3569"/>
      <c r="MXP3569"/>
      <c r="MXQ3569"/>
      <c r="MXR3569"/>
      <c r="MXS3569"/>
      <c r="MXT3569"/>
      <c r="MXU3569"/>
      <c r="MXV3569"/>
      <c r="MXW3569"/>
      <c r="MXX3569"/>
      <c r="MXY3569"/>
      <c r="MXZ3569"/>
      <c r="MYA3569"/>
      <c r="MYB3569"/>
      <c r="MYC3569"/>
      <c r="MYD3569"/>
      <c r="MYE3569"/>
      <c r="MYF3569"/>
      <c r="MYG3569"/>
      <c r="MYH3569"/>
      <c r="MYI3569"/>
      <c r="MYJ3569"/>
      <c r="MYK3569"/>
      <c r="MYL3569"/>
      <c r="MYM3569"/>
      <c r="MYN3569"/>
      <c r="MYO3569"/>
      <c r="MYP3569"/>
      <c r="MYQ3569"/>
      <c r="MYR3569"/>
      <c r="MYS3569"/>
      <c r="MYT3569"/>
      <c r="MYU3569"/>
      <c r="MYV3569"/>
      <c r="MYW3569"/>
      <c r="MYX3569"/>
      <c r="MYY3569"/>
      <c r="MYZ3569"/>
      <c r="MZA3569"/>
      <c r="MZB3569"/>
      <c r="MZC3569"/>
      <c r="MZD3569"/>
      <c r="MZE3569"/>
      <c r="MZF3569"/>
      <c r="MZG3569"/>
      <c r="MZH3569"/>
      <c r="MZI3569"/>
      <c r="MZJ3569"/>
      <c r="MZK3569"/>
      <c r="MZL3569"/>
      <c r="MZM3569"/>
      <c r="MZN3569"/>
      <c r="MZO3569"/>
      <c r="MZP3569"/>
      <c r="MZQ3569"/>
      <c r="MZR3569"/>
      <c r="MZS3569"/>
      <c r="MZT3569"/>
      <c r="MZU3569"/>
      <c r="MZV3569"/>
      <c r="MZW3569"/>
      <c r="MZX3569"/>
      <c r="MZY3569"/>
      <c r="MZZ3569"/>
      <c r="NAA3569"/>
      <c r="NAB3569"/>
      <c r="NAC3569"/>
      <c r="NAD3569"/>
      <c r="NAE3569"/>
      <c r="NAF3569"/>
      <c r="NAG3569"/>
      <c r="NAH3569"/>
      <c r="NAI3569"/>
      <c r="NAJ3569"/>
      <c r="NAK3569"/>
      <c r="NAL3569"/>
      <c r="NAM3569"/>
      <c r="NAN3569"/>
      <c r="NAO3569"/>
      <c r="NAP3569"/>
      <c r="NAQ3569"/>
      <c r="NAR3569"/>
      <c r="NAS3569"/>
      <c r="NAT3569"/>
      <c r="NAU3569"/>
      <c r="NAV3569"/>
      <c r="NAW3569"/>
      <c r="NAX3569"/>
      <c r="NAY3569"/>
      <c r="NAZ3569"/>
      <c r="NBA3569"/>
      <c r="NBB3569"/>
      <c r="NBC3569"/>
      <c r="NBD3569"/>
      <c r="NBE3569"/>
      <c r="NBF3569"/>
      <c r="NBG3569"/>
      <c r="NBH3569"/>
      <c r="NBI3569"/>
      <c r="NBJ3569"/>
      <c r="NBK3569"/>
      <c r="NBL3569"/>
      <c r="NBM3569"/>
      <c r="NBN3569"/>
      <c r="NBO3569"/>
      <c r="NBP3569"/>
      <c r="NBQ3569"/>
      <c r="NBR3569"/>
      <c r="NBS3569"/>
      <c r="NBT3569"/>
      <c r="NBU3569"/>
      <c r="NBV3569"/>
      <c r="NBW3569"/>
      <c r="NBX3569"/>
      <c r="NBY3569"/>
      <c r="NBZ3569"/>
      <c r="NCA3569"/>
      <c r="NCB3569"/>
      <c r="NCC3569"/>
      <c r="NCD3569"/>
      <c r="NCE3569"/>
      <c r="NCF3569"/>
      <c r="NCG3569"/>
      <c r="NCH3569"/>
      <c r="NCI3569"/>
      <c r="NCJ3569"/>
      <c r="NCK3569"/>
      <c r="NCL3569"/>
      <c r="NCM3569"/>
      <c r="NCN3569"/>
      <c r="NCO3569"/>
      <c r="NCP3569"/>
      <c r="NCQ3569"/>
      <c r="NCR3569"/>
      <c r="NCS3569"/>
      <c r="NCT3569"/>
      <c r="NCU3569"/>
      <c r="NCV3569"/>
      <c r="NCW3569"/>
      <c r="NCX3569"/>
      <c r="NCY3569"/>
      <c r="NCZ3569"/>
      <c r="NDA3569"/>
      <c r="NDB3569"/>
      <c r="NDC3569"/>
      <c r="NDD3569"/>
      <c r="NDE3569"/>
      <c r="NDF3569"/>
      <c r="NDG3569"/>
      <c r="NDH3569"/>
      <c r="NDI3569"/>
      <c r="NDJ3569"/>
      <c r="NDK3569"/>
      <c r="NDL3569"/>
      <c r="NDM3569"/>
      <c r="NDN3569"/>
      <c r="NDO3569"/>
      <c r="NDP3569"/>
      <c r="NDQ3569"/>
      <c r="NDR3569"/>
      <c r="NDS3569"/>
      <c r="NDT3569"/>
      <c r="NDU3569"/>
      <c r="NDV3569"/>
      <c r="NDW3569"/>
      <c r="NDX3569"/>
      <c r="NDY3569"/>
      <c r="NDZ3569"/>
      <c r="NEA3569"/>
      <c r="NEB3569"/>
      <c r="NEC3569"/>
      <c r="NED3569"/>
      <c r="NEE3569"/>
      <c r="NEF3569"/>
      <c r="NEG3569"/>
      <c r="NEH3569"/>
      <c r="NEI3569"/>
      <c r="NEJ3569"/>
      <c r="NEK3569"/>
      <c r="NEL3569"/>
      <c r="NEM3569"/>
      <c r="NEN3569"/>
      <c r="NEO3569"/>
      <c r="NEP3569"/>
      <c r="NEQ3569"/>
      <c r="NER3569"/>
      <c r="NES3569"/>
      <c r="NET3569"/>
      <c r="NEU3569"/>
      <c r="NEV3569"/>
      <c r="NEW3569"/>
      <c r="NEX3569"/>
      <c r="NEY3569"/>
      <c r="NEZ3569"/>
      <c r="NFA3569"/>
      <c r="NFB3569"/>
      <c r="NFC3569"/>
      <c r="NFD3569"/>
      <c r="NFE3569"/>
      <c r="NFF3569"/>
      <c r="NFG3569"/>
      <c r="NFH3569"/>
      <c r="NFI3569"/>
      <c r="NFJ3569"/>
      <c r="NFK3569"/>
      <c r="NFL3569"/>
      <c r="NFM3569"/>
      <c r="NFN3569"/>
      <c r="NFO3569"/>
      <c r="NFP3569"/>
      <c r="NFQ3569"/>
      <c r="NFR3569"/>
      <c r="NFS3569"/>
      <c r="NFT3569"/>
      <c r="NFU3569"/>
      <c r="NFV3569"/>
      <c r="NFW3569"/>
      <c r="NFX3569"/>
      <c r="NFY3569"/>
      <c r="NFZ3569"/>
      <c r="NGA3569"/>
      <c r="NGB3569"/>
      <c r="NGC3569"/>
      <c r="NGD3569"/>
      <c r="NGE3569"/>
      <c r="NGF3569"/>
      <c r="NGG3569"/>
      <c r="NGH3569"/>
      <c r="NGI3569"/>
      <c r="NGJ3569"/>
      <c r="NGK3569"/>
      <c r="NGL3569"/>
      <c r="NGM3569"/>
      <c r="NGN3569"/>
      <c r="NGO3569"/>
      <c r="NGP3569"/>
      <c r="NGQ3569"/>
      <c r="NGR3569"/>
      <c r="NGS3569"/>
      <c r="NGT3569"/>
      <c r="NGU3569"/>
      <c r="NGV3569"/>
      <c r="NGW3569"/>
      <c r="NGX3569"/>
      <c r="NGY3569"/>
      <c r="NGZ3569"/>
      <c r="NHA3569"/>
      <c r="NHB3569"/>
      <c r="NHC3569"/>
      <c r="NHD3569"/>
      <c r="NHE3569"/>
      <c r="NHF3569"/>
      <c r="NHG3569"/>
      <c r="NHH3569"/>
      <c r="NHI3569"/>
      <c r="NHJ3569"/>
      <c r="NHK3569"/>
      <c r="NHL3569"/>
      <c r="NHM3569"/>
      <c r="NHN3569"/>
      <c r="NHO3569"/>
      <c r="NHP3569"/>
      <c r="NHQ3569"/>
      <c r="NHR3569"/>
      <c r="NHS3569"/>
      <c r="NHT3569"/>
      <c r="NHU3569"/>
      <c r="NHV3569"/>
      <c r="NHW3569"/>
      <c r="NHX3569"/>
      <c r="NHY3569"/>
      <c r="NHZ3569"/>
      <c r="NIA3569"/>
      <c r="NIB3569"/>
      <c r="NIC3569"/>
      <c r="NID3569"/>
      <c r="NIE3569"/>
      <c r="NIF3569"/>
      <c r="NIG3569"/>
      <c r="NIH3569"/>
      <c r="NII3569"/>
      <c r="NIJ3569"/>
      <c r="NIK3569"/>
      <c r="NIL3569"/>
      <c r="NIM3569"/>
      <c r="NIN3569"/>
      <c r="NIO3569"/>
      <c r="NIP3569"/>
      <c r="NIQ3569"/>
      <c r="NIR3569"/>
      <c r="NIS3569"/>
      <c r="NIT3569"/>
      <c r="NIU3569"/>
      <c r="NIV3569"/>
      <c r="NIW3569"/>
      <c r="NIX3569"/>
      <c r="NIY3569"/>
      <c r="NIZ3569"/>
      <c r="NJA3569"/>
      <c r="NJB3569"/>
      <c r="NJC3569"/>
      <c r="NJD3569"/>
      <c r="NJE3569"/>
      <c r="NJF3569"/>
      <c r="NJG3569"/>
      <c r="NJH3569"/>
      <c r="NJI3569"/>
      <c r="NJJ3569"/>
      <c r="NJK3569"/>
      <c r="NJL3569"/>
      <c r="NJM3569"/>
      <c r="NJN3569"/>
      <c r="NJO3569"/>
      <c r="NJP3569"/>
      <c r="NJQ3569"/>
      <c r="NJR3569"/>
      <c r="NJS3569"/>
      <c r="NJT3569"/>
      <c r="NJU3569"/>
      <c r="NJV3569"/>
      <c r="NJW3569"/>
      <c r="NJX3569"/>
      <c r="NJY3569"/>
      <c r="NJZ3569"/>
      <c r="NKA3569"/>
      <c r="NKB3569"/>
      <c r="NKC3569"/>
      <c r="NKD3569"/>
      <c r="NKE3569"/>
      <c r="NKF3569"/>
      <c r="NKG3569"/>
      <c r="NKH3569"/>
      <c r="NKI3569"/>
      <c r="NKJ3569"/>
      <c r="NKK3569"/>
      <c r="NKL3569"/>
      <c r="NKM3569"/>
      <c r="NKN3569"/>
      <c r="NKO3569"/>
      <c r="NKP3569"/>
      <c r="NKQ3569"/>
      <c r="NKR3569"/>
      <c r="NKS3569"/>
      <c r="NKT3569"/>
      <c r="NKU3569"/>
      <c r="NKV3569"/>
      <c r="NKW3569"/>
      <c r="NKX3569"/>
      <c r="NKY3569"/>
      <c r="NKZ3569"/>
      <c r="NLA3569"/>
      <c r="NLB3569"/>
      <c r="NLC3569"/>
      <c r="NLD3569"/>
      <c r="NLE3569"/>
      <c r="NLF3569"/>
      <c r="NLG3569"/>
      <c r="NLH3569"/>
      <c r="NLI3569"/>
      <c r="NLJ3569"/>
      <c r="NLK3569"/>
      <c r="NLL3569"/>
      <c r="NLM3569"/>
      <c r="NLN3569"/>
      <c r="NLO3569"/>
      <c r="NLP3569"/>
      <c r="NLQ3569"/>
      <c r="NLR3569"/>
      <c r="NLS3569"/>
      <c r="NLT3569"/>
      <c r="NLU3569"/>
      <c r="NLV3569"/>
      <c r="NLW3569"/>
      <c r="NLX3569"/>
      <c r="NLY3569"/>
      <c r="NLZ3569"/>
      <c r="NMA3569"/>
      <c r="NMB3569"/>
      <c r="NMC3569"/>
      <c r="NMD3569"/>
      <c r="NME3569"/>
      <c r="NMF3569"/>
      <c r="NMG3569"/>
      <c r="NMH3569"/>
      <c r="NMI3569"/>
      <c r="NMJ3569"/>
      <c r="NMK3569"/>
      <c r="NML3569"/>
      <c r="NMM3569"/>
      <c r="NMN3569"/>
      <c r="NMO3569"/>
      <c r="NMP3569"/>
      <c r="NMQ3569"/>
      <c r="NMR3569"/>
      <c r="NMS3569"/>
      <c r="NMT3569"/>
      <c r="NMU3569"/>
      <c r="NMV3569"/>
      <c r="NMW3569"/>
      <c r="NMX3569"/>
      <c r="NMY3569"/>
      <c r="NMZ3569"/>
      <c r="NNA3569"/>
      <c r="NNB3569"/>
      <c r="NNC3569"/>
      <c r="NND3569"/>
      <c r="NNE3569"/>
      <c r="NNF3569"/>
      <c r="NNG3569"/>
      <c r="NNH3569"/>
      <c r="NNI3569"/>
      <c r="NNJ3569"/>
      <c r="NNK3569"/>
      <c r="NNL3569"/>
      <c r="NNM3569"/>
      <c r="NNN3569"/>
      <c r="NNO3569"/>
      <c r="NNP3569"/>
      <c r="NNQ3569"/>
      <c r="NNR3569"/>
      <c r="NNS3569"/>
      <c r="NNT3569"/>
      <c r="NNU3569"/>
      <c r="NNV3569"/>
      <c r="NNW3569"/>
      <c r="NNX3569"/>
      <c r="NNY3569"/>
      <c r="NNZ3569"/>
      <c r="NOA3569"/>
      <c r="NOB3569"/>
      <c r="NOC3569"/>
      <c r="NOD3569"/>
      <c r="NOE3569"/>
      <c r="NOF3569"/>
      <c r="NOG3569"/>
      <c r="NOH3569"/>
      <c r="NOI3569"/>
      <c r="NOJ3569"/>
      <c r="NOK3569"/>
      <c r="NOL3569"/>
      <c r="NOM3569"/>
      <c r="NON3569"/>
      <c r="NOO3569"/>
      <c r="NOP3569"/>
      <c r="NOQ3569"/>
      <c r="NOR3569"/>
      <c r="NOS3569"/>
      <c r="NOT3569"/>
      <c r="NOU3569"/>
      <c r="NOV3569"/>
      <c r="NOW3569"/>
      <c r="NOX3569"/>
      <c r="NOY3569"/>
      <c r="NOZ3569"/>
      <c r="NPA3569"/>
      <c r="NPB3569"/>
      <c r="NPC3569"/>
      <c r="NPD3569"/>
      <c r="NPE3569"/>
      <c r="NPF3569"/>
      <c r="NPG3569"/>
      <c r="NPH3569"/>
      <c r="NPI3569"/>
      <c r="NPJ3569"/>
      <c r="NPK3569"/>
      <c r="NPL3569"/>
      <c r="NPM3569"/>
      <c r="NPN3569"/>
      <c r="NPO3569"/>
      <c r="NPP3569"/>
      <c r="NPQ3569"/>
      <c r="NPR3569"/>
      <c r="NPS3569"/>
      <c r="NPT3569"/>
      <c r="NPU3569"/>
      <c r="NPV3569"/>
      <c r="NPW3569"/>
      <c r="NPX3569"/>
      <c r="NPY3569"/>
      <c r="NPZ3569"/>
      <c r="NQA3569"/>
      <c r="NQB3569"/>
      <c r="NQC3569"/>
      <c r="NQD3569"/>
      <c r="NQE3569"/>
      <c r="NQF3569"/>
      <c r="NQG3569"/>
      <c r="NQH3569"/>
      <c r="NQI3569"/>
      <c r="NQJ3569"/>
      <c r="NQK3569"/>
      <c r="NQL3569"/>
      <c r="NQM3569"/>
      <c r="NQN3569"/>
      <c r="NQO3569"/>
      <c r="NQP3569"/>
      <c r="NQQ3569"/>
      <c r="NQR3569"/>
      <c r="NQS3569"/>
      <c r="NQT3569"/>
      <c r="NQU3569"/>
      <c r="NQV3569"/>
      <c r="NQW3569"/>
      <c r="NQX3569"/>
      <c r="NQY3569"/>
      <c r="NQZ3569"/>
      <c r="NRA3569"/>
      <c r="NRB3569"/>
      <c r="NRC3569"/>
      <c r="NRD3569"/>
      <c r="NRE3569"/>
      <c r="NRF3569"/>
      <c r="NRG3569"/>
      <c r="NRH3569"/>
      <c r="NRI3569"/>
      <c r="NRJ3569"/>
      <c r="NRK3569"/>
      <c r="NRL3569"/>
      <c r="NRM3569"/>
      <c r="NRN3569"/>
      <c r="NRO3569"/>
      <c r="NRP3569"/>
      <c r="NRQ3569"/>
      <c r="NRR3569"/>
      <c r="NRS3569"/>
      <c r="NRT3569"/>
      <c r="NRU3569"/>
      <c r="NRV3569"/>
      <c r="NRW3569"/>
      <c r="NRX3569"/>
      <c r="NRY3569"/>
      <c r="NRZ3569"/>
      <c r="NSA3569"/>
      <c r="NSB3569"/>
      <c r="NSC3569"/>
      <c r="NSD3569"/>
      <c r="NSE3569"/>
      <c r="NSF3569"/>
      <c r="NSG3569"/>
      <c r="NSH3569"/>
      <c r="NSI3569"/>
      <c r="NSJ3569"/>
      <c r="NSK3569"/>
      <c r="NSL3569"/>
      <c r="NSM3569"/>
      <c r="NSN3569"/>
      <c r="NSO3569"/>
      <c r="NSP3569"/>
      <c r="NSQ3569"/>
      <c r="NSR3569"/>
      <c r="NSS3569"/>
      <c r="NST3569"/>
      <c r="NSU3569"/>
      <c r="NSV3569"/>
      <c r="NSW3569"/>
      <c r="NSX3569"/>
      <c r="NSY3569"/>
      <c r="NSZ3569"/>
      <c r="NTA3569"/>
      <c r="NTB3569"/>
      <c r="NTC3569"/>
      <c r="NTD3569"/>
      <c r="NTE3569"/>
      <c r="NTF3569"/>
      <c r="NTG3569"/>
      <c r="NTH3569"/>
      <c r="NTI3569"/>
      <c r="NTJ3569"/>
      <c r="NTK3569"/>
      <c r="NTL3569"/>
      <c r="NTM3569"/>
      <c r="NTN3569"/>
      <c r="NTO3569"/>
      <c r="NTP3569"/>
      <c r="NTQ3569"/>
      <c r="NTR3569"/>
      <c r="NTS3569"/>
      <c r="NTT3569"/>
      <c r="NTU3569"/>
      <c r="NTV3569"/>
      <c r="NTW3569"/>
      <c r="NTX3569"/>
      <c r="NTY3569"/>
      <c r="NTZ3569"/>
      <c r="NUA3569"/>
      <c r="NUB3569"/>
      <c r="NUC3569"/>
      <c r="NUD3569"/>
      <c r="NUE3569"/>
      <c r="NUF3569"/>
      <c r="NUG3569"/>
      <c r="NUH3569"/>
      <c r="NUI3569"/>
      <c r="NUJ3569"/>
      <c r="NUK3569"/>
      <c r="NUL3569"/>
      <c r="NUM3569"/>
      <c r="NUN3569"/>
      <c r="NUO3569"/>
      <c r="NUP3569"/>
      <c r="NUQ3569"/>
      <c r="NUR3569"/>
      <c r="NUS3569"/>
      <c r="NUT3569"/>
      <c r="NUU3569"/>
      <c r="NUV3569"/>
      <c r="NUW3569"/>
      <c r="NUX3569"/>
      <c r="NUY3569"/>
      <c r="NUZ3569"/>
      <c r="NVA3569"/>
      <c r="NVB3569"/>
      <c r="NVC3569"/>
      <c r="NVD3569"/>
      <c r="NVE3569"/>
      <c r="NVF3569"/>
      <c r="NVG3569"/>
      <c r="NVH3569"/>
      <c r="NVI3569"/>
      <c r="NVJ3569"/>
      <c r="NVK3569"/>
      <c r="NVL3569"/>
      <c r="NVM3569"/>
      <c r="NVN3569"/>
      <c r="NVO3569"/>
      <c r="NVP3569"/>
      <c r="NVQ3569"/>
      <c r="NVR3569"/>
      <c r="NVS3569"/>
      <c r="NVT3569"/>
      <c r="NVU3569"/>
      <c r="NVV3569"/>
      <c r="NVW3569"/>
      <c r="NVX3569"/>
      <c r="NVY3569"/>
      <c r="NVZ3569"/>
      <c r="NWA3569"/>
      <c r="NWB3569"/>
      <c r="NWC3569"/>
      <c r="NWD3569"/>
      <c r="NWE3569"/>
      <c r="NWF3569"/>
      <c r="NWG3569"/>
      <c r="NWH3569"/>
      <c r="NWI3569"/>
      <c r="NWJ3569"/>
      <c r="NWK3569"/>
      <c r="NWL3569"/>
      <c r="NWM3569"/>
      <c r="NWN3569"/>
      <c r="NWO3569"/>
      <c r="NWP3569"/>
      <c r="NWQ3569"/>
      <c r="NWR3569"/>
      <c r="NWS3569"/>
      <c r="NWT3569"/>
      <c r="NWU3569"/>
      <c r="NWV3569"/>
      <c r="NWW3569"/>
      <c r="NWX3569"/>
      <c r="NWY3569"/>
      <c r="NWZ3569"/>
      <c r="NXA3569"/>
      <c r="NXB3569"/>
      <c r="NXC3569"/>
      <c r="NXD3569"/>
      <c r="NXE3569"/>
      <c r="NXF3569"/>
      <c r="NXG3569"/>
      <c r="NXH3569"/>
      <c r="NXI3569"/>
      <c r="NXJ3569"/>
      <c r="NXK3569"/>
      <c r="NXL3569"/>
      <c r="NXM3569"/>
      <c r="NXN3569"/>
      <c r="NXO3569"/>
      <c r="NXP3569"/>
      <c r="NXQ3569"/>
      <c r="NXR3569"/>
      <c r="NXS3569"/>
      <c r="NXT3569"/>
      <c r="NXU3569"/>
      <c r="NXV3569"/>
      <c r="NXW3569"/>
      <c r="NXX3569"/>
      <c r="NXY3569"/>
      <c r="NXZ3569"/>
      <c r="NYA3569"/>
      <c r="NYB3569"/>
      <c r="NYC3569"/>
      <c r="NYD3569"/>
      <c r="NYE3569"/>
      <c r="NYF3569"/>
      <c r="NYG3569"/>
      <c r="NYH3569"/>
      <c r="NYI3569"/>
      <c r="NYJ3569"/>
      <c r="NYK3569"/>
      <c r="NYL3569"/>
      <c r="NYM3569"/>
      <c r="NYN3569"/>
      <c r="NYO3569"/>
      <c r="NYP3569"/>
      <c r="NYQ3569"/>
      <c r="NYR3569"/>
      <c r="NYS3569"/>
      <c r="NYT3569"/>
      <c r="NYU3569"/>
      <c r="NYV3569"/>
      <c r="NYW3569"/>
      <c r="NYX3569"/>
      <c r="NYY3569"/>
      <c r="NYZ3569"/>
      <c r="NZA3569"/>
      <c r="NZB3569"/>
      <c r="NZC3569"/>
      <c r="NZD3569"/>
      <c r="NZE3569"/>
      <c r="NZF3569"/>
      <c r="NZG3569"/>
      <c r="NZH3569"/>
      <c r="NZI3569"/>
      <c r="NZJ3569"/>
      <c r="NZK3569"/>
      <c r="NZL3569"/>
      <c r="NZM3569"/>
      <c r="NZN3569"/>
      <c r="NZO3569"/>
      <c r="NZP3569"/>
      <c r="NZQ3569"/>
      <c r="NZR3569"/>
      <c r="NZS3569"/>
      <c r="NZT3569"/>
      <c r="NZU3569"/>
      <c r="NZV3569"/>
      <c r="NZW3569"/>
      <c r="NZX3569"/>
      <c r="NZY3569"/>
      <c r="NZZ3569"/>
      <c r="OAA3569"/>
      <c r="OAB3569"/>
      <c r="OAC3569"/>
      <c r="OAD3569"/>
      <c r="OAE3569"/>
      <c r="OAF3569"/>
      <c r="OAG3569"/>
      <c r="OAH3569"/>
      <c r="OAI3569"/>
      <c r="OAJ3569"/>
      <c r="OAK3569"/>
      <c r="OAL3569"/>
      <c r="OAM3569"/>
      <c r="OAN3569"/>
      <c r="OAO3569"/>
      <c r="OAP3569"/>
      <c r="OAQ3569"/>
      <c r="OAR3569"/>
      <c r="OAS3569"/>
      <c r="OAT3569"/>
      <c r="OAU3569"/>
      <c r="OAV3569"/>
      <c r="OAW3569"/>
      <c r="OAX3569"/>
      <c r="OAY3569"/>
      <c r="OAZ3569"/>
      <c r="OBA3569"/>
      <c r="OBB3569"/>
      <c r="OBC3569"/>
      <c r="OBD3569"/>
      <c r="OBE3569"/>
      <c r="OBF3569"/>
      <c r="OBG3569"/>
      <c r="OBH3569"/>
      <c r="OBI3569"/>
      <c r="OBJ3569"/>
      <c r="OBK3569"/>
      <c r="OBL3569"/>
      <c r="OBM3569"/>
      <c r="OBN3569"/>
      <c r="OBO3569"/>
      <c r="OBP3569"/>
      <c r="OBQ3569"/>
      <c r="OBR3569"/>
      <c r="OBS3569"/>
      <c r="OBT3569"/>
      <c r="OBU3569"/>
      <c r="OBV3569"/>
      <c r="OBW3569"/>
      <c r="OBX3569"/>
      <c r="OBY3569"/>
      <c r="OBZ3569"/>
      <c r="OCA3569"/>
      <c r="OCB3569"/>
      <c r="OCC3569"/>
      <c r="OCD3569"/>
      <c r="OCE3569"/>
      <c r="OCF3569"/>
      <c r="OCG3569"/>
      <c r="OCH3569"/>
      <c r="OCI3569"/>
      <c r="OCJ3569"/>
      <c r="OCK3569"/>
      <c r="OCL3569"/>
      <c r="OCM3569"/>
      <c r="OCN3569"/>
      <c r="OCO3569"/>
      <c r="OCP3569"/>
      <c r="OCQ3569"/>
      <c r="OCR3569"/>
      <c r="OCS3569"/>
      <c r="OCT3569"/>
      <c r="OCU3569"/>
      <c r="OCV3569"/>
      <c r="OCW3569"/>
      <c r="OCX3569"/>
      <c r="OCY3569"/>
      <c r="OCZ3569"/>
      <c r="ODA3569"/>
      <c r="ODB3569"/>
      <c r="ODC3569"/>
      <c r="ODD3569"/>
      <c r="ODE3569"/>
      <c r="ODF3569"/>
      <c r="ODG3569"/>
      <c r="ODH3569"/>
      <c r="ODI3569"/>
      <c r="ODJ3569"/>
      <c r="ODK3569"/>
      <c r="ODL3569"/>
      <c r="ODM3569"/>
      <c r="ODN3569"/>
      <c r="ODO3569"/>
      <c r="ODP3569"/>
      <c r="ODQ3569"/>
      <c r="ODR3569"/>
      <c r="ODS3569"/>
      <c r="ODT3569"/>
      <c r="ODU3569"/>
      <c r="ODV3569"/>
      <c r="ODW3569"/>
      <c r="ODX3569"/>
      <c r="ODY3569"/>
      <c r="ODZ3569"/>
      <c r="OEA3569"/>
      <c r="OEB3569"/>
      <c r="OEC3569"/>
      <c r="OED3569"/>
      <c r="OEE3569"/>
      <c r="OEF3569"/>
      <c r="OEG3569"/>
      <c r="OEH3569"/>
      <c r="OEI3569"/>
      <c r="OEJ3569"/>
      <c r="OEK3569"/>
      <c r="OEL3569"/>
      <c r="OEM3569"/>
      <c r="OEN3569"/>
      <c r="OEO3569"/>
      <c r="OEP3569"/>
      <c r="OEQ3569"/>
      <c r="OER3569"/>
      <c r="OES3569"/>
      <c r="OET3569"/>
      <c r="OEU3569"/>
      <c r="OEV3569"/>
      <c r="OEW3569"/>
      <c r="OEX3569"/>
      <c r="OEY3569"/>
      <c r="OEZ3569"/>
      <c r="OFA3569"/>
      <c r="OFB3569"/>
      <c r="OFC3569"/>
      <c r="OFD3569"/>
      <c r="OFE3569"/>
      <c r="OFF3569"/>
      <c r="OFG3569"/>
      <c r="OFH3569"/>
      <c r="OFI3569"/>
      <c r="OFJ3569"/>
      <c r="OFK3569"/>
      <c r="OFL3569"/>
      <c r="OFM3569"/>
      <c r="OFN3569"/>
      <c r="OFO3569"/>
      <c r="OFP3569"/>
      <c r="OFQ3569"/>
      <c r="OFR3569"/>
      <c r="OFS3569"/>
      <c r="OFT3569"/>
      <c r="OFU3569"/>
      <c r="OFV3569"/>
      <c r="OFW3569"/>
      <c r="OFX3569"/>
      <c r="OFY3569"/>
      <c r="OFZ3569"/>
      <c r="OGA3569"/>
      <c r="OGB3569"/>
      <c r="OGC3569"/>
      <c r="OGD3569"/>
      <c r="OGE3569"/>
      <c r="OGF3569"/>
      <c r="OGG3569"/>
      <c r="OGH3569"/>
      <c r="OGI3569"/>
      <c r="OGJ3569"/>
      <c r="OGK3569"/>
      <c r="OGL3569"/>
      <c r="OGM3569"/>
      <c r="OGN3569"/>
      <c r="OGO3569"/>
      <c r="OGP3569"/>
      <c r="OGQ3569"/>
      <c r="OGR3569"/>
      <c r="OGS3569"/>
      <c r="OGT3569"/>
      <c r="OGU3569"/>
      <c r="OGV3569"/>
      <c r="OGW3569"/>
      <c r="OGX3569"/>
      <c r="OGY3569"/>
      <c r="OGZ3569"/>
      <c r="OHA3569"/>
      <c r="OHB3569"/>
      <c r="OHC3569"/>
      <c r="OHD3569"/>
      <c r="OHE3569"/>
      <c r="OHF3569"/>
      <c r="OHG3569"/>
      <c r="OHH3569"/>
      <c r="OHI3569"/>
      <c r="OHJ3569"/>
      <c r="OHK3569"/>
      <c r="OHL3569"/>
      <c r="OHM3569"/>
      <c r="OHN3569"/>
      <c r="OHO3569"/>
      <c r="OHP3569"/>
      <c r="OHQ3569"/>
      <c r="OHR3569"/>
      <c r="OHS3569"/>
      <c r="OHT3569"/>
      <c r="OHU3569"/>
      <c r="OHV3569"/>
      <c r="OHW3569"/>
      <c r="OHX3569"/>
      <c r="OHY3569"/>
      <c r="OHZ3569"/>
      <c r="OIA3569"/>
      <c r="OIB3569"/>
      <c r="OIC3569"/>
      <c r="OID3569"/>
      <c r="OIE3569"/>
      <c r="OIF3569"/>
      <c r="OIG3569"/>
      <c r="OIH3569"/>
      <c r="OII3569"/>
      <c r="OIJ3569"/>
      <c r="OIK3569"/>
      <c r="OIL3569"/>
      <c r="OIM3569"/>
      <c r="OIN3569"/>
      <c r="OIO3569"/>
      <c r="OIP3569"/>
      <c r="OIQ3569"/>
      <c r="OIR3569"/>
      <c r="OIS3569"/>
      <c r="OIT3569"/>
      <c r="OIU3569"/>
      <c r="OIV3569"/>
      <c r="OIW3569"/>
      <c r="OIX3569"/>
      <c r="OIY3569"/>
      <c r="OIZ3569"/>
      <c r="OJA3569"/>
      <c r="OJB3569"/>
      <c r="OJC3569"/>
      <c r="OJD3569"/>
      <c r="OJE3569"/>
      <c r="OJF3569"/>
      <c r="OJG3569"/>
      <c r="OJH3569"/>
      <c r="OJI3569"/>
      <c r="OJJ3569"/>
      <c r="OJK3569"/>
      <c r="OJL3569"/>
      <c r="OJM3569"/>
      <c r="OJN3569"/>
      <c r="OJO3569"/>
      <c r="OJP3569"/>
      <c r="OJQ3569"/>
      <c r="OJR3569"/>
      <c r="OJS3569"/>
      <c r="OJT3569"/>
      <c r="OJU3569"/>
      <c r="OJV3569"/>
      <c r="OJW3569"/>
      <c r="OJX3569"/>
      <c r="OJY3569"/>
      <c r="OJZ3569"/>
      <c r="OKA3569"/>
      <c r="OKB3569"/>
      <c r="OKC3569"/>
      <c r="OKD3569"/>
      <c r="OKE3569"/>
      <c r="OKF3569"/>
      <c r="OKG3569"/>
      <c r="OKH3569"/>
      <c r="OKI3569"/>
      <c r="OKJ3569"/>
      <c r="OKK3569"/>
      <c r="OKL3569"/>
      <c r="OKM3569"/>
      <c r="OKN3569"/>
      <c r="OKO3569"/>
      <c r="OKP3569"/>
      <c r="OKQ3569"/>
      <c r="OKR3569"/>
      <c r="OKS3569"/>
      <c r="OKT3569"/>
      <c r="OKU3569"/>
      <c r="OKV3569"/>
      <c r="OKW3569"/>
      <c r="OKX3569"/>
      <c r="OKY3569"/>
      <c r="OKZ3569"/>
      <c r="OLA3569"/>
      <c r="OLB3569"/>
      <c r="OLC3569"/>
      <c r="OLD3569"/>
      <c r="OLE3569"/>
      <c r="OLF3569"/>
      <c r="OLG3569"/>
      <c r="OLH3569"/>
      <c r="OLI3569"/>
      <c r="OLJ3569"/>
      <c r="OLK3569"/>
      <c r="OLL3569"/>
      <c r="OLM3569"/>
      <c r="OLN3569"/>
      <c r="OLO3569"/>
      <c r="OLP3569"/>
      <c r="OLQ3569"/>
      <c r="OLR3569"/>
      <c r="OLS3569"/>
      <c r="OLT3569"/>
      <c r="OLU3569"/>
      <c r="OLV3569"/>
      <c r="OLW3569"/>
      <c r="OLX3569"/>
      <c r="OLY3569"/>
      <c r="OLZ3569"/>
      <c r="OMA3569"/>
      <c r="OMB3569"/>
      <c r="OMC3569"/>
      <c r="OMD3569"/>
      <c r="OME3569"/>
      <c r="OMF3569"/>
      <c r="OMG3569"/>
      <c r="OMH3569"/>
      <c r="OMI3569"/>
      <c r="OMJ3569"/>
      <c r="OMK3569"/>
      <c r="OML3569"/>
      <c r="OMM3569"/>
      <c r="OMN3569"/>
      <c r="OMO3569"/>
      <c r="OMP3569"/>
      <c r="OMQ3569"/>
      <c r="OMR3569"/>
      <c r="OMS3569"/>
      <c r="OMT3569"/>
      <c r="OMU3569"/>
      <c r="OMV3569"/>
      <c r="OMW3569"/>
      <c r="OMX3569"/>
      <c r="OMY3569"/>
      <c r="OMZ3569"/>
      <c r="ONA3569"/>
      <c r="ONB3569"/>
      <c r="ONC3569"/>
      <c r="OND3569"/>
      <c r="ONE3569"/>
      <c r="ONF3569"/>
      <c r="ONG3569"/>
      <c r="ONH3569"/>
      <c r="ONI3569"/>
      <c r="ONJ3569"/>
      <c r="ONK3569"/>
      <c r="ONL3569"/>
      <c r="ONM3569"/>
      <c r="ONN3569"/>
      <c r="ONO3569"/>
      <c r="ONP3569"/>
      <c r="ONQ3569"/>
      <c r="ONR3569"/>
      <c r="ONS3569"/>
      <c r="ONT3569"/>
      <c r="ONU3569"/>
      <c r="ONV3569"/>
      <c r="ONW3569"/>
      <c r="ONX3569"/>
      <c r="ONY3569"/>
      <c r="ONZ3569"/>
      <c r="OOA3569"/>
      <c r="OOB3569"/>
      <c r="OOC3569"/>
      <c r="OOD3569"/>
      <c r="OOE3569"/>
      <c r="OOF3569"/>
      <c r="OOG3569"/>
      <c r="OOH3569"/>
      <c r="OOI3569"/>
      <c r="OOJ3569"/>
      <c r="OOK3569"/>
      <c r="OOL3569"/>
      <c r="OOM3569"/>
      <c r="OON3569"/>
      <c r="OOO3569"/>
      <c r="OOP3569"/>
      <c r="OOQ3569"/>
      <c r="OOR3569"/>
      <c r="OOS3569"/>
      <c r="OOT3569"/>
      <c r="OOU3569"/>
      <c r="OOV3569"/>
      <c r="OOW3569"/>
      <c r="OOX3569"/>
      <c r="OOY3569"/>
      <c r="OOZ3569"/>
      <c r="OPA3569"/>
      <c r="OPB3569"/>
      <c r="OPC3569"/>
      <c r="OPD3569"/>
      <c r="OPE3569"/>
      <c r="OPF3569"/>
      <c r="OPG3569"/>
      <c r="OPH3569"/>
      <c r="OPI3569"/>
      <c r="OPJ3569"/>
      <c r="OPK3569"/>
      <c r="OPL3569"/>
      <c r="OPM3569"/>
      <c r="OPN3569"/>
      <c r="OPO3569"/>
      <c r="OPP3569"/>
      <c r="OPQ3569"/>
      <c r="OPR3569"/>
      <c r="OPS3569"/>
      <c r="OPT3569"/>
      <c r="OPU3569"/>
      <c r="OPV3569"/>
      <c r="OPW3569"/>
      <c r="OPX3569"/>
      <c r="OPY3569"/>
      <c r="OPZ3569"/>
      <c r="OQA3569"/>
      <c r="OQB3569"/>
      <c r="OQC3569"/>
      <c r="OQD3569"/>
      <c r="OQE3569"/>
      <c r="OQF3569"/>
      <c r="OQG3569"/>
      <c r="OQH3569"/>
      <c r="OQI3569"/>
      <c r="OQJ3569"/>
      <c r="OQK3569"/>
      <c r="OQL3569"/>
      <c r="OQM3569"/>
      <c r="OQN3569"/>
      <c r="OQO3569"/>
      <c r="OQP3569"/>
      <c r="OQQ3569"/>
      <c r="OQR3569"/>
      <c r="OQS3569"/>
      <c r="OQT3569"/>
      <c r="OQU3569"/>
      <c r="OQV3569"/>
      <c r="OQW3569"/>
      <c r="OQX3569"/>
      <c r="OQY3569"/>
      <c r="OQZ3569"/>
      <c r="ORA3569"/>
      <c r="ORB3569"/>
      <c r="ORC3569"/>
      <c r="ORD3569"/>
      <c r="ORE3569"/>
      <c r="ORF3569"/>
      <c r="ORG3569"/>
      <c r="ORH3569"/>
      <c r="ORI3569"/>
      <c r="ORJ3569"/>
      <c r="ORK3569"/>
      <c r="ORL3569"/>
      <c r="ORM3569"/>
      <c r="ORN3569"/>
      <c r="ORO3569"/>
      <c r="ORP3569"/>
      <c r="ORQ3569"/>
      <c r="ORR3569"/>
      <c r="ORS3569"/>
      <c r="ORT3569"/>
      <c r="ORU3569"/>
      <c r="ORV3569"/>
      <c r="ORW3569"/>
      <c r="ORX3569"/>
      <c r="ORY3569"/>
      <c r="ORZ3569"/>
      <c r="OSA3569"/>
      <c r="OSB3569"/>
      <c r="OSC3569"/>
      <c r="OSD3569"/>
      <c r="OSE3569"/>
      <c r="OSF3569"/>
      <c r="OSG3569"/>
      <c r="OSH3569"/>
      <c r="OSI3569"/>
      <c r="OSJ3569"/>
      <c r="OSK3569"/>
      <c r="OSL3569"/>
      <c r="OSM3569"/>
      <c r="OSN3569"/>
      <c r="OSO3569"/>
      <c r="OSP3569"/>
      <c r="OSQ3569"/>
      <c r="OSR3569"/>
      <c r="OSS3569"/>
      <c r="OST3569"/>
      <c r="OSU3569"/>
      <c r="OSV3569"/>
      <c r="OSW3569"/>
      <c r="OSX3569"/>
      <c r="OSY3569"/>
      <c r="OSZ3569"/>
      <c r="OTA3569"/>
      <c r="OTB3569"/>
      <c r="OTC3569"/>
      <c r="OTD3569"/>
      <c r="OTE3569"/>
      <c r="OTF3569"/>
      <c r="OTG3569"/>
      <c r="OTH3569"/>
      <c r="OTI3569"/>
      <c r="OTJ3569"/>
      <c r="OTK3569"/>
      <c r="OTL3569"/>
      <c r="OTM3569"/>
      <c r="OTN3569"/>
      <c r="OTO3569"/>
      <c r="OTP3569"/>
      <c r="OTQ3569"/>
      <c r="OTR3569"/>
      <c r="OTS3569"/>
      <c r="OTT3569"/>
      <c r="OTU3569"/>
      <c r="OTV3569"/>
      <c r="OTW3569"/>
      <c r="OTX3569"/>
      <c r="OTY3569"/>
      <c r="OTZ3569"/>
      <c r="OUA3569"/>
      <c r="OUB3569"/>
      <c r="OUC3569"/>
      <c r="OUD3569"/>
      <c r="OUE3569"/>
      <c r="OUF3569"/>
      <c r="OUG3569"/>
      <c r="OUH3569"/>
      <c r="OUI3569"/>
      <c r="OUJ3569"/>
      <c r="OUK3569"/>
      <c r="OUL3569"/>
      <c r="OUM3569"/>
      <c r="OUN3569"/>
      <c r="OUO3569"/>
      <c r="OUP3569"/>
      <c r="OUQ3569"/>
      <c r="OUR3569"/>
      <c r="OUS3569"/>
      <c r="OUT3569"/>
      <c r="OUU3569"/>
      <c r="OUV3569"/>
      <c r="OUW3569"/>
      <c r="OUX3569"/>
      <c r="OUY3569"/>
      <c r="OUZ3569"/>
      <c r="OVA3569"/>
      <c r="OVB3569"/>
      <c r="OVC3569"/>
      <c r="OVD3569"/>
      <c r="OVE3569"/>
      <c r="OVF3569"/>
      <c r="OVG3569"/>
      <c r="OVH3569"/>
      <c r="OVI3569"/>
      <c r="OVJ3569"/>
      <c r="OVK3569"/>
      <c r="OVL3569"/>
      <c r="OVM3569"/>
      <c r="OVN3569"/>
      <c r="OVO3569"/>
      <c r="OVP3569"/>
      <c r="OVQ3569"/>
      <c r="OVR3569"/>
      <c r="OVS3569"/>
      <c r="OVT3569"/>
      <c r="OVU3569"/>
      <c r="OVV3569"/>
      <c r="OVW3569"/>
      <c r="OVX3569"/>
      <c r="OVY3569"/>
      <c r="OVZ3569"/>
      <c r="OWA3569"/>
      <c r="OWB3569"/>
      <c r="OWC3569"/>
      <c r="OWD3569"/>
      <c r="OWE3569"/>
      <c r="OWF3569"/>
      <c r="OWG3569"/>
      <c r="OWH3569"/>
      <c r="OWI3569"/>
      <c r="OWJ3569"/>
      <c r="OWK3569"/>
      <c r="OWL3569"/>
      <c r="OWM3569"/>
      <c r="OWN3569"/>
      <c r="OWO3569"/>
      <c r="OWP3569"/>
      <c r="OWQ3569"/>
      <c r="OWR3569"/>
      <c r="OWS3569"/>
      <c r="OWT3569"/>
      <c r="OWU3569"/>
      <c r="OWV3569"/>
      <c r="OWW3569"/>
      <c r="OWX3569"/>
      <c r="OWY3569"/>
      <c r="OWZ3569"/>
      <c r="OXA3569"/>
      <c r="OXB3569"/>
      <c r="OXC3569"/>
      <c r="OXD3569"/>
      <c r="OXE3569"/>
      <c r="OXF3569"/>
      <c r="OXG3569"/>
      <c r="OXH3569"/>
      <c r="OXI3569"/>
      <c r="OXJ3569"/>
      <c r="OXK3569"/>
      <c r="OXL3569"/>
      <c r="OXM3569"/>
      <c r="OXN3569"/>
      <c r="OXO3569"/>
      <c r="OXP3569"/>
      <c r="OXQ3569"/>
      <c r="OXR3569"/>
      <c r="OXS3569"/>
      <c r="OXT3569"/>
      <c r="OXU3569"/>
      <c r="OXV3569"/>
      <c r="OXW3569"/>
      <c r="OXX3569"/>
      <c r="OXY3569"/>
      <c r="OXZ3569"/>
      <c r="OYA3569"/>
      <c r="OYB3569"/>
      <c r="OYC3569"/>
      <c r="OYD3569"/>
      <c r="OYE3569"/>
      <c r="OYF3569"/>
      <c r="OYG3569"/>
      <c r="OYH3569"/>
      <c r="OYI3569"/>
      <c r="OYJ3569"/>
      <c r="OYK3569"/>
      <c r="OYL3569"/>
      <c r="OYM3569"/>
      <c r="OYN3569"/>
      <c r="OYO3569"/>
      <c r="OYP3569"/>
      <c r="OYQ3569"/>
      <c r="OYR3569"/>
      <c r="OYS3569"/>
      <c r="OYT3569"/>
      <c r="OYU3569"/>
      <c r="OYV3569"/>
      <c r="OYW3569"/>
      <c r="OYX3569"/>
      <c r="OYY3569"/>
      <c r="OYZ3569"/>
      <c r="OZA3569"/>
      <c r="OZB3569"/>
      <c r="OZC3569"/>
      <c r="OZD3569"/>
      <c r="OZE3569"/>
      <c r="OZF3569"/>
      <c r="OZG3569"/>
      <c r="OZH3569"/>
      <c r="OZI3569"/>
      <c r="OZJ3569"/>
      <c r="OZK3569"/>
      <c r="OZL3569"/>
      <c r="OZM3569"/>
      <c r="OZN3569"/>
      <c r="OZO3569"/>
      <c r="OZP3569"/>
      <c r="OZQ3569"/>
      <c r="OZR3569"/>
      <c r="OZS3569"/>
      <c r="OZT3569"/>
      <c r="OZU3569"/>
      <c r="OZV3569"/>
      <c r="OZW3569"/>
      <c r="OZX3569"/>
      <c r="OZY3569"/>
      <c r="OZZ3569"/>
      <c r="PAA3569"/>
      <c r="PAB3569"/>
      <c r="PAC3569"/>
      <c r="PAD3569"/>
      <c r="PAE3569"/>
      <c r="PAF3569"/>
      <c r="PAG3569"/>
      <c r="PAH3569"/>
      <c r="PAI3569"/>
      <c r="PAJ3569"/>
      <c r="PAK3569"/>
      <c r="PAL3569"/>
      <c r="PAM3569"/>
      <c r="PAN3569"/>
      <c r="PAO3569"/>
      <c r="PAP3569"/>
      <c r="PAQ3569"/>
      <c r="PAR3569"/>
      <c r="PAS3569"/>
      <c r="PAT3569"/>
      <c r="PAU3569"/>
      <c r="PAV3569"/>
      <c r="PAW3569"/>
      <c r="PAX3569"/>
      <c r="PAY3569"/>
      <c r="PAZ3569"/>
      <c r="PBA3569"/>
      <c r="PBB3569"/>
      <c r="PBC3569"/>
      <c r="PBD3569"/>
      <c r="PBE3569"/>
      <c r="PBF3569"/>
      <c r="PBG3569"/>
      <c r="PBH3569"/>
      <c r="PBI3569"/>
      <c r="PBJ3569"/>
      <c r="PBK3569"/>
      <c r="PBL3569"/>
      <c r="PBM3569"/>
      <c r="PBN3569"/>
      <c r="PBO3569"/>
      <c r="PBP3569"/>
      <c r="PBQ3569"/>
      <c r="PBR3569"/>
      <c r="PBS3569"/>
      <c r="PBT3569"/>
      <c r="PBU3569"/>
      <c r="PBV3569"/>
      <c r="PBW3569"/>
      <c r="PBX3569"/>
      <c r="PBY3569"/>
      <c r="PBZ3569"/>
      <c r="PCA3569"/>
      <c r="PCB3569"/>
      <c r="PCC3569"/>
      <c r="PCD3569"/>
      <c r="PCE3569"/>
      <c r="PCF3569"/>
      <c r="PCG3569"/>
      <c r="PCH3569"/>
      <c r="PCI3569"/>
      <c r="PCJ3569"/>
      <c r="PCK3569"/>
      <c r="PCL3569"/>
      <c r="PCM3569"/>
      <c r="PCN3569"/>
      <c r="PCO3569"/>
      <c r="PCP3569"/>
      <c r="PCQ3569"/>
      <c r="PCR3569"/>
      <c r="PCS3569"/>
      <c r="PCT3569"/>
      <c r="PCU3569"/>
      <c r="PCV3569"/>
      <c r="PCW3569"/>
      <c r="PCX3569"/>
      <c r="PCY3569"/>
      <c r="PCZ3569"/>
      <c r="PDA3569"/>
      <c r="PDB3569"/>
      <c r="PDC3569"/>
      <c r="PDD3569"/>
      <c r="PDE3569"/>
      <c r="PDF3569"/>
      <c r="PDG3569"/>
      <c r="PDH3569"/>
      <c r="PDI3569"/>
      <c r="PDJ3569"/>
      <c r="PDK3569"/>
      <c r="PDL3569"/>
      <c r="PDM3569"/>
      <c r="PDN3569"/>
      <c r="PDO3569"/>
      <c r="PDP3569"/>
      <c r="PDQ3569"/>
      <c r="PDR3569"/>
      <c r="PDS3569"/>
      <c r="PDT3569"/>
      <c r="PDU3569"/>
      <c r="PDV3569"/>
      <c r="PDW3569"/>
      <c r="PDX3569"/>
      <c r="PDY3569"/>
      <c r="PDZ3569"/>
      <c r="PEA3569"/>
      <c r="PEB3569"/>
      <c r="PEC3569"/>
      <c r="PED3569"/>
      <c r="PEE3569"/>
      <c r="PEF3569"/>
      <c r="PEG3569"/>
      <c r="PEH3569"/>
      <c r="PEI3569"/>
      <c r="PEJ3569"/>
      <c r="PEK3569"/>
      <c r="PEL3569"/>
      <c r="PEM3569"/>
      <c r="PEN3569"/>
      <c r="PEO3569"/>
      <c r="PEP3569"/>
      <c r="PEQ3569"/>
      <c r="PER3569"/>
      <c r="PES3569"/>
      <c r="PET3569"/>
      <c r="PEU3569"/>
      <c r="PEV3569"/>
      <c r="PEW3569"/>
      <c r="PEX3569"/>
      <c r="PEY3569"/>
      <c r="PEZ3569"/>
      <c r="PFA3569"/>
      <c r="PFB3569"/>
      <c r="PFC3569"/>
      <c r="PFD3569"/>
      <c r="PFE3569"/>
      <c r="PFF3569"/>
      <c r="PFG3569"/>
      <c r="PFH3569"/>
      <c r="PFI3569"/>
      <c r="PFJ3569"/>
      <c r="PFK3569"/>
      <c r="PFL3569"/>
      <c r="PFM3569"/>
      <c r="PFN3569"/>
      <c r="PFO3569"/>
      <c r="PFP3569"/>
      <c r="PFQ3569"/>
      <c r="PFR3569"/>
      <c r="PFS3569"/>
      <c r="PFT3569"/>
      <c r="PFU3569"/>
      <c r="PFV3569"/>
      <c r="PFW3569"/>
      <c r="PFX3569"/>
      <c r="PFY3569"/>
      <c r="PFZ3569"/>
      <c r="PGA3569"/>
      <c r="PGB3569"/>
      <c r="PGC3569"/>
      <c r="PGD3569"/>
      <c r="PGE3569"/>
      <c r="PGF3569"/>
      <c r="PGG3569"/>
      <c r="PGH3569"/>
      <c r="PGI3569"/>
      <c r="PGJ3569"/>
      <c r="PGK3569"/>
      <c r="PGL3569"/>
      <c r="PGM3569"/>
      <c r="PGN3569"/>
      <c r="PGO3569"/>
      <c r="PGP3569"/>
      <c r="PGQ3569"/>
      <c r="PGR3569"/>
      <c r="PGS3569"/>
      <c r="PGT3569"/>
      <c r="PGU3569"/>
      <c r="PGV3569"/>
      <c r="PGW3569"/>
      <c r="PGX3569"/>
      <c r="PGY3569"/>
      <c r="PGZ3569"/>
      <c r="PHA3569"/>
      <c r="PHB3569"/>
      <c r="PHC3569"/>
      <c r="PHD3569"/>
      <c r="PHE3569"/>
      <c r="PHF3569"/>
      <c r="PHG3569"/>
      <c r="PHH3569"/>
      <c r="PHI3569"/>
      <c r="PHJ3569"/>
      <c r="PHK3569"/>
      <c r="PHL3569"/>
      <c r="PHM3569"/>
      <c r="PHN3569"/>
      <c r="PHO3569"/>
      <c r="PHP3569"/>
      <c r="PHQ3569"/>
      <c r="PHR3569"/>
      <c r="PHS3569"/>
      <c r="PHT3569"/>
      <c r="PHU3569"/>
      <c r="PHV3569"/>
      <c r="PHW3569"/>
      <c r="PHX3569"/>
      <c r="PHY3569"/>
      <c r="PHZ3569"/>
      <c r="PIA3569"/>
      <c r="PIB3569"/>
      <c r="PIC3569"/>
      <c r="PID3569"/>
      <c r="PIE3569"/>
      <c r="PIF3569"/>
      <c r="PIG3569"/>
      <c r="PIH3569"/>
      <c r="PII3569"/>
      <c r="PIJ3569"/>
      <c r="PIK3569"/>
      <c r="PIL3569"/>
      <c r="PIM3569"/>
      <c r="PIN3569"/>
      <c r="PIO3569"/>
      <c r="PIP3569"/>
      <c r="PIQ3569"/>
      <c r="PIR3569"/>
      <c r="PIS3569"/>
      <c r="PIT3569"/>
      <c r="PIU3569"/>
      <c r="PIV3569"/>
      <c r="PIW3569"/>
      <c r="PIX3569"/>
      <c r="PIY3569"/>
      <c r="PIZ3569"/>
      <c r="PJA3569"/>
      <c r="PJB3569"/>
      <c r="PJC3569"/>
      <c r="PJD3569"/>
      <c r="PJE3569"/>
      <c r="PJF3569"/>
      <c r="PJG3569"/>
      <c r="PJH3569"/>
      <c r="PJI3569"/>
      <c r="PJJ3569"/>
      <c r="PJK3569"/>
      <c r="PJL3569"/>
      <c r="PJM3569"/>
      <c r="PJN3569"/>
      <c r="PJO3569"/>
      <c r="PJP3569"/>
      <c r="PJQ3569"/>
      <c r="PJR3569"/>
      <c r="PJS3569"/>
      <c r="PJT3569"/>
      <c r="PJU3569"/>
      <c r="PJV3569"/>
      <c r="PJW3569"/>
      <c r="PJX3569"/>
      <c r="PJY3569"/>
      <c r="PJZ3569"/>
      <c r="PKA3569"/>
      <c r="PKB3569"/>
      <c r="PKC3569"/>
      <c r="PKD3569"/>
      <c r="PKE3569"/>
      <c r="PKF3569"/>
      <c r="PKG3569"/>
      <c r="PKH3569"/>
      <c r="PKI3569"/>
      <c r="PKJ3569"/>
      <c r="PKK3569"/>
      <c r="PKL3569"/>
      <c r="PKM3569"/>
      <c r="PKN3569"/>
      <c r="PKO3569"/>
      <c r="PKP3569"/>
      <c r="PKQ3569"/>
      <c r="PKR3569"/>
      <c r="PKS3569"/>
      <c r="PKT3569"/>
      <c r="PKU3569"/>
      <c r="PKV3569"/>
      <c r="PKW3569"/>
      <c r="PKX3569"/>
      <c r="PKY3569"/>
      <c r="PKZ3569"/>
      <c r="PLA3569"/>
      <c r="PLB3569"/>
      <c r="PLC3569"/>
      <c r="PLD3569"/>
      <c r="PLE3569"/>
      <c r="PLF3569"/>
      <c r="PLG3569"/>
      <c r="PLH3569"/>
      <c r="PLI3569"/>
      <c r="PLJ3569"/>
      <c r="PLK3569"/>
      <c r="PLL3569"/>
      <c r="PLM3569"/>
      <c r="PLN3569"/>
      <c r="PLO3569"/>
      <c r="PLP3569"/>
      <c r="PLQ3569"/>
      <c r="PLR3569"/>
      <c r="PLS3569"/>
      <c r="PLT3569"/>
      <c r="PLU3569"/>
      <c r="PLV3569"/>
      <c r="PLW3569"/>
      <c r="PLX3569"/>
      <c r="PLY3569"/>
      <c r="PLZ3569"/>
      <c r="PMA3569"/>
      <c r="PMB3569"/>
      <c r="PMC3569"/>
      <c r="PMD3569"/>
      <c r="PME3569"/>
      <c r="PMF3569"/>
      <c r="PMG3569"/>
      <c r="PMH3569"/>
      <c r="PMI3569"/>
      <c r="PMJ3569"/>
      <c r="PMK3569"/>
      <c r="PML3569"/>
      <c r="PMM3569"/>
      <c r="PMN3569"/>
      <c r="PMO3569"/>
      <c r="PMP3569"/>
      <c r="PMQ3569"/>
      <c r="PMR3569"/>
      <c r="PMS3569"/>
      <c r="PMT3569"/>
      <c r="PMU3569"/>
      <c r="PMV3569"/>
      <c r="PMW3569"/>
      <c r="PMX3569"/>
      <c r="PMY3569"/>
      <c r="PMZ3569"/>
      <c r="PNA3569"/>
      <c r="PNB3569"/>
      <c r="PNC3569"/>
      <c r="PND3569"/>
      <c r="PNE3569"/>
      <c r="PNF3569"/>
      <c r="PNG3569"/>
      <c r="PNH3569"/>
      <c r="PNI3569"/>
      <c r="PNJ3569"/>
      <c r="PNK3569"/>
      <c r="PNL3569"/>
      <c r="PNM3569"/>
      <c r="PNN3569"/>
      <c r="PNO3569"/>
      <c r="PNP3569"/>
      <c r="PNQ3569"/>
      <c r="PNR3569"/>
      <c r="PNS3569"/>
      <c r="PNT3569"/>
      <c r="PNU3569"/>
      <c r="PNV3569"/>
      <c r="PNW3569"/>
      <c r="PNX3569"/>
      <c r="PNY3569"/>
      <c r="PNZ3569"/>
      <c r="POA3569"/>
      <c r="POB3569"/>
      <c r="POC3569"/>
      <c r="POD3569"/>
      <c r="POE3569"/>
      <c r="POF3569"/>
      <c r="POG3569"/>
      <c r="POH3569"/>
      <c r="POI3569"/>
      <c r="POJ3569"/>
      <c r="POK3569"/>
      <c r="POL3569"/>
      <c r="POM3569"/>
      <c r="PON3569"/>
      <c r="POO3569"/>
      <c r="POP3569"/>
      <c r="POQ3569"/>
      <c r="POR3569"/>
      <c r="POS3569"/>
      <c r="POT3569"/>
      <c r="POU3569"/>
      <c r="POV3569"/>
      <c r="POW3569"/>
      <c r="POX3569"/>
      <c r="POY3569"/>
      <c r="POZ3569"/>
      <c r="PPA3569"/>
      <c r="PPB3569"/>
      <c r="PPC3569"/>
      <c r="PPD3569"/>
      <c r="PPE3569"/>
      <c r="PPF3569"/>
      <c r="PPG3569"/>
      <c r="PPH3569"/>
      <c r="PPI3569"/>
      <c r="PPJ3569"/>
      <c r="PPK3569"/>
      <c r="PPL3569"/>
      <c r="PPM3569"/>
      <c r="PPN3569"/>
      <c r="PPO3569"/>
      <c r="PPP3569"/>
      <c r="PPQ3569"/>
      <c r="PPR3569"/>
      <c r="PPS3569"/>
      <c r="PPT3569"/>
      <c r="PPU3569"/>
      <c r="PPV3569"/>
      <c r="PPW3569"/>
      <c r="PPX3569"/>
      <c r="PPY3569"/>
      <c r="PPZ3569"/>
      <c r="PQA3569"/>
      <c r="PQB3569"/>
      <c r="PQC3569"/>
      <c r="PQD3569"/>
      <c r="PQE3569"/>
      <c r="PQF3569"/>
      <c r="PQG3569"/>
      <c r="PQH3569"/>
      <c r="PQI3569"/>
      <c r="PQJ3569"/>
      <c r="PQK3569"/>
      <c r="PQL3569"/>
      <c r="PQM3569"/>
      <c r="PQN3569"/>
      <c r="PQO3569"/>
      <c r="PQP3569"/>
      <c r="PQQ3569"/>
      <c r="PQR3569"/>
      <c r="PQS3569"/>
      <c r="PQT3569"/>
      <c r="PQU3569"/>
      <c r="PQV3569"/>
      <c r="PQW3569"/>
      <c r="PQX3569"/>
      <c r="PQY3569"/>
      <c r="PQZ3569"/>
      <c r="PRA3569"/>
      <c r="PRB3569"/>
      <c r="PRC3569"/>
      <c r="PRD3569"/>
      <c r="PRE3569"/>
      <c r="PRF3569"/>
      <c r="PRG3569"/>
      <c r="PRH3569"/>
      <c r="PRI3569"/>
      <c r="PRJ3569"/>
      <c r="PRK3569"/>
      <c r="PRL3569"/>
      <c r="PRM3569"/>
      <c r="PRN3569"/>
      <c r="PRO3569"/>
      <c r="PRP3569"/>
      <c r="PRQ3569"/>
      <c r="PRR3569"/>
      <c r="PRS3569"/>
      <c r="PRT3569"/>
      <c r="PRU3569"/>
      <c r="PRV3569"/>
      <c r="PRW3569"/>
      <c r="PRX3569"/>
      <c r="PRY3569"/>
      <c r="PRZ3569"/>
      <c r="PSA3569"/>
      <c r="PSB3569"/>
      <c r="PSC3569"/>
      <c r="PSD3569"/>
      <c r="PSE3569"/>
      <c r="PSF3569"/>
      <c r="PSG3569"/>
      <c r="PSH3569"/>
      <c r="PSI3569"/>
      <c r="PSJ3569"/>
      <c r="PSK3569"/>
      <c r="PSL3569"/>
      <c r="PSM3569"/>
      <c r="PSN3569"/>
      <c r="PSO3569"/>
      <c r="PSP3569"/>
      <c r="PSQ3569"/>
      <c r="PSR3569"/>
      <c r="PSS3569"/>
      <c r="PST3569"/>
      <c r="PSU3569"/>
      <c r="PSV3569"/>
      <c r="PSW3569"/>
      <c r="PSX3569"/>
      <c r="PSY3569"/>
      <c r="PSZ3569"/>
      <c r="PTA3569"/>
      <c r="PTB3569"/>
      <c r="PTC3569"/>
      <c r="PTD3569"/>
      <c r="PTE3569"/>
      <c r="PTF3569"/>
      <c r="PTG3569"/>
      <c r="PTH3569"/>
      <c r="PTI3569"/>
      <c r="PTJ3569"/>
      <c r="PTK3569"/>
      <c r="PTL3569"/>
      <c r="PTM3569"/>
      <c r="PTN3569"/>
      <c r="PTO3569"/>
      <c r="PTP3569"/>
      <c r="PTQ3569"/>
      <c r="PTR3569"/>
      <c r="PTS3569"/>
      <c r="PTT3569"/>
      <c r="PTU3569"/>
      <c r="PTV3569"/>
      <c r="PTW3569"/>
      <c r="PTX3569"/>
      <c r="PTY3569"/>
      <c r="PTZ3569"/>
      <c r="PUA3569"/>
      <c r="PUB3569"/>
      <c r="PUC3569"/>
      <c r="PUD3569"/>
      <c r="PUE3569"/>
      <c r="PUF3569"/>
      <c r="PUG3569"/>
      <c r="PUH3569"/>
      <c r="PUI3569"/>
      <c r="PUJ3569"/>
      <c r="PUK3569"/>
      <c r="PUL3569"/>
      <c r="PUM3569"/>
      <c r="PUN3569"/>
      <c r="PUO3569"/>
      <c r="PUP3569"/>
      <c r="PUQ3569"/>
      <c r="PUR3569"/>
      <c r="PUS3569"/>
      <c r="PUT3569"/>
      <c r="PUU3569"/>
      <c r="PUV3569"/>
      <c r="PUW3569"/>
      <c r="PUX3569"/>
      <c r="PUY3569"/>
      <c r="PUZ3569"/>
      <c r="PVA3569"/>
      <c r="PVB3569"/>
      <c r="PVC3569"/>
      <c r="PVD3569"/>
      <c r="PVE3569"/>
      <c r="PVF3569"/>
      <c r="PVG3569"/>
      <c r="PVH3569"/>
      <c r="PVI3569"/>
      <c r="PVJ3569"/>
      <c r="PVK3569"/>
      <c r="PVL3569"/>
      <c r="PVM3569"/>
      <c r="PVN3569"/>
      <c r="PVO3569"/>
      <c r="PVP3569"/>
      <c r="PVQ3569"/>
      <c r="PVR3569"/>
      <c r="PVS3569"/>
      <c r="PVT3569"/>
      <c r="PVU3569"/>
      <c r="PVV3569"/>
      <c r="PVW3569"/>
      <c r="PVX3569"/>
      <c r="PVY3569"/>
      <c r="PVZ3569"/>
      <c r="PWA3569"/>
      <c r="PWB3569"/>
      <c r="PWC3569"/>
      <c r="PWD3569"/>
      <c r="PWE3569"/>
      <c r="PWF3569"/>
      <c r="PWG3569"/>
      <c r="PWH3569"/>
      <c r="PWI3569"/>
      <c r="PWJ3569"/>
      <c r="PWK3569"/>
      <c r="PWL3569"/>
      <c r="PWM3569"/>
      <c r="PWN3569"/>
      <c r="PWO3569"/>
      <c r="PWP3569"/>
      <c r="PWQ3569"/>
      <c r="PWR3569"/>
      <c r="PWS3569"/>
      <c r="PWT3569"/>
      <c r="PWU3569"/>
      <c r="PWV3569"/>
      <c r="PWW3569"/>
      <c r="PWX3569"/>
      <c r="PWY3569"/>
      <c r="PWZ3569"/>
      <c r="PXA3569"/>
      <c r="PXB3569"/>
      <c r="PXC3569"/>
      <c r="PXD3569"/>
      <c r="PXE3569"/>
      <c r="PXF3569"/>
      <c r="PXG3569"/>
      <c r="PXH3569"/>
      <c r="PXI3569"/>
      <c r="PXJ3569"/>
      <c r="PXK3569"/>
      <c r="PXL3569"/>
      <c r="PXM3569"/>
      <c r="PXN3569"/>
      <c r="PXO3569"/>
      <c r="PXP3569"/>
      <c r="PXQ3569"/>
      <c r="PXR3569"/>
      <c r="PXS3569"/>
      <c r="PXT3569"/>
      <c r="PXU3569"/>
      <c r="PXV3569"/>
      <c r="PXW3569"/>
      <c r="PXX3569"/>
      <c r="PXY3569"/>
      <c r="PXZ3569"/>
      <c r="PYA3569"/>
      <c r="PYB3569"/>
      <c r="PYC3569"/>
      <c r="PYD3569"/>
      <c r="PYE3569"/>
      <c r="PYF3569"/>
      <c r="PYG3569"/>
      <c r="PYH3569"/>
      <c r="PYI3569"/>
      <c r="PYJ3569"/>
      <c r="PYK3569"/>
      <c r="PYL3569"/>
      <c r="PYM3569"/>
      <c r="PYN3569"/>
      <c r="PYO3569"/>
      <c r="PYP3569"/>
      <c r="PYQ3569"/>
      <c r="PYR3569"/>
      <c r="PYS3569"/>
      <c r="PYT3569"/>
      <c r="PYU3569"/>
      <c r="PYV3569"/>
      <c r="PYW3569"/>
      <c r="PYX3569"/>
      <c r="PYY3569"/>
      <c r="PYZ3569"/>
      <c r="PZA3569"/>
      <c r="PZB3569"/>
      <c r="PZC3569"/>
      <c r="PZD3569"/>
      <c r="PZE3569"/>
      <c r="PZF3569"/>
      <c r="PZG3569"/>
      <c r="PZH3569"/>
      <c r="PZI3569"/>
      <c r="PZJ3569"/>
      <c r="PZK3569"/>
      <c r="PZL3569"/>
      <c r="PZM3569"/>
      <c r="PZN3569"/>
      <c r="PZO3569"/>
      <c r="PZP3569"/>
      <c r="PZQ3569"/>
      <c r="PZR3569"/>
      <c r="PZS3569"/>
      <c r="PZT3569"/>
      <c r="PZU3569"/>
      <c r="PZV3569"/>
      <c r="PZW3569"/>
      <c r="PZX3569"/>
      <c r="PZY3569"/>
      <c r="PZZ3569"/>
      <c r="QAA3569"/>
      <c r="QAB3569"/>
      <c r="QAC3569"/>
      <c r="QAD3569"/>
      <c r="QAE3569"/>
      <c r="QAF3569"/>
      <c r="QAG3569"/>
      <c r="QAH3569"/>
      <c r="QAI3569"/>
      <c r="QAJ3569"/>
      <c r="QAK3569"/>
      <c r="QAL3569"/>
      <c r="QAM3569"/>
      <c r="QAN3569"/>
      <c r="QAO3569"/>
      <c r="QAP3569"/>
      <c r="QAQ3569"/>
      <c r="QAR3569"/>
      <c r="QAS3569"/>
      <c r="QAT3569"/>
      <c r="QAU3569"/>
      <c r="QAV3569"/>
      <c r="QAW3569"/>
      <c r="QAX3569"/>
      <c r="QAY3569"/>
      <c r="QAZ3569"/>
      <c r="QBA3569"/>
      <c r="QBB3569"/>
      <c r="QBC3569"/>
      <c r="QBD3569"/>
      <c r="QBE3569"/>
      <c r="QBF3569"/>
      <c r="QBG3569"/>
      <c r="QBH3569"/>
      <c r="QBI3569"/>
      <c r="QBJ3569"/>
      <c r="QBK3569"/>
      <c r="QBL3569"/>
      <c r="QBM3569"/>
      <c r="QBN3569"/>
      <c r="QBO3569"/>
      <c r="QBP3569"/>
      <c r="QBQ3569"/>
      <c r="QBR3569"/>
      <c r="QBS3569"/>
      <c r="QBT3569"/>
      <c r="QBU3569"/>
      <c r="QBV3569"/>
      <c r="QBW3569"/>
      <c r="QBX3569"/>
      <c r="QBY3569"/>
      <c r="QBZ3569"/>
      <c r="QCA3569"/>
      <c r="QCB3569"/>
      <c r="QCC3569"/>
      <c r="QCD3569"/>
      <c r="QCE3569"/>
      <c r="QCF3569"/>
      <c r="QCG3569"/>
      <c r="QCH3569"/>
      <c r="QCI3569"/>
      <c r="QCJ3569"/>
      <c r="QCK3569"/>
      <c r="QCL3569"/>
      <c r="QCM3569"/>
      <c r="QCN3569"/>
      <c r="QCO3569"/>
      <c r="QCP3569"/>
      <c r="QCQ3569"/>
      <c r="QCR3569"/>
      <c r="QCS3569"/>
      <c r="QCT3569"/>
      <c r="QCU3569"/>
      <c r="QCV3569"/>
      <c r="QCW3569"/>
      <c r="QCX3569"/>
      <c r="QCY3569"/>
      <c r="QCZ3569"/>
      <c r="QDA3569"/>
      <c r="QDB3569"/>
      <c r="QDC3569"/>
      <c r="QDD3569"/>
      <c r="QDE3569"/>
      <c r="QDF3569"/>
      <c r="QDG3569"/>
      <c r="QDH3569"/>
      <c r="QDI3569"/>
      <c r="QDJ3569"/>
      <c r="QDK3569"/>
      <c r="QDL3569"/>
      <c r="QDM3569"/>
      <c r="QDN3569"/>
      <c r="QDO3569"/>
      <c r="QDP3569"/>
      <c r="QDQ3569"/>
      <c r="QDR3569"/>
      <c r="QDS3569"/>
      <c r="QDT3569"/>
      <c r="QDU3569"/>
      <c r="QDV3569"/>
      <c r="QDW3569"/>
      <c r="QDX3569"/>
      <c r="QDY3569"/>
      <c r="QDZ3569"/>
      <c r="QEA3569"/>
      <c r="QEB3569"/>
      <c r="QEC3569"/>
      <c r="QED3569"/>
      <c r="QEE3569"/>
      <c r="QEF3569"/>
      <c r="QEG3569"/>
      <c r="QEH3569"/>
      <c r="QEI3569"/>
      <c r="QEJ3569"/>
      <c r="QEK3569"/>
      <c r="QEL3569"/>
      <c r="QEM3569"/>
      <c r="QEN3569"/>
      <c r="QEO3569"/>
      <c r="QEP3569"/>
      <c r="QEQ3569"/>
      <c r="QER3569"/>
      <c r="QES3569"/>
      <c r="QET3569"/>
      <c r="QEU3569"/>
      <c r="QEV3569"/>
      <c r="QEW3569"/>
      <c r="QEX3569"/>
      <c r="QEY3569"/>
      <c r="QEZ3569"/>
      <c r="QFA3569"/>
      <c r="QFB3569"/>
      <c r="QFC3569"/>
      <c r="QFD3569"/>
      <c r="QFE3569"/>
      <c r="QFF3569"/>
      <c r="QFG3569"/>
      <c r="QFH3569"/>
      <c r="QFI3569"/>
      <c r="QFJ3569"/>
      <c r="QFK3569"/>
      <c r="QFL3569"/>
      <c r="QFM3569"/>
      <c r="QFN3569"/>
      <c r="QFO3569"/>
      <c r="QFP3569"/>
      <c r="QFQ3569"/>
      <c r="QFR3569"/>
      <c r="QFS3569"/>
      <c r="QFT3569"/>
      <c r="QFU3569"/>
      <c r="QFV3569"/>
      <c r="QFW3569"/>
      <c r="QFX3569"/>
      <c r="QFY3569"/>
      <c r="QFZ3569"/>
      <c r="QGA3569"/>
      <c r="QGB3569"/>
      <c r="QGC3569"/>
      <c r="QGD3569"/>
      <c r="QGE3569"/>
      <c r="QGF3569"/>
      <c r="QGG3569"/>
      <c r="QGH3569"/>
      <c r="QGI3569"/>
      <c r="QGJ3569"/>
      <c r="QGK3569"/>
      <c r="QGL3569"/>
      <c r="QGM3569"/>
      <c r="QGN3569"/>
      <c r="QGO3569"/>
      <c r="QGP3569"/>
      <c r="QGQ3569"/>
      <c r="QGR3569"/>
      <c r="QGS3569"/>
      <c r="QGT3569"/>
      <c r="QGU3569"/>
      <c r="QGV3569"/>
      <c r="QGW3569"/>
      <c r="QGX3569"/>
      <c r="QGY3569"/>
      <c r="QGZ3569"/>
      <c r="QHA3569"/>
      <c r="QHB3569"/>
      <c r="QHC3569"/>
      <c r="QHD3569"/>
      <c r="QHE3569"/>
      <c r="QHF3569"/>
      <c r="QHG3569"/>
      <c r="QHH3569"/>
      <c r="QHI3569"/>
      <c r="QHJ3569"/>
      <c r="QHK3569"/>
      <c r="QHL3569"/>
      <c r="QHM3569"/>
      <c r="QHN3569"/>
      <c r="QHO3569"/>
      <c r="QHP3569"/>
      <c r="QHQ3569"/>
      <c r="QHR3569"/>
      <c r="QHS3569"/>
      <c r="QHT3569"/>
      <c r="QHU3569"/>
      <c r="QHV3569"/>
      <c r="QHW3569"/>
      <c r="QHX3569"/>
      <c r="QHY3569"/>
      <c r="QHZ3569"/>
      <c r="QIA3569"/>
      <c r="QIB3569"/>
      <c r="QIC3569"/>
      <c r="QID3569"/>
      <c r="QIE3569"/>
      <c r="QIF3569"/>
      <c r="QIG3569"/>
      <c r="QIH3569"/>
      <c r="QII3569"/>
      <c r="QIJ3569"/>
      <c r="QIK3569"/>
      <c r="QIL3569"/>
      <c r="QIM3569"/>
      <c r="QIN3569"/>
      <c r="QIO3569"/>
      <c r="QIP3569"/>
      <c r="QIQ3569"/>
      <c r="QIR3569"/>
      <c r="QIS3569"/>
      <c r="QIT3569"/>
      <c r="QIU3569"/>
      <c r="QIV3569"/>
      <c r="QIW3569"/>
      <c r="QIX3569"/>
      <c r="QIY3569"/>
      <c r="QIZ3569"/>
      <c r="QJA3569"/>
      <c r="QJB3569"/>
      <c r="QJC3569"/>
      <c r="QJD3569"/>
      <c r="QJE3569"/>
      <c r="QJF3569"/>
      <c r="QJG3569"/>
      <c r="QJH3569"/>
      <c r="QJI3569"/>
      <c r="QJJ3569"/>
      <c r="QJK3569"/>
      <c r="QJL3569"/>
      <c r="QJM3569"/>
      <c r="QJN3569"/>
      <c r="QJO3569"/>
      <c r="QJP3569"/>
      <c r="QJQ3569"/>
      <c r="QJR3569"/>
      <c r="QJS3569"/>
      <c r="QJT3569"/>
      <c r="QJU3569"/>
      <c r="QJV3569"/>
      <c r="QJW3569"/>
      <c r="QJX3569"/>
      <c r="QJY3569"/>
      <c r="QJZ3569"/>
      <c r="QKA3569"/>
      <c r="QKB3569"/>
      <c r="QKC3569"/>
      <c r="QKD3569"/>
      <c r="QKE3569"/>
      <c r="QKF3569"/>
      <c r="QKG3569"/>
      <c r="QKH3569"/>
      <c r="QKI3569"/>
      <c r="QKJ3569"/>
      <c r="QKK3569"/>
      <c r="QKL3569"/>
      <c r="QKM3569"/>
      <c r="QKN3569"/>
      <c r="QKO3569"/>
      <c r="QKP3569"/>
      <c r="QKQ3569"/>
      <c r="QKR3569"/>
      <c r="QKS3569"/>
      <c r="QKT3569"/>
      <c r="QKU3569"/>
      <c r="QKV3569"/>
      <c r="QKW3569"/>
      <c r="QKX3569"/>
      <c r="QKY3569"/>
      <c r="QKZ3569"/>
      <c r="QLA3569"/>
      <c r="QLB3569"/>
      <c r="QLC3569"/>
      <c r="QLD3569"/>
      <c r="QLE3569"/>
      <c r="QLF3569"/>
      <c r="QLG3569"/>
      <c r="QLH3569"/>
      <c r="QLI3569"/>
      <c r="QLJ3569"/>
      <c r="QLK3569"/>
      <c r="QLL3569"/>
      <c r="QLM3569"/>
      <c r="QLN3569"/>
      <c r="QLO3569"/>
      <c r="QLP3569"/>
      <c r="QLQ3569"/>
      <c r="QLR3569"/>
      <c r="QLS3569"/>
      <c r="QLT3569"/>
      <c r="QLU3569"/>
      <c r="QLV3569"/>
      <c r="QLW3569"/>
      <c r="QLX3569"/>
      <c r="QLY3569"/>
      <c r="QLZ3569"/>
      <c r="QMA3569"/>
      <c r="QMB3569"/>
      <c r="QMC3569"/>
      <c r="QMD3569"/>
      <c r="QME3569"/>
      <c r="QMF3569"/>
      <c r="QMG3569"/>
      <c r="QMH3569"/>
      <c r="QMI3569"/>
      <c r="QMJ3569"/>
      <c r="QMK3569"/>
      <c r="QML3569"/>
      <c r="QMM3569"/>
      <c r="QMN3569"/>
      <c r="QMO3569"/>
      <c r="QMP3569"/>
      <c r="QMQ3569"/>
      <c r="QMR3569"/>
      <c r="QMS3569"/>
      <c r="QMT3569"/>
      <c r="QMU3569"/>
      <c r="QMV3569"/>
      <c r="QMW3569"/>
      <c r="QMX3569"/>
      <c r="QMY3569"/>
      <c r="QMZ3569"/>
      <c r="QNA3569"/>
      <c r="QNB3569"/>
      <c r="QNC3569"/>
      <c r="QND3569"/>
      <c r="QNE3569"/>
      <c r="QNF3569"/>
      <c r="QNG3569"/>
      <c r="QNH3569"/>
      <c r="QNI3569"/>
      <c r="QNJ3569"/>
      <c r="QNK3569"/>
      <c r="QNL3569"/>
      <c r="QNM3569"/>
      <c r="QNN3569"/>
      <c r="QNO3569"/>
      <c r="QNP3569"/>
      <c r="QNQ3569"/>
      <c r="QNR3569"/>
      <c r="QNS3569"/>
      <c r="QNT3569"/>
      <c r="QNU3569"/>
      <c r="QNV3569"/>
      <c r="QNW3569"/>
      <c r="QNX3569"/>
      <c r="QNY3569"/>
      <c r="QNZ3569"/>
      <c r="QOA3569"/>
      <c r="QOB3569"/>
      <c r="QOC3569"/>
      <c r="QOD3569"/>
      <c r="QOE3569"/>
      <c r="QOF3569"/>
      <c r="QOG3569"/>
      <c r="QOH3569"/>
      <c r="QOI3569"/>
      <c r="QOJ3569"/>
      <c r="QOK3569"/>
      <c r="QOL3569"/>
      <c r="QOM3569"/>
      <c r="QON3569"/>
      <c r="QOO3569"/>
      <c r="QOP3569"/>
      <c r="QOQ3569"/>
      <c r="QOR3569"/>
      <c r="QOS3569"/>
      <c r="QOT3569"/>
      <c r="QOU3569"/>
      <c r="QOV3569"/>
      <c r="QOW3569"/>
      <c r="QOX3569"/>
      <c r="QOY3569"/>
      <c r="QOZ3569"/>
      <c r="QPA3569"/>
      <c r="QPB3569"/>
      <c r="QPC3569"/>
      <c r="QPD3569"/>
      <c r="QPE3569"/>
      <c r="QPF3569"/>
      <c r="QPG3569"/>
      <c r="QPH3569"/>
      <c r="QPI3569"/>
      <c r="QPJ3569"/>
      <c r="QPK3569"/>
      <c r="QPL3569"/>
      <c r="QPM3569"/>
      <c r="QPN3569"/>
      <c r="QPO3569"/>
      <c r="QPP3569"/>
      <c r="QPQ3569"/>
      <c r="QPR3569"/>
      <c r="QPS3569"/>
      <c r="QPT3569"/>
      <c r="QPU3569"/>
      <c r="QPV3569"/>
      <c r="QPW3569"/>
      <c r="QPX3569"/>
      <c r="QPY3569"/>
      <c r="QPZ3569"/>
      <c r="QQA3569"/>
      <c r="QQB3569"/>
      <c r="QQC3569"/>
      <c r="QQD3569"/>
      <c r="QQE3569"/>
      <c r="QQF3569"/>
      <c r="QQG3569"/>
      <c r="QQH3569"/>
      <c r="QQI3569"/>
      <c r="QQJ3569"/>
      <c r="QQK3569"/>
      <c r="QQL3569"/>
      <c r="QQM3569"/>
      <c r="QQN3569"/>
      <c r="QQO3569"/>
      <c r="QQP3569"/>
      <c r="QQQ3569"/>
      <c r="QQR3569"/>
      <c r="QQS3569"/>
      <c r="QQT3569"/>
      <c r="QQU3569"/>
      <c r="QQV3569"/>
      <c r="QQW3569"/>
      <c r="QQX3569"/>
      <c r="QQY3569"/>
      <c r="QQZ3569"/>
      <c r="QRA3569"/>
      <c r="QRB3569"/>
      <c r="QRC3569"/>
      <c r="QRD3569"/>
      <c r="QRE3569"/>
      <c r="QRF3569"/>
      <c r="QRG3569"/>
      <c r="QRH3569"/>
      <c r="QRI3569"/>
      <c r="QRJ3569"/>
      <c r="QRK3569"/>
      <c r="QRL3569"/>
      <c r="QRM3569"/>
      <c r="QRN3569"/>
      <c r="QRO3569"/>
      <c r="QRP3569"/>
      <c r="QRQ3569"/>
      <c r="QRR3569"/>
      <c r="QRS3569"/>
      <c r="QRT3569"/>
      <c r="QRU3569"/>
      <c r="QRV3569"/>
      <c r="QRW3569"/>
      <c r="QRX3569"/>
      <c r="QRY3569"/>
      <c r="QRZ3569"/>
      <c r="QSA3569"/>
      <c r="QSB3569"/>
      <c r="QSC3569"/>
      <c r="QSD3569"/>
      <c r="QSE3569"/>
      <c r="QSF3569"/>
      <c r="QSG3569"/>
      <c r="QSH3569"/>
      <c r="QSI3569"/>
      <c r="QSJ3569"/>
      <c r="QSK3569"/>
      <c r="QSL3569"/>
      <c r="QSM3569"/>
      <c r="QSN3569"/>
      <c r="QSO3569"/>
      <c r="QSP3569"/>
      <c r="QSQ3569"/>
      <c r="QSR3569"/>
      <c r="QSS3569"/>
      <c r="QST3569"/>
      <c r="QSU3569"/>
      <c r="QSV3569"/>
      <c r="QSW3569"/>
      <c r="QSX3569"/>
      <c r="QSY3569"/>
      <c r="QSZ3569"/>
      <c r="QTA3569"/>
      <c r="QTB3569"/>
      <c r="QTC3569"/>
      <c r="QTD3569"/>
      <c r="QTE3569"/>
      <c r="QTF3569"/>
      <c r="QTG3569"/>
      <c r="QTH3569"/>
      <c r="QTI3569"/>
      <c r="QTJ3569"/>
      <c r="QTK3569"/>
      <c r="QTL3569"/>
      <c r="QTM3569"/>
      <c r="QTN3569"/>
      <c r="QTO3569"/>
      <c r="QTP3569"/>
      <c r="QTQ3569"/>
      <c r="QTR3569"/>
      <c r="QTS3569"/>
      <c r="QTT3569"/>
      <c r="QTU3569"/>
      <c r="QTV3569"/>
      <c r="QTW3569"/>
      <c r="QTX3569"/>
      <c r="QTY3569"/>
      <c r="QTZ3569"/>
      <c r="QUA3569"/>
      <c r="QUB3569"/>
      <c r="QUC3569"/>
      <c r="QUD3569"/>
      <c r="QUE3569"/>
      <c r="QUF3569"/>
      <c r="QUG3569"/>
      <c r="QUH3569"/>
      <c r="QUI3569"/>
      <c r="QUJ3569"/>
      <c r="QUK3569"/>
      <c r="QUL3569"/>
      <c r="QUM3569"/>
      <c r="QUN3569"/>
      <c r="QUO3569"/>
      <c r="QUP3569"/>
      <c r="QUQ3569"/>
      <c r="QUR3569"/>
      <c r="QUS3569"/>
      <c r="QUT3569"/>
      <c r="QUU3569"/>
      <c r="QUV3569"/>
      <c r="QUW3569"/>
      <c r="QUX3569"/>
      <c r="QUY3569"/>
      <c r="QUZ3569"/>
      <c r="QVA3569"/>
      <c r="QVB3569"/>
      <c r="QVC3569"/>
      <c r="QVD3569"/>
      <c r="QVE3569"/>
      <c r="QVF3569"/>
      <c r="QVG3569"/>
      <c r="QVH3569"/>
      <c r="QVI3569"/>
      <c r="QVJ3569"/>
      <c r="QVK3569"/>
      <c r="QVL3569"/>
      <c r="QVM3569"/>
      <c r="QVN3569"/>
      <c r="QVO3569"/>
      <c r="QVP3569"/>
      <c r="QVQ3569"/>
      <c r="QVR3569"/>
      <c r="QVS3569"/>
      <c r="QVT3569"/>
      <c r="QVU3569"/>
      <c r="QVV3569"/>
      <c r="QVW3569"/>
      <c r="QVX3569"/>
      <c r="QVY3569"/>
      <c r="QVZ3569"/>
      <c r="QWA3569"/>
      <c r="QWB3569"/>
      <c r="QWC3569"/>
      <c r="QWD3569"/>
      <c r="QWE3569"/>
      <c r="QWF3569"/>
      <c r="QWG3569"/>
      <c r="QWH3569"/>
      <c r="QWI3569"/>
      <c r="QWJ3569"/>
      <c r="QWK3569"/>
      <c r="QWL3569"/>
      <c r="QWM3569"/>
      <c r="QWN3569"/>
      <c r="QWO3569"/>
      <c r="QWP3569"/>
      <c r="QWQ3569"/>
      <c r="QWR3569"/>
      <c r="QWS3569"/>
      <c r="QWT3569"/>
      <c r="QWU3569"/>
      <c r="QWV3569"/>
      <c r="QWW3569"/>
      <c r="QWX3569"/>
      <c r="QWY3569"/>
      <c r="QWZ3569"/>
      <c r="QXA3569"/>
      <c r="QXB3569"/>
      <c r="QXC3569"/>
      <c r="QXD3569"/>
      <c r="QXE3569"/>
      <c r="QXF3569"/>
      <c r="QXG3569"/>
      <c r="QXH3569"/>
      <c r="QXI3569"/>
      <c r="QXJ3569"/>
      <c r="QXK3569"/>
      <c r="QXL3569"/>
      <c r="QXM3569"/>
      <c r="QXN3569"/>
      <c r="QXO3569"/>
      <c r="QXP3569"/>
      <c r="QXQ3569"/>
      <c r="QXR3569"/>
      <c r="QXS3569"/>
      <c r="QXT3569"/>
      <c r="QXU3569"/>
      <c r="QXV3569"/>
      <c r="QXW3569"/>
      <c r="QXX3569"/>
      <c r="QXY3569"/>
      <c r="QXZ3569"/>
      <c r="QYA3569"/>
      <c r="QYB3569"/>
      <c r="QYC3569"/>
      <c r="QYD3569"/>
      <c r="QYE3569"/>
      <c r="QYF3569"/>
      <c r="QYG3569"/>
      <c r="QYH3569"/>
      <c r="QYI3569"/>
      <c r="QYJ3569"/>
      <c r="QYK3569"/>
      <c r="QYL3569"/>
      <c r="QYM3569"/>
      <c r="QYN3569"/>
      <c r="QYO3569"/>
      <c r="QYP3569"/>
      <c r="QYQ3569"/>
      <c r="QYR3569"/>
      <c r="QYS3569"/>
      <c r="QYT3569"/>
      <c r="QYU3569"/>
      <c r="QYV3569"/>
      <c r="QYW3569"/>
      <c r="QYX3569"/>
      <c r="QYY3569"/>
      <c r="QYZ3569"/>
      <c r="QZA3569"/>
      <c r="QZB3569"/>
      <c r="QZC3569"/>
      <c r="QZD3569"/>
      <c r="QZE3569"/>
      <c r="QZF3569"/>
      <c r="QZG3569"/>
      <c r="QZH3569"/>
      <c r="QZI3569"/>
      <c r="QZJ3569"/>
      <c r="QZK3569"/>
      <c r="QZL3569"/>
      <c r="QZM3569"/>
      <c r="QZN3569"/>
      <c r="QZO3569"/>
      <c r="QZP3569"/>
      <c r="QZQ3569"/>
      <c r="QZR3569"/>
      <c r="QZS3569"/>
      <c r="QZT3569"/>
      <c r="QZU3569"/>
      <c r="QZV3569"/>
      <c r="QZW3569"/>
      <c r="QZX3569"/>
      <c r="QZY3569"/>
      <c r="QZZ3569"/>
      <c r="RAA3569"/>
      <c r="RAB3569"/>
      <c r="RAC3569"/>
      <c r="RAD3569"/>
      <c r="RAE3569"/>
      <c r="RAF3569"/>
      <c r="RAG3569"/>
      <c r="RAH3569"/>
      <c r="RAI3569"/>
      <c r="RAJ3569"/>
      <c r="RAK3569"/>
      <c r="RAL3569"/>
      <c r="RAM3569"/>
      <c r="RAN3569"/>
      <c r="RAO3569"/>
      <c r="RAP3569"/>
      <c r="RAQ3569"/>
      <c r="RAR3569"/>
      <c r="RAS3569"/>
      <c r="RAT3569"/>
      <c r="RAU3569"/>
      <c r="RAV3569"/>
      <c r="RAW3569"/>
      <c r="RAX3569"/>
      <c r="RAY3569"/>
      <c r="RAZ3569"/>
      <c r="RBA3569"/>
      <c r="RBB3569"/>
      <c r="RBC3569"/>
      <c r="RBD3569"/>
      <c r="RBE3569"/>
      <c r="RBF3569"/>
      <c r="RBG3569"/>
      <c r="RBH3569"/>
      <c r="RBI3569"/>
      <c r="RBJ3569"/>
      <c r="RBK3569"/>
      <c r="RBL3569"/>
      <c r="RBM3569"/>
      <c r="RBN3569"/>
      <c r="RBO3569"/>
      <c r="RBP3569"/>
      <c r="RBQ3569"/>
      <c r="RBR3569"/>
      <c r="RBS3569"/>
      <c r="RBT3569"/>
      <c r="RBU3569"/>
      <c r="RBV3569"/>
      <c r="RBW3569"/>
      <c r="RBX3569"/>
      <c r="RBY3569"/>
      <c r="RBZ3569"/>
      <c r="RCA3569"/>
      <c r="RCB3569"/>
      <c r="RCC3569"/>
      <c r="RCD3569"/>
      <c r="RCE3569"/>
      <c r="RCF3569"/>
      <c r="RCG3569"/>
      <c r="RCH3569"/>
      <c r="RCI3569"/>
      <c r="RCJ3569"/>
      <c r="RCK3569"/>
      <c r="RCL3569"/>
      <c r="RCM3569"/>
      <c r="RCN3569"/>
      <c r="RCO3569"/>
      <c r="RCP3569"/>
      <c r="RCQ3569"/>
      <c r="RCR3569"/>
      <c r="RCS3569"/>
      <c r="RCT3569"/>
      <c r="RCU3569"/>
      <c r="RCV3569"/>
      <c r="RCW3569"/>
      <c r="RCX3569"/>
      <c r="RCY3569"/>
      <c r="RCZ3569"/>
      <c r="RDA3569"/>
      <c r="RDB3569"/>
      <c r="RDC3569"/>
      <c r="RDD3569"/>
      <c r="RDE3569"/>
      <c r="RDF3569"/>
      <c r="RDG3569"/>
      <c r="RDH3569"/>
      <c r="RDI3569"/>
      <c r="RDJ3569"/>
      <c r="RDK3569"/>
      <c r="RDL3569"/>
      <c r="RDM3569"/>
      <c r="RDN3569"/>
      <c r="RDO3569"/>
      <c r="RDP3569"/>
      <c r="RDQ3569"/>
      <c r="RDR3569"/>
      <c r="RDS3569"/>
      <c r="RDT3569"/>
      <c r="RDU3569"/>
      <c r="RDV3569"/>
      <c r="RDW3569"/>
      <c r="RDX3569"/>
      <c r="RDY3569"/>
      <c r="RDZ3569"/>
      <c r="REA3569"/>
      <c r="REB3569"/>
      <c r="REC3569"/>
      <c r="RED3569"/>
      <c r="REE3569"/>
      <c r="REF3569"/>
      <c r="REG3569"/>
      <c r="REH3569"/>
      <c r="REI3569"/>
      <c r="REJ3569"/>
      <c r="REK3569"/>
      <c r="REL3569"/>
      <c r="REM3569"/>
      <c r="REN3569"/>
      <c r="REO3569"/>
      <c r="REP3569"/>
      <c r="REQ3569"/>
      <c r="RER3569"/>
      <c r="RES3569"/>
      <c r="RET3569"/>
      <c r="REU3569"/>
      <c r="REV3569"/>
      <c r="REW3569"/>
      <c r="REX3569"/>
      <c r="REY3569"/>
      <c r="REZ3569"/>
      <c r="RFA3569"/>
      <c r="RFB3569"/>
      <c r="RFC3569"/>
      <c r="RFD3569"/>
      <c r="RFE3569"/>
      <c r="RFF3569"/>
      <c r="RFG3569"/>
      <c r="RFH3569"/>
      <c r="RFI3569"/>
      <c r="RFJ3569"/>
      <c r="RFK3569"/>
      <c r="RFL3569"/>
      <c r="RFM3569"/>
      <c r="RFN3569"/>
      <c r="RFO3569"/>
      <c r="RFP3569"/>
      <c r="RFQ3569"/>
      <c r="RFR3569"/>
      <c r="RFS3569"/>
      <c r="RFT3569"/>
      <c r="RFU3569"/>
      <c r="RFV3569"/>
      <c r="RFW3569"/>
      <c r="RFX3569"/>
      <c r="RFY3569"/>
      <c r="RFZ3569"/>
      <c r="RGA3569"/>
      <c r="RGB3569"/>
      <c r="RGC3569"/>
      <c r="RGD3569"/>
      <c r="RGE3569"/>
      <c r="RGF3569"/>
      <c r="RGG3569"/>
      <c r="RGH3569"/>
      <c r="RGI3569"/>
      <c r="RGJ3569"/>
      <c r="RGK3569"/>
      <c r="RGL3569"/>
      <c r="RGM3569"/>
      <c r="RGN3569"/>
      <c r="RGO3569"/>
      <c r="RGP3569"/>
      <c r="RGQ3569"/>
      <c r="RGR3569"/>
      <c r="RGS3569"/>
      <c r="RGT3569"/>
      <c r="RGU3569"/>
      <c r="RGV3569"/>
      <c r="RGW3569"/>
      <c r="RGX3569"/>
      <c r="RGY3569"/>
      <c r="RGZ3569"/>
      <c r="RHA3569"/>
      <c r="RHB3569"/>
      <c r="RHC3569"/>
      <c r="RHD3569"/>
      <c r="RHE3569"/>
      <c r="RHF3569"/>
      <c r="RHG3569"/>
      <c r="RHH3569"/>
      <c r="RHI3569"/>
      <c r="RHJ3569"/>
      <c r="RHK3569"/>
      <c r="RHL3569"/>
      <c r="RHM3569"/>
      <c r="RHN3569"/>
      <c r="RHO3569"/>
      <c r="RHP3569"/>
      <c r="RHQ3569"/>
      <c r="RHR3569"/>
      <c r="RHS3569"/>
      <c r="RHT3569"/>
      <c r="RHU3569"/>
      <c r="RHV3569"/>
      <c r="RHW3569"/>
      <c r="RHX3569"/>
      <c r="RHY3569"/>
      <c r="RHZ3569"/>
      <c r="RIA3569"/>
      <c r="RIB3569"/>
      <c r="RIC3569"/>
      <c r="RID3569"/>
      <c r="RIE3569"/>
      <c r="RIF3569"/>
      <c r="RIG3569"/>
      <c r="RIH3569"/>
      <c r="RII3569"/>
      <c r="RIJ3569"/>
      <c r="RIK3569"/>
      <c r="RIL3569"/>
      <c r="RIM3569"/>
      <c r="RIN3569"/>
      <c r="RIO3569"/>
      <c r="RIP3569"/>
      <c r="RIQ3569"/>
      <c r="RIR3569"/>
      <c r="RIS3569"/>
      <c r="RIT3569"/>
      <c r="RIU3569"/>
      <c r="RIV3569"/>
      <c r="RIW3569"/>
      <c r="RIX3569"/>
      <c r="RIY3569"/>
      <c r="RIZ3569"/>
      <c r="RJA3569"/>
      <c r="RJB3569"/>
      <c r="RJC3569"/>
      <c r="RJD3569"/>
      <c r="RJE3569"/>
      <c r="RJF3569"/>
      <c r="RJG3569"/>
      <c r="RJH3569"/>
      <c r="RJI3569"/>
      <c r="RJJ3569"/>
      <c r="RJK3569"/>
      <c r="RJL3569"/>
      <c r="RJM3569"/>
      <c r="RJN3569"/>
      <c r="RJO3569"/>
      <c r="RJP3569"/>
      <c r="RJQ3569"/>
      <c r="RJR3569"/>
      <c r="RJS3569"/>
      <c r="RJT3569"/>
      <c r="RJU3569"/>
      <c r="RJV3569"/>
      <c r="RJW3569"/>
      <c r="RJX3569"/>
      <c r="RJY3569"/>
      <c r="RJZ3569"/>
      <c r="RKA3569"/>
      <c r="RKB3569"/>
      <c r="RKC3569"/>
      <c r="RKD3569"/>
      <c r="RKE3569"/>
      <c r="RKF3569"/>
      <c r="RKG3569"/>
      <c r="RKH3569"/>
      <c r="RKI3569"/>
      <c r="RKJ3569"/>
      <c r="RKK3569"/>
      <c r="RKL3569"/>
      <c r="RKM3569"/>
      <c r="RKN3569"/>
      <c r="RKO3569"/>
      <c r="RKP3569"/>
      <c r="RKQ3569"/>
      <c r="RKR3569"/>
      <c r="RKS3569"/>
      <c r="RKT3569"/>
      <c r="RKU3569"/>
      <c r="RKV3569"/>
      <c r="RKW3569"/>
      <c r="RKX3569"/>
      <c r="RKY3569"/>
      <c r="RKZ3569"/>
      <c r="RLA3569"/>
      <c r="RLB3569"/>
      <c r="RLC3569"/>
      <c r="RLD3569"/>
      <c r="RLE3569"/>
      <c r="RLF3569"/>
      <c r="RLG3569"/>
      <c r="RLH3569"/>
      <c r="RLI3569"/>
      <c r="RLJ3569"/>
      <c r="RLK3569"/>
      <c r="RLL3569"/>
      <c r="RLM3569"/>
      <c r="RLN3569"/>
      <c r="RLO3569"/>
      <c r="RLP3569"/>
      <c r="RLQ3569"/>
      <c r="RLR3569"/>
      <c r="RLS3569"/>
      <c r="RLT3569"/>
      <c r="RLU3569"/>
      <c r="RLV3569"/>
      <c r="RLW3569"/>
      <c r="RLX3569"/>
      <c r="RLY3569"/>
      <c r="RLZ3569"/>
      <c r="RMA3569"/>
      <c r="RMB3569"/>
      <c r="RMC3569"/>
      <c r="RMD3569"/>
      <c r="RME3569"/>
      <c r="RMF3569"/>
      <c r="RMG3569"/>
      <c r="RMH3569"/>
      <c r="RMI3569"/>
      <c r="RMJ3569"/>
      <c r="RMK3569"/>
      <c r="RML3569"/>
      <c r="RMM3569"/>
      <c r="RMN3569"/>
      <c r="RMO3569"/>
      <c r="RMP3569"/>
      <c r="RMQ3569"/>
      <c r="RMR3569"/>
      <c r="RMS3569"/>
      <c r="RMT3569"/>
      <c r="RMU3569"/>
      <c r="RMV3569"/>
      <c r="RMW3569"/>
      <c r="RMX3569"/>
      <c r="RMY3569"/>
      <c r="RMZ3569"/>
      <c r="RNA3569"/>
      <c r="RNB3569"/>
      <c r="RNC3569"/>
      <c r="RND3569"/>
      <c r="RNE3569"/>
      <c r="RNF3569"/>
      <c r="RNG3569"/>
      <c r="RNH3569"/>
      <c r="RNI3569"/>
      <c r="RNJ3569"/>
      <c r="RNK3569"/>
      <c r="RNL3569"/>
      <c r="RNM3569"/>
      <c r="RNN3569"/>
      <c r="RNO3569"/>
      <c r="RNP3569"/>
      <c r="RNQ3569"/>
      <c r="RNR3569"/>
      <c r="RNS3569"/>
      <c r="RNT3569"/>
      <c r="RNU3569"/>
      <c r="RNV3569"/>
      <c r="RNW3569"/>
      <c r="RNX3569"/>
      <c r="RNY3569"/>
      <c r="RNZ3569"/>
      <c r="ROA3569"/>
      <c r="ROB3569"/>
      <c r="ROC3569"/>
      <c r="ROD3569"/>
      <c r="ROE3569"/>
      <c r="ROF3569"/>
      <c r="ROG3569"/>
      <c r="ROH3569"/>
      <c r="ROI3569"/>
      <c r="ROJ3569"/>
      <c r="ROK3569"/>
      <c r="ROL3569"/>
      <c r="ROM3569"/>
      <c r="RON3569"/>
      <c r="ROO3569"/>
      <c r="ROP3569"/>
      <c r="ROQ3569"/>
      <c r="ROR3569"/>
      <c r="ROS3569"/>
      <c r="ROT3569"/>
      <c r="ROU3569"/>
      <c r="ROV3569"/>
      <c r="ROW3569"/>
      <c r="ROX3569"/>
      <c r="ROY3569"/>
      <c r="ROZ3569"/>
      <c r="RPA3569"/>
      <c r="RPB3569"/>
      <c r="RPC3569"/>
      <c r="RPD3569"/>
      <c r="RPE3569"/>
      <c r="RPF3569"/>
      <c r="RPG3569"/>
      <c r="RPH3569"/>
      <c r="RPI3569"/>
      <c r="RPJ3569"/>
      <c r="RPK3569"/>
      <c r="RPL3569"/>
      <c r="RPM3569"/>
      <c r="RPN3569"/>
      <c r="RPO3569"/>
      <c r="RPP3569"/>
      <c r="RPQ3569"/>
      <c r="RPR3569"/>
      <c r="RPS3569"/>
      <c r="RPT3569"/>
      <c r="RPU3569"/>
      <c r="RPV3569"/>
      <c r="RPW3569"/>
      <c r="RPX3569"/>
      <c r="RPY3569"/>
      <c r="RPZ3569"/>
      <c r="RQA3569"/>
      <c r="RQB3569"/>
      <c r="RQC3569"/>
      <c r="RQD3569"/>
      <c r="RQE3569"/>
      <c r="RQF3569"/>
      <c r="RQG3569"/>
      <c r="RQH3569"/>
      <c r="RQI3569"/>
      <c r="RQJ3569"/>
      <c r="RQK3569"/>
      <c r="RQL3569"/>
      <c r="RQM3569"/>
      <c r="RQN3569"/>
      <c r="RQO3569"/>
      <c r="RQP3569"/>
      <c r="RQQ3569"/>
      <c r="RQR3569"/>
      <c r="RQS3569"/>
      <c r="RQT3569"/>
      <c r="RQU3569"/>
      <c r="RQV3569"/>
      <c r="RQW3569"/>
      <c r="RQX3569"/>
      <c r="RQY3569"/>
      <c r="RQZ3569"/>
      <c r="RRA3569"/>
      <c r="RRB3569"/>
      <c r="RRC3569"/>
      <c r="RRD3569"/>
      <c r="RRE3569"/>
      <c r="RRF3569"/>
      <c r="RRG3569"/>
      <c r="RRH3569"/>
      <c r="RRI3569"/>
      <c r="RRJ3569"/>
      <c r="RRK3569"/>
      <c r="RRL3569"/>
      <c r="RRM3569"/>
      <c r="RRN3569"/>
      <c r="RRO3569"/>
      <c r="RRP3569"/>
      <c r="RRQ3569"/>
      <c r="RRR3569"/>
      <c r="RRS3569"/>
      <c r="RRT3569"/>
      <c r="RRU3569"/>
      <c r="RRV3569"/>
      <c r="RRW3569"/>
      <c r="RRX3569"/>
      <c r="RRY3569"/>
      <c r="RRZ3569"/>
      <c r="RSA3569"/>
      <c r="RSB3569"/>
      <c r="RSC3569"/>
      <c r="RSD3569"/>
      <c r="RSE3569"/>
      <c r="RSF3569"/>
      <c r="RSG3569"/>
      <c r="RSH3569"/>
      <c r="RSI3569"/>
      <c r="RSJ3569"/>
      <c r="RSK3569"/>
      <c r="RSL3569"/>
      <c r="RSM3569"/>
      <c r="RSN3569"/>
      <c r="RSO3569"/>
      <c r="RSP3569"/>
      <c r="RSQ3569"/>
      <c r="RSR3569"/>
      <c r="RSS3569"/>
      <c r="RST3569"/>
      <c r="RSU3569"/>
      <c r="RSV3569"/>
      <c r="RSW3569"/>
      <c r="RSX3569"/>
      <c r="RSY3569"/>
      <c r="RSZ3569"/>
      <c r="RTA3569"/>
      <c r="RTB3569"/>
      <c r="RTC3569"/>
      <c r="RTD3569"/>
      <c r="RTE3569"/>
      <c r="RTF3569"/>
      <c r="RTG3569"/>
      <c r="RTH3569"/>
      <c r="RTI3569"/>
      <c r="RTJ3569"/>
      <c r="RTK3569"/>
      <c r="RTL3569"/>
      <c r="RTM3569"/>
      <c r="RTN3569"/>
      <c r="RTO3569"/>
      <c r="RTP3569"/>
      <c r="RTQ3569"/>
      <c r="RTR3569"/>
      <c r="RTS3569"/>
      <c r="RTT3569"/>
      <c r="RTU3569"/>
      <c r="RTV3569"/>
      <c r="RTW3569"/>
      <c r="RTX3569"/>
      <c r="RTY3569"/>
      <c r="RTZ3569"/>
      <c r="RUA3569"/>
      <c r="RUB3569"/>
      <c r="RUC3569"/>
      <c r="RUD3569"/>
      <c r="RUE3569"/>
      <c r="RUF3569"/>
      <c r="RUG3569"/>
      <c r="RUH3569"/>
      <c r="RUI3569"/>
      <c r="RUJ3569"/>
      <c r="RUK3569"/>
      <c r="RUL3569"/>
      <c r="RUM3569"/>
      <c r="RUN3569"/>
      <c r="RUO3569"/>
      <c r="RUP3569"/>
      <c r="RUQ3569"/>
      <c r="RUR3569"/>
      <c r="RUS3569"/>
      <c r="RUT3569"/>
      <c r="RUU3569"/>
      <c r="RUV3569"/>
      <c r="RUW3569"/>
      <c r="RUX3569"/>
      <c r="RUY3569"/>
      <c r="RUZ3569"/>
      <c r="RVA3569"/>
      <c r="RVB3569"/>
      <c r="RVC3569"/>
      <c r="RVD3569"/>
      <c r="RVE3569"/>
      <c r="RVF3569"/>
      <c r="RVG3569"/>
      <c r="RVH3569"/>
      <c r="RVI3569"/>
      <c r="RVJ3569"/>
      <c r="RVK3569"/>
      <c r="RVL3569"/>
      <c r="RVM3569"/>
      <c r="RVN3569"/>
      <c r="RVO3569"/>
      <c r="RVP3569"/>
      <c r="RVQ3569"/>
      <c r="RVR3569"/>
      <c r="RVS3569"/>
      <c r="RVT3569"/>
      <c r="RVU3569"/>
      <c r="RVV3569"/>
      <c r="RVW3569"/>
      <c r="RVX3569"/>
      <c r="RVY3569"/>
      <c r="RVZ3569"/>
      <c r="RWA3569"/>
      <c r="RWB3569"/>
      <c r="RWC3569"/>
      <c r="RWD3569"/>
      <c r="RWE3569"/>
      <c r="RWF3569"/>
      <c r="RWG3569"/>
      <c r="RWH3569"/>
      <c r="RWI3569"/>
      <c r="RWJ3569"/>
      <c r="RWK3569"/>
      <c r="RWL3569"/>
      <c r="RWM3569"/>
      <c r="RWN3569"/>
      <c r="RWO3569"/>
      <c r="RWP3569"/>
      <c r="RWQ3569"/>
      <c r="RWR3569"/>
      <c r="RWS3569"/>
      <c r="RWT3569"/>
      <c r="RWU3569"/>
      <c r="RWV3569"/>
      <c r="RWW3569"/>
      <c r="RWX3569"/>
      <c r="RWY3569"/>
      <c r="RWZ3569"/>
      <c r="RXA3569"/>
      <c r="RXB3569"/>
      <c r="RXC3569"/>
      <c r="RXD3569"/>
      <c r="RXE3569"/>
      <c r="RXF3569"/>
      <c r="RXG3569"/>
      <c r="RXH3569"/>
      <c r="RXI3569"/>
      <c r="RXJ3569"/>
      <c r="RXK3569"/>
      <c r="RXL3569"/>
      <c r="RXM3569"/>
      <c r="RXN3569"/>
      <c r="RXO3569"/>
      <c r="RXP3569"/>
      <c r="RXQ3569"/>
      <c r="RXR3569"/>
      <c r="RXS3569"/>
      <c r="RXT3569"/>
      <c r="RXU3569"/>
      <c r="RXV3569"/>
      <c r="RXW3569"/>
      <c r="RXX3569"/>
      <c r="RXY3569"/>
      <c r="RXZ3569"/>
      <c r="RYA3569"/>
      <c r="RYB3569"/>
      <c r="RYC3569"/>
      <c r="RYD3569"/>
      <c r="RYE3569"/>
      <c r="RYF3569"/>
      <c r="RYG3569"/>
      <c r="RYH3569"/>
      <c r="RYI3569"/>
      <c r="RYJ3569"/>
      <c r="RYK3569"/>
      <c r="RYL3569"/>
      <c r="RYM3569"/>
      <c r="RYN3569"/>
      <c r="RYO3569"/>
      <c r="RYP3569"/>
      <c r="RYQ3569"/>
      <c r="RYR3569"/>
      <c r="RYS3569"/>
      <c r="RYT3569"/>
      <c r="RYU3569"/>
      <c r="RYV3569"/>
      <c r="RYW3569"/>
      <c r="RYX3569"/>
      <c r="RYY3569"/>
      <c r="RYZ3569"/>
      <c r="RZA3569"/>
      <c r="RZB3569"/>
      <c r="RZC3569"/>
      <c r="RZD3569"/>
      <c r="RZE3569"/>
      <c r="RZF3569"/>
      <c r="RZG3569"/>
      <c r="RZH3569"/>
      <c r="RZI3569"/>
      <c r="RZJ3569"/>
      <c r="RZK3569"/>
      <c r="RZL3569"/>
      <c r="RZM3569"/>
      <c r="RZN3569"/>
      <c r="RZO3569"/>
      <c r="RZP3569"/>
      <c r="RZQ3569"/>
      <c r="RZR3569"/>
      <c r="RZS3569"/>
      <c r="RZT3569"/>
      <c r="RZU3569"/>
      <c r="RZV3569"/>
      <c r="RZW3569"/>
      <c r="RZX3569"/>
      <c r="RZY3569"/>
      <c r="RZZ3569"/>
      <c r="SAA3569"/>
      <c r="SAB3569"/>
      <c r="SAC3569"/>
      <c r="SAD3569"/>
      <c r="SAE3569"/>
      <c r="SAF3569"/>
      <c r="SAG3569"/>
      <c r="SAH3569"/>
      <c r="SAI3569"/>
      <c r="SAJ3569"/>
      <c r="SAK3569"/>
      <c r="SAL3569"/>
      <c r="SAM3569"/>
      <c r="SAN3569"/>
      <c r="SAO3569"/>
      <c r="SAP3569"/>
      <c r="SAQ3569"/>
      <c r="SAR3569"/>
      <c r="SAS3569"/>
      <c r="SAT3569"/>
      <c r="SAU3569"/>
      <c r="SAV3569"/>
      <c r="SAW3569"/>
      <c r="SAX3569"/>
      <c r="SAY3569"/>
      <c r="SAZ3569"/>
      <c r="SBA3569"/>
      <c r="SBB3569"/>
      <c r="SBC3569"/>
      <c r="SBD3569"/>
      <c r="SBE3569"/>
      <c r="SBF3569"/>
      <c r="SBG3569"/>
      <c r="SBH3569"/>
      <c r="SBI3569"/>
      <c r="SBJ3569"/>
      <c r="SBK3569"/>
      <c r="SBL3569"/>
      <c r="SBM3569"/>
      <c r="SBN3569"/>
      <c r="SBO3569"/>
      <c r="SBP3569"/>
      <c r="SBQ3569"/>
      <c r="SBR3569"/>
      <c r="SBS3569"/>
      <c r="SBT3569"/>
      <c r="SBU3569"/>
      <c r="SBV3569"/>
      <c r="SBW3569"/>
      <c r="SBX3569"/>
      <c r="SBY3569"/>
      <c r="SBZ3569"/>
      <c r="SCA3569"/>
      <c r="SCB3569"/>
      <c r="SCC3569"/>
      <c r="SCD3569"/>
      <c r="SCE3569"/>
      <c r="SCF3569"/>
      <c r="SCG3569"/>
      <c r="SCH3569"/>
      <c r="SCI3569"/>
      <c r="SCJ3569"/>
      <c r="SCK3569"/>
      <c r="SCL3569"/>
      <c r="SCM3569"/>
      <c r="SCN3569"/>
      <c r="SCO3569"/>
      <c r="SCP3569"/>
      <c r="SCQ3569"/>
      <c r="SCR3569"/>
      <c r="SCS3569"/>
      <c r="SCT3569"/>
      <c r="SCU3569"/>
      <c r="SCV3569"/>
      <c r="SCW3569"/>
      <c r="SCX3569"/>
      <c r="SCY3569"/>
      <c r="SCZ3569"/>
      <c r="SDA3569"/>
      <c r="SDB3569"/>
      <c r="SDC3569"/>
      <c r="SDD3569"/>
      <c r="SDE3569"/>
      <c r="SDF3569"/>
      <c r="SDG3569"/>
      <c r="SDH3569"/>
      <c r="SDI3569"/>
      <c r="SDJ3569"/>
      <c r="SDK3569"/>
      <c r="SDL3569"/>
      <c r="SDM3569"/>
      <c r="SDN3569"/>
      <c r="SDO3569"/>
      <c r="SDP3569"/>
      <c r="SDQ3569"/>
      <c r="SDR3569"/>
      <c r="SDS3569"/>
      <c r="SDT3569"/>
      <c r="SDU3569"/>
      <c r="SDV3569"/>
      <c r="SDW3569"/>
      <c r="SDX3569"/>
      <c r="SDY3569"/>
      <c r="SDZ3569"/>
      <c r="SEA3569"/>
      <c r="SEB3569"/>
      <c r="SEC3569"/>
      <c r="SED3569"/>
      <c r="SEE3569"/>
      <c r="SEF3569"/>
      <c r="SEG3569"/>
      <c r="SEH3569"/>
      <c r="SEI3569"/>
      <c r="SEJ3569"/>
      <c r="SEK3569"/>
      <c r="SEL3569"/>
      <c r="SEM3569"/>
      <c r="SEN3569"/>
      <c r="SEO3569"/>
      <c r="SEP3569"/>
      <c r="SEQ3569"/>
      <c r="SER3569"/>
      <c r="SES3569"/>
      <c r="SET3569"/>
      <c r="SEU3569"/>
      <c r="SEV3569"/>
      <c r="SEW3569"/>
      <c r="SEX3569"/>
      <c r="SEY3569"/>
      <c r="SEZ3569"/>
      <c r="SFA3569"/>
      <c r="SFB3569"/>
      <c r="SFC3569"/>
      <c r="SFD3569"/>
      <c r="SFE3569"/>
      <c r="SFF3569"/>
      <c r="SFG3569"/>
      <c r="SFH3569"/>
      <c r="SFI3569"/>
      <c r="SFJ3569"/>
      <c r="SFK3569"/>
      <c r="SFL3569"/>
      <c r="SFM3569"/>
      <c r="SFN3569"/>
      <c r="SFO3569"/>
      <c r="SFP3569"/>
      <c r="SFQ3569"/>
      <c r="SFR3569"/>
      <c r="SFS3569"/>
      <c r="SFT3569"/>
      <c r="SFU3569"/>
      <c r="SFV3569"/>
      <c r="SFW3569"/>
      <c r="SFX3569"/>
      <c r="SFY3569"/>
      <c r="SFZ3569"/>
      <c r="SGA3569"/>
      <c r="SGB3569"/>
      <c r="SGC3569"/>
      <c r="SGD3569"/>
      <c r="SGE3569"/>
      <c r="SGF3569"/>
      <c r="SGG3569"/>
      <c r="SGH3569"/>
      <c r="SGI3569"/>
      <c r="SGJ3569"/>
      <c r="SGK3569"/>
      <c r="SGL3569"/>
      <c r="SGM3569"/>
      <c r="SGN3569"/>
      <c r="SGO3569"/>
      <c r="SGP3569"/>
      <c r="SGQ3569"/>
      <c r="SGR3569"/>
      <c r="SGS3569"/>
      <c r="SGT3569"/>
      <c r="SGU3569"/>
      <c r="SGV3569"/>
      <c r="SGW3569"/>
      <c r="SGX3569"/>
      <c r="SGY3569"/>
      <c r="SGZ3569"/>
      <c r="SHA3569"/>
      <c r="SHB3569"/>
      <c r="SHC3569"/>
      <c r="SHD3569"/>
      <c r="SHE3569"/>
      <c r="SHF3569"/>
      <c r="SHG3569"/>
      <c r="SHH3569"/>
      <c r="SHI3569"/>
      <c r="SHJ3569"/>
      <c r="SHK3569"/>
      <c r="SHL3569"/>
      <c r="SHM3569"/>
      <c r="SHN3569"/>
      <c r="SHO3569"/>
      <c r="SHP3569"/>
      <c r="SHQ3569"/>
      <c r="SHR3569"/>
      <c r="SHS3569"/>
      <c r="SHT3569"/>
      <c r="SHU3569"/>
      <c r="SHV3569"/>
      <c r="SHW3569"/>
      <c r="SHX3569"/>
      <c r="SHY3569"/>
      <c r="SHZ3569"/>
      <c r="SIA3569"/>
      <c r="SIB3569"/>
      <c r="SIC3569"/>
      <c r="SID3569"/>
      <c r="SIE3569"/>
      <c r="SIF3569"/>
      <c r="SIG3569"/>
      <c r="SIH3569"/>
      <c r="SII3569"/>
      <c r="SIJ3569"/>
      <c r="SIK3569"/>
      <c r="SIL3569"/>
      <c r="SIM3569"/>
      <c r="SIN3569"/>
      <c r="SIO3569"/>
      <c r="SIP3569"/>
      <c r="SIQ3569"/>
      <c r="SIR3569"/>
      <c r="SIS3569"/>
      <c r="SIT3569"/>
      <c r="SIU3569"/>
      <c r="SIV3569"/>
      <c r="SIW3569"/>
      <c r="SIX3569"/>
      <c r="SIY3569"/>
      <c r="SIZ3569"/>
      <c r="SJA3569"/>
      <c r="SJB3569"/>
      <c r="SJC3569"/>
      <c r="SJD3569"/>
      <c r="SJE3569"/>
      <c r="SJF3569"/>
      <c r="SJG3569"/>
      <c r="SJH3569"/>
      <c r="SJI3569"/>
      <c r="SJJ3569"/>
      <c r="SJK3569"/>
      <c r="SJL3569"/>
      <c r="SJM3569"/>
      <c r="SJN3569"/>
      <c r="SJO3569"/>
      <c r="SJP3569"/>
      <c r="SJQ3569"/>
      <c r="SJR3569"/>
      <c r="SJS3569"/>
      <c r="SJT3569"/>
      <c r="SJU3569"/>
      <c r="SJV3569"/>
      <c r="SJW3569"/>
      <c r="SJX3569"/>
      <c r="SJY3569"/>
      <c r="SJZ3569"/>
      <c r="SKA3569"/>
      <c r="SKB3569"/>
      <c r="SKC3569"/>
      <c r="SKD3569"/>
      <c r="SKE3569"/>
      <c r="SKF3569"/>
      <c r="SKG3569"/>
      <c r="SKH3569"/>
      <c r="SKI3569"/>
      <c r="SKJ3569"/>
      <c r="SKK3569"/>
      <c r="SKL3569"/>
      <c r="SKM3569"/>
      <c r="SKN3569"/>
      <c r="SKO3569"/>
      <c r="SKP3569"/>
      <c r="SKQ3569"/>
      <c r="SKR3569"/>
      <c r="SKS3569"/>
      <c r="SKT3569"/>
      <c r="SKU3569"/>
      <c r="SKV3569"/>
      <c r="SKW3569"/>
      <c r="SKX3569"/>
      <c r="SKY3569"/>
      <c r="SKZ3569"/>
      <c r="SLA3569"/>
      <c r="SLB3569"/>
      <c r="SLC3569"/>
      <c r="SLD3569"/>
      <c r="SLE3569"/>
      <c r="SLF3569"/>
      <c r="SLG3569"/>
      <c r="SLH3569"/>
      <c r="SLI3569"/>
      <c r="SLJ3569"/>
      <c r="SLK3569"/>
      <c r="SLL3569"/>
      <c r="SLM3569"/>
      <c r="SLN3569"/>
      <c r="SLO3569"/>
      <c r="SLP3569"/>
      <c r="SLQ3569"/>
      <c r="SLR3569"/>
      <c r="SLS3569"/>
      <c r="SLT3569"/>
      <c r="SLU3569"/>
      <c r="SLV3569"/>
      <c r="SLW3569"/>
      <c r="SLX3569"/>
      <c r="SLY3569"/>
      <c r="SLZ3569"/>
      <c r="SMA3569"/>
      <c r="SMB3569"/>
      <c r="SMC3569"/>
      <c r="SMD3569"/>
      <c r="SME3569"/>
      <c r="SMF3569"/>
      <c r="SMG3569"/>
      <c r="SMH3569"/>
      <c r="SMI3569"/>
      <c r="SMJ3569"/>
      <c r="SMK3569"/>
      <c r="SML3569"/>
      <c r="SMM3569"/>
      <c r="SMN3569"/>
      <c r="SMO3569"/>
      <c r="SMP3569"/>
      <c r="SMQ3569"/>
      <c r="SMR3569"/>
      <c r="SMS3569"/>
      <c r="SMT3569"/>
      <c r="SMU3569"/>
      <c r="SMV3569"/>
      <c r="SMW3569"/>
      <c r="SMX3569"/>
      <c r="SMY3569"/>
      <c r="SMZ3569"/>
      <c r="SNA3569"/>
      <c r="SNB3569"/>
      <c r="SNC3569"/>
      <c r="SND3569"/>
      <c r="SNE3569"/>
      <c r="SNF3569"/>
      <c r="SNG3569"/>
      <c r="SNH3569"/>
      <c r="SNI3569"/>
      <c r="SNJ3569"/>
      <c r="SNK3569"/>
      <c r="SNL3569"/>
      <c r="SNM3569"/>
      <c r="SNN3569"/>
      <c r="SNO3569"/>
      <c r="SNP3569"/>
      <c r="SNQ3569"/>
      <c r="SNR3569"/>
      <c r="SNS3569"/>
      <c r="SNT3569"/>
      <c r="SNU3569"/>
      <c r="SNV3569"/>
      <c r="SNW3569"/>
      <c r="SNX3569"/>
      <c r="SNY3569"/>
      <c r="SNZ3569"/>
      <c r="SOA3569"/>
      <c r="SOB3569"/>
      <c r="SOC3569"/>
      <c r="SOD3569"/>
      <c r="SOE3569"/>
      <c r="SOF3569"/>
      <c r="SOG3569"/>
      <c r="SOH3569"/>
      <c r="SOI3569"/>
      <c r="SOJ3569"/>
      <c r="SOK3569"/>
      <c r="SOL3569"/>
      <c r="SOM3569"/>
      <c r="SON3569"/>
      <c r="SOO3569"/>
      <c r="SOP3569"/>
      <c r="SOQ3569"/>
      <c r="SOR3569"/>
      <c r="SOS3569"/>
      <c r="SOT3569"/>
      <c r="SOU3569"/>
      <c r="SOV3569"/>
      <c r="SOW3569"/>
      <c r="SOX3569"/>
      <c r="SOY3569"/>
      <c r="SOZ3569"/>
      <c r="SPA3569"/>
      <c r="SPB3569"/>
      <c r="SPC3569"/>
      <c r="SPD3569"/>
      <c r="SPE3569"/>
      <c r="SPF3569"/>
      <c r="SPG3569"/>
      <c r="SPH3569"/>
      <c r="SPI3569"/>
      <c r="SPJ3569"/>
      <c r="SPK3569"/>
      <c r="SPL3569"/>
      <c r="SPM3569"/>
      <c r="SPN3569"/>
      <c r="SPO3569"/>
      <c r="SPP3569"/>
      <c r="SPQ3569"/>
      <c r="SPR3569"/>
      <c r="SPS3569"/>
      <c r="SPT3569"/>
      <c r="SPU3569"/>
      <c r="SPV3569"/>
      <c r="SPW3569"/>
      <c r="SPX3569"/>
      <c r="SPY3569"/>
      <c r="SPZ3569"/>
      <c r="SQA3569"/>
      <c r="SQB3569"/>
      <c r="SQC3569"/>
      <c r="SQD3569"/>
      <c r="SQE3569"/>
      <c r="SQF3569"/>
      <c r="SQG3569"/>
      <c r="SQH3569"/>
      <c r="SQI3569"/>
      <c r="SQJ3569"/>
      <c r="SQK3569"/>
      <c r="SQL3569"/>
      <c r="SQM3569"/>
      <c r="SQN3569"/>
      <c r="SQO3569"/>
      <c r="SQP3569"/>
      <c r="SQQ3569"/>
      <c r="SQR3569"/>
      <c r="SQS3569"/>
      <c r="SQT3569"/>
      <c r="SQU3569"/>
      <c r="SQV3569"/>
      <c r="SQW3569"/>
      <c r="SQX3569"/>
      <c r="SQY3569"/>
      <c r="SQZ3569"/>
      <c r="SRA3569"/>
      <c r="SRB3569"/>
      <c r="SRC3569"/>
      <c r="SRD3569"/>
      <c r="SRE3569"/>
      <c r="SRF3569"/>
      <c r="SRG3569"/>
      <c r="SRH3569"/>
      <c r="SRI3569"/>
      <c r="SRJ3569"/>
      <c r="SRK3569"/>
      <c r="SRL3569"/>
      <c r="SRM3569"/>
      <c r="SRN3569"/>
      <c r="SRO3569"/>
      <c r="SRP3569"/>
      <c r="SRQ3569"/>
      <c r="SRR3569"/>
      <c r="SRS3569"/>
      <c r="SRT3569"/>
      <c r="SRU3569"/>
      <c r="SRV3569"/>
      <c r="SRW3569"/>
      <c r="SRX3569"/>
      <c r="SRY3569"/>
      <c r="SRZ3569"/>
      <c r="SSA3569"/>
      <c r="SSB3569"/>
      <c r="SSC3569"/>
      <c r="SSD3569"/>
      <c r="SSE3569"/>
      <c r="SSF3569"/>
      <c r="SSG3569"/>
      <c r="SSH3569"/>
      <c r="SSI3569"/>
      <c r="SSJ3569"/>
      <c r="SSK3569"/>
      <c r="SSL3569"/>
      <c r="SSM3569"/>
      <c r="SSN3569"/>
      <c r="SSO3569"/>
      <c r="SSP3569"/>
      <c r="SSQ3569"/>
      <c r="SSR3569"/>
      <c r="SSS3569"/>
      <c r="SST3569"/>
      <c r="SSU3569"/>
      <c r="SSV3569"/>
      <c r="SSW3569"/>
      <c r="SSX3569"/>
      <c r="SSY3569"/>
      <c r="SSZ3569"/>
      <c r="STA3569"/>
      <c r="STB3569"/>
      <c r="STC3569"/>
      <c r="STD3569"/>
      <c r="STE3569"/>
      <c r="STF3569"/>
      <c r="STG3569"/>
      <c r="STH3569"/>
      <c r="STI3569"/>
      <c r="STJ3569"/>
      <c r="STK3569"/>
      <c r="STL3569"/>
      <c r="STM3569"/>
      <c r="STN3569"/>
      <c r="STO3569"/>
      <c r="STP3569"/>
      <c r="STQ3569"/>
      <c r="STR3569"/>
      <c r="STS3569"/>
      <c r="STT3569"/>
      <c r="STU3569"/>
      <c r="STV3569"/>
      <c r="STW3569"/>
      <c r="STX3569"/>
      <c r="STY3569"/>
      <c r="STZ3569"/>
      <c r="SUA3569"/>
      <c r="SUB3569"/>
      <c r="SUC3569"/>
      <c r="SUD3569"/>
      <c r="SUE3569"/>
      <c r="SUF3569"/>
      <c r="SUG3569"/>
      <c r="SUH3569"/>
      <c r="SUI3569"/>
      <c r="SUJ3569"/>
      <c r="SUK3569"/>
      <c r="SUL3569"/>
      <c r="SUM3569"/>
      <c r="SUN3569"/>
      <c r="SUO3569"/>
      <c r="SUP3569"/>
      <c r="SUQ3569"/>
      <c r="SUR3569"/>
      <c r="SUS3569"/>
      <c r="SUT3569"/>
      <c r="SUU3569"/>
      <c r="SUV3569"/>
      <c r="SUW3569"/>
      <c r="SUX3569"/>
      <c r="SUY3569"/>
      <c r="SUZ3569"/>
      <c r="SVA3569"/>
      <c r="SVB3569"/>
      <c r="SVC3569"/>
      <c r="SVD3569"/>
      <c r="SVE3569"/>
      <c r="SVF3569"/>
      <c r="SVG3569"/>
      <c r="SVH3569"/>
      <c r="SVI3569"/>
      <c r="SVJ3569"/>
      <c r="SVK3569"/>
      <c r="SVL3569"/>
      <c r="SVM3569"/>
      <c r="SVN3569"/>
      <c r="SVO3569"/>
      <c r="SVP3569"/>
      <c r="SVQ3569"/>
      <c r="SVR3569"/>
      <c r="SVS3569"/>
      <c r="SVT3569"/>
      <c r="SVU3569"/>
      <c r="SVV3569"/>
      <c r="SVW3569"/>
      <c r="SVX3569"/>
      <c r="SVY3569"/>
      <c r="SVZ3569"/>
      <c r="SWA3569"/>
      <c r="SWB3569"/>
      <c r="SWC3569"/>
      <c r="SWD3569"/>
      <c r="SWE3569"/>
      <c r="SWF3569"/>
      <c r="SWG3569"/>
      <c r="SWH3569"/>
      <c r="SWI3569"/>
      <c r="SWJ3569"/>
      <c r="SWK3569"/>
      <c r="SWL3569"/>
      <c r="SWM3569"/>
      <c r="SWN3569"/>
      <c r="SWO3569"/>
      <c r="SWP3569"/>
      <c r="SWQ3569"/>
      <c r="SWR3569"/>
      <c r="SWS3569"/>
      <c r="SWT3569"/>
      <c r="SWU3569"/>
      <c r="SWV3569"/>
      <c r="SWW3569"/>
      <c r="SWX3569"/>
      <c r="SWY3569"/>
      <c r="SWZ3569"/>
      <c r="SXA3569"/>
      <c r="SXB3569"/>
      <c r="SXC3569"/>
      <c r="SXD3569"/>
      <c r="SXE3569"/>
      <c r="SXF3569"/>
      <c r="SXG3569"/>
      <c r="SXH3569"/>
      <c r="SXI3569"/>
      <c r="SXJ3569"/>
      <c r="SXK3569"/>
      <c r="SXL3569"/>
      <c r="SXM3569"/>
      <c r="SXN3569"/>
      <c r="SXO3569"/>
      <c r="SXP3569"/>
      <c r="SXQ3569"/>
      <c r="SXR3569"/>
      <c r="SXS3569"/>
      <c r="SXT3569"/>
      <c r="SXU3569"/>
      <c r="SXV3569"/>
      <c r="SXW3569"/>
      <c r="SXX3569"/>
      <c r="SXY3569"/>
      <c r="SXZ3569"/>
      <c r="SYA3569"/>
      <c r="SYB3569"/>
      <c r="SYC3569"/>
      <c r="SYD3569"/>
      <c r="SYE3569"/>
      <c r="SYF3569"/>
      <c r="SYG3569"/>
      <c r="SYH3569"/>
      <c r="SYI3569"/>
      <c r="SYJ3569"/>
      <c r="SYK3569"/>
      <c r="SYL3569"/>
      <c r="SYM3569"/>
      <c r="SYN3569"/>
      <c r="SYO3569"/>
      <c r="SYP3569"/>
      <c r="SYQ3569"/>
      <c r="SYR3569"/>
      <c r="SYS3569"/>
      <c r="SYT3569"/>
      <c r="SYU3569"/>
      <c r="SYV3569"/>
      <c r="SYW3569"/>
      <c r="SYX3569"/>
      <c r="SYY3569"/>
      <c r="SYZ3569"/>
      <c r="SZA3569"/>
      <c r="SZB3569"/>
      <c r="SZC3569"/>
      <c r="SZD3569"/>
      <c r="SZE3569"/>
      <c r="SZF3569"/>
      <c r="SZG3569"/>
      <c r="SZH3569"/>
      <c r="SZI3569"/>
      <c r="SZJ3569"/>
      <c r="SZK3569"/>
      <c r="SZL3569"/>
      <c r="SZM3569"/>
      <c r="SZN3569"/>
      <c r="SZO3569"/>
      <c r="SZP3569"/>
      <c r="SZQ3569"/>
      <c r="SZR3569"/>
      <c r="SZS3569"/>
      <c r="SZT3569"/>
      <c r="SZU3569"/>
      <c r="SZV3569"/>
      <c r="SZW3569"/>
      <c r="SZX3569"/>
      <c r="SZY3569"/>
      <c r="SZZ3569"/>
      <c r="TAA3569"/>
      <c r="TAB3569"/>
      <c r="TAC3569"/>
      <c r="TAD3569"/>
      <c r="TAE3569"/>
      <c r="TAF3569"/>
      <c r="TAG3569"/>
      <c r="TAH3569"/>
      <c r="TAI3569"/>
      <c r="TAJ3569"/>
      <c r="TAK3569"/>
      <c r="TAL3569"/>
      <c r="TAM3569"/>
      <c r="TAN3569"/>
      <c r="TAO3569"/>
      <c r="TAP3569"/>
      <c r="TAQ3569"/>
      <c r="TAR3569"/>
      <c r="TAS3569"/>
      <c r="TAT3569"/>
      <c r="TAU3569"/>
      <c r="TAV3569"/>
      <c r="TAW3569"/>
      <c r="TAX3569"/>
      <c r="TAY3569"/>
      <c r="TAZ3569"/>
      <c r="TBA3569"/>
      <c r="TBB3569"/>
      <c r="TBC3569"/>
      <c r="TBD3569"/>
      <c r="TBE3569"/>
      <c r="TBF3569"/>
      <c r="TBG3569"/>
      <c r="TBH3569"/>
      <c r="TBI3569"/>
      <c r="TBJ3569"/>
      <c r="TBK3569"/>
      <c r="TBL3569"/>
      <c r="TBM3569"/>
      <c r="TBN3569"/>
      <c r="TBO3569"/>
      <c r="TBP3569"/>
      <c r="TBQ3569"/>
      <c r="TBR3569"/>
      <c r="TBS3569"/>
      <c r="TBT3569"/>
      <c r="TBU3569"/>
      <c r="TBV3569"/>
      <c r="TBW3569"/>
      <c r="TBX3569"/>
      <c r="TBY3569"/>
      <c r="TBZ3569"/>
      <c r="TCA3569"/>
      <c r="TCB3569"/>
      <c r="TCC3569"/>
      <c r="TCD3569"/>
      <c r="TCE3569"/>
      <c r="TCF3569"/>
      <c r="TCG3569"/>
      <c r="TCH3569"/>
      <c r="TCI3569"/>
      <c r="TCJ3569"/>
      <c r="TCK3569"/>
      <c r="TCL3569"/>
      <c r="TCM3569"/>
      <c r="TCN3569"/>
      <c r="TCO3569"/>
      <c r="TCP3569"/>
      <c r="TCQ3569"/>
      <c r="TCR3569"/>
      <c r="TCS3569"/>
      <c r="TCT3569"/>
      <c r="TCU3569"/>
      <c r="TCV3569"/>
      <c r="TCW3569"/>
      <c r="TCX3569"/>
      <c r="TCY3569"/>
      <c r="TCZ3569"/>
      <c r="TDA3569"/>
      <c r="TDB3569"/>
      <c r="TDC3569"/>
      <c r="TDD3569"/>
      <c r="TDE3569"/>
      <c r="TDF3569"/>
      <c r="TDG3569"/>
      <c r="TDH3569"/>
      <c r="TDI3569"/>
      <c r="TDJ3569"/>
      <c r="TDK3569"/>
      <c r="TDL3569"/>
      <c r="TDM3569"/>
      <c r="TDN3569"/>
      <c r="TDO3569"/>
      <c r="TDP3569"/>
      <c r="TDQ3569"/>
      <c r="TDR3569"/>
      <c r="TDS3569"/>
      <c r="TDT3569"/>
      <c r="TDU3569"/>
      <c r="TDV3569"/>
      <c r="TDW3569"/>
      <c r="TDX3569"/>
      <c r="TDY3569"/>
      <c r="TDZ3569"/>
      <c r="TEA3569"/>
      <c r="TEB3569"/>
      <c r="TEC3569"/>
      <c r="TED3569"/>
      <c r="TEE3569"/>
      <c r="TEF3569"/>
      <c r="TEG3569"/>
      <c r="TEH3569"/>
      <c r="TEI3569"/>
      <c r="TEJ3569"/>
      <c r="TEK3569"/>
      <c r="TEL3569"/>
      <c r="TEM3569"/>
      <c r="TEN3569"/>
      <c r="TEO3569"/>
      <c r="TEP3569"/>
      <c r="TEQ3569"/>
      <c r="TER3569"/>
      <c r="TES3569"/>
      <c r="TET3569"/>
      <c r="TEU3569"/>
      <c r="TEV3569"/>
      <c r="TEW3569"/>
      <c r="TEX3569"/>
      <c r="TEY3569"/>
      <c r="TEZ3569"/>
      <c r="TFA3569"/>
      <c r="TFB3569"/>
      <c r="TFC3569"/>
      <c r="TFD3569"/>
      <c r="TFE3569"/>
      <c r="TFF3569"/>
      <c r="TFG3569"/>
      <c r="TFH3569"/>
      <c r="TFI3569"/>
      <c r="TFJ3569"/>
      <c r="TFK3569"/>
      <c r="TFL3569"/>
      <c r="TFM3569"/>
      <c r="TFN3569"/>
      <c r="TFO3569"/>
      <c r="TFP3569"/>
      <c r="TFQ3569"/>
      <c r="TFR3569"/>
      <c r="TFS3569"/>
      <c r="TFT3569"/>
      <c r="TFU3569"/>
      <c r="TFV3569"/>
      <c r="TFW3569"/>
      <c r="TFX3569"/>
      <c r="TFY3569"/>
      <c r="TFZ3569"/>
      <c r="TGA3569"/>
      <c r="TGB3569"/>
      <c r="TGC3569"/>
      <c r="TGD3569"/>
      <c r="TGE3569"/>
      <c r="TGF3569"/>
      <c r="TGG3569"/>
      <c r="TGH3569"/>
      <c r="TGI3569"/>
      <c r="TGJ3569"/>
      <c r="TGK3569"/>
      <c r="TGL3569"/>
      <c r="TGM3569"/>
      <c r="TGN3569"/>
      <c r="TGO3569"/>
      <c r="TGP3569"/>
      <c r="TGQ3569"/>
      <c r="TGR3569"/>
      <c r="TGS3569"/>
      <c r="TGT3569"/>
      <c r="TGU3569"/>
      <c r="TGV3569"/>
      <c r="TGW3569"/>
      <c r="TGX3569"/>
      <c r="TGY3569"/>
      <c r="TGZ3569"/>
      <c r="THA3569"/>
      <c r="THB3569"/>
      <c r="THC3569"/>
      <c r="THD3569"/>
      <c r="THE3569"/>
      <c r="THF3569"/>
      <c r="THG3569"/>
      <c r="THH3569"/>
      <c r="THI3569"/>
      <c r="THJ3569"/>
      <c r="THK3569"/>
      <c r="THL3569"/>
      <c r="THM3569"/>
      <c r="THN3569"/>
      <c r="THO3569"/>
      <c r="THP3569"/>
      <c r="THQ3569"/>
      <c r="THR3569"/>
      <c r="THS3569"/>
      <c r="THT3569"/>
      <c r="THU3569"/>
      <c r="THV3569"/>
      <c r="THW3569"/>
      <c r="THX3569"/>
      <c r="THY3569"/>
      <c r="THZ3569"/>
      <c r="TIA3569"/>
      <c r="TIB3569"/>
      <c r="TIC3569"/>
      <c r="TID3569"/>
      <c r="TIE3569"/>
      <c r="TIF3569"/>
      <c r="TIG3569"/>
      <c r="TIH3569"/>
      <c r="TII3569"/>
      <c r="TIJ3569"/>
      <c r="TIK3569"/>
      <c r="TIL3569"/>
      <c r="TIM3569"/>
      <c r="TIN3569"/>
      <c r="TIO3569"/>
      <c r="TIP3569"/>
      <c r="TIQ3569"/>
      <c r="TIR3569"/>
      <c r="TIS3569"/>
      <c r="TIT3569"/>
      <c r="TIU3569"/>
      <c r="TIV3569"/>
      <c r="TIW3569"/>
      <c r="TIX3569"/>
      <c r="TIY3569"/>
      <c r="TIZ3569"/>
      <c r="TJA3569"/>
      <c r="TJB3569"/>
      <c r="TJC3569"/>
      <c r="TJD3569"/>
      <c r="TJE3569"/>
      <c r="TJF3569"/>
      <c r="TJG3569"/>
      <c r="TJH3569"/>
      <c r="TJI3569"/>
      <c r="TJJ3569"/>
      <c r="TJK3569"/>
      <c r="TJL3569"/>
      <c r="TJM3569"/>
      <c r="TJN3569"/>
      <c r="TJO3569"/>
      <c r="TJP3569"/>
      <c r="TJQ3569"/>
      <c r="TJR3569"/>
      <c r="TJS3569"/>
      <c r="TJT3569"/>
      <c r="TJU3569"/>
      <c r="TJV3569"/>
      <c r="TJW3569"/>
      <c r="TJX3569"/>
      <c r="TJY3569"/>
      <c r="TJZ3569"/>
      <c r="TKA3569"/>
      <c r="TKB3569"/>
      <c r="TKC3569"/>
      <c r="TKD3569"/>
      <c r="TKE3569"/>
      <c r="TKF3569"/>
      <c r="TKG3569"/>
      <c r="TKH3569"/>
      <c r="TKI3569"/>
      <c r="TKJ3569"/>
      <c r="TKK3569"/>
      <c r="TKL3569"/>
      <c r="TKM3569"/>
      <c r="TKN3569"/>
      <c r="TKO3569"/>
      <c r="TKP3569"/>
      <c r="TKQ3569"/>
      <c r="TKR3569"/>
      <c r="TKS3569"/>
      <c r="TKT3569"/>
      <c r="TKU3569"/>
      <c r="TKV3569"/>
      <c r="TKW3569"/>
      <c r="TKX3569"/>
      <c r="TKY3569"/>
      <c r="TKZ3569"/>
      <c r="TLA3569"/>
      <c r="TLB3569"/>
      <c r="TLC3569"/>
      <c r="TLD3569"/>
      <c r="TLE3569"/>
      <c r="TLF3569"/>
      <c r="TLG3569"/>
      <c r="TLH3569"/>
      <c r="TLI3569"/>
      <c r="TLJ3569"/>
      <c r="TLK3569"/>
      <c r="TLL3569"/>
      <c r="TLM3569"/>
      <c r="TLN3569"/>
      <c r="TLO3569"/>
      <c r="TLP3569"/>
      <c r="TLQ3569"/>
      <c r="TLR3569"/>
      <c r="TLS3569"/>
      <c r="TLT3569"/>
      <c r="TLU3569"/>
      <c r="TLV3569"/>
      <c r="TLW3569"/>
      <c r="TLX3569"/>
      <c r="TLY3569"/>
      <c r="TLZ3569"/>
      <c r="TMA3569"/>
      <c r="TMB3569"/>
      <c r="TMC3569"/>
      <c r="TMD3569"/>
      <c r="TME3569"/>
      <c r="TMF3569"/>
      <c r="TMG3569"/>
      <c r="TMH3569"/>
      <c r="TMI3569"/>
      <c r="TMJ3569"/>
      <c r="TMK3569"/>
      <c r="TML3569"/>
      <c r="TMM3569"/>
      <c r="TMN3569"/>
      <c r="TMO3569"/>
      <c r="TMP3569"/>
      <c r="TMQ3569"/>
      <c r="TMR3569"/>
      <c r="TMS3569"/>
      <c r="TMT3569"/>
      <c r="TMU3569"/>
      <c r="TMV3569"/>
      <c r="TMW3569"/>
      <c r="TMX3569"/>
      <c r="TMY3569"/>
      <c r="TMZ3569"/>
      <c r="TNA3569"/>
      <c r="TNB3569"/>
      <c r="TNC3569"/>
      <c r="TND3569"/>
      <c r="TNE3569"/>
      <c r="TNF3569"/>
      <c r="TNG3569"/>
      <c r="TNH3569"/>
      <c r="TNI3569"/>
      <c r="TNJ3569"/>
      <c r="TNK3569"/>
      <c r="TNL3569"/>
      <c r="TNM3569"/>
      <c r="TNN3569"/>
      <c r="TNO3569"/>
      <c r="TNP3569"/>
      <c r="TNQ3569"/>
      <c r="TNR3569"/>
      <c r="TNS3569"/>
      <c r="TNT3569"/>
      <c r="TNU3569"/>
      <c r="TNV3569"/>
      <c r="TNW3569"/>
      <c r="TNX3569"/>
      <c r="TNY3569"/>
      <c r="TNZ3569"/>
      <c r="TOA3569"/>
      <c r="TOB3569"/>
      <c r="TOC3569"/>
      <c r="TOD3569"/>
      <c r="TOE3569"/>
      <c r="TOF3569"/>
      <c r="TOG3569"/>
      <c r="TOH3569"/>
      <c r="TOI3569"/>
      <c r="TOJ3569"/>
      <c r="TOK3569"/>
      <c r="TOL3569"/>
      <c r="TOM3569"/>
      <c r="TON3569"/>
      <c r="TOO3569"/>
      <c r="TOP3569"/>
      <c r="TOQ3569"/>
      <c r="TOR3569"/>
      <c r="TOS3569"/>
      <c r="TOT3569"/>
      <c r="TOU3569"/>
      <c r="TOV3569"/>
      <c r="TOW3569"/>
      <c r="TOX3569"/>
      <c r="TOY3569"/>
      <c r="TOZ3569"/>
      <c r="TPA3569"/>
      <c r="TPB3569"/>
      <c r="TPC3569"/>
      <c r="TPD3569"/>
      <c r="TPE3569"/>
      <c r="TPF3569"/>
      <c r="TPG3569"/>
      <c r="TPH3569"/>
      <c r="TPI3569"/>
      <c r="TPJ3569"/>
      <c r="TPK3569"/>
      <c r="TPL3569"/>
      <c r="TPM3569"/>
      <c r="TPN3569"/>
      <c r="TPO3569"/>
      <c r="TPP3569"/>
      <c r="TPQ3569"/>
      <c r="TPR3569"/>
      <c r="TPS3569"/>
      <c r="TPT3569"/>
      <c r="TPU3569"/>
      <c r="TPV3569"/>
      <c r="TPW3569"/>
      <c r="TPX3569"/>
      <c r="TPY3569"/>
      <c r="TPZ3569"/>
      <c r="TQA3569"/>
      <c r="TQB3569"/>
      <c r="TQC3569"/>
      <c r="TQD3569"/>
      <c r="TQE3569"/>
      <c r="TQF3569"/>
      <c r="TQG3569"/>
      <c r="TQH3569"/>
      <c r="TQI3569"/>
      <c r="TQJ3569"/>
      <c r="TQK3569"/>
      <c r="TQL3569"/>
      <c r="TQM3569"/>
      <c r="TQN3569"/>
      <c r="TQO3569"/>
      <c r="TQP3569"/>
      <c r="TQQ3569"/>
      <c r="TQR3569"/>
      <c r="TQS3569"/>
      <c r="TQT3569"/>
      <c r="TQU3569"/>
      <c r="TQV3569"/>
      <c r="TQW3569"/>
      <c r="TQX3569"/>
      <c r="TQY3569"/>
      <c r="TQZ3569"/>
      <c r="TRA3569"/>
      <c r="TRB3569"/>
      <c r="TRC3569"/>
      <c r="TRD3569"/>
      <c r="TRE3569"/>
      <c r="TRF3569"/>
      <c r="TRG3569"/>
      <c r="TRH3569"/>
      <c r="TRI3569"/>
      <c r="TRJ3569"/>
      <c r="TRK3569"/>
      <c r="TRL3569"/>
      <c r="TRM3569"/>
      <c r="TRN3569"/>
      <c r="TRO3569"/>
      <c r="TRP3569"/>
      <c r="TRQ3569"/>
      <c r="TRR3569"/>
      <c r="TRS3569"/>
      <c r="TRT3569"/>
      <c r="TRU3569"/>
      <c r="TRV3569"/>
      <c r="TRW3569"/>
      <c r="TRX3569"/>
      <c r="TRY3569"/>
      <c r="TRZ3569"/>
      <c r="TSA3569"/>
      <c r="TSB3569"/>
      <c r="TSC3569"/>
      <c r="TSD3569"/>
      <c r="TSE3569"/>
      <c r="TSF3569"/>
      <c r="TSG3569"/>
      <c r="TSH3569"/>
      <c r="TSI3569"/>
      <c r="TSJ3569"/>
      <c r="TSK3569"/>
      <c r="TSL3569"/>
      <c r="TSM3569"/>
      <c r="TSN3569"/>
      <c r="TSO3569"/>
      <c r="TSP3569"/>
      <c r="TSQ3569"/>
      <c r="TSR3569"/>
      <c r="TSS3569"/>
      <c r="TST3569"/>
      <c r="TSU3569"/>
      <c r="TSV3569"/>
      <c r="TSW3569"/>
      <c r="TSX3569"/>
      <c r="TSY3569"/>
      <c r="TSZ3569"/>
      <c r="TTA3569"/>
      <c r="TTB3569"/>
      <c r="TTC3569"/>
      <c r="TTD3569"/>
      <c r="TTE3569"/>
      <c r="TTF3569"/>
      <c r="TTG3569"/>
      <c r="TTH3569"/>
      <c r="TTI3569"/>
      <c r="TTJ3569"/>
      <c r="TTK3569"/>
      <c r="TTL3569"/>
      <c r="TTM3569"/>
      <c r="TTN3569"/>
      <c r="TTO3569"/>
      <c r="TTP3569"/>
      <c r="TTQ3569"/>
      <c r="TTR3569"/>
      <c r="TTS3569"/>
      <c r="TTT3569"/>
      <c r="TTU3569"/>
      <c r="TTV3569"/>
      <c r="TTW3569"/>
      <c r="TTX3569"/>
      <c r="TTY3569"/>
      <c r="TTZ3569"/>
      <c r="TUA3569"/>
      <c r="TUB3569"/>
      <c r="TUC3569"/>
      <c r="TUD3569"/>
      <c r="TUE3569"/>
      <c r="TUF3569"/>
      <c r="TUG3569"/>
      <c r="TUH3569"/>
      <c r="TUI3569"/>
      <c r="TUJ3569"/>
      <c r="TUK3569"/>
      <c r="TUL3569"/>
      <c r="TUM3569"/>
      <c r="TUN3569"/>
      <c r="TUO3569"/>
      <c r="TUP3569"/>
      <c r="TUQ3569"/>
      <c r="TUR3569"/>
      <c r="TUS3569"/>
      <c r="TUT3569"/>
      <c r="TUU3569"/>
      <c r="TUV3569"/>
      <c r="TUW3569"/>
      <c r="TUX3569"/>
      <c r="TUY3569"/>
      <c r="TUZ3569"/>
      <c r="TVA3569"/>
      <c r="TVB3569"/>
      <c r="TVC3569"/>
      <c r="TVD3569"/>
      <c r="TVE3569"/>
      <c r="TVF3569"/>
      <c r="TVG3569"/>
      <c r="TVH3569"/>
      <c r="TVI3569"/>
      <c r="TVJ3569"/>
      <c r="TVK3569"/>
      <c r="TVL3569"/>
      <c r="TVM3569"/>
      <c r="TVN3569"/>
      <c r="TVO3569"/>
      <c r="TVP3569"/>
      <c r="TVQ3569"/>
      <c r="TVR3569"/>
      <c r="TVS3569"/>
      <c r="TVT3569"/>
      <c r="TVU3569"/>
      <c r="TVV3569"/>
      <c r="TVW3569"/>
      <c r="TVX3569"/>
      <c r="TVY3569"/>
      <c r="TVZ3569"/>
      <c r="TWA3569"/>
      <c r="TWB3569"/>
      <c r="TWC3569"/>
      <c r="TWD3569"/>
      <c r="TWE3569"/>
      <c r="TWF3569"/>
      <c r="TWG3569"/>
      <c r="TWH3569"/>
      <c r="TWI3569"/>
      <c r="TWJ3569"/>
      <c r="TWK3569"/>
      <c r="TWL3569"/>
      <c r="TWM3569"/>
      <c r="TWN3569"/>
      <c r="TWO3569"/>
      <c r="TWP3569"/>
      <c r="TWQ3569"/>
      <c r="TWR3569"/>
      <c r="TWS3569"/>
      <c r="TWT3569"/>
      <c r="TWU3569"/>
      <c r="TWV3569"/>
      <c r="TWW3569"/>
      <c r="TWX3569"/>
      <c r="TWY3569"/>
      <c r="TWZ3569"/>
      <c r="TXA3569"/>
      <c r="TXB3569"/>
      <c r="TXC3569"/>
      <c r="TXD3569"/>
      <c r="TXE3569"/>
      <c r="TXF3569"/>
      <c r="TXG3569"/>
      <c r="TXH3569"/>
      <c r="TXI3569"/>
      <c r="TXJ3569"/>
      <c r="TXK3569"/>
      <c r="TXL3569"/>
      <c r="TXM3569"/>
      <c r="TXN3569"/>
      <c r="TXO3569"/>
      <c r="TXP3569"/>
      <c r="TXQ3569"/>
      <c r="TXR3569"/>
      <c r="TXS3569"/>
      <c r="TXT3569"/>
      <c r="TXU3569"/>
      <c r="TXV3569"/>
      <c r="TXW3569"/>
      <c r="TXX3569"/>
      <c r="TXY3569"/>
      <c r="TXZ3569"/>
      <c r="TYA3569"/>
      <c r="TYB3569"/>
      <c r="TYC3569"/>
      <c r="TYD3569"/>
      <c r="TYE3569"/>
      <c r="TYF3569"/>
      <c r="TYG3569"/>
      <c r="TYH3569"/>
      <c r="TYI3569"/>
      <c r="TYJ3569"/>
      <c r="TYK3569"/>
      <c r="TYL3569"/>
      <c r="TYM3569"/>
      <c r="TYN3569"/>
      <c r="TYO3569"/>
      <c r="TYP3569"/>
      <c r="TYQ3569"/>
      <c r="TYR3569"/>
      <c r="TYS3569"/>
      <c r="TYT3569"/>
      <c r="TYU3569"/>
      <c r="TYV3569"/>
      <c r="TYW3569"/>
      <c r="TYX3569"/>
      <c r="TYY3569"/>
      <c r="TYZ3569"/>
      <c r="TZA3569"/>
      <c r="TZB3569"/>
      <c r="TZC3569"/>
      <c r="TZD3569"/>
      <c r="TZE3569"/>
      <c r="TZF3569"/>
      <c r="TZG3569"/>
      <c r="TZH3569"/>
      <c r="TZI3569"/>
      <c r="TZJ3569"/>
      <c r="TZK3569"/>
      <c r="TZL3569"/>
      <c r="TZM3569"/>
      <c r="TZN3569"/>
      <c r="TZO3569"/>
      <c r="TZP3569"/>
      <c r="TZQ3569"/>
      <c r="TZR3569"/>
      <c r="TZS3569"/>
      <c r="TZT3569"/>
      <c r="TZU3569"/>
      <c r="TZV3569"/>
      <c r="TZW3569"/>
      <c r="TZX3569"/>
      <c r="TZY3569"/>
      <c r="TZZ3569"/>
      <c r="UAA3569"/>
      <c r="UAB3569"/>
      <c r="UAC3569"/>
      <c r="UAD3569"/>
      <c r="UAE3569"/>
      <c r="UAF3569"/>
      <c r="UAG3569"/>
      <c r="UAH3569"/>
      <c r="UAI3569"/>
      <c r="UAJ3569"/>
      <c r="UAK3569"/>
      <c r="UAL3569"/>
      <c r="UAM3569"/>
      <c r="UAN3569"/>
      <c r="UAO3569"/>
      <c r="UAP3569"/>
      <c r="UAQ3569"/>
      <c r="UAR3569"/>
      <c r="UAS3569"/>
      <c r="UAT3569"/>
      <c r="UAU3569"/>
      <c r="UAV3569"/>
      <c r="UAW3569"/>
      <c r="UAX3569"/>
      <c r="UAY3569"/>
      <c r="UAZ3569"/>
      <c r="UBA3569"/>
      <c r="UBB3569"/>
      <c r="UBC3569"/>
      <c r="UBD3569"/>
      <c r="UBE3569"/>
      <c r="UBF3569"/>
      <c r="UBG3569"/>
      <c r="UBH3569"/>
      <c r="UBI3569"/>
      <c r="UBJ3569"/>
      <c r="UBK3569"/>
      <c r="UBL3569"/>
      <c r="UBM3569"/>
      <c r="UBN3569"/>
      <c r="UBO3569"/>
      <c r="UBP3569"/>
      <c r="UBQ3569"/>
      <c r="UBR3569"/>
      <c r="UBS3569"/>
      <c r="UBT3569"/>
      <c r="UBU3569"/>
      <c r="UBV3569"/>
      <c r="UBW3569"/>
      <c r="UBX3569"/>
      <c r="UBY3569"/>
      <c r="UBZ3569"/>
      <c r="UCA3569"/>
      <c r="UCB3569"/>
      <c r="UCC3569"/>
      <c r="UCD3569"/>
      <c r="UCE3569"/>
      <c r="UCF3569"/>
      <c r="UCG3569"/>
      <c r="UCH3569"/>
      <c r="UCI3569"/>
      <c r="UCJ3569"/>
      <c r="UCK3569"/>
      <c r="UCL3569"/>
      <c r="UCM3569"/>
      <c r="UCN3569"/>
      <c r="UCO3569"/>
      <c r="UCP3569"/>
      <c r="UCQ3569"/>
      <c r="UCR3569"/>
      <c r="UCS3569"/>
      <c r="UCT3569"/>
      <c r="UCU3569"/>
      <c r="UCV3569"/>
      <c r="UCW3569"/>
      <c r="UCX3569"/>
      <c r="UCY3569"/>
      <c r="UCZ3569"/>
      <c r="UDA3569"/>
      <c r="UDB3569"/>
      <c r="UDC3569"/>
      <c r="UDD3569"/>
      <c r="UDE3569"/>
      <c r="UDF3569"/>
      <c r="UDG3569"/>
      <c r="UDH3569"/>
      <c r="UDI3569"/>
      <c r="UDJ3569"/>
      <c r="UDK3569"/>
      <c r="UDL3569"/>
      <c r="UDM3569"/>
      <c r="UDN3569"/>
      <c r="UDO3569"/>
      <c r="UDP3569"/>
      <c r="UDQ3569"/>
      <c r="UDR3569"/>
      <c r="UDS3569"/>
      <c r="UDT3569"/>
      <c r="UDU3569"/>
      <c r="UDV3569"/>
      <c r="UDW3569"/>
      <c r="UDX3569"/>
      <c r="UDY3569"/>
      <c r="UDZ3569"/>
      <c r="UEA3569"/>
      <c r="UEB3569"/>
      <c r="UEC3569"/>
      <c r="UED3569"/>
      <c r="UEE3569"/>
      <c r="UEF3569"/>
      <c r="UEG3569"/>
      <c r="UEH3569"/>
      <c r="UEI3569"/>
      <c r="UEJ3569"/>
      <c r="UEK3569"/>
      <c r="UEL3569"/>
      <c r="UEM3569"/>
      <c r="UEN3569"/>
      <c r="UEO3569"/>
      <c r="UEP3569"/>
      <c r="UEQ3569"/>
      <c r="UER3569"/>
      <c r="UES3569"/>
      <c r="UET3569"/>
      <c r="UEU3569"/>
      <c r="UEV3569"/>
      <c r="UEW3569"/>
      <c r="UEX3569"/>
      <c r="UEY3569"/>
      <c r="UEZ3569"/>
      <c r="UFA3569"/>
      <c r="UFB3569"/>
      <c r="UFC3569"/>
      <c r="UFD3569"/>
      <c r="UFE3569"/>
      <c r="UFF3569"/>
      <c r="UFG3569"/>
      <c r="UFH3569"/>
      <c r="UFI3569"/>
      <c r="UFJ3569"/>
      <c r="UFK3569"/>
      <c r="UFL3569"/>
      <c r="UFM3569"/>
      <c r="UFN3569"/>
      <c r="UFO3569"/>
      <c r="UFP3569"/>
      <c r="UFQ3569"/>
      <c r="UFR3569"/>
      <c r="UFS3569"/>
      <c r="UFT3569"/>
      <c r="UFU3569"/>
      <c r="UFV3569"/>
      <c r="UFW3569"/>
      <c r="UFX3569"/>
      <c r="UFY3569"/>
      <c r="UFZ3569"/>
      <c r="UGA3569"/>
      <c r="UGB3569"/>
      <c r="UGC3569"/>
      <c r="UGD3569"/>
      <c r="UGE3569"/>
      <c r="UGF3569"/>
      <c r="UGG3569"/>
      <c r="UGH3569"/>
      <c r="UGI3569"/>
      <c r="UGJ3569"/>
      <c r="UGK3569"/>
      <c r="UGL3569"/>
      <c r="UGM3569"/>
      <c r="UGN3569"/>
      <c r="UGO3569"/>
      <c r="UGP3569"/>
      <c r="UGQ3569"/>
      <c r="UGR3569"/>
      <c r="UGS3569"/>
      <c r="UGT3569"/>
      <c r="UGU3569"/>
      <c r="UGV3569"/>
      <c r="UGW3569"/>
      <c r="UGX3569"/>
      <c r="UGY3569"/>
      <c r="UGZ3569"/>
      <c r="UHA3569"/>
      <c r="UHB3569"/>
      <c r="UHC3569"/>
      <c r="UHD3569"/>
      <c r="UHE3569"/>
      <c r="UHF3569"/>
      <c r="UHG3569"/>
      <c r="UHH3569"/>
      <c r="UHI3569"/>
      <c r="UHJ3569"/>
      <c r="UHK3569"/>
      <c r="UHL3569"/>
      <c r="UHM3569"/>
      <c r="UHN3569"/>
      <c r="UHO3569"/>
      <c r="UHP3569"/>
      <c r="UHQ3569"/>
      <c r="UHR3569"/>
      <c r="UHS3569"/>
      <c r="UHT3569"/>
      <c r="UHU3569"/>
      <c r="UHV3569"/>
      <c r="UHW3569"/>
      <c r="UHX3569"/>
      <c r="UHY3569"/>
      <c r="UHZ3569"/>
      <c r="UIA3569"/>
      <c r="UIB3569"/>
      <c r="UIC3569"/>
      <c r="UID3569"/>
      <c r="UIE3569"/>
      <c r="UIF3569"/>
      <c r="UIG3569"/>
      <c r="UIH3569"/>
      <c r="UII3569"/>
      <c r="UIJ3569"/>
      <c r="UIK3569"/>
      <c r="UIL3569"/>
      <c r="UIM3569"/>
      <c r="UIN3569"/>
      <c r="UIO3569"/>
      <c r="UIP3569"/>
      <c r="UIQ3569"/>
      <c r="UIR3569"/>
      <c r="UIS3569"/>
      <c r="UIT3569"/>
      <c r="UIU3569"/>
      <c r="UIV3569"/>
      <c r="UIW3569"/>
      <c r="UIX3569"/>
      <c r="UIY3569"/>
      <c r="UIZ3569"/>
      <c r="UJA3569"/>
      <c r="UJB3569"/>
      <c r="UJC3569"/>
      <c r="UJD3569"/>
      <c r="UJE3569"/>
      <c r="UJF3569"/>
      <c r="UJG3569"/>
      <c r="UJH3569"/>
      <c r="UJI3569"/>
      <c r="UJJ3569"/>
      <c r="UJK3569"/>
      <c r="UJL3569"/>
      <c r="UJM3569"/>
      <c r="UJN3569"/>
      <c r="UJO3569"/>
      <c r="UJP3569"/>
      <c r="UJQ3569"/>
      <c r="UJR3569"/>
      <c r="UJS3569"/>
      <c r="UJT3569"/>
      <c r="UJU3569"/>
      <c r="UJV3569"/>
      <c r="UJW3569"/>
      <c r="UJX3569"/>
      <c r="UJY3569"/>
      <c r="UJZ3569"/>
      <c r="UKA3569"/>
      <c r="UKB3569"/>
      <c r="UKC3569"/>
      <c r="UKD3569"/>
      <c r="UKE3569"/>
      <c r="UKF3569"/>
      <c r="UKG3569"/>
      <c r="UKH3569"/>
      <c r="UKI3569"/>
      <c r="UKJ3569"/>
      <c r="UKK3569"/>
      <c r="UKL3569"/>
      <c r="UKM3569"/>
      <c r="UKN3569"/>
      <c r="UKO3569"/>
      <c r="UKP3569"/>
      <c r="UKQ3569"/>
      <c r="UKR3569"/>
      <c r="UKS3569"/>
      <c r="UKT3569"/>
      <c r="UKU3569"/>
      <c r="UKV3569"/>
      <c r="UKW3569"/>
      <c r="UKX3569"/>
      <c r="UKY3569"/>
      <c r="UKZ3569"/>
      <c r="ULA3569"/>
      <c r="ULB3569"/>
      <c r="ULC3569"/>
      <c r="ULD3569"/>
      <c r="ULE3569"/>
      <c r="ULF3569"/>
      <c r="ULG3569"/>
      <c r="ULH3569"/>
      <c r="ULI3569"/>
      <c r="ULJ3569"/>
      <c r="ULK3569"/>
      <c r="ULL3569"/>
      <c r="ULM3569"/>
      <c r="ULN3569"/>
      <c r="ULO3569"/>
      <c r="ULP3569"/>
      <c r="ULQ3569"/>
      <c r="ULR3569"/>
      <c r="ULS3569"/>
      <c r="ULT3569"/>
      <c r="ULU3569"/>
      <c r="ULV3569"/>
      <c r="ULW3569"/>
      <c r="ULX3569"/>
      <c r="ULY3569"/>
      <c r="ULZ3569"/>
      <c r="UMA3569"/>
      <c r="UMB3569"/>
      <c r="UMC3569"/>
      <c r="UMD3569"/>
      <c r="UME3569"/>
      <c r="UMF3569"/>
      <c r="UMG3569"/>
      <c r="UMH3569"/>
      <c r="UMI3569"/>
      <c r="UMJ3569"/>
      <c r="UMK3569"/>
      <c r="UML3569"/>
      <c r="UMM3569"/>
      <c r="UMN3569"/>
      <c r="UMO3569"/>
      <c r="UMP3569"/>
      <c r="UMQ3569"/>
      <c r="UMR3569"/>
      <c r="UMS3569"/>
      <c r="UMT3569"/>
      <c r="UMU3569"/>
      <c r="UMV3569"/>
      <c r="UMW3569"/>
      <c r="UMX3569"/>
      <c r="UMY3569"/>
      <c r="UMZ3569"/>
      <c r="UNA3569"/>
      <c r="UNB3569"/>
      <c r="UNC3569"/>
      <c r="UND3569"/>
      <c r="UNE3569"/>
      <c r="UNF3569"/>
      <c r="UNG3569"/>
      <c r="UNH3569"/>
      <c r="UNI3569"/>
      <c r="UNJ3569"/>
      <c r="UNK3569"/>
      <c r="UNL3569"/>
      <c r="UNM3569"/>
      <c r="UNN3569"/>
      <c r="UNO3569"/>
      <c r="UNP3569"/>
      <c r="UNQ3569"/>
      <c r="UNR3569"/>
      <c r="UNS3569"/>
      <c r="UNT3569"/>
      <c r="UNU3569"/>
      <c r="UNV3569"/>
      <c r="UNW3569"/>
      <c r="UNX3569"/>
      <c r="UNY3569"/>
      <c r="UNZ3569"/>
      <c r="UOA3569"/>
      <c r="UOB3569"/>
      <c r="UOC3569"/>
      <c r="UOD3569"/>
      <c r="UOE3569"/>
      <c r="UOF3569"/>
      <c r="UOG3569"/>
      <c r="UOH3569"/>
      <c r="UOI3569"/>
      <c r="UOJ3569"/>
      <c r="UOK3569"/>
      <c r="UOL3569"/>
      <c r="UOM3569"/>
      <c r="UON3569"/>
      <c r="UOO3569"/>
      <c r="UOP3569"/>
      <c r="UOQ3569"/>
      <c r="UOR3569"/>
      <c r="UOS3569"/>
      <c r="UOT3569"/>
      <c r="UOU3569"/>
      <c r="UOV3569"/>
      <c r="UOW3569"/>
      <c r="UOX3569"/>
      <c r="UOY3569"/>
      <c r="UOZ3569"/>
      <c r="UPA3569"/>
      <c r="UPB3569"/>
      <c r="UPC3569"/>
      <c r="UPD3569"/>
      <c r="UPE3569"/>
      <c r="UPF3569"/>
      <c r="UPG3569"/>
      <c r="UPH3569"/>
      <c r="UPI3569"/>
      <c r="UPJ3569"/>
      <c r="UPK3569"/>
      <c r="UPL3569"/>
      <c r="UPM3569"/>
      <c r="UPN3569"/>
      <c r="UPO3569"/>
      <c r="UPP3569"/>
      <c r="UPQ3569"/>
      <c r="UPR3569"/>
      <c r="UPS3569"/>
      <c r="UPT3569"/>
      <c r="UPU3569"/>
      <c r="UPV3569"/>
      <c r="UPW3569"/>
      <c r="UPX3569"/>
      <c r="UPY3569"/>
      <c r="UPZ3569"/>
      <c r="UQA3569"/>
      <c r="UQB3569"/>
      <c r="UQC3569"/>
      <c r="UQD3569"/>
      <c r="UQE3569"/>
      <c r="UQF3569"/>
      <c r="UQG3569"/>
      <c r="UQH3569"/>
      <c r="UQI3569"/>
      <c r="UQJ3569"/>
      <c r="UQK3569"/>
      <c r="UQL3569"/>
      <c r="UQM3569"/>
      <c r="UQN3569"/>
      <c r="UQO3569"/>
      <c r="UQP3569"/>
      <c r="UQQ3569"/>
      <c r="UQR3569"/>
      <c r="UQS3569"/>
      <c r="UQT3569"/>
      <c r="UQU3569"/>
      <c r="UQV3569"/>
      <c r="UQW3569"/>
      <c r="UQX3569"/>
      <c r="UQY3569"/>
      <c r="UQZ3569"/>
      <c r="URA3569"/>
      <c r="URB3569"/>
      <c r="URC3569"/>
      <c r="URD3569"/>
      <c r="URE3569"/>
      <c r="URF3569"/>
      <c r="URG3569"/>
      <c r="URH3569"/>
      <c r="URI3569"/>
      <c r="URJ3569"/>
      <c r="URK3569"/>
      <c r="URL3569"/>
      <c r="URM3569"/>
      <c r="URN3569"/>
      <c r="URO3569"/>
      <c r="URP3569"/>
      <c r="URQ3569"/>
      <c r="URR3569"/>
      <c r="URS3569"/>
      <c r="URT3569"/>
      <c r="URU3569"/>
      <c r="URV3569"/>
      <c r="URW3569"/>
      <c r="URX3569"/>
      <c r="URY3569"/>
      <c r="URZ3569"/>
      <c r="USA3569"/>
      <c r="USB3569"/>
      <c r="USC3569"/>
      <c r="USD3569"/>
      <c r="USE3569"/>
      <c r="USF3569"/>
      <c r="USG3569"/>
      <c r="USH3569"/>
      <c r="USI3569"/>
      <c r="USJ3569"/>
      <c r="USK3569"/>
      <c r="USL3569"/>
      <c r="USM3569"/>
      <c r="USN3569"/>
      <c r="USO3569"/>
      <c r="USP3569"/>
      <c r="USQ3569"/>
      <c r="USR3569"/>
      <c r="USS3569"/>
      <c r="UST3569"/>
      <c r="USU3569"/>
      <c r="USV3569"/>
      <c r="USW3569"/>
      <c r="USX3569"/>
      <c r="USY3569"/>
      <c r="USZ3569"/>
      <c r="UTA3569"/>
      <c r="UTB3569"/>
      <c r="UTC3569"/>
      <c r="UTD3569"/>
      <c r="UTE3569"/>
      <c r="UTF3569"/>
      <c r="UTG3569"/>
      <c r="UTH3569"/>
      <c r="UTI3569"/>
      <c r="UTJ3569"/>
      <c r="UTK3569"/>
      <c r="UTL3569"/>
      <c r="UTM3569"/>
      <c r="UTN3569"/>
      <c r="UTO3569"/>
      <c r="UTP3569"/>
      <c r="UTQ3569"/>
      <c r="UTR3569"/>
      <c r="UTS3569"/>
      <c r="UTT3569"/>
      <c r="UTU3569"/>
      <c r="UTV3569"/>
      <c r="UTW3569"/>
      <c r="UTX3569"/>
      <c r="UTY3569"/>
      <c r="UTZ3569"/>
      <c r="UUA3569"/>
      <c r="UUB3569"/>
      <c r="UUC3569"/>
      <c r="UUD3569"/>
      <c r="UUE3569"/>
      <c r="UUF3569"/>
      <c r="UUG3569"/>
      <c r="UUH3569"/>
      <c r="UUI3569"/>
      <c r="UUJ3569"/>
      <c r="UUK3569"/>
      <c r="UUL3569"/>
      <c r="UUM3569"/>
      <c r="UUN3569"/>
      <c r="UUO3569"/>
      <c r="UUP3569"/>
      <c r="UUQ3569"/>
      <c r="UUR3569"/>
      <c r="UUS3569"/>
      <c r="UUT3569"/>
      <c r="UUU3569"/>
      <c r="UUV3569"/>
      <c r="UUW3569"/>
      <c r="UUX3569"/>
      <c r="UUY3569"/>
      <c r="UUZ3569"/>
      <c r="UVA3569"/>
      <c r="UVB3569"/>
      <c r="UVC3569"/>
      <c r="UVD3569"/>
      <c r="UVE3569"/>
      <c r="UVF3569"/>
      <c r="UVG3569"/>
      <c r="UVH3569"/>
      <c r="UVI3569"/>
      <c r="UVJ3569"/>
      <c r="UVK3569"/>
      <c r="UVL3569"/>
      <c r="UVM3569"/>
      <c r="UVN3569"/>
      <c r="UVO3569"/>
      <c r="UVP3569"/>
      <c r="UVQ3569"/>
      <c r="UVR3569"/>
      <c r="UVS3569"/>
      <c r="UVT3569"/>
      <c r="UVU3569"/>
      <c r="UVV3569"/>
      <c r="UVW3569"/>
      <c r="UVX3569"/>
      <c r="UVY3569"/>
      <c r="UVZ3569"/>
      <c r="UWA3569"/>
      <c r="UWB3569"/>
      <c r="UWC3569"/>
      <c r="UWD3569"/>
      <c r="UWE3569"/>
      <c r="UWF3569"/>
      <c r="UWG3569"/>
      <c r="UWH3569"/>
      <c r="UWI3569"/>
      <c r="UWJ3569"/>
      <c r="UWK3569"/>
      <c r="UWL3569"/>
      <c r="UWM3569"/>
      <c r="UWN3569"/>
      <c r="UWO3569"/>
      <c r="UWP3569"/>
      <c r="UWQ3569"/>
      <c r="UWR3569"/>
      <c r="UWS3569"/>
      <c r="UWT3569"/>
      <c r="UWU3569"/>
      <c r="UWV3569"/>
      <c r="UWW3569"/>
      <c r="UWX3569"/>
      <c r="UWY3569"/>
      <c r="UWZ3569"/>
      <c r="UXA3569"/>
      <c r="UXB3569"/>
      <c r="UXC3569"/>
      <c r="UXD3569"/>
      <c r="UXE3569"/>
      <c r="UXF3569"/>
      <c r="UXG3569"/>
      <c r="UXH3569"/>
      <c r="UXI3569"/>
      <c r="UXJ3569"/>
      <c r="UXK3569"/>
      <c r="UXL3569"/>
      <c r="UXM3569"/>
      <c r="UXN3569"/>
      <c r="UXO3569"/>
      <c r="UXP3569"/>
      <c r="UXQ3569"/>
      <c r="UXR3569"/>
      <c r="UXS3569"/>
      <c r="UXT3569"/>
      <c r="UXU3569"/>
      <c r="UXV3569"/>
      <c r="UXW3569"/>
      <c r="UXX3569"/>
      <c r="UXY3569"/>
      <c r="UXZ3569"/>
      <c r="UYA3569"/>
      <c r="UYB3569"/>
      <c r="UYC3569"/>
      <c r="UYD3569"/>
      <c r="UYE3569"/>
      <c r="UYF3569"/>
      <c r="UYG3569"/>
      <c r="UYH3569"/>
      <c r="UYI3569"/>
      <c r="UYJ3569"/>
      <c r="UYK3569"/>
      <c r="UYL3569"/>
      <c r="UYM3569"/>
      <c r="UYN3569"/>
      <c r="UYO3569"/>
      <c r="UYP3569"/>
      <c r="UYQ3569"/>
      <c r="UYR3569"/>
      <c r="UYS3569"/>
      <c r="UYT3569"/>
      <c r="UYU3569"/>
      <c r="UYV3569"/>
      <c r="UYW3569"/>
      <c r="UYX3569"/>
      <c r="UYY3569"/>
      <c r="UYZ3569"/>
      <c r="UZA3569"/>
      <c r="UZB3569"/>
      <c r="UZC3569"/>
      <c r="UZD3569"/>
      <c r="UZE3569"/>
      <c r="UZF3569"/>
      <c r="UZG3569"/>
      <c r="UZH3569"/>
      <c r="UZI3569"/>
      <c r="UZJ3569"/>
      <c r="UZK3569"/>
      <c r="UZL3569"/>
      <c r="UZM3569"/>
      <c r="UZN3569"/>
      <c r="UZO3569"/>
      <c r="UZP3569"/>
      <c r="UZQ3569"/>
      <c r="UZR3569"/>
      <c r="UZS3569"/>
      <c r="UZT3569"/>
      <c r="UZU3569"/>
      <c r="UZV3569"/>
      <c r="UZW3569"/>
      <c r="UZX3569"/>
      <c r="UZY3569"/>
      <c r="UZZ3569"/>
      <c r="VAA3569"/>
      <c r="VAB3569"/>
      <c r="VAC3569"/>
      <c r="VAD3569"/>
      <c r="VAE3569"/>
      <c r="VAF3569"/>
      <c r="VAG3569"/>
      <c r="VAH3569"/>
      <c r="VAI3569"/>
      <c r="VAJ3569"/>
      <c r="VAK3569"/>
      <c r="VAL3569"/>
      <c r="VAM3569"/>
      <c r="VAN3569"/>
      <c r="VAO3569"/>
      <c r="VAP3569"/>
      <c r="VAQ3569"/>
      <c r="VAR3569"/>
      <c r="VAS3569"/>
      <c r="VAT3569"/>
      <c r="VAU3569"/>
      <c r="VAV3569"/>
      <c r="VAW3569"/>
      <c r="VAX3569"/>
      <c r="VAY3569"/>
      <c r="VAZ3569"/>
      <c r="VBA3569"/>
      <c r="VBB3569"/>
      <c r="VBC3569"/>
      <c r="VBD3569"/>
      <c r="VBE3569"/>
      <c r="VBF3569"/>
      <c r="VBG3569"/>
      <c r="VBH3569"/>
      <c r="VBI3569"/>
      <c r="VBJ3569"/>
      <c r="VBK3569"/>
      <c r="VBL3569"/>
      <c r="VBM3569"/>
      <c r="VBN3569"/>
      <c r="VBO3569"/>
      <c r="VBP3569"/>
      <c r="VBQ3569"/>
      <c r="VBR3569"/>
      <c r="VBS3569"/>
      <c r="VBT3569"/>
      <c r="VBU3569"/>
      <c r="VBV3569"/>
      <c r="VBW3569"/>
      <c r="VBX3569"/>
      <c r="VBY3569"/>
      <c r="VBZ3569"/>
      <c r="VCA3569"/>
      <c r="VCB3569"/>
      <c r="VCC3569"/>
      <c r="VCD3569"/>
      <c r="VCE3569"/>
      <c r="VCF3569"/>
      <c r="VCG3569"/>
      <c r="VCH3569"/>
      <c r="VCI3569"/>
      <c r="VCJ3569"/>
      <c r="VCK3569"/>
      <c r="VCL3569"/>
      <c r="VCM3569"/>
      <c r="VCN3569"/>
      <c r="VCO3569"/>
      <c r="VCP3569"/>
      <c r="VCQ3569"/>
      <c r="VCR3569"/>
      <c r="VCS3569"/>
      <c r="VCT3569"/>
      <c r="VCU3569"/>
      <c r="VCV3569"/>
      <c r="VCW3569"/>
      <c r="VCX3569"/>
      <c r="VCY3569"/>
      <c r="VCZ3569"/>
      <c r="VDA3569"/>
      <c r="VDB3569"/>
      <c r="VDC3569"/>
      <c r="VDD3569"/>
      <c r="VDE3569"/>
      <c r="VDF3569"/>
      <c r="VDG3569"/>
      <c r="VDH3569"/>
      <c r="VDI3569"/>
      <c r="VDJ3569"/>
      <c r="VDK3569"/>
      <c r="VDL3569"/>
      <c r="VDM3569"/>
      <c r="VDN3569"/>
      <c r="VDO3569"/>
      <c r="VDP3569"/>
      <c r="VDQ3569"/>
      <c r="VDR3569"/>
      <c r="VDS3569"/>
      <c r="VDT3569"/>
      <c r="VDU3569"/>
      <c r="VDV3569"/>
      <c r="VDW3569"/>
      <c r="VDX3569"/>
      <c r="VDY3569"/>
      <c r="VDZ3569"/>
      <c r="VEA3569"/>
      <c r="VEB3569"/>
      <c r="VEC3569"/>
      <c r="VED3569"/>
      <c r="VEE3569"/>
      <c r="VEF3569"/>
      <c r="VEG3569"/>
      <c r="VEH3569"/>
      <c r="VEI3569"/>
      <c r="VEJ3569"/>
      <c r="VEK3569"/>
      <c r="VEL3569"/>
      <c r="VEM3569"/>
      <c r="VEN3569"/>
      <c r="VEO3569"/>
      <c r="VEP3569"/>
      <c r="VEQ3569"/>
      <c r="VER3569"/>
      <c r="VES3569"/>
      <c r="VET3569"/>
      <c r="VEU3569"/>
      <c r="VEV3569"/>
      <c r="VEW3569"/>
      <c r="VEX3569"/>
      <c r="VEY3569"/>
      <c r="VEZ3569"/>
      <c r="VFA3569"/>
      <c r="VFB3569"/>
      <c r="VFC3569"/>
      <c r="VFD3569"/>
      <c r="VFE3569"/>
      <c r="VFF3569"/>
      <c r="VFG3569"/>
      <c r="VFH3569"/>
      <c r="VFI3569"/>
      <c r="VFJ3569"/>
      <c r="VFK3569"/>
      <c r="VFL3569"/>
      <c r="VFM3569"/>
      <c r="VFN3569"/>
      <c r="VFO3569"/>
      <c r="VFP3569"/>
      <c r="VFQ3569"/>
      <c r="VFR3569"/>
      <c r="VFS3569"/>
      <c r="VFT3569"/>
      <c r="VFU3569"/>
      <c r="VFV3569"/>
      <c r="VFW3569"/>
      <c r="VFX3569"/>
      <c r="VFY3569"/>
      <c r="VFZ3569"/>
      <c r="VGA3569"/>
      <c r="VGB3569"/>
      <c r="VGC3569"/>
      <c r="VGD3569"/>
      <c r="VGE3569"/>
      <c r="VGF3569"/>
      <c r="VGG3569"/>
      <c r="VGH3569"/>
      <c r="VGI3569"/>
      <c r="VGJ3569"/>
      <c r="VGK3569"/>
      <c r="VGL3569"/>
      <c r="VGM3569"/>
      <c r="VGN3569"/>
      <c r="VGO3569"/>
      <c r="VGP3569"/>
      <c r="VGQ3569"/>
      <c r="VGR3569"/>
      <c r="VGS3569"/>
      <c r="VGT3569"/>
      <c r="VGU3569"/>
      <c r="VGV3569"/>
      <c r="VGW3569"/>
      <c r="VGX3569"/>
      <c r="VGY3569"/>
      <c r="VGZ3569"/>
      <c r="VHA3569"/>
      <c r="VHB3569"/>
      <c r="VHC3569"/>
      <c r="VHD3569"/>
      <c r="VHE3569"/>
      <c r="VHF3569"/>
      <c r="VHG3569"/>
      <c r="VHH3569"/>
      <c r="VHI3569"/>
      <c r="VHJ3569"/>
      <c r="VHK3569"/>
      <c r="VHL3569"/>
      <c r="VHM3569"/>
      <c r="VHN3569"/>
      <c r="VHO3569"/>
      <c r="VHP3569"/>
      <c r="VHQ3569"/>
      <c r="VHR3569"/>
      <c r="VHS3569"/>
      <c r="VHT3569"/>
      <c r="VHU3569"/>
      <c r="VHV3569"/>
      <c r="VHW3569"/>
      <c r="VHX3569"/>
      <c r="VHY3569"/>
      <c r="VHZ3569"/>
      <c r="VIA3569"/>
      <c r="VIB3569"/>
      <c r="VIC3569"/>
      <c r="VID3569"/>
      <c r="VIE3569"/>
      <c r="VIF3569"/>
      <c r="VIG3569"/>
      <c r="VIH3569"/>
      <c r="VII3569"/>
      <c r="VIJ3569"/>
      <c r="VIK3569"/>
      <c r="VIL3569"/>
      <c r="VIM3569"/>
      <c r="VIN3569"/>
      <c r="VIO3569"/>
      <c r="VIP3569"/>
      <c r="VIQ3569"/>
      <c r="VIR3569"/>
      <c r="VIS3569"/>
      <c r="VIT3569"/>
      <c r="VIU3569"/>
      <c r="VIV3569"/>
      <c r="VIW3569"/>
      <c r="VIX3569"/>
      <c r="VIY3569"/>
      <c r="VIZ3569"/>
      <c r="VJA3569"/>
      <c r="VJB3569"/>
      <c r="VJC3569"/>
      <c r="VJD3569"/>
      <c r="VJE3569"/>
      <c r="VJF3569"/>
      <c r="VJG3569"/>
      <c r="VJH3569"/>
      <c r="VJI3569"/>
      <c r="VJJ3569"/>
      <c r="VJK3569"/>
      <c r="VJL3569"/>
      <c r="VJM3569"/>
      <c r="VJN3569"/>
      <c r="VJO3569"/>
      <c r="VJP3569"/>
      <c r="VJQ3569"/>
      <c r="VJR3569"/>
      <c r="VJS3569"/>
      <c r="VJT3569"/>
      <c r="VJU3569"/>
      <c r="VJV3569"/>
      <c r="VJW3569"/>
      <c r="VJX3569"/>
      <c r="VJY3569"/>
      <c r="VJZ3569"/>
      <c r="VKA3569"/>
      <c r="VKB3569"/>
      <c r="VKC3569"/>
      <c r="VKD3569"/>
      <c r="VKE3569"/>
      <c r="VKF3569"/>
      <c r="VKG3569"/>
      <c r="VKH3569"/>
      <c r="VKI3569"/>
      <c r="VKJ3569"/>
      <c r="VKK3569"/>
      <c r="VKL3569"/>
      <c r="VKM3569"/>
      <c r="VKN3569"/>
      <c r="VKO3569"/>
      <c r="VKP3569"/>
      <c r="VKQ3569"/>
      <c r="VKR3569"/>
      <c r="VKS3569"/>
      <c r="VKT3569"/>
      <c r="VKU3569"/>
      <c r="VKV3569"/>
      <c r="VKW3569"/>
      <c r="VKX3569"/>
      <c r="VKY3569"/>
      <c r="VKZ3569"/>
      <c r="VLA3569"/>
      <c r="VLB3569"/>
      <c r="VLC3569"/>
      <c r="VLD3569"/>
      <c r="VLE3569"/>
      <c r="VLF3569"/>
      <c r="VLG3569"/>
      <c r="VLH3569"/>
      <c r="VLI3569"/>
      <c r="VLJ3569"/>
      <c r="VLK3569"/>
      <c r="VLL3569"/>
      <c r="VLM3569"/>
      <c r="VLN3569"/>
      <c r="VLO3569"/>
      <c r="VLP3569"/>
      <c r="VLQ3569"/>
      <c r="VLR3569"/>
      <c r="VLS3569"/>
      <c r="VLT3569"/>
      <c r="VLU3569"/>
      <c r="VLV3569"/>
      <c r="VLW3569"/>
      <c r="VLX3569"/>
      <c r="VLY3569"/>
      <c r="VLZ3569"/>
      <c r="VMA3569"/>
      <c r="VMB3569"/>
      <c r="VMC3569"/>
      <c r="VMD3569"/>
      <c r="VME3569"/>
      <c r="VMF3569"/>
      <c r="VMG3569"/>
      <c r="VMH3569"/>
      <c r="VMI3569"/>
      <c r="VMJ3569"/>
      <c r="VMK3569"/>
      <c r="VML3569"/>
      <c r="VMM3569"/>
      <c r="VMN3569"/>
      <c r="VMO3569"/>
      <c r="VMP3569"/>
      <c r="VMQ3569"/>
      <c r="VMR3569"/>
      <c r="VMS3569"/>
      <c r="VMT3569"/>
      <c r="VMU3569"/>
      <c r="VMV3569"/>
      <c r="VMW3569"/>
      <c r="VMX3569"/>
      <c r="VMY3569"/>
      <c r="VMZ3569"/>
      <c r="VNA3569"/>
      <c r="VNB3569"/>
      <c r="VNC3569"/>
      <c r="VND3569"/>
      <c r="VNE3569"/>
      <c r="VNF3569"/>
      <c r="VNG3569"/>
      <c r="VNH3569"/>
      <c r="VNI3569"/>
      <c r="VNJ3569"/>
      <c r="VNK3569"/>
      <c r="VNL3569"/>
      <c r="VNM3569"/>
      <c r="VNN3569"/>
      <c r="VNO3569"/>
      <c r="VNP3569"/>
      <c r="VNQ3569"/>
      <c r="VNR3569"/>
      <c r="VNS3569"/>
      <c r="VNT3569"/>
      <c r="VNU3569"/>
      <c r="VNV3569"/>
      <c r="VNW3569"/>
      <c r="VNX3569"/>
      <c r="VNY3569"/>
      <c r="VNZ3569"/>
      <c r="VOA3569"/>
      <c r="VOB3569"/>
      <c r="VOC3569"/>
      <c r="VOD3569"/>
      <c r="VOE3569"/>
      <c r="VOF3569"/>
      <c r="VOG3569"/>
      <c r="VOH3569"/>
      <c r="VOI3569"/>
      <c r="VOJ3569"/>
      <c r="VOK3569"/>
      <c r="VOL3569"/>
      <c r="VOM3569"/>
      <c r="VON3569"/>
      <c r="VOO3569"/>
      <c r="VOP3569"/>
      <c r="VOQ3569"/>
      <c r="VOR3569"/>
      <c r="VOS3569"/>
      <c r="VOT3569"/>
      <c r="VOU3569"/>
      <c r="VOV3569"/>
      <c r="VOW3569"/>
      <c r="VOX3569"/>
      <c r="VOY3569"/>
      <c r="VOZ3569"/>
      <c r="VPA3569"/>
      <c r="VPB3569"/>
      <c r="VPC3569"/>
      <c r="VPD3569"/>
      <c r="VPE3569"/>
      <c r="VPF3569"/>
      <c r="VPG3569"/>
      <c r="VPH3569"/>
      <c r="VPI3569"/>
      <c r="VPJ3569"/>
      <c r="VPK3569"/>
      <c r="VPL3569"/>
      <c r="VPM3569"/>
      <c r="VPN3569"/>
      <c r="VPO3569"/>
      <c r="VPP3569"/>
      <c r="VPQ3569"/>
      <c r="VPR3569"/>
      <c r="VPS3569"/>
      <c r="VPT3569"/>
      <c r="VPU3569"/>
      <c r="VPV3569"/>
      <c r="VPW3569"/>
      <c r="VPX3569"/>
      <c r="VPY3569"/>
      <c r="VPZ3569"/>
      <c r="VQA3569"/>
      <c r="VQB3569"/>
      <c r="VQC3569"/>
      <c r="VQD3569"/>
      <c r="VQE3569"/>
      <c r="VQF3569"/>
      <c r="VQG3569"/>
      <c r="VQH3569"/>
      <c r="VQI3569"/>
      <c r="VQJ3569"/>
      <c r="VQK3569"/>
      <c r="VQL3569"/>
      <c r="VQM3569"/>
      <c r="VQN3569"/>
      <c r="VQO3569"/>
      <c r="VQP3569"/>
      <c r="VQQ3569"/>
      <c r="VQR3569"/>
      <c r="VQS3569"/>
      <c r="VQT3569"/>
      <c r="VQU3569"/>
      <c r="VQV3569"/>
      <c r="VQW3569"/>
      <c r="VQX3569"/>
      <c r="VQY3569"/>
      <c r="VQZ3569"/>
      <c r="VRA3569"/>
      <c r="VRB3569"/>
      <c r="VRC3569"/>
      <c r="VRD3569"/>
      <c r="VRE3569"/>
      <c r="VRF3569"/>
      <c r="VRG3569"/>
      <c r="VRH3569"/>
      <c r="VRI3569"/>
      <c r="VRJ3569"/>
      <c r="VRK3569"/>
      <c r="VRL3569"/>
      <c r="VRM3569"/>
      <c r="VRN3569"/>
      <c r="VRO3569"/>
      <c r="VRP3569"/>
      <c r="VRQ3569"/>
      <c r="VRR3569"/>
      <c r="VRS3569"/>
      <c r="VRT3569"/>
      <c r="VRU3569"/>
      <c r="VRV3569"/>
      <c r="VRW3569"/>
      <c r="VRX3569"/>
      <c r="VRY3569"/>
      <c r="VRZ3569"/>
      <c r="VSA3569"/>
      <c r="VSB3569"/>
      <c r="VSC3569"/>
      <c r="VSD3569"/>
      <c r="VSE3569"/>
      <c r="VSF3569"/>
      <c r="VSG3569"/>
      <c r="VSH3569"/>
      <c r="VSI3569"/>
      <c r="VSJ3569"/>
      <c r="VSK3569"/>
      <c r="VSL3569"/>
      <c r="VSM3569"/>
      <c r="VSN3569"/>
      <c r="VSO3569"/>
      <c r="VSP3569"/>
      <c r="VSQ3569"/>
      <c r="VSR3569"/>
      <c r="VSS3569"/>
      <c r="VST3569"/>
      <c r="VSU3569"/>
      <c r="VSV3569"/>
      <c r="VSW3569"/>
      <c r="VSX3569"/>
      <c r="VSY3569"/>
      <c r="VSZ3569"/>
      <c r="VTA3569"/>
      <c r="VTB3569"/>
      <c r="VTC3569"/>
      <c r="VTD3569"/>
      <c r="VTE3569"/>
      <c r="VTF3569"/>
      <c r="VTG3569"/>
      <c r="VTH3569"/>
      <c r="VTI3569"/>
      <c r="VTJ3569"/>
      <c r="VTK3569"/>
      <c r="VTL3569"/>
      <c r="VTM3569"/>
      <c r="VTN3569"/>
      <c r="VTO3569"/>
      <c r="VTP3569"/>
      <c r="VTQ3569"/>
      <c r="VTR3569"/>
      <c r="VTS3569"/>
      <c r="VTT3569"/>
      <c r="VTU3569"/>
      <c r="VTV3569"/>
      <c r="VTW3569"/>
      <c r="VTX3569"/>
      <c r="VTY3569"/>
      <c r="VTZ3569"/>
      <c r="VUA3569"/>
      <c r="VUB3569"/>
      <c r="VUC3569"/>
      <c r="VUD3569"/>
      <c r="VUE3569"/>
      <c r="VUF3569"/>
      <c r="VUG3569"/>
      <c r="VUH3569"/>
      <c r="VUI3569"/>
      <c r="VUJ3569"/>
      <c r="VUK3569"/>
      <c r="VUL3569"/>
      <c r="VUM3569"/>
      <c r="VUN3569"/>
      <c r="VUO3569"/>
      <c r="VUP3569"/>
      <c r="VUQ3569"/>
      <c r="VUR3569"/>
      <c r="VUS3569"/>
      <c r="VUT3569"/>
      <c r="VUU3569"/>
      <c r="VUV3569"/>
      <c r="VUW3569"/>
      <c r="VUX3569"/>
      <c r="VUY3569"/>
      <c r="VUZ3569"/>
      <c r="VVA3569"/>
      <c r="VVB3569"/>
      <c r="VVC3569"/>
      <c r="VVD3569"/>
      <c r="VVE3569"/>
      <c r="VVF3569"/>
      <c r="VVG3569"/>
      <c r="VVH3569"/>
      <c r="VVI3569"/>
      <c r="VVJ3569"/>
      <c r="VVK3569"/>
      <c r="VVL3569"/>
      <c r="VVM3569"/>
      <c r="VVN3569"/>
      <c r="VVO3569"/>
      <c r="VVP3569"/>
      <c r="VVQ3569"/>
      <c r="VVR3569"/>
      <c r="VVS3569"/>
      <c r="VVT3569"/>
      <c r="VVU3569"/>
      <c r="VVV3569"/>
      <c r="VVW3569"/>
      <c r="VVX3569"/>
      <c r="VVY3569"/>
      <c r="VVZ3569"/>
      <c r="VWA3569"/>
      <c r="VWB3569"/>
      <c r="VWC3569"/>
      <c r="VWD3569"/>
      <c r="VWE3569"/>
      <c r="VWF3569"/>
      <c r="VWG3569"/>
      <c r="VWH3569"/>
      <c r="VWI3569"/>
      <c r="VWJ3569"/>
      <c r="VWK3569"/>
      <c r="VWL3569"/>
      <c r="VWM3569"/>
      <c r="VWN3569"/>
      <c r="VWO3569"/>
      <c r="VWP3569"/>
      <c r="VWQ3569"/>
      <c r="VWR3569"/>
      <c r="VWS3569"/>
      <c r="VWT3569"/>
      <c r="VWU3569"/>
      <c r="VWV3569"/>
      <c r="VWW3569"/>
      <c r="VWX3569"/>
      <c r="VWY3569"/>
      <c r="VWZ3569"/>
      <c r="VXA3569"/>
      <c r="VXB3569"/>
      <c r="VXC3569"/>
      <c r="VXD3569"/>
      <c r="VXE3569"/>
      <c r="VXF3569"/>
      <c r="VXG3569"/>
      <c r="VXH3569"/>
      <c r="VXI3569"/>
      <c r="VXJ3569"/>
      <c r="VXK3569"/>
      <c r="VXL3569"/>
      <c r="VXM3569"/>
      <c r="VXN3569"/>
      <c r="VXO3569"/>
      <c r="VXP3569"/>
      <c r="VXQ3569"/>
      <c r="VXR3569"/>
      <c r="VXS3569"/>
      <c r="VXT3569"/>
      <c r="VXU3569"/>
      <c r="VXV3569"/>
      <c r="VXW3569"/>
      <c r="VXX3569"/>
      <c r="VXY3569"/>
      <c r="VXZ3569"/>
      <c r="VYA3569"/>
      <c r="VYB3569"/>
      <c r="VYC3569"/>
      <c r="VYD3569"/>
      <c r="VYE3569"/>
      <c r="VYF3569"/>
      <c r="VYG3569"/>
      <c r="VYH3569"/>
      <c r="VYI3569"/>
      <c r="VYJ3569"/>
      <c r="VYK3569"/>
      <c r="VYL3569"/>
      <c r="VYM3569"/>
      <c r="VYN3569"/>
      <c r="VYO3569"/>
      <c r="VYP3569"/>
      <c r="VYQ3569"/>
      <c r="VYR3569"/>
      <c r="VYS3569"/>
      <c r="VYT3569"/>
      <c r="VYU3569"/>
      <c r="VYV3569"/>
      <c r="VYW3569"/>
      <c r="VYX3569"/>
      <c r="VYY3569"/>
      <c r="VYZ3569"/>
      <c r="VZA3569"/>
      <c r="VZB3569"/>
      <c r="VZC3569"/>
      <c r="VZD3569"/>
      <c r="VZE3569"/>
      <c r="VZF3569"/>
      <c r="VZG3569"/>
      <c r="VZH3569"/>
      <c r="VZI3569"/>
      <c r="VZJ3569"/>
      <c r="VZK3569"/>
      <c r="VZL3569"/>
      <c r="VZM3569"/>
      <c r="VZN3569"/>
      <c r="VZO3569"/>
      <c r="VZP3569"/>
      <c r="VZQ3569"/>
      <c r="VZR3569"/>
      <c r="VZS3569"/>
      <c r="VZT3569"/>
      <c r="VZU3569"/>
      <c r="VZV3569"/>
      <c r="VZW3569"/>
      <c r="VZX3569"/>
      <c r="VZY3569"/>
      <c r="VZZ3569"/>
      <c r="WAA3569"/>
      <c r="WAB3569"/>
      <c r="WAC3569"/>
      <c r="WAD3569"/>
      <c r="WAE3569"/>
      <c r="WAF3569"/>
      <c r="WAG3569"/>
      <c r="WAH3569"/>
      <c r="WAI3569"/>
      <c r="WAJ3569"/>
      <c r="WAK3569"/>
      <c r="WAL3569"/>
      <c r="WAM3569"/>
      <c r="WAN3569"/>
      <c r="WAO3569"/>
      <c r="WAP3569"/>
      <c r="WAQ3569"/>
      <c r="WAR3569"/>
      <c r="WAS3569"/>
      <c r="WAT3569"/>
      <c r="WAU3569"/>
      <c r="WAV3569"/>
      <c r="WAW3569"/>
      <c r="WAX3569"/>
      <c r="WAY3569"/>
      <c r="WAZ3569"/>
      <c r="WBA3569"/>
      <c r="WBB3569"/>
      <c r="WBC3569"/>
      <c r="WBD3569"/>
      <c r="WBE3569"/>
      <c r="WBF3569"/>
      <c r="WBG3569"/>
      <c r="WBH3569"/>
      <c r="WBI3569"/>
      <c r="WBJ3569"/>
      <c r="WBK3569"/>
      <c r="WBL3569"/>
      <c r="WBM3569"/>
      <c r="WBN3569"/>
      <c r="WBO3569"/>
      <c r="WBP3569"/>
      <c r="WBQ3569"/>
      <c r="WBR3569"/>
      <c r="WBS3569"/>
      <c r="WBT3569"/>
      <c r="WBU3569"/>
      <c r="WBV3569"/>
      <c r="WBW3569"/>
      <c r="WBX3569"/>
      <c r="WBY3569"/>
      <c r="WBZ3569"/>
      <c r="WCA3569"/>
      <c r="WCB3569"/>
      <c r="WCC3569"/>
      <c r="WCD3569"/>
      <c r="WCE3569"/>
      <c r="WCF3569"/>
      <c r="WCG3569"/>
      <c r="WCH3569"/>
      <c r="WCI3569"/>
      <c r="WCJ3569"/>
      <c r="WCK3569"/>
      <c r="WCL3569"/>
      <c r="WCM3569"/>
      <c r="WCN3569"/>
      <c r="WCO3569"/>
      <c r="WCP3569"/>
      <c r="WCQ3569"/>
      <c r="WCR3569"/>
      <c r="WCS3569"/>
      <c r="WCT3569"/>
      <c r="WCU3569"/>
      <c r="WCV3569"/>
      <c r="WCW3569"/>
      <c r="WCX3569"/>
      <c r="WCY3569"/>
      <c r="WCZ3569"/>
      <c r="WDA3569"/>
      <c r="WDB3569"/>
      <c r="WDC3569"/>
      <c r="WDD3569"/>
      <c r="WDE3569"/>
      <c r="WDF3569"/>
      <c r="WDG3569"/>
      <c r="WDH3569"/>
      <c r="WDI3569"/>
      <c r="WDJ3569"/>
      <c r="WDK3569"/>
      <c r="WDL3569"/>
      <c r="WDM3569"/>
      <c r="WDN3569"/>
      <c r="WDO3569"/>
      <c r="WDP3569"/>
      <c r="WDQ3569"/>
      <c r="WDR3569"/>
      <c r="WDS3569"/>
      <c r="WDT3569"/>
      <c r="WDU3569"/>
      <c r="WDV3569"/>
      <c r="WDW3569"/>
      <c r="WDX3569"/>
      <c r="WDY3569"/>
      <c r="WDZ3569"/>
      <c r="WEA3569"/>
      <c r="WEB3569"/>
      <c r="WEC3569"/>
      <c r="WED3569"/>
      <c r="WEE3569"/>
      <c r="WEF3569"/>
      <c r="WEG3569"/>
      <c r="WEH3569"/>
      <c r="WEI3569"/>
      <c r="WEJ3569"/>
      <c r="WEK3569"/>
      <c r="WEL3569"/>
      <c r="WEM3569"/>
      <c r="WEN3569"/>
      <c r="WEO3569"/>
      <c r="WEP3569"/>
      <c r="WEQ3569"/>
      <c r="WER3569"/>
      <c r="WES3569"/>
      <c r="WET3569"/>
      <c r="WEU3569"/>
      <c r="WEV3569"/>
      <c r="WEW3569"/>
      <c r="WEX3569"/>
      <c r="WEY3569"/>
      <c r="WEZ3569"/>
      <c r="WFA3569"/>
      <c r="WFB3569"/>
      <c r="WFC3569"/>
      <c r="WFD3569"/>
      <c r="WFE3569"/>
      <c r="WFF3569"/>
      <c r="WFG3569"/>
      <c r="WFH3569"/>
      <c r="WFI3569"/>
      <c r="WFJ3569"/>
      <c r="WFK3569"/>
      <c r="WFL3569"/>
      <c r="WFM3569"/>
      <c r="WFN3569"/>
      <c r="WFO3569"/>
      <c r="WFP3569"/>
      <c r="WFQ3569"/>
      <c r="WFR3569"/>
      <c r="WFS3569"/>
      <c r="WFT3569"/>
      <c r="WFU3569"/>
      <c r="WFV3569"/>
      <c r="WFW3569"/>
      <c r="WFX3569"/>
      <c r="WFY3569"/>
      <c r="WFZ3569"/>
      <c r="WGA3569"/>
      <c r="WGB3569"/>
      <c r="WGC3569"/>
      <c r="WGD3569"/>
      <c r="WGE3569"/>
      <c r="WGF3569"/>
      <c r="WGG3569"/>
      <c r="WGH3569"/>
      <c r="WGI3569"/>
      <c r="WGJ3569"/>
      <c r="WGK3569"/>
      <c r="WGL3569"/>
      <c r="WGM3569"/>
      <c r="WGN3569"/>
      <c r="WGO3569"/>
      <c r="WGP3569"/>
      <c r="WGQ3569"/>
      <c r="WGR3569"/>
      <c r="WGS3569"/>
      <c r="WGT3569"/>
      <c r="WGU3569"/>
      <c r="WGV3569"/>
      <c r="WGW3569"/>
      <c r="WGX3569"/>
      <c r="WGY3569"/>
      <c r="WGZ3569"/>
      <c r="WHA3569"/>
      <c r="WHB3569"/>
      <c r="WHC3569"/>
      <c r="WHD3569"/>
      <c r="WHE3569"/>
      <c r="WHF3569"/>
      <c r="WHG3569"/>
      <c r="WHH3569"/>
      <c r="WHI3569"/>
      <c r="WHJ3569"/>
      <c r="WHK3569"/>
      <c r="WHL3569"/>
      <c r="WHM3569"/>
      <c r="WHN3569"/>
      <c r="WHO3569"/>
      <c r="WHP3569"/>
      <c r="WHQ3569"/>
      <c r="WHR3569"/>
      <c r="WHS3569"/>
      <c r="WHT3569"/>
      <c r="WHU3569"/>
      <c r="WHV3569"/>
      <c r="WHW3569"/>
      <c r="WHX3569"/>
      <c r="WHY3569"/>
      <c r="WHZ3569"/>
      <c r="WIA3569"/>
      <c r="WIB3569"/>
      <c r="WIC3569"/>
      <c r="WID3569"/>
      <c r="WIE3569"/>
      <c r="WIF3569"/>
      <c r="WIG3569"/>
      <c r="WIH3569"/>
      <c r="WII3569"/>
      <c r="WIJ3569"/>
      <c r="WIK3569"/>
      <c r="WIL3569"/>
      <c r="WIM3569"/>
      <c r="WIN3569"/>
      <c r="WIO3569"/>
      <c r="WIP3569"/>
      <c r="WIQ3569"/>
      <c r="WIR3569"/>
      <c r="WIS3569"/>
      <c r="WIT3569"/>
      <c r="WIU3569"/>
      <c r="WIV3569"/>
      <c r="WIW3569"/>
      <c r="WIX3569"/>
      <c r="WIY3569"/>
      <c r="WIZ3569"/>
      <c r="WJA3569"/>
      <c r="WJB3569"/>
      <c r="WJC3569"/>
      <c r="WJD3569"/>
      <c r="WJE3569"/>
      <c r="WJF3569"/>
      <c r="WJG3569"/>
      <c r="WJH3569"/>
      <c r="WJI3569"/>
      <c r="WJJ3569"/>
      <c r="WJK3569"/>
      <c r="WJL3569"/>
      <c r="WJM3569"/>
      <c r="WJN3569"/>
      <c r="WJO3569"/>
      <c r="WJP3569"/>
      <c r="WJQ3569"/>
      <c r="WJR3569"/>
      <c r="WJS3569"/>
      <c r="WJT3569"/>
      <c r="WJU3569"/>
      <c r="WJV3569"/>
      <c r="WJW3569"/>
      <c r="WJX3569"/>
      <c r="WJY3569"/>
      <c r="WJZ3569"/>
      <c r="WKA3569"/>
      <c r="WKB3569"/>
      <c r="WKC3569"/>
      <c r="WKD3569"/>
      <c r="WKE3569"/>
      <c r="WKF3569"/>
      <c r="WKG3569"/>
      <c r="WKH3569"/>
      <c r="WKI3569"/>
      <c r="WKJ3569"/>
      <c r="WKK3569"/>
      <c r="WKL3569"/>
      <c r="WKM3569"/>
      <c r="WKN3569"/>
      <c r="WKO3569"/>
      <c r="WKP3569"/>
      <c r="WKQ3569"/>
      <c r="WKR3569"/>
      <c r="WKS3569"/>
      <c r="WKT3569"/>
      <c r="WKU3569"/>
      <c r="WKV3569"/>
      <c r="WKW3569"/>
      <c r="WKX3569"/>
      <c r="WKY3569"/>
      <c r="WKZ3569"/>
      <c r="WLA3569"/>
      <c r="WLB3569"/>
      <c r="WLC3569"/>
      <c r="WLD3569"/>
      <c r="WLE3569"/>
      <c r="WLF3569"/>
      <c r="WLG3569"/>
      <c r="WLH3569"/>
      <c r="WLI3569"/>
      <c r="WLJ3569"/>
      <c r="WLK3569"/>
      <c r="WLL3569"/>
      <c r="WLM3569"/>
      <c r="WLN3569"/>
      <c r="WLO3569"/>
      <c r="WLP3569"/>
      <c r="WLQ3569"/>
      <c r="WLR3569"/>
      <c r="WLS3569"/>
      <c r="WLT3569"/>
      <c r="WLU3569"/>
      <c r="WLV3569"/>
      <c r="WLW3569"/>
      <c r="WLX3569"/>
      <c r="WLY3569"/>
      <c r="WLZ3569"/>
      <c r="WMA3569"/>
      <c r="WMB3569"/>
      <c r="WMC3569"/>
      <c r="WMD3569"/>
      <c r="WME3569"/>
      <c r="WMF3569"/>
      <c r="WMG3569"/>
      <c r="WMH3569"/>
      <c r="WMI3569"/>
      <c r="WMJ3569"/>
      <c r="WMK3569"/>
      <c r="WML3569"/>
      <c r="WMM3569"/>
      <c r="WMN3569"/>
      <c r="WMO3569"/>
      <c r="WMP3569"/>
      <c r="WMQ3569"/>
      <c r="WMR3569"/>
      <c r="WMS3569"/>
      <c r="WMT3569"/>
      <c r="WMU3569"/>
      <c r="WMV3569"/>
      <c r="WMW3569"/>
      <c r="WMX3569"/>
      <c r="WMY3569"/>
      <c r="WMZ3569"/>
      <c r="WNA3569"/>
      <c r="WNB3569"/>
      <c r="WNC3569"/>
      <c r="WND3569"/>
      <c r="WNE3569"/>
      <c r="WNF3569"/>
      <c r="WNG3569"/>
      <c r="WNH3569"/>
      <c r="WNI3569"/>
      <c r="WNJ3569"/>
      <c r="WNK3569"/>
      <c r="WNL3569"/>
      <c r="WNM3569"/>
      <c r="WNN3569"/>
      <c r="WNO3569"/>
      <c r="WNP3569"/>
      <c r="WNQ3569"/>
      <c r="WNR3569"/>
      <c r="WNS3569"/>
      <c r="WNT3569"/>
      <c r="WNU3569"/>
      <c r="WNV3569"/>
      <c r="WNW3569"/>
      <c r="WNX3569"/>
      <c r="WNY3569"/>
      <c r="WNZ3569"/>
      <c r="WOA3569"/>
      <c r="WOB3569"/>
      <c r="WOC3569"/>
      <c r="WOD3569"/>
      <c r="WOE3569"/>
      <c r="WOF3569"/>
      <c r="WOG3569"/>
      <c r="WOH3569"/>
      <c r="WOI3569"/>
      <c r="WOJ3569"/>
      <c r="WOK3569"/>
      <c r="WOL3569"/>
      <c r="WOM3569"/>
      <c r="WON3569"/>
      <c r="WOO3569"/>
      <c r="WOP3569"/>
      <c r="WOQ3569"/>
      <c r="WOR3569"/>
      <c r="WOS3569"/>
      <c r="WOT3569"/>
      <c r="WOU3569"/>
      <c r="WOV3569"/>
      <c r="WOW3569"/>
      <c r="WOX3569"/>
      <c r="WOY3569"/>
      <c r="WOZ3569"/>
      <c r="WPA3569"/>
      <c r="WPB3569"/>
      <c r="WPC3569"/>
      <c r="WPD3569"/>
      <c r="WPE3569"/>
      <c r="WPF3569"/>
      <c r="WPG3569"/>
      <c r="WPH3569"/>
      <c r="WPI3569"/>
      <c r="WPJ3569"/>
      <c r="WPK3569"/>
      <c r="WPL3569"/>
      <c r="WPM3569"/>
      <c r="WPN3569"/>
      <c r="WPO3569"/>
      <c r="WPP3569"/>
      <c r="WPQ3569"/>
      <c r="WPR3569"/>
      <c r="WPS3569"/>
      <c r="WPT3569"/>
      <c r="WPU3569"/>
      <c r="WPV3569"/>
      <c r="WPW3569"/>
      <c r="WPX3569"/>
      <c r="WPY3569"/>
      <c r="WPZ3569"/>
      <c r="WQA3569"/>
      <c r="WQB3569"/>
      <c r="WQC3569"/>
      <c r="WQD3569"/>
      <c r="WQE3569"/>
      <c r="WQF3569"/>
      <c r="WQG3569"/>
      <c r="WQH3569"/>
      <c r="WQI3569"/>
      <c r="WQJ3569"/>
      <c r="WQK3569"/>
      <c r="WQL3569"/>
      <c r="WQM3569"/>
      <c r="WQN3569"/>
      <c r="WQO3569"/>
      <c r="WQP3569"/>
      <c r="WQQ3569"/>
      <c r="WQR3569"/>
      <c r="WQS3569"/>
      <c r="WQT3569"/>
      <c r="WQU3569"/>
      <c r="WQV3569"/>
      <c r="WQW3569"/>
      <c r="WQX3569"/>
      <c r="WQY3569"/>
      <c r="WQZ3569"/>
      <c r="WRA3569"/>
      <c r="WRB3569"/>
      <c r="WRC3569"/>
      <c r="WRD3569"/>
      <c r="WRE3569"/>
      <c r="WRF3569"/>
      <c r="WRG3569"/>
      <c r="WRH3569"/>
      <c r="WRI3569"/>
      <c r="WRJ3569"/>
      <c r="WRK3569"/>
      <c r="WRL3569"/>
      <c r="WRM3569"/>
      <c r="WRN3569"/>
      <c r="WRO3569"/>
      <c r="WRP3569"/>
      <c r="WRQ3569"/>
      <c r="WRR3569"/>
      <c r="WRS3569"/>
      <c r="WRT3569"/>
      <c r="WRU3569"/>
      <c r="WRV3569"/>
      <c r="WRW3569"/>
      <c r="WRX3569"/>
      <c r="WRY3569"/>
      <c r="WRZ3569"/>
      <c r="WSA3569"/>
      <c r="WSB3569"/>
      <c r="WSC3569"/>
      <c r="WSD3569"/>
      <c r="WSE3569"/>
      <c r="WSF3569"/>
      <c r="WSG3569"/>
      <c r="WSH3569"/>
      <c r="WSI3569"/>
      <c r="WSJ3569"/>
      <c r="WSK3569"/>
      <c r="WSL3569"/>
      <c r="WSM3569"/>
      <c r="WSN3569"/>
      <c r="WSO3569"/>
      <c r="WSP3569"/>
      <c r="WSQ3569"/>
      <c r="WSR3569"/>
      <c r="WSS3569"/>
      <c r="WST3569"/>
      <c r="WSU3569"/>
      <c r="WSV3569"/>
      <c r="WSW3569"/>
      <c r="WSX3569"/>
      <c r="WSY3569"/>
      <c r="WSZ3569"/>
      <c r="WTA3569"/>
      <c r="WTB3569"/>
      <c r="WTC3569"/>
      <c r="WTD3569"/>
      <c r="WTE3569"/>
      <c r="WTF3569"/>
      <c r="WTG3569"/>
      <c r="WTH3569"/>
      <c r="WTI3569"/>
      <c r="WTJ3569"/>
      <c r="WTK3569"/>
      <c r="WTL3569"/>
      <c r="WTM3569"/>
      <c r="WTN3569"/>
      <c r="WTO3569"/>
      <c r="WTP3569"/>
      <c r="WTQ3569"/>
      <c r="WTR3569"/>
      <c r="WTS3569"/>
      <c r="WTT3569"/>
      <c r="WTU3569"/>
      <c r="WTV3569"/>
      <c r="WTW3569"/>
      <c r="WTX3569"/>
      <c r="WTY3569"/>
      <c r="WTZ3569"/>
      <c r="WUA3569"/>
      <c r="WUB3569"/>
      <c r="WUC3569"/>
      <c r="WUD3569"/>
      <c r="WUE3569"/>
      <c r="WUF3569"/>
      <c r="WUG3569"/>
      <c r="WUH3569"/>
      <c r="WUI3569"/>
      <c r="WUJ3569"/>
      <c r="WUK3569"/>
      <c r="WUL3569"/>
      <c r="WUM3569"/>
      <c r="WUN3569"/>
      <c r="WUO3569"/>
      <c r="WUP3569"/>
      <c r="WUQ3569"/>
      <c r="WUR3569"/>
      <c r="WUS3569"/>
      <c r="WUT3569"/>
      <c r="WUU3569"/>
      <c r="WUV3569"/>
      <c r="WUW3569"/>
      <c r="WUX3569"/>
      <c r="WUY3569"/>
      <c r="WUZ3569"/>
      <c r="WVA3569"/>
      <c r="WVB3569"/>
      <c r="WVC3569"/>
      <c r="WVD3569"/>
      <c r="WVE3569"/>
      <c r="WVF3569"/>
      <c r="WVG3569"/>
      <c r="WVH3569"/>
      <c r="WVI3569"/>
      <c r="WVJ3569"/>
      <c r="WVK3569"/>
      <c r="WVL3569"/>
      <c r="WVM3569"/>
      <c r="WVN3569"/>
      <c r="WVO3569"/>
      <c r="WVP3569"/>
      <c r="WVQ3569"/>
      <c r="WVR3569"/>
      <c r="WVS3569"/>
      <c r="WVT3569"/>
      <c r="WVU3569"/>
      <c r="WVV3569"/>
      <c r="WVW3569"/>
      <c r="WVX3569"/>
      <c r="WVY3569"/>
      <c r="WVZ3569"/>
      <c r="WWA3569"/>
      <c r="WWB3569"/>
      <c r="WWC3569"/>
      <c r="WWD3569"/>
      <c r="WWE3569"/>
      <c r="WWF3569"/>
      <c r="WWG3569"/>
      <c r="WWH3569"/>
      <c r="WWI3569"/>
      <c r="WWJ3569"/>
      <c r="WWK3569"/>
      <c r="WWL3569"/>
      <c r="WWM3569"/>
      <c r="WWN3569"/>
      <c r="WWO3569"/>
      <c r="WWP3569"/>
      <c r="WWQ3569"/>
      <c r="WWR3569"/>
      <c r="WWS3569"/>
      <c r="WWT3569"/>
      <c r="WWU3569"/>
      <c r="WWV3569"/>
      <c r="WWW3569"/>
      <c r="WWX3569"/>
      <c r="WWY3569"/>
      <c r="WWZ3569"/>
      <c r="WXA3569"/>
      <c r="WXB3569"/>
      <c r="WXC3569"/>
      <c r="WXD3569"/>
      <c r="WXE3569"/>
      <c r="WXF3569"/>
      <c r="WXG3569"/>
      <c r="WXH3569"/>
      <c r="WXI3569"/>
      <c r="WXJ3569"/>
      <c r="WXK3569"/>
      <c r="WXL3569"/>
      <c r="WXM3569"/>
      <c r="WXN3569"/>
      <c r="WXO3569"/>
      <c r="WXP3569"/>
      <c r="WXQ3569"/>
      <c r="WXR3569"/>
      <c r="WXS3569"/>
      <c r="WXT3569"/>
      <c r="WXU3569"/>
      <c r="WXV3569"/>
      <c r="WXW3569"/>
      <c r="WXX3569"/>
      <c r="WXY3569"/>
      <c r="WXZ3569"/>
      <c r="WYA3569"/>
      <c r="WYB3569"/>
      <c r="WYC3569"/>
      <c r="WYD3569"/>
      <c r="WYE3569"/>
      <c r="WYF3569"/>
      <c r="WYG3569"/>
      <c r="WYH3569"/>
      <c r="WYI3569"/>
      <c r="WYJ3569"/>
      <c r="WYK3569"/>
      <c r="WYL3569"/>
      <c r="WYM3569"/>
      <c r="WYN3569"/>
      <c r="WYO3569"/>
      <c r="WYP3569"/>
      <c r="WYQ3569"/>
      <c r="WYR3569"/>
      <c r="WYS3569"/>
      <c r="WYT3569"/>
      <c r="WYU3569"/>
      <c r="WYV3569"/>
      <c r="WYW3569"/>
      <c r="WYX3569"/>
      <c r="WYY3569"/>
      <c r="WYZ3569"/>
      <c r="WZA3569"/>
      <c r="WZB3569"/>
      <c r="WZC3569"/>
      <c r="WZD3569"/>
      <c r="WZE3569"/>
      <c r="WZF3569"/>
      <c r="WZG3569"/>
      <c r="WZH3569"/>
      <c r="WZI3569"/>
      <c r="WZJ3569"/>
      <c r="WZK3569"/>
      <c r="WZL3569"/>
      <c r="WZM3569"/>
      <c r="WZN3569"/>
      <c r="WZO3569"/>
      <c r="WZP3569"/>
      <c r="WZQ3569"/>
      <c r="WZR3569"/>
      <c r="WZS3569"/>
      <c r="WZT3569"/>
      <c r="WZU3569"/>
      <c r="WZV3569"/>
      <c r="WZW3569"/>
      <c r="WZX3569"/>
      <c r="WZY3569"/>
      <c r="WZZ3569"/>
      <c r="XAA3569"/>
      <c r="XAB3569"/>
      <c r="XAC3569"/>
      <c r="XAD3569"/>
      <c r="XAE3569"/>
      <c r="XAF3569"/>
      <c r="XAG3569"/>
      <c r="XAH3569"/>
      <c r="XAI3569"/>
      <c r="XAJ3569"/>
      <c r="XAK3569"/>
      <c r="XAL3569"/>
      <c r="XAM3569"/>
      <c r="XAN3569"/>
      <c r="XAO3569"/>
      <c r="XAP3569"/>
      <c r="XAQ3569"/>
      <c r="XAR3569"/>
      <c r="XAS3569"/>
      <c r="XAT3569"/>
      <c r="XAU3569"/>
      <c r="XAV3569"/>
      <c r="XAW3569"/>
      <c r="XAX3569"/>
      <c r="XAY3569"/>
      <c r="XAZ3569"/>
      <c r="XBA3569"/>
      <c r="XBB3569"/>
      <c r="XBC3569"/>
      <c r="XBD3569"/>
      <c r="XBE3569"/>
      <c r="XBF3569"/>
      <c r="XBG3569"/>
      <c r="XBH3569"/>
      <c r="XBI3569"/>
      <c r="XBJ3569"/>
      <c r="XBK3569"/>
      <c r="XBL3569"/>
      <c r="XBM3569"/>
      <c r="XBN3569"/>
      <c r="XBO3569"/>
      <c r="XBP3569"/>
      <c r="XBQ3569"/>
      <c r="XBR3569"/>
      <c r="XBS3569"/>
      <c r="XBT3569"/>
      <c r="XBU3569"/>
      <c r="XBV3569"/>
      <c r="XBW3569"/>
      <c r="XBX3569"/>
      <c r="XBY3569"/>
      <c r="XBZ3569"/>
      <c r="XCA3569"/>
      <c r="XCB3569"/>
      <c r="XCC3569"/>
      <c r="XCD3569"/>
      <c r="XCE3569"/>
      <c r="XCF3569"/>
      <c r="XCG3569"/>
      <c r="XCH3569"/>
      <c r="XCI3569"/>
      <c r="XCJ3569"/>
      <c r="XCK3569"/>
      <c r="XCL3569"/>
      <c r="XCM3569"/>
      <c r="XCN3569"/>
      <c r="XCO3569"/>
      <c r="XCP3569"/>
      <c r="XCQ3569"/>
      <c r="XCR3569"/>
      <c r="XCS3569"/>
      <c r="XCT3569"/>
      <c r="XCU3569"/>
      <c r="XCV3569"/>
      <c r="XCW3569"/>
      <c r="XCX3569"/>
      <c r="XCY3569"/>
      <c r="XCZ3569"/>
      <c r="XDA3569"/>
      <c r="XDB3569"/>
      <c r="XDC3569"/>
      <c r="XDD3569"/>
      <c r="XDE3569"/>
      <c r="XDF3569"/>
      <c r="XDG3569"/>
      <c r="XDH3569"/>
      <c r="XDI3569"/>
      <c r="XDJ3569"/>
      <c r="XDK3569"/>
      <c r="XDL3569"/>
      <c r="XDM3569"/>
      <c r="XDN3569"/>
      <c r="XDO3569"/>
      <c r="XDP3569"/>
      <c r="XDQ3569"/>
      <c r="XDR3569"/>
      <c r="XDS3569"/>
      <c r="XDT3569"/>
      <c r="XDU3569"/>
      <c r="XDV3569"/>
      <c r="XDW3569"/>
      <c r="XDX3569"/>
      <c r="XDY3569"/>
      <c r="XDZ3569"/>
      <c r="XEA3569"/>
      <c r="XEB3569"/>
      <c r="XEC3569"/>
      <c r="XED3569"/>
      <c r="XEE3569"/>
      <c r="XEF3569"/>
      <c r="XEG3569"/>
      <c r="XEH3569"/>
      <c r="XEI3569"/>
      <c r="XEJ3569"/>
      <c r="XEK3569"/>
      <c r="XEL3569"/>
      <c r="XEM3569"/>
    </row>
    <row r="3570" spans="1:16367" s="204" customFormat="1" ht="10.199999999999999">
      <c r="A3570" s="663"/>
      <c r="B3570" s="3130" t="s">
        <v>338</v>
      </c>
      <c r="C3570" s="663" t="s">
        <v>336</v>
      </c>
      <c r="D3570" s="678" t="s">
        <v>1979</v>
      </c>
      <c r="E3570" s="700" t="s">
        <v>430</v>
      </c>
      <c r="F3570" s="795">
        <v>6321</v>
      </c>
      <c r="G3570" s="750" t="s">
        <v>2259</v>
      </c>
      <c r="H3570" s="701"/>
      <c r="I3570" s="701">
        <v>500</v>
      </c>
      <c r="J3570" s="1654" t="s">
        <v>1134</v>
      </c>
      <c r="K3570" s="792"/>
      <c r="L3570" s="714"/>
      <c r="M3570" s="2188">
        <v>350</v>
      </c>
      <c r="N3570" s="305"/>
      <c r="O3570" s="206"/>
      <c r="P3570" s="206"/>
      <c r="Q3570" s="206"/>
      <c r="R3570" s="206"/>
      <c r="S3570" s="206"/>
      <c r="T3570" s="206"/>
      <c r="U3570" s="206"/>
      <c r="V3570" s="206"/>
      <c r="W3570" s="206"/>
      <c r="X3570" s="206"/>
      <c r="Y3570" s="206"/>
      <c r="Z3570" s="206"/>
      <c r="AA3570" s="206"/>
      <c r="AB3570" s="206"/>
      <c r="AC3570" s="206"/>
      <c r="AD3570" s="206"/>
      <c r="AE3570" s="206"/>
      <c r="AF3570" s="206"/>
    </row>
    <row r="3571" spans="1:16367" s="204" customFormat="1" ht="10.199999999999999">
      <c r="A3571" s="683"/>
      <c r="B3571" s="3129" t="s">
        <v>338</v>
      </c>
      <c r="C3571" s="683" t="s">
        <v>336</v>
      </c>
      <c r="D3571" s="719" t="s">
        <v>1979</v>
      </c>
      <c r="E3571" s="720" t="s">
        <v>430</v>
      </c>
      <c r="F3571" s="824">
        <v>6322</v>
      </c>
      <c r="G3571" s="800" t="s">
        <v>1070</v>
      </c>
      <c r="H3571" s="706">
        <v>8000</v>
      </c>
      <c r="I3571" s="706"/>
      <c r="J3571" s="1654">
        <v>3452</v>
      </c>
      <c r="K3571" s="802"/>
      <c r="L3571" s="713">
        <v>8000</v>
      </c>
      <c r="M3571" s="706"/>
      <c r="N3571" s="305"/>
      <c r="O3571" s="206"/>
      <c r="P3571" s="206"/>
      <c r="Q3571" s="206"/>
      <c r="R3571" s="206"/>
      <c r="S3571" s="206"/>
      <c r="T3571" s="206"/>
      <c r="U3571" s="206"/>
      <c r="V3571" s="206"/>
      <c r="W3571" s="206"/>
      <c r="X3571" s="206"/>
      <c r="Y3571" s="206"/>
      <c r="Z3571" s="206"/>
      <c r="AA3571" s="206"/>
      <c r="AB3571" s="206"/>
      <c r="AC3571" s="206"/>
      <c r="AD3571" s="206"/>
      <c r="AE3571" s="206"/>
      <c r="AF3571" s="206"/>
    </row>
    <row r="3572" spans="1:16367" ht="20.399999999999999">
      <c r="A3572" s="663"/>
      <c r="B3572" s="3130" t="s">
        <v>338</v>
      </c>
      <c r="C3572" s="663" t="s">
        <v>336</v>
      </c>
      <c r="D3572" s="678" t="s">
        <v>1979</v>
      </c>
      <c r="E3572" s="700" t="s">
        <v>430</v>
      </c>
      <c r="F3572" s="795">
        <v>6322</v>
      </c>
      <c r="G3572" s="750" t="s">
        <v>2260</v>
      </c>
      <c r="H3572" s="701"/>
      <c r="I3572" s="701">
        <v>8000</v>
      </c>
      <c r="J3572" s="1654" t="s">
        <v>1134</v>
      </c>
      <c r="K3572" s="792"/>
      <c r="L3572" s="714"/>
      <c r="M3572" s="2188">
        <v>8000</v>
      </c>
      <c r="N3572" s="305"/>
      <c r="O3572" s="187"/>
      <c r="P3572" s="187"/>
      <c r="Q3572" s="187"/>
      <c r="R3572" s="187"/>
      <c r="S3572" s="187"/>
      <c r="T3572" s="187"/>
      <c r="U3572" s="187"/>
      <c r="V3572" s="187"/>
      <c r="W3572" s="187"/>
      <c r="X3572" s="187"/>
      <c r="Y3572" s="187"/>
      <c r="Z3572" s="187"/>
      <c r="AA3572" s="187"/>
      <c r="AB3572" s="187"/>
      <c r="AC3572" s="187"/>
      <c r="AD3572" s="187"/>
      <c r="AE3572" s="187"/>
      <c r="AF3572" s="187"/>
    </row>
    <row r="3573" spans="1:16367">
      <c r="A3573" s="683"/>
      <c r="B3573" s="3129" t="s">
        <v>773</v>
      </c>
      <c r="C3573" s="683" t="s">
        <v>336</v>
      </c>
      <c r="D3573" s="719" t="s">
        <v>1979</v>
      </c>
      <c r="E3573" s="720" t="s">
        <v>430</v>
      </c>
      <c r="F3573" s="824">
        <v>6322</v>
      </c>
      <c r="G3573" s="800" t="s">
        <v>287</v>
      </c>
      <c r="H3573" s="706">
        <v>25410</v>
      </c>
      <c r="I3573" s="706"/>
      <c r="J3573" s="1654">
        <v>21884</v>
      </c>
      <c r="K3573" s="802"/>
      <c r="L3573" s="713">
        <v>25830</v>
      </c>
      <c r="M3573" s="706"/>
      <c r="N3573" s="7"/>
      <c r="O3573" s="3"/>
      <c r="P3573" s="3"/>
    </row>
    <row r="3574" spans="1:16367">
      <c r="A3574" s="663"/>
      <c r="B3574" s="3130" t="s">
        <v>773</v>
      </c>
      <c r="C3574" s="663" t="s">
        <v>336</v>
      </c>
      <c r="D3574" s="678" t="s">
        <v>1979</v>
      </c>
      <c r="E3574" s="700" t="s">
        <v>430</v>
      </c>
      <c r="F3574" s="795">
        <v>6322</v>
      </c>
      <c r="G3574" s="750" t="s">
        <v>1605</v>
      </c>
      <c r="H3574" s="701"/>
      <c r="I3574" s="701">
        <v>25410</v>
      </c>
      <c r="J3574" s="1654" t="s">
        <v>1134</v>
      </c>
      <c r="K3574" s="792"/>
      <c r="L3574" s="714"/>
      <c r="M3574" s="2188">
        <v>25830</v>
      </c>
      <c r="N3574" s="7"/>
      <c r="O3574" s="187"/>
      <c r="P3574" s="187"/>
      <c r="Q3574" s="187"/>
      <c r="R3574" s="187"/>
      <c r="S3574" s="187"/>
      <c r="T3574" s="187"/>
      <c r="U3574" s="187"/>
      <c r="V3574" s="187"/>
      <c r="W3574" s="187"/>
      <c r="X3574" s="187"/>
      <c r="Y3574" s="187"/>
      <c r="Z3574" s="187"/>
      <c r="AA3574" s="187"/>
      <c r="AB3574" s="187"/>
      <c r="AC3574" s="187"/>
      <c r="AD3574" s="187"/>
      <c r="AE3574" s="187"/>
      <c r="AF3574" s="187"/>
    </row>
    <row r="3575" spans="1:16367" s="204" customFormat="1" ht="40.950000000000003" customHeight="1">
      <c r="A3575" s="683"/>
      <c r="B3575" s="3129" t="s">
        <v>338</v>
      </c>
      <c r="C3575" s="683" t="s">
        <v>336</v>
      </c>
      <c r="D3575" s="719" t="s">
        <v>1979</v>
      </c>
      <c r="E3575" s="720" t="s">
        <v>430</v>
      </c>
      <c r="F3575" s="824">
        <v>6323</v>
      </c>
      <c r="G3575" s="800" t="s">
        <v>500</v>
      </c>
      <c r="H3575" s="706">
        <v>1000</v>
      </c>
      <c r="I3575" s="706"/>
      <c r="J3575" s="1654">
        <v>10</v>
      </c>
      <c r="K3575" s="802"/>
      <c r="L3575" s="713">
        <v>1000</v>
      </c>
      <c r="M3575" s="706"/>
      <c r="N3575" s="7"/>
      <c r="O3575" s="206"/>
      <c r="P3575" s="206"/>
      <c r="Q3575" s="206"/>
      <c r="R3575" s="206"/>
      <c r="S3575" s="206"/>
      <c r="T3575" s="206"/>
      <c r="U3575" s="206"/>
      <c r="V3575" s="206"/>
      <c r="W3575" s="206"/>
      <c r="X3575" s="206"/>
      <c r="Y3575" s="206"/>
      <c r="Z3575" s="206"/>
      <c r="AA3575" s="206"/>
      <c r="AB3575" s="206"/>
      <c r="AC3575" s="206"/>
      <c r="AD3575" s="206"/>
      <c r="AE3575" s="206"/>
      <c r="AF3575" s="206"/>
    </row>
    <row r="3576" spans="1:16367" s="204" customFormat="1" ht="20.399999999999999">
      <c r="A3576" s="774"/>
      <c r="B3576" s="3137" t="s">
        <v>338</v>
      </c>
      <c r="C3576" s="774" t="s">
        <v>336</v>
      </c>
      <c r="D3576" s="873" t="s">
        <v>1979</v>
      </c>
      <c r="E3576" s="841" t="s">
        <v>430</v>
      </c>
      <c r="F3576" s="2265">
        <v>6323</v>
      </c>
      <c r="G3576" s="750" t="s">
        <v>2261</v>
      </c>
      <c r="H3576" s="1321"/>
      <c r="I3576" s="1321">
        <v>1000</v>
      </c>
      <c r="J3576" s="1654" t="s">
        <v>1134</v>
      </c>
      <c r="K3576" s="802"/>
      <c r="L3576" s="2266"/>
      <c r="M3576" s="2188">
        <v>1000</v>
      </c>
      <c r="N3576" s="7"/>
      <c r="O3576" s="206"/>
      <c r="P3576" s="206"/>
      <c r="Q3576" s="206"/>
      <c r="R3576" s="206"/>
      <c r="S3576" s="206"/>
      <c r="T3576" s="206"/>
      <c r="U3576" s="206"/>
      <c r="V3576" s="206"/>
      <c r="W3576" s="206"/>
      <c r="X3576" s="206"/>
      <c r="Y3576" s="206"/>
      <c r="Z3576" s="206"/>
      <c r="AA3576" s="206"/>
      <c r="AB3576" s="206"/>
      <c r="AC3576" s="206"/>
      <c r="AD3576" s="206"/>
      <c r="AE3576" s="206"/>
      <c r="AF3576" s="206"/>
    </row>
    <row r="3577" spans="1:16367" s="204" customFormat="1" ht="10.199999999999999">
      <c r="A3577" s="683"/>
      <c r="B3577" s="3129" t="s">
        <v>338</v>
      </c>
      <c r="C3577" s="683" t="s">
        <v>336</v>
      </c>
      <c r="D3577" s="719" t="s">
        <v>1979</v>
      </c>
      <c r="E3577" s="720" t="s">
        <v>430</v>
      </c>
      <c r="F3577" s="824">
        <v>6324</v>
      </c>
      <c r="G3577" s="800" t="s">
        <v>501</v>
      </c>
      <c r="H3577" s="706">
        <v>15000</v>
      </c>
      <c r="I3577" s="706"/>
      <c r="J3577" s="1654">
        <v>4747</v>
      </c>
      <c r="K3577" s="802"/>
      <c r="L3577" s="713">
        <v>10000</v>
      </c>
      <c r="M3577" s="706"/>
      <c r="N3577" s="7"/>
      <c r="O3577" s="206"/>
      <c r="P3577" s="206"/>
      <c r="Q3577" s="206"/>
      <c r="R3577" s="206"/>
      <c r="S3577" s="206"/>
      <c r="T3577" s="206"/>
      <c r="U3577" s="206"/>
      <c r="V3577" s="206"/>
      <c r="W3577" s="206"/>
      <c r="X3577" s="206"/>
      <c r="Y3577" s="206"/>
      <c r="Z3577" s="206"/>
      <c r="AA3577" s="206"/>
      <c r="AB3577" s="206"/>
      <c r="AC3577" s="206"/>
      <c r="AD3577" s="206"/>
      <c r="AE3577" s="206"/>
      <c r="AF3577" s="206"/>
    </row>
    <row r="3578" spans="1:16367" s="204" customFormat="1" ht="40.950000000000003" customHeight="1">
      <c r="A3578" s="774"/>
      <c r="B3578" s="3137" t="s">
        <v>338</v>
      </c>
      <c r="C3578" s="774" t="s">
        <v>336</v>
      </c>
      <c r="D3578" s="873" t="s">
        <v>1979</v>
      </c>
      <c r="E3578" s="841" t="s">
        <v>430</v>
      </c>
      <c r="F3578" s="2265">
        <v>6324</v>
      </c>
      <c r="G3578" s="812" t="s">
        <v>907</v>
      </c>
      <c r="H3578" s="1321"/>
      <c r="I3578" s="1321">
        <v>15000</v>
      </c>
      <c r="J3578" s="1654" t="s">
        <v>1134</v>
      </c>
      <c r="K3578" s="802"/>
      <c r="L3578" s="2266"/>
      <c r="M3578" s="2188">
        <v>10000</v>
      </c>
      <c r="N3578" s="359" t="s">
        <v>4880</v>
      </c>
      <c r="O3578" s="206"/>
      <c r="P3578" s="206"/>
      <c r="Q3578" s="206"/>
      <c r="R3578" s="206"/>
      <c r="S3578" s="206"/>
      <c r="T3578" s="206"/>
      <c r="U3578" s="206"/>
      <c r="V3578" s="206"/>
      <c r="W3578" s="206"/>
      <c r="X3578" s="206"/>
      <c r="Y3578" s="206"/>
      <c r="Z3578" s="206"/>
      <c r="AA3578" s="206"/>
      <c r="AB3578" s="206"/>
      <c r="AC3578" s="206"/>
      <c r="AD3578" s="206"/>
      <c r="AE3578" s="206"/>
      <c r="AF3578" s="206"/>
    </row>
    <row r="3579" spans="1:16367" ht="20.399999999999999">
      <c r="A3579" s="683"/>
      <c r="B3579" s="3129" t="s">
        <v>338</v>
      </c>
      <c r="C3579" s="683" t="s">
        <v>336</v>
      </c>
      <c r="D3579" s="719" t="s">
        <v>1979</v>
      </c>
      <c r="E3579" s="720" t="s">
        <v>430</v>
      </c>
      <c r="F3579" s="824">
        <v>6329</v>
      </c>
      <c r="G3579" s="800" t="s">
        <v>288</v>
      </c>
      <c r="H3579" s="706">
        <v>20000</v>
      </c>
      <c r="I3579" s="706"/>
      <c r="J3579" s="1654">
        <v>3744</v>
      </c>
      <c r="K3579" s="802"/>
      <c r="L3579" s="713">
        <v>20000</v>
      </c>
      <c r="M3579" s="706"/>
      <c r="N3579" s="2277"/>
      <c r="O3579" s="187"/>
      <c r="P3579" s="187"/>
      <c r="Q3579" s="187"/>
      <c r="R3579" s="187"/>
      <c r="S3579" s="187"/>
      <c r="T3579" s="187"/>
      <c r="U3579" s="187"/>
      <c r="V3579" s="187"/>
      <c r="W3579" s="187"/>
      <c r="X3579" s="187"/>
      <c r="Y3579" s="187"/>
      <c r="Z3579" s="187"/>
      <c r="AA3579" s="187"/>
      <c r="AB3579" s="187"/>
      <c r="AC3579" s="187"/>
      <c r="AD3579" s="187"/>
      <c r="AE3579" s="187"/>
      <c r="AF3579" s="187"/>
    </row>
    <row r="3580" spans="1:16367" s="204" customFormat="1" ht="40.799999999999997">
      <c r="A3580" s="663"/>
      <c r="B3580" s="3130" t="s">
        <v>338</v>
      </c>
      <c r="C3580" s="663" t="s">
        <v>336</v>
      </c>
      <c r="D3580" s="678" t="s">
        <v>1979</v>
      </c>
      <c r="E3580" s="700" t="s">
        <v>430</v>
      </c>
      <c r="F3580" s="795">
        <v>6329</v>
      </c>
      <c r="G3580" s="2195" t="s">
        <v>4309</v>
      </c>
      <c r="H3580" s="701"/>
      <c r="I3580" s="701">
        <v>20000</v>
      </c>
      <c r="J3580" s="1654" t="s">
        <v>1134</v>
      </c>
      <c r="K3580" s="792"/>
      <c r="L3580" s="714"/>
      <c r="M3580" s="2188">
        <v>20000</v>
      </c>
      <c r="N3580" s="305"/>
      <c r="O3580" s="206"/>
      <c r="P3580" s="206"/>
      <c r="Q3580" s="206"/>
      <c r="R3580" s="206"/>
      <c r="S3580" s="206"/>
      <c r="T3580" s="206"/>
      <c r="U3580" s="206"/>
      <c r="V3580" s="206"/>
      <c r="W3580" s="206"/>
      <c r="X3580" s="206"/>
      <c r="Y3580" s="206"/>
      <c r="Z3580" s="206"/>
      <c r="AA3580" s="206"/>
      <c r="AB3580" s="206"/>
      <c r="AC3580" s="206"/>
      <c r="AD3580" s="206"/>
      <c r="AE3580" s="206"/>
      <c r="AF3580" s="206"/>
    </row>
    <row r="3581" spans="1:16367" s="204" customFormat="1" ht="20.399999999999999">
      <c r="A3581" s="683"/>
      <c r="B3581" s="3129" t="s">
        <v>338</v>
      </c>
      <c r="C3581" s="683" t="s">
        <v>336</v>
      </c>
      <c r="D3581" s="719" t="s">
        <v>1979</v>
      </c>
      <c r="E3581" s="720" t="s">
        <v>430</v>
      </c>
      <c r="F3581" s="824">
        <v>6330</v>
      </c>
      <c r="G3581" s="800" t="s">
        <v>289</v>
      </c>
      <c r="H3581" s="706">
        <v>5500</v>
      </c>
      <c r="I3581" s="706"/>
      <c r="J3581" s="1654">
        <v>562</v>
      </c>
      <c r="K3581" s="802"/>
      <c r="L3581" s="713">
        <v>10720</v>
      </c>
      <c r="M3581" s="706"/>
      <c r="N3581" s="359" t="s">
        <v>4880</v>
      </c>
      <c r="O3581" s="206"/>
      <c r="P3581" s="206"/>
      <c r="Q3581" s="206"/>
      <c r="R3581" s="206"/>
      <c r="S3581" s="206"/>
      <c r="T3581" s="206"/>
      <c r="U3581" s="206"/>
      <c r="V3581" s="206"/>
      <c r="W3581" s="206"/>
      <c r="X3581" s="206"/>
      <c r="Y3581" s="206"/>
      <c r="Z3581" s="206"/>
      <c r="AA3581" s="206"/>
      <c r="AB3581" s="206"/>
      <c r="AC3581" s="206"/>
      <c r="AD3581" s="206"/>
      <c r="AE3581" s="206"/>
      <c r="AF3581" s="206"/>
    </row>
    <row r="3582" spans="1:16367" ht="30.6">
      <c r="A3582" s="663"/>
      <c r="B3582" s="3130" t="s">
        <v>338</v>
      </c>
      <c r="C3582" s="663" t="s">
        <v>336</v>
      </c>
      <c r="D3582" s="678" t="s">
        <v>1979</v>
      </c>
      <c r="E3582" s="700" t="s">
        <v>430</v>
      </c>
      <c r="F3582" s="795">
        <v>6330</v>
      </c>
      <c r="G3582" s="2195" t="s">
        <v>290</v>
      </c>
      <c r="H3582" s="2188"/>
      <c r="I3582" s="2188">
        <v>500</v>
      </c>
      <c r="J3582" s="2191" t="s">
        <v>1134</v>
      </c>
      <c r="K3582" s="2205"/>
      <c r="L3582" s="2199"/>
      <c r="M3582" s="2188">
        <v>720</v>
      </c>
      <c r="N3582" s="2277"/>
      <c r="O3582" s="187"/>
      <c r="P3582" s="187"/>
      <c r="Q3582" s="187"/>
      <c r="R3582" s="187"/>
      <c r="S3582" s="187"/>
      <c r="T3582" s="187"/>
      <c r="U3582" s="187"/>
      <c r="V3582" s="187"/>
      <c r="W3582" s="187"/>
      <c r="X3582" s="187"/>
      <c r="Y3582" s="187"/>
      <c r="Z3582" s="187"/>
      <c r="AA3582" s="187"/>
      <c r="AB3582" s="187"/>
      <c r="AC3582" s="187"/>
      <c r="AD3582" s="187"/>
      <c r="AE3582" s="187"/>
      <c r="AF3582" s="187"/>
    </row>
    <row r="3583" spans="1:16367" s="204" customFormat="1" ht="30.6">
      <c r="A3583" s="663"/>
      <c r="B3583" s="3130" t="s">
        <v>338</v>
      </c>
      <c r="C3583" s="663" t="s">
        <v>336</v>
      </c>
      <c r="D3583" s="678" t="s">
        <v>1979</v>
      </c>
      <c r="E3583" s="700" t="s">
        <v>430</v>
      </c>
      <c r="F3583" s="795">
        <v>6330</v>
      </c>
      <c r="G3583" s="2195" t="s">
        <v>4312</v>
      </c>
      <c r="H3583" s="2188"/>
      <c r="I3583" s="2188">
        <v>5000</v>
      </c>
      <c r="J3583" s="2191" t="s">
        <v>1134</v>
      </c>
      <c r="K3583" s="2205"/>
      <c r="L3583" s="2199"/>
      <c r="M3583" s="2188">
        <v>10000</v>
      </c>
      <c r="N3583" s="305"/>
      <c r="O3583" s="206"/>
      <c r="P3583" s="206"/>
      <c r="Q3583" s="206"/>
      <c r="R3583" s="206"/>
      <c r="S3583" s="206"/>
      <c r="T3583" s="206"/>
      <c r="U3583" s="206"/>
      <c r="V3583" s="206"/>
      <c r="W3583" s="206"/>
      <c r="X3583" s="206"/>
      <c r="Y3583" s="206"/>
      <c r="Z3583" s="206"/>
      <c r="AA3583" s="206"/>
      <c r="AB3583" s="206"/>
      <c r="AC3583" s="206"/>
      <c r="AD3583" s="206"/>
      <c r="AE3583" s="206"/>
      <c r="AF3583" s="206"/>
    </row>
    <row r="3584" spans="1:16367">
      <c r="A3584" s="683"/>
      <c r="B3584" s="3129" t="s">
        <v>338</v>
      </c>
      <c r="C3584" s="683" t="s">
        <v>336</v>
      </c>
      <c r="D3584" s="719" t="s">
        <v>1979</v>
      </c>
      <c r="E3584" s="720" t="s">
        <v>430</v>
      </c>
      <c r="F3584" s="824">
        <v>6360</v>
      </c>
      <c r="G3584" s="800" t="s">
        <v>291</v>
      </c>
      <c r="H3584" s="706">
        <v>100000</v>
      </c>
      <c r="I3584" s="706"/>
      <c r="J3584" s="1654">
        <v>70353</v>
      </c>
      <c r="K3584" s="802"/>
      <c r="L3584" s="713">
        <v>100000</v>
      </c>
      <c r="M3584" s="706"/>
      <c r="N3584" s="305"/>
      <c r="O3584" s="7"/>
      <c r="P3584" s="7"/>
      <c r="Q3584" s="7"/>
      <c r="R3584" s="7"/>
      <c r="S3584" s="7"/>
      <c r="T3584" s="7"/>
      <c r="U3584" s="7"/>
      <c r="V3584" s="7"/>
      <c r="W3584" s="7"/>
      <c r="X3584" s="7"/>
      <c r="Y3584" s="7"/>
      <c r="Z3584" s="7"/>
      <c r="AA3584" s="7"/>
      <c r="AB3584" s="7"/>
      <c r="AC3584" s="7"/>
      <c r="AD3584" s="7"/>
      <c r="AE3584" s="7"/>
      <c r="AF3584" s="7"/>
    </row>
    <row r="3585" spans="1:16367" ht="40.799999999999997">
      <c r="A3585" s="663"/>
      <c r="B3585" s="3130" t="s">
        <v>338</v>
      </c>
      <c r="C3585" s="663" t="s">
        <v>336</v>
      </c>
      <c r="D3585" s="678" t="s">
        <v>1979</v>
      </c>
      <c r="E3585" s="700" t="s">
        <v>430</v>
      </c>
      <c r="F3585" s="795">
        <v>6360</v>
      </c>
      <c r="G3585" s="2195" t="s">
        <v>1606</v>
      </c>
      <c r="H3585" s="2188"/>
      <c r="I3585" s="2188">
        <v>70000</v>
      </c>
      <c r="J3585" s="2191" t="s">
        <v>1134</v>
      </c>
      <c r="K3585" s="2205"/>
      <c r="L3585" s="2199"/>
      <c r="M3585" s="2188">
        <v>70000</v>
      </c>
      <c r="N3585" s="305"/>
      <c r="O3585" s="7"/>
      <c r="P3585" s="7"/>
      <c r="Q3585" s="7"/>
      <c r="R3585" s="7"/>
      <c r="S3585" s="7"/>
      <c r="T3585" s="7"/>
      <c r="U3585" s="7"/>
      <c r="V3585" s="7"/>
      <c r="W3585" s="7"/>
      <c r="X3585" s="7"/>
      <c r="Y3585" s="7"/>
      <c r="Z3585" s="7"/>
      <c r="AA3585" s="7"/>
      <c r="AB3585" s="7"/>
      <c r="AC3585" s="7"/>
      <c r="AD3585" s="7"/>
      <c r="AE3585" s="7"/>
      <c r="AF3585" s="7"/>
    </row>
    <row r="3586" spans="1:16367">
      <c r="A3586" s="663"/>
      <c r="B3586" s="3130" t="s">
        <v>338</v>
      </c>
      <c r="C3586" s="663" t="s">
        <v>336</v>
      </c>
      <c r="D3586" s="678" t="s">
        <v>1979</v>
      </c>
      <c r="E3586" s="700" t="s">
        <v>430</v>
      </c>
      <c r="F3586" s="795">
        <v>6360</v>
      </c>
      <c r="G3586" s="2195" t="s">
        <v>2262</v>
      </c>
      <c r="H3586" s="2188"/>
      <c r="I3586" s="2188">
        <v>30000</v>
      </c>
      <c r="J3586" s="2191" t="s">
        <v>1134</v>
      </c>
      <c r="K3586" s="2205"/>
      <c r="L3586" s="2199"/>
      <c r="M3586" s="2985">
        <v>30000</v>
      </c>
      <c r="N3586" s="305"/>
      <c r="O3586" s="7"/>
      <c r="P3586" s="7"/>
      <c r="Q3586" s="7"/>
      <c r="R3586" s="7"/>
      <c r="S3586" s="7"/>
      <c r="T3586" s="7"/>
      <c r="U3586" s="7"/>
      <c r="V3586" s="7"/>
      <c r="W3586" s="7"/>
      <c r="X3586" s="7"/>
      <c r="Y3586" s="7"/>
      <c r="Z3586" s="7"/>
      <c r="AA3586" s="7"/>
      <c r="AB3586" s="7"/>
      <c r="AC3586" s="7"/>
      <c r="AD3586" s="7"/>
      <c r="AE3586" s="7"/>
    </row>
    <row r="3587" spans="1:16367">
      <c r="A3587" s="683"/>
      <c r="B3587" s="3129" t="s">
        <v>338</v>
      </c>
      <c r="C3587" s="683" t="s">
        <v>336</v>
      </c>
      <c r="D3587" s="719" t="s">
        <v>1979</v>
      </c>
      <c r="E3587" s="720" t="s">
        <v>430</v>
      </c>
      <c r="F3587" s="824">
        <v>6411</v>
      </c>
      <c r="G3587" s="800" t="s">
        <v>502</v>
      </c>
      <c r="H3587" s="706">
        <v>80000</v>
      </c>
      <c r="I3587" s="706"/>
      <c r="J3587" s="1654">
        <v>60058</v>
      </c>
      <c r="K3587" s="802"/>
      <c r="L3587" s="713">
        <v>90000</v>
      </c>
      <c r="M3587" s="706"/>
      <c r="N3587" s="305"/>
      <c r="O3587" s="7"/>
      <c r="P3587" s="7"/>
      <c r="Q3587" s="7"/>
      <c r="R3587" s="7"/>
      <c r="S3587" s="7"/>
      <c r="T3587" s="7"/>
      <c r="U3587" s="7"/>
      <c r="V3587" s="7"/>
      <c r="W3587" s="7"/>
      <c r="X3587" s="7"/>
      <c r="Y3587" s="7"/>
      <c r="Z3587" s="7"/>
      <c r="AA3587" s="7"/>
      <c r="AB3587" s="7"/>
      <c r="AC3587" s="7"/>
      <c r="AD3587" s="7"/>
      <c r="AE3587" s="7"/>
    </row>
    <row r="3588" spans="1:16367" ht="20.399999999999999">
      <c r="A3588" s="774"/>
      <c r="B3588" s="3137" t="s">
        <v>338</v>
      </c>
      <c r="C3588" s="774" t="s">
        <v>336</v>
      </c>
      <c r="D3588" s="873" t="s">
        <v>1979</v>
      </c>
      <c r="E3588" s="841" t="s">
        <v>430</v>
      </c>
      <c r="F3588" s="795">
        <v>6411</v>
      </c>
      <c r="G3588" s="2195" t="s">
        <v>2263</v>
      </c>
      <c r="H3588" s="2267"/>
      <c r="I3588" s="2267">
        <v>42000</v>
      </c>
      <c r="J3588" s="2191" t="s">
        <v>1134</v>
      </c>
      <c r="K3588" s="2270"/>
      <c r="L3588" s="2271"/>
      <c r="M3588" s="2267"/>
      <c r="N3588" s="305"/>
      <c r="O3588" s="7"/>
      <c r="P3588" s="7"/>
      <c r="Q3588" s="7"/>
      <c r="R3588" s="7"/>
      <c r="S3588" s="7"/>
      <c r="T3588" s="7"/>
      <c r="U3588" s="7"/>
      <c r="V3588" s="7"/>
      <c r="W3588" s="7"/>
      <c r="X3588" s="7"/>
      <c r="Y3588" s="7"/>
      <c r="Z3588" s="7"/>
      <c r="AA3588" s="7"/>
      <c r="AB3588" s="7"/>
      <c r="AC3588" s="7"/>
      <c r="AD3588" s="7"/>
      <c r="AE3588" s="7"/>
    </row>
    <row r="3589" spans="1:16367" s="204" customFormat="1" ht="10.199999999999999">
      <c r="A3589" s="774"/>
      <c r="B3589" s="3137" t="s">
        <v>338</v>
      </c>
      <c r="C3589" s="774" t="s">
        <v>336</v>
      </c>
      <c r="D3589" s="873" t="s">
        <v>1979</v>
      </c>
      <c r="E3589" s="841" t="s">
        <v>430</v>
      </c>
      <c r="F3589" s="795">
        <v>6411</v>
      </c>
      <c r="G3589" s="2195" t="s">
        <v>2258</v>
      </c>
      <c r="H3589" s="2267"/>
      <c r="I3589" s="2267">
        <v>18000</v>
      </c>
      <c r="J3589" s="2191" t="s">
        <v>1134</v>
      </c>
      <c r="K3589" s="2270"/>
      <c r="L3589" s="2271"/>
      <c r="M3589" s="2267"/>
      <c r="N3589" s="305"/>
      <c r="O3589" s="206"/>
      <c r="P3589" s="206"/>
      <c r="Q3589" s="206"/>
      <c r="R3589" s="206"/>
      <c r="S3589" s="206"/>
      <c r="T3589" s="206"/>
      <c r="U3589" s="206"/>
      <c r="V3589" s="206"/>
      <c r="W3589" s="206"/>
      <c r="X3589" s="206"/>
      <c r="Y3589" s="206"/>
      <c r="Z3589" s="206"/>
      <c r="AA3589" s="206"/>
      <c r="AB3589" s="206"/>
      <c r="AC3589" s="206"/>
      <c r="AD3589" s="206"/>
      <c r="AE3589" s="206"/>
      <c r="AF3589" s="206"/>
    </row>
    <row r="3590" spans="1:16367" ht="40.799999999999997">
      <c r="A3590" s="774"/>
      <c r="B3590" s="3137" t="s">
        <v>338</v>
      </c>
      <c r="C3590" s="774" t="s">
        <v>336</v>
      </c>
      <c r="D3590" s="873" t="s">
        <v>1979</v>
      </c>
      <c r="E3590" s="841" t="s">
        <v>430</v>
      </c>
      <c r="F3590" s="795">
        <v>6411</v>
      </c>
      <c r="G3590" s="2605" t="s">
        <v>4872</v>
      </c>
      <c r="H3590" s="2267"/>
      <c r="I3590" s="2267">
        <v>60000</v>
      </c>
      <c r="J3590" s="2191" t="s">
        <v>1134</v>
      </c>
      <c r="K3590" s="2270"/>
      <c r="L3590" s="2271"/>
      <c r="M3590" s="2267">
        <v>90000</v>
      </c>
      <c r="N3590" s="305"/>
      <c r="O3590" s="187"/>
      <c r="P3590" s="187"/>
      <c r="Q3590" s="187"/>
      <c r="R3590" s="187"/>
      <c r="S3590" s="187"/>
      <c r="T3590" s="187"/>
      <c r="U3590" s="187"/>
      <c r="V3590" s="187"/>
      <c r="W3590" s="187"/>
      <c r="X3590" s="187"/>
      <c r="Y3590" s="187"/>
      <c r="Z3590" s="187"/>
      <c r="AA3590" s="187"/>
      <c r="AB3590" s="187"/>
      <c r="AC3590" s="187"/>
      <c r="AD3590" s="187"/>
      <c r="AE3590" s="187"/>
      <c r="AF3590" s="187"/>
    </row>
    <row r="3591" spans="1:16367" ht="20.399999999999999">
      <c r="A3591" s="1353"/>
      <c r="B3591" s="3137" t="s">
        <v>338</v>
      </c>
      <c r="C3591" s="774" t="s">
        <v>336</v>
      </c>
      <c r="D3591" s="873" t="s">
        <v>1979</v>
      </c>
      <c r="E3591" s="841" t="s">
        <v>430</v>
      </c>
      <c r="F3591" s="795">
        <v>6411</v>
      </c>
      <c r="G3591" s="1330" t="s">
        <v>2954</v>
      </c>
      <c r="H3591" s="2272"/>
      <c r="I3591" s="2272">
        <v>-40000</v>
      </c>
      <c r="J3591" s="1654" t="s">
        <v>1134</v>
      </c>
      <c r="K3591" s="1259"/>
      <c r="L3591" s="2273"/>
      <c r="M3591" s="2272"/>
      <c r="N3591" s="305"/>
      <c r="O3591" s="7"/>
      <c r="P3591" s="7"/>
      <c r="Q3591" s="7"/>
      <c r="R3591" s="7"/>
      <c r="S3591" s="7"/>
      <c r="T3591" s="7"/>
      <c r="U3591" s="7"/>
      <c r="V3591" s="7"/>
      <c r="W3591" s="7"/>
      <c r="X3591" s="7"/>
      <c r="Y3591" s="7"/>
      <c r="Z3591" s="7"/>
      <c r="AA3591" s="7"/>
      <c r="AB3591" s="7"/>
      <c r="AC3591" s="7"/>
      <c r="AD3591" s="7"/>
      <c r="AE3591" s="7"/>
      <c r="AF3591" s="7"/>
    </row>
    <row r="3592" spans="1:16367" ht="40.799999999999997">
      <c r="A3592" s="683"/>
      <c r="B3592" s="3129" t="s">
        <v>338</v>
      </c>
      <c r="C3592" s="683" t="s">
        <v>336</v>
      </c>
      <c r="D3592" s="719" t="s">
        <v>1979</v>
      </c>
      <c r="E3592" s="720" t="s">
        <v>430</v>
      </c>
      <c r="F3592" s="824">
        <v>6412</v>
      </c>
      <c r="G3592" s="800" t="s">
        <v>503</v>
      </c>
      <c r="H3592" s="706">
        <v>274660</v>
      </c>
      <c r="I3592" s="706"/>
      <c r="J3592" s="1654">
        <v>233610</v>
      </c>
      <c r="K3592" s="802"/>
      <c r="L3592" s="713">
        <v>344736</v>
      </c>
      <c r="M3592" s="706"/>
      <c r="N3592" s="305"/>
      <c r="O3592" s="7"/>
      <c r="P3592" s="7"/>
      <c r="Q3592" s="7"/>
      <c r="R3592" s="7"/>
      <c r="S3592" s="7"/>
      <c r="T3592" s="7"/>
      <c r="U3592" s="7"/>
      <c r="V3592" s="7"/>
      <c r="W3592" s="7"/>
      <c r="X3592" s="7"/>
      <c r="Y3592" s="7"/>
      <c r="Z3592" s="7"/>
      <c r="AA3592" s="7"/>
      <c r="AB3592" s="7"/>
      <c r="AC3592" s="7"/>
      <c r="AD3592" s="7"/>
      <c r="AE3592" s="7"/>
      <c r="AF3592" s="7"/>
    </row>
    <row r="3593" spans="1:16367" ht="40.799999999999997">
      <c r="A3593" s="663"/>
      <c r="B3593" s="3130" t="s">
        <v>338</v>
      </c>
      <c r="C3593" s="663" t="s">
        <v>336</v>
      </c>
      <c r="D3593" s="678" t="s">
        <v>1979</v>
      </c>
      <c r="E3593" s="700" t="s">
        <v>430</v>
      </c>
      <c r="F3593" s="795">
        <v>6412</v>
      </c>
      <c r="G3593" s="2195" t="s">
        <v>4317</v>
      </c>
      <c r="H3593" s="2188"/>
      <c r="I3593" s="2188">
        <v>40000</v>
      </c>
      <c r="J3593" s="2191" t="s">
        <v>1134</v>
      </c>
      <c r="K3593" s="2205"/>
      <c r="L3593" s="2199"/>
      <c r="M3593" s="2188">
        <v>38400</v>
      </c>
      <c r="N3593" s="305"/>
      <c r="O3593" s="206"/>
      <c r="P3593" s="206"/>
      <c r="Q3593" s="206"/>
      <c r="R3593" s="206"/>
      <c r="S3593" s="206"/>
      <c r="T3593" s="206"/>
      <c r="U3593" s="206"/>
      <c r="V3593" s="206"/>
      <c r="W3593" s="206"/>
      <c r="X3593" s="206"/>
      <c r="Y3593" s="206"/>
      <c r="Z3593" s="206"/>
      <c r="AA3593" s="206"/>
      <c r="AB3593" s="206"/>
      <c r="AC3593" s="206"/>
      <c r="AD3593" s="206"/>
      <c r="AE3593" s="206"/>
      <c r="AF3593" s="204"/>
      <c r="AG3593" s="204"/>
      <c r="AH3593" s="204"/>
      <c r="AI3593" s="204"/>
      <c r="AJ3593" s="204"/>
      <c r="AK3593" s="204"/>
      <c r="AL3593" s="204"/>
      <c r="AM3593" s="204"/>
      <c r="AN3593" s="204"/>
      <c r="AO3593" s="204"/>
      <c r="AP3593" s="204"/>
      <c r="AQ3593" s="204"/>
      <c r="AR3593" s="204"/>
      <c r="AS3593" s="204"/>
      <c r="AT3593" s="204"/>
      <c r="AU3593" s="204"/>
      <c r="AV3593" s="204"/>
      <c r="AW3593" s="204"/>
      <c r="AX3593" s="204"/>
      <c r="AY3593" s="204"/>
      <c r="AZ3593" s="204"/>
      <c r="BA3593" s="204"/>
      <c r="BB3593" s="204"/>
      <c r="BC3593" s="204"/>
      <c r="BD3593" s="204"/>
      <c r="BE3593" s="204"/>
      <c r="BF3593" s="204"/>
      <c r="BG3593" s="204"/>
      <c r="BH3593" s="204"/>
      <c r="BI3593" s="204"/>
      <c r="BJ3593" s="204"/>
      <c r="BK3593" s="204"/>
      <c r="BL3593" s="204"/>
      <c r="BM3593" s="204"/>
      <c r="BN3593" s="204"/>
      <c r="BO3593" s="204"/>
      <c r="BP3593" s="204"/>
      <c r="BQ3593" s="204"/>
      <c r="BR3593" s="204"/>
      <c r="BS3593" s="204"/>
      <c r="BT3593" s="204"/>
      <c r="BU3593" s="204"/>
      <c r="BV3593" s="204"/>
      <c r="BW3593" s="204"/>
      <c r="BX3593" s="204"/>
      <c r="BY3593" s="204"/>
      <c r="BZ3593" s="204"/>
      <c r="CA3593" s="204"/>
      <c r="CB3593" s="204"/>
      <c r="CC3593" s="204"/>
      <c r="CD3593" s="204"/>
      <c r="CE3593" s="204"/>
      <c r="CF3593" s="204"/>
      <c r="CG3593" s="204"/>
      <c r="CH3593" s="204"/>
      <c r="CI3593" s="204"/>
      <c r="CJ3593" s="204"/>
      <c r="CK3593" s="204"/>
      <c r="CL3593" s="204"/>
      <c r="CM3593" s="204"/>
      <c r="CN3593" s="204"/>
      <c r="CO3593" s="204"/>
      <c r="CP3593" s="204"/>
      <c r="CQ3593" s="204"/>
      <c r="CR3593" s="204"/>
      <c r="CS3593" s="204"/>
      <c r="CT3593" s="204"/>
      <c r="CU3593" s="204"/>
      <c r="CV3593" s="204"/>
      <c r="CW3593" s="204"/>
      <c r="CX3593" s="204"/>
      <c r="CY3593" s="204"/>
      <c r="CZ3593" s="204"/>
      <c r="DA3593" s="204"/>
      <c r="DB3593" s="204"/>
      <c r="DC3593" s="204"/>
      <c r="DD3593" s="204"/>
      <c r="DE3593" s="204"/>
      <c r="DF3593" s="204"/>
      <c r="DG3593" s="204"/>
      <c r="DH3593" s="204"/>
      <c r="DI3593" s="204"/>
      <c r="DJ3593" s="204"/>
      <c r="DK3593" s="204"/>
      <c r="DL3593" s="204"/>
      <c r="DM3593" s="204"/>
      <c r="DN3593" s="204"/>
      <c r="DO3593" s="204"/>
      <c r="DP3593" s="204"/>
      <c r="DQ3593" s="204"/>
      <c r="DR3593" s="204"/>
      <c r="DS3593" s="204"/>
      <c r="DT3593" s="204"/>
      <c r="DU3593" s="204"/>
      <c r="DV3593" s="204"/>
      <c r="DW3593" s="204"/>
      <c r="DX3593" s="204"/>
      <c r="DY3593" s="204"/>
      <c r="DZ3593" s="204"/>
      <c r="EA3593" s="204"/>
      <c r="EB3593" s="204"/>
      <c r="EC3593" s="204"/>
      <c r="ED3593" s="204"/>
      <c r="EE3593" s="204"/>
      <c r="EF3593" s="204"/>
      <c r="EG3593" s="204"/>
      <c r="EH3593" s="204"/>
      <c r="EI3593" s="204"/>
      <c r="EJ3593" s="204"/>
      <c r="EK3593" s="204"/>
      <c r="EL3593" s="204"/>
      <c r="EM3593" s="204"/>
      <c r="EN3593" s="204"/>
      <c r="EO3593" s="204"/>
      <c r="EP3593" s="204"/>
      <c r="EQ3593" s="204"/>
      <c r="ER3593" s="204"/>
      <c r="ES3593" s="204"/>
      <c r="ET3593" s="204"/>
      <c r="EU3593" s="204"/>
      <c r="EV3593" s="204"/>
      <c r="EW3593" s="204"/>
      <c r="EX3593" s="204"/>
      <c r="EY3593" s="204"/>
      <c r="EZ3593" s="204"/>
      <c r="FA3593" s="204"/>
      <c r="FB3593" s="204"/>
      <c r="FC3593" s="204"/>
      <c r="FD3593" s="204"/>
      <c r="FE3593" s="204"/>
      <c r="FF3593" s="204"/>
      <c r="FG3593" s="204"/>
      <c r="FH3593" s="204"/>
      <c r="FI3593" s="204"/>
      <c r="FJ3593" s="204"/>
      <c r="FK3593" s="204"/>
      <c r="FL3593" s="204"/>
      <c r="FM3593" s="204"/>
      <c r="FN3593" s="204"/>
      <c r="FO3593" s="204"/>
      <c r="FP3593" s="204"/>
      <c r="FQ3593" s="204"/>
      <c r="FR3593" s="204"/>
      <c r="FS3593" s="204"/>
      <c r="FT3593" s="204"/>
      <c r="FU3593" s="204"/>
      <c r="FV3593" s="204"/>
      <c r="FW3593" s="204"/>
      <c r="FX3593" s="204"/>
      <c r="FY3593" s="204"/>
      <c r="FZ3593" s="204"/>
      <c r="GA3593" s="204"/>
      <c r="GB3593" s="204"/>
      <c r="GC3593" s="204"/>
      <c r="GD3593" s="204"/>
      <c r="GE3593" s="204"/>
      <c r="GF3593" s="204"/>
      <c r="GG3593" s="204"/>
      <c r="GH3593" s="204"/>
      <c r="GI3593" s="204"/>
      <c r="GJ3593" s="204"/>
      <c r="GK3593" s="204"/>
      <c r="GL3593" s="204"/>
      <c r="GM3593" s="204"/>
      <c r="GN3593" s="204"/>
      <c r="GO3593" s="204"/>
      <c r="GP3593" s="204"/>
      <c r="GQ3593" s="204"/>
      <c r="GR3593" s="204"/>
      <c r="GS3593" s="204"/>
      <c r="GT3593" s="204"/>
      <c r="GU3593" s="204"/>
      <c r="GV3593" s="204"/>
      <c r="GW3593" s="204"/>
      <c r="GX3593" s="204"/>
      <c r="GY3593" s="204"/>
      <c r="GZ3593" s="204"/>
      <c r="HA3593" s="204"/>
      <c r="HB3593" s="204"/>
      <c r="HC3593" s="204"/>
      <c r="HD3593" s="204"/>
      <c r="HE3593" s="204"/>
      <c r="HF3593" s="204"/>
      <c r="HG3593" s="204"/>
      <c r="HH3593" s="204"/>
      <c r="HI3593" s="204"/>
      <c r="HJ3593" s="204"/>
      <c r="HK3593" s="204"/>
      <c r="HL3593" s="204"/>
      <c r="HM3593" s="204"/>
      <c r="HN3593" s="204"/>
      <c r="HO3593" s="204"/>
      <c r="HP3593" s="204"/>
      <c r="HQ3593" s="204"/>
      <c r="HR3593" s="204"/>
      <c r="HS3593" s="204"/>
      <c r="HT3593" s="204"/>
      <c r="HU3593" s="204"/>
      <c r="HV3593" s="204"/>
      <c r="HW3593" s="204"/>
      <c r="HX3593" s="204"/>
      <c r="HY3593" s="204"/>
      <c r="HZ3593" s="204"/>
      <c r="IA3593" s="204"/>
      <c r="IB3593" s="204"/>
      <c r="IC3593" s="204"/>
      <c r="ID3593" s="204"/>
      <c r="IE3593" s="204"/>
      <c r="IF3593" s="204"/>
      <c r="IG3593" s="204"/>
      <c r="IH3593" s="204"/>
      <c r="II3593" s="204"/>
      <c r="IJ3593" s="204"/>
      <c r="IK3593" s="204"/>
      <c r="IL3593" s="204"/>
      <c r="IM3593" s="204"/>
      <c r="IN3593" s="204"/>
      <c r="IO3593" s="204"/>
      <c r="IP3593" s="204"/>
      <c r="IQ3593" s="204"/>
      <c r="IR3593" s="204"/>
      <c r="IS3593" s="204"/>
      <c r="IT3593" s="204"/>
      <c r="IU3593" s="204"/>
      <c r="IV3593" s="204"/>
      <c r="IW3593" s="204"/>
      <c r="IX3593" s="204"/>
      <c r="IY3593" s="204"/>
      <c r="IZ3593" s="204"/>
      <c r="JA3593" s="204"/>
      <c r="JB3593" s="204"/>
      <c r="JC3593" s="204"/>
      <c r="JD3593" s="204"/>
      <c r="JE3593" s="204"/>
      <c r="JF3593" s="204"/>
      <c r="JG3593" s="204"/>
      <c r="JH3593" s="204"/>
      <c r="JI3593" s="204"/>
      <c r="JJ3593" s="204"/>
      <c r="JK3593" s="204"/>
      <c r="JL3593" s="204"/>
      <c r="JM3593" s="204"/>
      <c r="JN3593" s="204"/>
      <c r="JO3593" s="204"/>
      <c r="JP3593" s="204"/>
      <c r="JQ3593" s="204"/>
      <c r="JR3593" s="204"/>
      <c r="JS3593" s="204"/>
      <c r="JT3593" s="204"/>
      <c r="JU3593" s="204"/>
      <c r="JV3593" s="204"/>
      <c r="JW3593" s="204"/>
      <c r="JX3593" s="204"/>
      <c r="JY3593" s="204"/>
      <c r="JZ3593" s="204"/>
      <c r="KA3593" s="204"/>
      <c r="KB3593" s="204"/>
      <c r="KC3593" s="204"/>
      <c r="KD3593" s="204"/>
      <c r="KE3593" s="204"/>
      <c r="KF3593" s="204"/>
      <c r="KG3593" s="204"/>
      <c r="KH3593" s="204"/>
      <c r="KI3593" s="204"/>
      <c r="KJ3593" s="204"/>
      <c r="KK3593" s="204"/>
      <c r="KL3593" s="204"/>
      <c r="KM3593" s="204"/>
      <c r="KN3593" s="204"/>
      <c r="KO3593" s="204"/>
      <c r="KP3593" s="204"/>
      <c r="KQ3593" s="204"/>
      <c r="KR3593" s="204"/>
      <c r="KS3593" s="204"/>
      <c r="KT3593" s="204"/>
      <c r="KU3593" s="204"/>
      <c r="KV3593" s="204"/>
      <c r="KW3593" s="204"/>
      <c r="KX3593" s="204"/>
      <c r="KY3593" s="204"/>
      <c r="KZ3593" s="204"/>
      <c r="LA3593" s="204"/>
      <c r="LB3593" s="204"/>
      <c r="LC3593" s="204"/>
      <c r="LD3593" s="204"/>
      <c r="LE3593" s="204"/>
      <c r="LF3593" s="204"/>
      <c r="LG3593" s="204"/>
      <c r="LH3593" s="204"/>
      <c r="LI3593" s="204"/>
      <c r="LJ3593" s="204"/>
      <c r="LK3593" s="204"/>
      <c r="LL3593" s="204"/>
      <c r="LM3593" s="204"/>
      <c r="LN3593" s="204"/>
      <c r="LO3593" s="204"/>
      <c r="LP3593" s="204"/>
      <c r="LQ3593" s="204"/>
      <c r="LR3593" s="204"/>
      <c r="LS3593" s="204"/>
      <c r="LT3593" s="204"/>
      <c r="LU3593" s="204"/>
      <c r="LV3593" s="204"/>
      <c r="LW3593" s="204"/>
      <c r="LX3593" s="204"/>
      <c r="LY3593" s="204"/>
      <c r="LZ3593" s="204"/>
      <c r="MA3593" s="204"/>
      <c r="MB3593" s="204"/>
      <c r="MC3593" s="204"/>
      <c r="MD3593" s="204"/>
      <c r="ME3593" s="204"/>
      <c r="MF3593" s="204"/>
      <c r="MG3593" s="204"/>
      <c r="MH3593" s="204"/>
      <c r="MI3593" s="204"/>
      <c r="MJ3593" s="204"/>
      <c r="MK3593" s="204"/>
      <c r="ML3593" s="204"/>
      <c r="MM3593" s="204"/>
      <c r="MN3593" s="204"/>
      <c r="MO3593" s="204"/>
      <c r="MP3593" s="204"/>
      <c r="MQ3593" s="204"/>
      <c r="MR3593" s="204"/>
      <c r="MS3593" s="204"/>
      <c r="MT3593" s="204"/>
      <c r="MU3593" s="204"/>
      <c r="MV3593" s="204"/>
      <c r="MW3593" s="204"/>
      <c r="MX3593" s="204"/>
      <c r="MY3593" s="204"/>
      <c r="MZ3593" s="204"/>
      <c r="NA3593" s="204"/>
      <c r="NB3593" s="204"/>
      <c r="NC3593" s="204"/>
      <c r="ND3593" s="204"/>
      <c r="NE3593" s="204"/>
      <c r="NF3593" s="204"/>
      <c r="NG3593" s="204"/>
      <c r="NH3593" s="204"/>
      <c r="NI3593" s="204"/>
      <c r="NJ3593" s="204"/>
      <c r="NK3593" s="204"/>
      <c r="NL3593" s="204"/>
      <c r="NM3593" s="204"/>
      <c r="NN3593" s="204"/>
      <c r="NO3593" s="204"/>
      <c r="NP3593" s="204"/>
      <c r="NQ3593" s="204"/>
      <c r="NR3593" s="204"/>
      <c r="NS3593" s="204"/>
      <c r="NT3593" s="204"/>
      <c r="NU3593" s="204"/>
      <c r="NV3593" s="204"/>
      <c r="NW3593" s="204"/>
      <c r="NX3593" s="204"/>
      <c r="NY3593" s="204"/>
      <c r="NZ3593" s="204"/>
      <c r="OA3593" s="204"/>
      <c r="OB3593" s="204"/>
      <c r="OC3593" s="204"/>
      <c r="OD3593" s="204"/>
      <c r="OE3593" s="204"/>
      <c r="OF3593" s="204"/>
      <c r="OG3593" s="204"/>
      <c r="OH3593" s="204"/>
      <c r="OI3593" s="204"/>
      <c r="OJ3593" s="204"/>
      <c r="OK3593" s="204"/>
      <c r="OL3593" s="204"/>
      <c r="OM3593" s="204"/>
      <c r="ON3593" s="204"/>
      <c r="OO3593" s="204"/>
      <c r="OP3593" s="204"/>
      <c r="OQ3593" s="204"/>
      <c r="OR3593" s="204"/>
      <c r="OS3593" s="204"/>
      <c r="OT3593" s="204"/>
      <c r="OU3593" s="204"/>
      <c r="OV3593" s="204"/>
      <c r="OW3593" s="204"/>
      <c r="OX3593" s="204"/>
      <c r="OY3593" s="204"/>
      <c r="OZ3593" s="204"/>
      <c r="PA3593" s="204"/>
      <c r="PB3593" s="204"/>
      <c r="PC3593" s="204"/>
      <c r="PD3593" s="204"/>
      <c r="PE3593" s="204"/>
      <c r="PF3593" s="204"/>
      <c r="PG3593" s="204"/>
      <c r="PH3593" s="204"/>
      <c r="PI3593" s="204"/>
      <c r="PJ3593" s="204"/>
      <c r="PK3593" s="204"/>
      <c r="PL3593" s="204"/>
      <c r="PM3593" s="204"/>
      <c r="PN3593" s="204"/>
      <c r="PO3593" s="204"/>
      <c r="PP3593" s="204"/>
      <c r="PQ3593" s="204"/>
      <c r="PR3593" s="204"/>
      <c r="PS3593" s="204"/>
      <c r="PT3593" s="204"/>
      <c r="PU3593" s="204"/>
      <c r="PV3593" s="204"/>
      <c r="PW3593" s="204"/>
      <c r="PX3593" s="204"/>
      <c r="PY3593" s="204"/>
      <c r="PZ3593" s="204"/>
      <c r="QA3593" s="204"/>
      <c r="QB3593" s="204"/>
      <c r="QC3593" s="204"/>
      <c r="QD3593" s="204"/>
      <c r="QE3593" s="204"/>
      <c r="QF3593" s="204"/>
      <c r="QG3593" s="204"/>
      <c r="QH3593" s="204"/>
      <c r="QI3593" s="204"/>
      <c r="QJ3593" s="204"/>
      <c r="QK3593" s="204"/>
      <c r="QL3593" s="204"/>
      <c r="QM3593" s="204"/>
      <c r="QN3593" s="204"/>
      <c r="QO3593" s="204"/>
      <c r="QP3593" s="204"/>
      <c r="QQ3593" s="204"/>
      <c r="QR3593" s="204"/>
      <c r="QS3593" s="204"/>
      <c r="QT3593" s="204"/>
      <c r="QU3593" s="204"/>
      <c r="QV3593" s="204"/>
      <c r="QW3593" s="204"/>
      <c r="QX3593" s="204"/>
      <c r="QY3593" s="204"/>
      <c r="QZ3593" s="204"/>
      <c r="RA3593" s="204"/>
      <c r="RB3593" s="204"/>
      <c r="RC3593" s="204"/>
      <c r="RD3593" s="204"/>
      <c r="RE3593" s="204"/>
      <c r="RF3593" s="204"/>
      <c r="RG3593" s="204"/>
      <c r="RH3593" s="204"/>
      <c r="RI3593" s="204"/>
      <c r="RJ3593" s="204"/>
      <c r="RK3593" s="204"/>
      <c r="RL3593" s="204"/>
      <c r="RM3593" s="204"/>
      <c r="RN3593" s="204"/>
      <c r="RO3593" s="204"/>
      <c r="RP3593" s="204"/>
      <c r="RQ3593" s="204"/>
      <c r="RR3593" s="204"/>
      <c r="RS3593" s="204"/>
      <c r="RT3593" s="204"/>
      <c r="RU3593" s="204"/>
      <c r="RV3593" s="204"/>
      <c r="RW3593" s="204"/>
      <c r="RX3593" s="204"/>
      <c r="RY3593" s="204"/>
      <c r="RZ3593" s="204"/>
      <c r="SA3593" s="204"/>
      <c r="SB3593" s="204"/>
      <c r="SC3593" s="204"/>
      <c r="SD3593" s="204"/>
      <c r="SE3593" s="204"/>
      <c r="SF3593" s="204"/>
      <c r="SG3593" s="204"/>
      <c r="SH3593" s="204"/>
      <c r="SI3593" s="204"/>
      <c r="SJ3593" s="204"/>
      <c r="SK3593" s="204"/>
      <c r="SL3593" s="204"/>
      <c r="SM3593" s="204"/>
      <c r="SN3593" s="204"/>
      <c r="SO3593" s="204"/>
      <c r="SP3593" s="204"/>
      <c r="SQ3593" s="204"/>
      <c r="SR3593" s="204"/>
      <c r="SS3593" s="204"/>
      <c r="ST3593" s="204"/>
      <c r="SU3593" s="204"/>
      <c r="SV3593" s="204"/>
      <c r="SW3593" s="204"/>
      <c r="SX3593" s="204"/>
      <c r="SY3593" s="204"/>
      <c r="SZ3593" s="204"/>
      <c r="TA3593" s="204"/>
      <c r="TB3593" s="204"/>
      <c r="TC3593" s="204"/>
      <c r="TD3593" s="204"/>
      <c r="TE3593" s="204"/>
      <c r="TF3593" s="204"/>
      <c r="TG3593" s="204"/>
      <c r="TH3593" s="204"/>
      <c r="TI3593" s="204"/>
      <c r="TJ3593" s="204"/>
      <c r="TK3593" s="204"/>
      <c r="TL3593" s="204"/>
      <c r="TM3593" s="204"/>
      <c r="TN3593" s="204"/>
      <c r="TO3593" s="204"/>
      <c r="TP3593" s="204"/>
      <c r="TQ3593" s="204"/>
      <c r="TR3593" s="204"/>
      <c r="TS3593" s="204"/>
      <c r="TT3593" s="204"/>
      <c r="TU3593" s="204"/>
      <c r="TV3593" s="204"/>
      <c r="TW3593" s="204"/>
      <c r="TX3593" s="204"/>
      <c r="TY3593" s="204"/>
      <c r="TZ3593" s="204"/>
      <c r="UA3593" s="204"/>
      <c r="UB3593" s="204"/>
      <c r="UC3593" s="204"/>
      <c r="UD3593" s="204"/>
      <c r="UE3593" s="204"/>
      <c r="UF3593" s="204"/>
      <c r="UG3593" s="204"/>
      <c r="UH3593" s="204"/>
      <c r="UI3593" s="204"/>
      <c r="UJ3593" s="204"/>
      <c r="UK3593" s="204"/>
      <c r="UL3593" s="204"/>
      <c r="UM3593" s="204"/>
      <c r="UN3593" s="204"/>
      <c r="UO3593" s="204"/>
      <c r="UP3593" s="204"/>
      <c r="UQ3593" s="204"/>
      <c r="UR3593" s="204"/>
      <c r="US3593" s="204"/>
      <c r="UT3593" s="204"/>
      <c r="UU3593" s="204"/>
      <c r="UV3593" s="204"/>
      <c r="UW3593" s="204"/>
      <c r="UX3593" s="204"/>
      <c r="UY3593" s="204"/>
      <c r="UZ3593" s="204"/>
      <c r="VA3593" s="204"/>
      <c r="VB3593" s="204"/>
      <c r="VC3593" s="204"/>
      <c r="VD3593" s="204"/>
      <c r="VE3593" s="204"/>
      <c r="VF3593" s="204"/>
      <c r="VG3593" s="204"/>
      <c r="VH3593" s="204"/>
      <c r="VI3593" s="204"/>
      <c r="VJ3593" s="204"/>
      <c r="VK3593" s="204"/>
      <c r="VL3593" s="204"/>
      <c r="VM3593" s="204"/>
      <c r="VN3593" s="204"/>
      <c r="VO3593" s="204"/>
      <c r="VP3593" s="204"/>
      <c r="VQ3593" s="204"/>
      <c r="VR3593" s="204"/>
      <c r="VS3593" s="204"/>
      <c r="VT3593" s="204"/>
      <c r="VU3593" s="204"/>
      <c r="VV3593" s="204"/>
      <c r="VW3593" s="204"/>
      <c r="VX3593" s="204"/>
      <c r="VY3593" s="204"/>
      <c r="VZ3593" s="204"/>
      <c r="WA3593" s="204"/>
      <c r="WB3593" s="204"/>
      <c r="WC3593" s="204"/>
      <c r="WD3593" s="204"/>
      <c r="WE3593" s="204"/>
      <c r="WF3593" s="204"/>
      <c r="WG3593" s="204"/>
      <c r="WH3593" s="204"/>
      <c r="WI3593" s="204"/>
      <c r="WJ3593" s="204"/>
      <c r="WK3593" s="204"/>
      <c r="WL3593" s="204"/>
      <c r="WM3593" s="204"/>
      <c r="WN3593" s="204"/>
      <c r="WO3593" s="204"/>
      <c r="WP3593" s="204"/>
      <c r="WQ3593" s="204"/>
      <c r="WR3593" s="204"/>
      <c r="WS3593" s="204"/>
      <c r="WT3593" s="204"/>
      <c r="WU3593" s="204"/>
      <c r="WV3593" s="204"/>
      <c r="WW3593" s="204"/>
      <c r="WX3593" s="204"/>
      <c r="WY3593" s="204"/>
      <c r="WZ3593" s="204"/>
      <c r="XA3593" s="204"/>
      <c r="XB3593" s="204"/>
      <c r="XC3593" s="204"/>
      <c r="XD3593" s="204"/>
      <c r="XE3593" s="204"/>
      <c r="XF3593" s="204"/>
      <c r="XG3593" s="204"/>
      <c r="XH3593" s="204"/>
      <c r="XI3593" s="204"/>
      <c r="XJ3593" s="204"/>
      <c r="XK3593" s="204"/>
      <c r="XL3593" s="204"/>
      <c r="XM3593" s="204"/>
      <c r="XN3593" s="204"/>
      <c r="XO3593" s="204"/>
      <c r="XP3593" s="204"/>
      <c r="XQ3593" s="204"/>
      <c r="XR3593" s="204"/>
      <c r="XS3593" s="204"/>
      <c r="XT3593" s="204"/>
      <c r="XU3593" s="204"/>
      <c r="XV3593" s="204"/>
      <c r="XW3593" s="204"/>
      <c r="XX3593" s="204"/>
      <c r="XY3593" s="204"/>
      <c r="XZ3593" s="204"/>
      <c r="YA3593" s="204"/>
      <c r="YB3593" s="204"/>
      <c r="YC3593" s="204"/>
      <c r="YD3593" s="204"/>
      <c r="YE3593" s="204"/>
      <c r="YF3593" s="204"/>
      <c r="YG3593" s="204"/>
      <c r="YH3593" s="204"/>
      <c r="YI3593" s="204"/>
      <c r="YJ3593" s="204"/>
      <c r="YK3593" s="204"/>
      <c r="YL3593" s="204"/>
      <c r="YM3593" s="204"/>
      <c r="YN3593" s="204"/>
      <c r="YO3593" s="204"/>
      <c r="YP3593" s="204"/>
      <c r="YQ3593" s="204"/>
      <c r="YR3593" s="204"/>
      <c r="YS3593" s="204"/>
      <c r="YT3593" s="204"/>
      <c r="YU3593" s="204"/>
      <c r="YV3593" s="204"/>
      <c r="YW3593" s="204"/>
      <c r="YX3593" s="204"/>
      <c r="YY3593" s="204"/>
      <c r="YZ3593" s="204"/>
      <c r="ZA3593" s="204"/>
      <c r="ZB3593" s="204"/>
      <c r="ZC3593" s="204"/>
      <c r="ZD3593" s="204"/>
      <c r="ZE3593" s="204"/>
      <c r="ZF3593" s="204"/>
      <c r="ZG3593" s="204"/>
      <c r="ZH3593" s="204"/>
      <c r="ZI3593" s="204"/>
      <c r="ZJ3593" s="204"/>
      <c r="ZK3593" s="204"/>
      <c r="ZL3593" s="204"/>
      <c r="ZM3593" s="204"/>
      <c r="ZN3593" s="204"/>
      <c r="ZO3593" s="204"/>
      <c r="ZP3593" s="204"/>
      <c r="ZQ3593" s="204"/>
      <c r="ZR3593" s="204"/>
      <c r="ZS3593" s="204"/>
      <c r="ZT3593" s="204"/>
      <c r="ZU3593" s="204"/>
      <c r="ZV3593" s="204"/>
      <c r="ZW3593" s="204"/>
      <c r="ZX3593" s="204"/>
      <c r="ZY3593" s="204"/>
      <c r="ZZ3593" s="204"/>
      <c r="AAA3593" s="204"/>
      <c r="AAB3593" s="204"/>
      <c r="AAC3593" s="204"/>
      <c r="AAD3593" s="204"/>
      <c r="AAE3593" s="204"/>
      <c r="AAF3593" s="204"/>
      <c r="AAG3593" s="204"/>
      <c r="AAH3593" s="204"/>
      <c r="AAI3593" s="204"/>
      <c r="AAJ3593" s="204"/>
      <c r="AAK3593" s="204"/>
      <c r="AAL3593" s="204"/>
      <c r="AAM3593" s="204"/>
      <c r="AAN3593" s="204"/>
      <c r="AAO3593" s="204"/>
      <c r="AAP3593" s="204"/>
      <c r="AAQ3593" s="204"/>
      <c r="AAR3593" s="204"/>
      <c r="AAS3593" s="204"/>
      <c r="AAT3593" s="204"/>
      <c r="AAU3593" s="204"/>
      <c r="AAV3593" s="204"/>
      <c r="AAW3593" s="204"/>
      <c r="AAX3593" s="204"/>
      <c r="AAY3593" s="204"/>
      <c r="AAZ3593" s="204"/>
      <c r="ABA3593" s="204"/>
      <c r="ABB3593" s="204"/>
      <c r="ABC3593" s="204"/>
      <c r="ABD3593" s="204"/>
      <c r="ABE3593" s="204"/>
      <c r="ABF3593" s="204"/>
      <c r="ABG3593" s="204"/>
      <c r="ABH3593" s="204"/>
      <c r="ABI3593" s="204"/>
      <c r="ABJ3593" s="204"/>
      <c r="ABK3593" s="204"/>
      <c r="ABL3593" s="204"/>
      <c r="ABM3593" s="204"/>
      <c r="ABN3593" s="204"/>
      <c r="ABO3593" s="204"/>
      <c r="ABP3593" s="204"/>
      <c r="ABQ3593" s="204"/>
      <c r="ABR3593" s="204"/>
      <c r="ABS3593" s="204"/>
      <c r="ABT3593" s="204"/>
      <c r="ABU3593" s="204"/>
      <c r="ABV3593" s="204"/>
      <c r="ABW3593" s="204"/>
      <c r="ABX3593" s="204"/>
      <c r="ABY3593" s="204"/>
      <c r="ABZ3593" s="204"/>
      <c r="ACA3593" s="204"/>
      <c r="ACB3593" s="204"/>
      <c r="ACC3593" s="204"/>
      <c r="ACD3593" s="204"/>
      <c r="ACE3593" s="204"/>
      <c r="ACF3593" s="204"/>
      <c r="ACG3593" s="204"/>
      <c r="ACH3593" s="204"/>
      <c r="ACI3593" s="204"/>
      <c r="ACJ3593" s="204"/>
      <c r="ACK3593" s="204"/>
      <c r="ACL3593" s="204"/>
      <c r="ACM3593" s="204"/>
      <c r="ACN3593" s="204"/>
      <c r="ACO3593" s="204"/>
      <c r="ACP3593" s="204"/>
      <c r="ACQ3593" s="204"/>
      <c r="ACR3593" s="204"/>
      <c r="ACS3593" s="204"/>
      <c r="ACT3593" s="204"/>
      <c r="ACU3593" s="204"/>
      <c r="ACV3593" s="204"/>
      <c r="ACW3593" s="204"/>
      <c r="ACX3593" s="204"/>
      <c r="ACY3593" s="204"/>
      <c r="ACZ3593" s="204"/>
      <c r="ADA3593" s="204"/>
      <c r="ADB3593" s="204"/>
      <c r="ADC3593" s="204"/>
      <c r="ADD3593" s="204"/>
      <c r="ADE3593" s="204"/>
      <c r="ADF3593" s="204"/>
      <c r="ADG3593" s="204"/>
      <c r="ADH3593" s="204"/>
      <c r="ADI3593" s="204"/>
      <c r="ADJ3593" s="204"/>
      <c r="ADK3593" s="204"/>
      <c r="ADL3593" s="204"/>
      <c r="ADM3593" s="204"/>
      <c r="ADN3593" s="204"/>
      <c r="ADO3593" s="204"/>
      <c r="ADP3593" s="204"/>
      <c r="ADQ3593" s="204"/>
      <c r="ADR3593" s="204"/>
      <c r="ADS3593" s="204"/>
      <c r="ADT3593" s="204"/>
      <c r="ADU3593" s="204"/>
      <c r="ADV3593" s="204"/>
      <c r="ADW3593" s="204"/>
      <c r="ADX3593" s="204"/>
      <c r="ADY3593" s="204"/>
      <c r="ADZ3593" s="204"/>
      <c r="AEA3593" s="204"/>
      <c r="AEB3593" s="204"/>
      <c r="AEC3593" s="204"/>
      <c r="AED3593" s="204"/>
      <c r="AEE3593" s="204"/>
      <c r="AEF3593" s="204"/>
      <c r="AEG3593" s="204"/>
      <c r="AEH3593" s="204"/>
      <c r="AEI3593" s="204"/>
      <c r="AEJ3593" s="204"/>
      <c r="AEK3593" s="204"/>
      <c r="AEL3593" s="204"/>
      <c r="AEM3593" s="204"/>
      <c r="AEN3593" s="204"/>
      <c r="AEO3593" s="204"/>
      <c r="AEP3593" s="204"/>
      <c r="AEQ3593" s="204"/>
      <c r="AER3593" s="204"/>
      <c r="AES3593" s="204"/>
      <c r="AET3593" s="204"/>
      <c r="AEU3593" s="204"/>
      <c r="AEV3593" s="204"/>
      <c r="AEW3593" s="204"/>
      <c r="AEX3593" s="204"/>
      <c r="AEY3593" s="204"/>
      <c r="AEZ3593" s="204"/>
      <c r="AFA3593" s="204"/>
      <c r="AFB3593" s="204"/>
      <c r="AFC3593" s="204"/>
      <c r="AFD3593" s="204"/>
      <c r="AFE3593" s="204"/>
      <c r="AFF3593" s="204"/>
      <c r="AFG3593" s="204"/>
      <c r="AFH3593" s="204"/>
      <c r="AFI3593" s="204"/>
      <c r="AFJ3593" s="204"/>
      <c r="AFK3593" s="204"/>
      <c r="AFL3593" s="204"/>
      <c r="AFM3593" s="204"/>
      <c r="AFN3593" s="204"/>
      <c r="AFO3593" s="204"/>
      <c r="AFP3593" s="204"/>
      <c r="AFQ3593" s="204"/>
      <c r="AFR3593" s="204"/>
      <c r="AFS3593" s="204"/>
      <c r="AFT3593" s="204"/>
      <c r="AFU3593" s="204"/>
      <c r="AFV3593" s="204"/>
      <c r="AFW3593" s="204"/>
      <c r="AFX3593" s="204"/>
      <c r="AFY3593" s="204"/>
      <c r="AFZ3593" s="204"/>
      <c r="AGA3593" s="204"/>
      <c r="AGB3593" s="204"/>
      <c r="AGC3593" s="204"/>
      <c r="AGD3593" s="204"/>
      <c r="AGE3593" s="204"/>
      <c r="AGF3593" s="204"/>
      <c r="AGG3593" s="204"/>
      <c r="AGH3593" s="204"/>
      <c r="AGI3593" s="204"/>
      <c r="AGJ3593" s="204"/>
      <c r="AGK3593" s="204"/>
      <c r="AGL3593" s="204"/>
      <c r="AGM3593" s="204"/>
      <c r="AGN3593" s="204"/>
      <c r="AGO3593" s="204"/>
      <c r="AGP3593" s="204"/>
      <c r="AGQ3593" s="204"/>
      <c r="AGR3593" s="204"/>
      <c r="AGS3593" s="204"/>
      <c r="AGT3593" s="204"/>
      <c r="AGU3593" s="204"/>
      <c r="AGV3593" s="204"/>
      <c r="AGW3593" s="204"/>
      <c r="AGX3593" s="204"/>
      <c r="AGY3593" s="204"/>
      <c r="AGZ3593" s="204"/>
      <c r="AHA3593" s="204"/>
      <c r="AHB3593" s="204"/>
      <c r="AHC3593" s="204"/>
      <c r="AHD3593" s="204"/>
      <c r="AHE3593" s="204"/>
      <c r="AHF3593" s="204"/>
      <c r="AHG3593" s="204"/>
      <c r="AHH3593" s="204"/>
      <c r="AHI3593" s="204"/>
      <c r="AHJ3593" s="204"/>
      <c r="AHK3593" s="204"/>
      <c r="AHL3593" s="204"/>
      <c r="AHM3593" s="204"/>
      <c r="AHN3593" s="204"/>
      <c r="AHO3593" s="204"/>
      <c r="AHP3593" s="204"/>
      <c r="AHQ3593" s="204"/>
      <c r="AHR3593" s="204"/>
      <c r="AHS3593" s="204"/>
      <c r="AHT3593" s="204"/>
      <c r="AHU3593" s="204"/>
      <c r="AHV3593" s="204"/>
      <c r="AHW3593" s="204"/>
      <c r="AHX3593" s="204"/>
      <c r="AHY3593" s="204"/>
      <c r="AHZ3593" s="204"/>
      <c r="AIA3593" s="204"/>
      <c r="AIB3593" s="204"/>
      <c r="AIC3593" s="204"/>
      <c r="AID3593" s="204"/>
      <c r="AIE3593" s="204"/>
      <c r="AIF3593" s="204"/>
      <c r="AIG3593" s="204"/>
      <c r="AIH3593" s="204"/>
      <c r="AII3593" s="204"/>
      <c r="AIJ3593" s="204"/>
      <c r="AIK3593" s="204"/>
      <c r="AIL3593" s="204"/>
      <c r="AIM3593" s="204"/>
      <c r="AIN3593" s="204"/>
      <c r="AIO3593" s="204"/>
      <c r="AIP3593" s="204"/>
      <c r="AIQ3593" s="204"/>
      <c r="AIR3593" s="204"/>
      <c r="AIS3593" s="204"/>
      <c r="AIT3593" s="204"/>
      <c r="AIU3593" s="204"/>
      <c r="AIV3593" s="204"/>
      <c r="AIW3593" s="204"/>
      <c r="AIX3593" s="204"/>
      <c r="AIY3593" s="204"/>
      <c r="AIZ3593" s="204"/>
      <c r="AJA3593" s="204"/>
      <c r="AJB3593" s="204"/>
      <c r="AJC3593" s="204"/>
      <c r="AJD3593" s="204"/>
      <c r="AJE3593" s="204"/>
      <c r="AJF3593" s="204"/>
      <c r="AJG3593" s="204"/>
      <c r="AJH3593" s="204"/>
      <c r="AJI3593" s="204"/>
      <c r="AJJ3593" s="204"/>
      <c r="AJK3593" s="204"/>
      <c r="AJL3593" s="204"/>
      <c r="AJM3593" s="204"/>
      <c r="AJN3593" s="204"/>
      <c r="AJO3593" s="204"/>
      <c r="AJP3593" s="204"/>
      <c r="AJQ3593" s="204"/>
      <c r="AJR3593" s="204"/>
      <c r="AJS3593" s="204"/>
      <c r="AJT3593" s="204"/>
      <c r="AJU3593" s="204"/>
      <c r="AJV3593" s="204"/>
      <c r="AJW3593" s="204"/>
      <c r="AJX3593" s="204"/>
      <c r="AJY3593" s="204"/>
      <c r="AJZ3593" s="204"/>
      <c r="AKA3593" s="204"/>
      <c r="AKB3593" s="204"/>
      <c r="AKC3593" s="204"/>
      <c r="AKD3593" s="204"/>
      <c r="AKE3593" s="204"/>
      <c r="AKF3593" s="204"/>
      <c r="AKG3593" s="204"/>
      <c r="AKH3593" s="204"/>
      <c r="AKI3593" s="204"/>
      <c r="AKJ3593" s="204"/>
      <c r="AKK3593" s="204"/>
      <c r="AKL3593" s="204"/>
      <c r="AKM3593" s="204"/>
      <c r="AKN3593" s="204"/>
      <c r="AKO3593" s="204"/>
      <c r="AKP3593" s="204"/>
      <c r="AKQ3593" s="204"/>
      <c r="AKR3593" s="204"/>
      <c r="AKS3593" s="204"/>
      <c r="AKT3593" s="204"/>
      <c r="AKU3593" s="204"/>
      <c r="AKV3593" s="204"/>
      <c r="AKW3593" s="204"/>
      <c r="AKX3593" s="204"/>
      <c r="AKY3593" s="204"/>
      <c r="AKZ3593" s="204"/>
      <c r="ALA3593" s="204"/>
      <c r="ALB3593" s="204"/>
      <c r="ALC3593" s="204"/>
      <c r="ALD3593" s="204"/>
      <c r="ALE3593" s="204"/>
      <c r="ALF3593" s="204"/>
      <c r="ALG3593" s="204"/>
      <c r="ALH3593" s="204"/>
      <c r="ALI3593" s="204"/>
      <c r="ALJ3593" s="204"/>
      <c r="ALK3593" s="204"/>
      <c r="ALL3593" s="204"/>
      <c r="ALM3593" s="204"/>
      <c r="ALN3593" s="204"/>
      <c r="ALO3593" s="204"/>
      <c r="ALP3593" s="204"/>
      <c r="ALQ3593" s="204"/>
      <c r="ALR3593" s="204"/>
      <c r="ALS3593" s="204"/>
      <c r="ALT3593" s="204"/>
      <c r="ALU3593" s="204"/>
      <c r="ALV3593" s="204"/>
      <c r="ALW3593" s="204"/>
      <c r="ALX3593" s="204"/>
      <c r="ALY3593" s="204"/>
      <c r="ALZ3593" s="204"/>
      <c r="AMA3593" s="204"/>
      <c r="AMB3593" s="204"/>
      <c r="AMC3593" s="204"/>
      <c r="AMD3593" s="204"/>
      <c r="AME3593" s="204"/>
      <c r="AMF3593" s="204"/>
      <c r="AMG3593" s="204"/>
      <c r="AMH3593" s="204"/>
      <c r="AMI3593" s="204"/>
      <c r="AMJ3593" s="204"/>
      <c r="AMK3593" s="204"/>
      <c r="AML3593" s="204"/>
      <c r="AMM3593" s="204"/>
      <c r="AMN3593" s="204"/>
      <c r="AMO3593" s="204"/>
      <c r="AMP3593" s="204"/>
      <c r="AMQ3593" s="204"/>
      <c r="AMR3593" s="204"/>
      <c r="AMS3593" s="204"/>
      <c r="AMT3593" s="204"/>
      <c r="AMU3593" s="204"/>
      <c r="AMV3593" s="204"/>
      <c r="AMW3593" s="204"/>
      <c r="AMX3593" s="204"/>
      <c r="AMY3593" s="204"/>
      <c r="AMZ3593" s="204"/>
      <c r="ANA3593" s="204"/>
      <c r="ANB3593" s="204"/>
      <c r="ANC3593" s="204"/>
      <c r="AND3593" s="204"/>
      <c r="ANE3593" s="204"/>
      <c r="ANF3593" s="204"/>
      <c r="ANG3593" s="204"/>
      <c r="ANH3593" s="204"/>
      <c r="ANI3593" s="204"/>
      <c r="ANJ3593" s="204"/>
      <c r="ANK3593" s="204"/>
      <c r="ANL3593" s="204"/>
      <c r="ANM3593" s="204"/>
      <c r="ANN3593" s="204"/>
      <c r="ANO3593" s="204"/>
      <c r="ANP3593" s="204"/>
      <c r="ANQ3593" s="204"/>
      <c r="ANR3593" s="204"/>
      <c r="ANS3593" s="204"/>
      <c r="ANT3593" s="204"/>
      <c r="ANU3593" s="204"/>
      <c r="ANV3593" s="204"/>
      <c r="ANW3593" s="204"/>
      <c r="ANX3593" s="204"/>
      <c r="ANY3593" s="204"/>
      <c r="ANZ3593" s="204"/>
      <c r="AOA3593" s="204"/>
      <c r="AOB3593" s="204"/>
      <c r="AOC3593" s="204"/>
      <c r="AOD3593" s="204"/>
      <c r="AOE3593" s="204"/>
      <c r="AOF3593" s="204"/>
      <c r="AOG3593" s="204"/>
      <c r="AOH3593" s="204"/>
      <c r="AOI3593" s="204"/>
      <c r="AOJ3593" s="204"/>
      <c r="AOK3593" s="204"/>
      <c r="AOL3593" s="204"/>
      <c r="AOM3593" s="204"/>
      <c r="AON3593" s="204"/>
      <c r="AOO3593" s="204"/>
      <c r="AOP3593" s="204"/>
      <c r="AOQ3593" s="204"/>
      <c r="AOR3593" s="204"/>
      <c r="AOS3593" s="204"/>
      <c r="AOT3593" s="204"/>
      <c r="AOU3593" s="204"/>
      <c r="AOV3593" s="204"/>
      <c r="AOW3593" s="204"/>
      <c r="AOX3593" s="204"/>
      <c r="AOY3593" s="204"/>
      <c r="AOZ3593" s="204"/>
      <c r="APA3593" s="204"/>
      <c r="APB3593" s="204"/>
      <c r="APC3593" s="204"/>
      <c r="APD3593" s="204"/>
      <c r="APE3593" s="204"/>
      <c r="APF3593" s="204"/>
      <c r="APG3593" s="204"/>
      <c r="APH3593" s="204"/>
      <c r="API3593" s="204"/>
      <c r="APJ3593" s="204"/>
      <c r="APK3593" s="204"/>
      <c r="APL3593" s="204"/>
      <c r="APM3593" s="204"/>
      <c r="APN3593" s="204"/>
      <c r="APO3593" s="204"/>
      <c r="APP3593" s="204"/>
      <c r="APQ3593" s="204"/>
      <c r="APR3593" s="204"/>
      <c r="APS3593" s="204"/>
      <c r="APT3593" s="204"/>
      <c r="APU3593" s="204"/>
      <c r="APV3593" s="204"/>
      <c r="APW3593" s="204"/>
      <c r="APX3593" s="204"/>
      <c r="APY3593" s="204"/>
      <c r="APZ3593" s="204"/>
      <c r="AQA3593" s="204"/>
      <c r="AQB3593" s="204"/>
      <c r="AQC3593" s="204"/>
      <c r="AQD3593" s="204"/>
      <c r="AQE3593" s="204"/>
      <c r="AQF3593" s="204"/>
      <c r="AQG3593" s="204"/>
      <c r="AQH3593" s="204"/>
      <c r="AQI3593" s="204"/>
      <c r="AQJ3593" s="204"/>
      <c r="AQK3593" s="204"/>
      <c r="AQL3593" s="204"/>
      <c r="AQM3593" s="204"/>
      <c r="AQN3593" s="204"/>
      <c r="AQO3593" s="204"/>
      <c r="AQP3593" s="204"/>
      <c r="AQQ3593" s="204"/>
      <c r="AQR3593" s="204"/>
      <c r="AQS3593" s="204"/>
      <c r="AQT3593" s="204"/>
      <c r="AQU3593" s="204"/>
      <c r="AQV3593" s="204"/>
      <c r="AQW3593" s="204"/>
      <c r="AQX3593" s="204"/>
      <c r="AQY3593" s="204"/>
      <c r="AQZ3593" s="204"/>
      <c r="ARA3593" s="204"/>
      <c r="ARB3593" s="204"/>
      <c r="ARC3593" s="204"/>
      <c r="ARD3593" s="204"/>
      <c r="ARE3593" s="204"/>
      <c r="ARF3593" s="204"/>
      <c r="ARG3593" s="204"/>
      <c r="ARH3593" s="204"/>
      <c r="ARI3593" s="204"/>
      <c r="ARJ3593" s="204"/>
      <c r="ARK3593" s="204"/>
      <c r="ARL3593" s="204"/>
      <c r="ARM3593" s="204"/>
      <c r="ARN3593" s="204"/>
      <c r="ARO3593" s="204"/>
      <c r="ARP3593" s="204"/>
      <c r="ARQ3593" s="204"/>
      <c r="ARR3593" s="204"/>
      <c r="ARS3593" s="204"/>
      <c r="ART3593" s="204"/>
      <c r="ARU3593" s="204"/>
      <c r="ARV3593" s="204"/>
      <c r="ARW3593" s="204"/>
      <c r="ARX3593" s="204"/>
      <c r="ARY3593" s="204"/>
      <c r="ARZ3593" s="204"/>
      <c r="ASA3593" s="204"/>
      <c r="ASB3593" s="204"/>
      <c r="ASC3593" s="204"/>
      <c r="ASD3593" s="204"/>
      <c r="ASE3593" s="204"/>
      <c r="ASF3593" s="204"/>
      <c r="ASG3593" s="204"/>
      <c r="ASH3593" s="204"/>
      <c r="ASI3593" s="204"/>
      <c r="ASJ3593" s="204"/>
      <c r="ASK3593" s="204"/>
      <c r="ASL3593" s="204"/>
      <c r="ASM3593" s="204"/>
      <c r="ASN3593" s="204"/>
      <c r="ASO3593" s="204"/>
      <c r="ASP3593" s="204"/>
      <c r="ASQ3593" s="204"/>
      <c r="ASR3593" s="204"/>
      <c r="ASS3593" s="204"/>
      <c r="AST3593" s="204"/>
      <c r="ASU3593" s="204"/>
      <c r="ASV3593" s="204"/>
      <c r="ASW3593" s="204"/>
      <c r="ASX3593" s="204"/>
      <c r="ASY3593" s="204"/>
      <c r="ASZ3593" s="204"/>
      <c r="ATA3593" s="204"/>
      <c r="ATB3593" s="204"/>
      <c r="ATC3593" s="204"/>
      <c r="ATD3593" s="204"/>
      <c r="ATE3593" s="204"/>
      <c r="ATF3593" s="204"/>
      <c r="ATG3593" s="204"/>
      <c r="ATH3593" s="204"/>
      <c r="ATI3593" s="204"/>
      <c r="ATJ3593" s="204"/>
      <c r="ATK3593" s="204"/>
      <c r="ATL3593" s="204"/>
      <c r="ATM3593" s="204"/>
      <c r="ATN3593" s="204"/>
      <c r="ATO3593" s="204"/>
      <c r="ATP3593" s="204"/>
      <c r="ATQ3593" s="204"/>
      <c r="ATR3593" s="204"/>
      <c r="ATS3593" s="204"/>
      <c r="ATT3593" s="204"/>
      <c r="ATU3593" s="204"/>
      <c r="ATV3593" s="204"/>
      <c r="ATW3593" s="204"/>
      <c r="ATX3593" s="204"/>
      <c r="ATY3593" s="204"/>
      <c r="ATZ3593" s="204"/>
      <c r="AUA3593" s="204"/>
      <c r="AUB3593" s="204"/>
      <c r="AUC3593" s="204"/>
      <c r="AUD3593" s="204"/>
      <c r="AUE3593" s="204"/>
      <c r="AUF3593" s="204"/>
      <c r="AUG3593" s="204"/>
      <c r="AUH3593" s="204"/>
      <c r="AUI3593" s="204"/>
      <c r="AUJ3593" s="204"/>
      <c r="AUK3593" s="204"/>
      <c r="AUL3593" s="204"/>
      <c r="AUM3593" s="204"/>
      <c r="AUN3593" s="204"/>
      <c r="AUO3593" s="204"/>
      <c r="AUP3593" s="204"/>
      <c r="AUQ3593" s="204"/>
      <c r="AUR3593" s="204"/>
      <c r="AUS3593" s="204"/>
      <c r="AUT3593" s="204"/>
      <c r="AUU3593" s="204"/>
      <c r="AUV3593" s="204"/>
      <c r="AUW3593" s="204"/>
      <c r="AUX3593" s="204"/>
      <c r="AUY3593" s="204"/>
      <c r="AUZ3593" s="204"/>
      <c r="AVA3593" s="204"/>
      <c r="AVB3593" s="204"/>
      <c r="AVC3593" s="204"/>
      <c r="AVD3593" s="204"/>
      <c r="AVE3593" s="204"/>
      <c r="AVF3593" s="204"/>
      <c r="AVG3593" s="204"/>
      <c r="AVH3593" s="204"/>
      <c r="AVI3593" s="204"/>
      <c r="AVJ3593" s="204"/>
      <c r="AVK3593" s="204"/>
      <c r="AVL3593" s="204"/>
      <c r="AVM3593" s="204"/>
      <c r="AVN3593" s="204"/>
      <c r="AVO3593" s="204"/>
      <c r="AVP3593" s="204"/>
      <c r="AVQ3593" s="204"/>
      <c r="AVR3593" s="204"/>
      <c r="AVS3593" s="204"/>
      <c r="AVT3593" s="204"/>
      <c r="AVU3593" s="204"/>
      <c r="AVV3593" s="204"/>
      <c r="AVW3593" s="204"/>
      <c r="AVX3593" s="204"/>
      <c r="AVY3593" s="204"/>
      <c r="AVZ3593" s="204"/>
      <c r="AWA3593" s="204"/>
      <c r="AWB3593" s="204"/>
      <c r="AWC3593" s="204"/>
      <c r="AWD3593" s="204"/>
      <c r="AWE3593" s="204"/>
      <c r="AWF3593" s="204"/>
      <c r="AWG3593" s="204"/>
      <c r="AWH3593" s="204"/>
      <c r="AWI3593" s="204"/>
      <c r="AWJ3593" s="204"/>
      <c r="AWK3593" s="204"/>
      <c r="AWL3593" s="204"/>
      <c r="AWM3593" s="204"/>
      <c r="AWN3593" s="204"/>
      <c r="AWO3593" s="204"/>
      <c r="AWP3593" s="204"/>
      <c r="AWQ3593" s="204"/>
      <c r="AWR3593" s="204"/>
      <c r="AWS3593" s="204"/>
      <c r="AWT3593" s="204"/>
      <c r="AWU3593" s="204"/>
      <c r="AWV3593" s="204"/>
      <c r="AWW3593" s="204"/>
      <c r="AWX3593" s="204"/>
      <c r="AWY3593" s="204"/>
      <c r="AWZ3593" s="204"/>
      <c r="AXA3593" s="204"/>
      <c r="AXB3593" s="204"/>
      <c r="AXC3593" s="204"/>
      <c r="AXD3593" s="204"/>
      <c r="AXE3593" s="204"/>
      <c r="AXF3593" s="204"/>
      <c r="AXG3593" s="204"/>
      <c r="AXH3593" s="204"/>
      <c r="AXI3593" s="204"/>
      <c r="AXJ3593" s="204"/>
      <c r="AXK3593" s="204"/>
      <c r="AXL3593" s="204"/>
      <c r="AXM3593" s="204"/>
      <c r="AXN3593" s="204"/>
      <c r="AXO3593" s="204"/>
      <c r="AXP3593" s="204"/>
      <c r="AXQ3593" s="204"/>
      <c r="AXR3593" s="204"/>
      <c r="AXS3593" s="204"/>
      <c r="AXT3593" s="204"/>
      <c r="AXU3593" s="204"/>
      <c r="AXV3593" s="204"/>
      <c r="AXW3593" s="204"/>
      <c r="AXX3593" s="204"/>
      <c r="AXY3593" s="204"/>
      <c r="AXZ3593" s="204"/>
      <c r="AYA3593" s="204"/>
      <c r="AYB3593" s="204"/>
      <c r="AYC3593" s="204"/>
      <c r="AYD3593" s="204"/>
      <c r="AYE3593" s="204"/>
      <c r="AYF3593" s="204"/>
      <c r="AYG3593" s="204"/>
      <c r="AYH3593" s="204"/>
      <c r="AYI3593" s="204"/>
      <c r="AYJ3593" s="204"/>
      <c r="AYK3593" s="204"/>
      <c r="AYL3593" s="204"/>
      <c r="AYM3593" s="204"/>
      <c r="AYN3593" s="204"/>
      <c r="AYO3593" s="204"/>
      <c r="AYP3593" s="204"/>
      <c r="AYQ3593" s="204"/>
      <c r="AYR3593" s="204"/>
      <c r="AYS3593" s="204"/>
      <c r="AYT3593" s="204"/>
      <c r="AYU3593" s="204"/>
      <c r="AYV3593" s="204"/>
      <c r="AYW3593" s="204"/>
      <c r="AYX3593" s="204"/>
      <c r="AYY3593" s="204"/>
      <c r="AYZ3593" s="204"/>
      <c r="AZA3593" s="204"/>
      <c r="AZB3593" s="204"/>
      <c r="AZC3593" s="204"/>
      <c r="AZD3593" s="204"/>
      <c r="AZE3593" s="204"/>
      <c r="AZF3593" s="204"/>
      <c r="AZG3593" s="204"/>
      <c r="AZH3593" s="204"/>
      <c r="AZI3593" s="204"/>
      <c r="AZJ3593" s="204"/>
      <c r="AZK3593" s="204"/>
      <c r="AZL3593" s="204"/>
      <c r="AZM3593" s="204"/>
      <c r="AZN3593" s="204"/>
      <c r="AZO3593" s="204"/>
      <c r="AZP3593" s="204"/>
      <c r="AZQ3593" s="204"/>
      <c r="AZR3593" s="204"/>
      <c r="AZS3593" s="204"/>
      <c r="AZT3593" s="204"/>
      <c r="AZU3593" s="204"/>
      <c r="AZV3593" s="204"/>
      <c r="AZW3593" s="204"/>
      <c r="AZX3593" s="204"/>
      <c r="AZY3593" s="204"/>
      <c r="AZZ3593" s="204"/>
      <c r="BAA3593" s="204"/>
      <c r="BAB3593" s="204"/>
      <c r="BAC3593" s="204"/>
      <c r="BAD3593" s="204"/>
      <c r="BAE3593" s="204"/>
      <c r="BAF3593" s="204"/>
      <c r="BAG3593" s="204"/>
      <c r="BAH3593" s="204"/>
      <c r="BAI3593" s="204"/>
      <c r="BAJ3593" s="204"/>
      <c r="BAK3593" s="204"/>
      <c r="BAL3593" s="204"/>
      <c r="BAM3593" s="204"/>
      <c r="BAN3593" s="204"/>
      <c r="BAO3593" s="204"/>
      <c r="BAP3593" s="204"/>
      <c r="BAQ3593" s="204"/>
      <c r="BAR3593" s="204"/>
      <c r="BAS3593" s="204"/>
      <c r="BAT3593" s="204"/>
      <c r="BAU3593" s="204"/>
      <c r="BAV3593" s="204"/>
      <c r="BAW3593" s="204"/>
      <c r="BAX3593" s="204"/>
      <c r="BAY3593" s="204"/>
      <c r="BAZ3593" s="204"/>
      <c r="BBA3593" s="204"/>
      <c r="BBB3593" s="204"/>
      <c r="BBC3593" s="204"/>
      <c r="BBD3593" s="204"/>
      <c r="BBE3593" s="204"/>
      <c r="BBF3593" s="204"/>
      <c r="BBG3593" s="204"/>
      <c r="BBH3593" s="204"/>
      <c r="BBI3593" s="204"/>
      <c r="BBJ3593" s="204"/>
      <c r="BBK3593" s="204"/>
      <c r="BBL3593" s="204"/>
      <c r="BBM3593" s="204"/>
      <c r="BBN3593" s="204"/>
      <c r="BBO3593" s="204"/>
      <c r="BBP3593" s="204"/>
      <c r="BBQ3593" s="204"/>
      <c r="BBR3593" s="204"/>
      <c r="BBS3593" s="204"/>
      <c r="BBT3593" s="204"/>
      <c r="BBU3593" s="204"/>
      <c r="BBV3593" s="204"/>
      <c r="BBW3593" s="204"/>
      <c r="BBX3593" s="204"/>
      <c r="BBY3593" s="204"/>
      <c r="BBZ3593" s="204"/>
      <c r="BCA3593" s="204"/>
      <c r="BCB3593" s="204"/>
      <c r="BCC3593" s="204"/>
      <c r="BCD3593" s="204"/>
      <c r="BCE3593" s="204"/>
      <c r="BCF3593" s="204"/>
      <c r="BCG3593" s="204"/>
      <c r="BCH3593" s="204"/>
      <c r="BCI3593" s="204"/>
      <c r="BCJ3593" s="204"/>
      <c r="BCK3593" s="204"/>
      <c r="BCL3593" s="204"/>
      <c r="BCM3593" s="204"/>
      <c r="BCN3593" s="204"/>
      <c r="BCO3593" s="204"/>
      <c r="BCP3593" s="204"/>
      <c r="BCQ3593" s="204"/>
      <c r="BCR3593" s="204"/>
      <c r="BCS3593" s="204"/>
      <c r="BCT3593" s="204"/>
      <c r="BCU3593" s="204"/>
      <c r="BCV3593" s="204"/>
      <c r="BCW3593" s="204"/>
      <c r="BCX3593" s="204"/>
      <c r="BCY3593" s="204"/>
      <c r="BCZ3593" s="204"/>
      <c r="BDA3593" s="204"/>
      <c r="BDB3593" s="204"/>
      <c r="BDC3593" s="204"/>
      <c r="BDD3593" s="204"/>
      <c r="BDE3593" s="204"/>
      <c r="BDF3593" s="204"/>
      <c r="BDG3593" s="204"/>
      <c r="BDH3593" s="204"/>
      <c r="BDI3593" s="204"/>
      <c r="BDJ3593" s="204"/>
      <c r="BDK3593" s="204"/>
      <c r="BDL3593" s="204"/>
      <c r="BDM3593" s="204"/>
      <c r="BDN3593" s="204"/>
      <c r="BDO3593" s="204"/>
      <c r="BDP3593" s="204"/>
      <c r="BDQ3593" s="204"/>
      <c r="BDR3593" s="204"/>
      <c r="BDS3593" s="204"/>
      <c r="BDT3593" s="204"/>
      <c r="BDU3593" s="204"/>
      <c r="BDV3593" s="204"/>
      <c r="BDW3593" s="204"/>
      <c r="BDX3593" s="204"/>
      <c r="BDY3593" s="204"/>
      <c r="BDZ3593" s="204"/>
      <c r="BEA3593" s="204"/>
      <c r="BEB3593" s="204"/>
      <c r="BEC3593" s="204"/>
      <c r="BED3593" s="204"/>
      <c r="BEE3593" s="204"/>
      <c r="BEF3593" s="204"/>
      <c r="BEG3593" s="204"/>
      <c r="BEH3593" s="204"/>
      <c r="BEI3593" s="204"/>
      <c r="BEJ3593" s="204"/>
      <c r="BEK3593" s="204"/>
      <c r="BEL3593" s="204"/>
      <c r="BEM3593" s="204"/>
      <c r="BEN3593" s="204"/>
      <c r="BEO3593" s="204"/>
      <c r="BEP3593" s="204"/>
      <c r="BEQ3593" s="204"/>
      <c r="BER3593" s="204"/>
      <c r="BES3593" s="204"/>
      <c r="BET3593" s="204"/>
      <c r="BEU3593" s="204"/>
      <c r="BEV3593" s="204"/>
      <c r="BEW3593" s="204"/>
      <c r="BEX3593" s="204"/>
      <c r="BEY3593" s="204"/>
      <c r="BEZ3593" s="204"/>
      <c r="BFA3593" s="204"/>
      <c r="BFB3593" s="204"/>
      <c r="BFC3593" s="204"/>
      <c r="BFD3593" s="204"/>
      <c r="BFE3593" s="204"/>
      <c r="BFF3593" s="204"/>
      <c r="BFG3593" s="204"/>
      <c r="BFH3593" s="204"/>
      <c r="BFI3593" s="204"/>
      <c r="BFJ3593" s="204"/>
      <c r="BFK3593" s="204"/>
      <c r="BFL3593" s="204"/>
      <c r="BFM3593" s="204"/>
      <c r="BFN3593" s="204"/>
      <c r="BFO3593" s="204"/>
      <c r="BFP3593" s="204"/>
      <c r="BFQ3593" s="204"/>
      <c r="BFR3593" s="204"/>
      <c r="BFS3593" s="204"/>
      <c r="BFT3593" s="204"/>
      <c r="BFU3593" s="204"/>
      <c r="BFV3593" s="204"/>
      <c r="BFW3593" s="204"/>
      <c r="BFX3593" s="204"/>
      <c r="BFY3593" s="204"/>
      <c r="BFZ3593" s="204"/>
      <c r="BGA3593" s="204"/>
      <c r="BGB3593" s="204"/>
      <c r="BGC3593" s="204"/>
      <c r="BGD3593" s="204"/>
      <c r="BGE3593" s="204"/>
      <c r="BGF3593" s="204"/>
      <c r="BGG3593" s="204"/>
      <c r="BGH3593" s="204"/>
      <c r="BGI3593" s="204"/>
      <c r="BGJ3593" s="204"/>
      <c r="BGK3593" s="204"/>
      <c r="BGL3593" s="204"/>
      <c r="BGM3593" s="204"/>
      <c r="BGN3593" s="204"/>
      <c r="BGO3593" s="204"/>
      <c r="BGP3593" s="204"/>
      <c r="BGQ3593" s="204"/>
      <c r="BGR3593" s="204"/>
      <c r="BGS3593" s="204"/>
      <c r="BGT3593" s="204"/>
      <c r="BGU3593" s="204"/>
      <c r="BGV3593" s="204"/>
      <c r="BGW3593" s="204"/>
      <c r="BGX3593" s="204"/>
      <c r="BGY3593" s="204"/>
      <c r="BGZ3593" s="204"/>
      <c r="BHA3593" s="204"/>
      <c r="BHB3593" s="204"/>
      <c r="BHC3593" s="204"/>
      <c r="BHD3593" s="204"/>
      <c r="BHE3593" s="204"/>
      <c r="BHF3593" s="204"/>
      <c r="BHG3593" s="204"/>
      <c r="BHH3593" s="204"/>
      <c r="BHI3593" s="204"/>
      <c r="BHJ3593" s="204"/>
      <c r="BHK3593" s="204"/>
      <c r="BHL3593" s="204"/>
      <c r="BHM3593" s="204"/>
      <c r="BHN3593" s="204"/>
      <c r="BHO3593" s="204"/>
      <c r="BHP3593" s="204"/>
      <c r="BHQ3593" s="204"/>
      <c r="BHR3593" s="204"/>
      <c r="BHS3593" s="204"/>
      <c r="BHT3593" s="204"/>
      <c r="BHU3593" s="204"/>
      <c r="BHV3593" s="204"/>
      <c r="BHW3593" s="204"/>
      <c r="BHX3593" s="204"/>
      <c r="BHY3593" s="204"/>
      <c r="BHZ3593" s="204"/>
      <c r="BIA3593" s="204"/>
      <c r="BIB3593" s="204"/>
      <c r="BIC3593" s="204"/>
      <c r="BID3593" s="204"/>
      <c r="BIE3593" s="204"/>
      <c r="BIF3593" s="204"/>
      <c r="BIG3593" s="204"/>
      <c r="BIH3593" s="204"/>
      <c r="BII3593" s="204"/>
      <c r="BIJ3593" s="204"/>
      <c r="BIK3593" s="204"/>
      <c r="BIL3593" s="204"/>
      <c r="BIM3593" s="204"/>
      <c r="BIN3593" s="204"/>
      <c r="BIO3593" s="204"/>
      <c r="BIP3593" s="204"/>
      <c r="BIQ3593" s="204"/>
      <c r="BIR3593" s="204"/>
      <c r="BIS3593" s="204"/>
      <c r="BIT3593" s="204"/>
      <c r="BIU3593" s="204"/>
      <c r="BIV3593" s="204"/>
      <c r="BIW3593" s="204"/>
      <c r="BIX3593" s="204"/>
      <c r="BIY3593" s="204"/>
      <c r="BIZ3593" s="204"/>
      <c r="BJA3593" s="204"/>
      <c r="BJB3593" s="204"/>
      <c r="BJC3593" s="204"/>
      <c r="BJD3593" s="204"/>
      <c r="BJE3593" s="204"/>
      <c r="BJF3593" s="204"/>
      <c r="BJG3593" s="204"/>
      <c r="BJH3593" s="204"/>
      <c r="BJI3593" s="204"/>
      <c r="BJJ3593" s="204"/>
      <c r="BJK3593" s="204"/>
      <c r="BJL3593" s="204"/>
      <c r="BJM3593" s="204"/>
      <c r="BJN3593" s="204"/>
      <c r="BJO3593" s="204"/>
      <c r="BJP3593" s="204"/>
      <c r="BJQ3593" s="204"/>
      <c r="BJR3593" s="204"/>
      <c r="BJS3593" s="204"/>
      <c r="BJT3593" s="204"/>
      <c r="BJU3593" s="204"/>
      <c r="BJV3593" s="204"/>
      <c r="BJW3593" s="204"/>
      <c r="BJX3593" s="204"/>
      <c r="BJY3593" s="204"/>
      <c r="BJZ3593" s="204"/>
      <c r="BKA3593" s="204"/>
      <c r="BKB3593" s="204"/>
      <c r="BKC3593" s="204"/>
      <c r="BKD3593" s="204"/>
      <c r="BKE3593" s="204"/>
      <c r="BKF3593" s="204"/>
      <c r="BKG3593" s="204"/>
      <c r="BKH3593" s="204"/>
      <c r="BKI3593" s="204"/>
      <c r="BKJ3593" s="204"/>
      <c r="BKK3593" s="204"/>
      <c r="BKL3593" s="204"/>
      <c r="BKM3593" s="204"/>
      <c r="BKN3593" s="204"/>
      <c r="BKO3593" s="204"/>
      <c r="BKP3593" s="204"/>
      <c r="BKQ3593" s="204"/>
      <c r="BKR3593" s="204"/>
      <c r="BKS3593" s="204"/>
      <c r="BKT3593" s="204"/>
      <c r="BKU3593" s="204"/>
      <c r="BKV3593" s="204"/>
      <c r="BKW3593" s="204"/>
      <c r="BKX3593" s="204"/>
      <c r="BKY3593" s="204"/>
      <c r="BKZ3593" s="204"/>
      <c r="BLA3593" s="204"/>
      <c r="BLB3593" s="204"/>
      <c r="BLC3593" s="204"/>
      <c r="BLD3593" s="204"/>
      <c r="BLE3593" s="204"/>
      <c r="BLF3593" s="204"/>
      <c r="BLG3593" s="204"/>
      <c r="BLH3593" s="204"/>
      <c r="BLI3593" s="204"/>
      <c r="BLJ3593" s="204"/>
      <c r="BLK3593" s="204"/>
      <c r="BLL3593" s="204"/>
      <c r="BLM3593" s="204"/>
      <c r="BLN3593" s="204"/>
      <c r="BLO3593" s="204"/>
      <c r="BLP3593" s="204"/>
      <c r="BLQ3593" s="204"/>
      <c r="BLR3593" s="204"/>
      <c r="BLS3593" s="204"/>
      <c r="BLT3593" s="204"/>
      <c r="BLU3593" s="204"/>
      <c r="BLV3593" s="204"/>
      <c r="BLW3593" s="204"/>
      <c r="BLX3593" s="204"/>
      <c r="BLY3593" s="204"/>
      <c r="BLZ3593" s="204"/>
      <c r="BMA3593" s="204"/>
      <c r="BMB3593" s="204"/>
      <c r="BMC3593" s="204"/>
      <c r="BMD3593" s="204"/>
      <c r="BME3593" s="204"/>
      <c r="BMF3593" s="204"/>
      <c r="BMG3593" s="204"/>
      <c r="BMH3593" s="204"/>
      <c r="BMI3593" s="204"/>
      <c r="BMJ3593" s="204"/>
      <c r="BMK3593" s="204"/>
      <c r="BML3593" s="204"/>
      <c r="BMM3593" s="204"/>
      <c r="BMN3593" s="204"/>
      <c r="BMO3593" s="204"/>
      <c r="BMP3593" s="204"/>
      <c r="BMQ3593" s="204"/>
      <c r="BMR3593" s="204"/>
      <c r="BMS3593" s="204"/>
      <c r="BMT3593" s="204"/>
      <c r="BMU3593" s="204"/>
      <c r="BMV3593" s="204"/>
      <c r="BMW3593" s="204"/>
      <c r="BMX3593" s="204"/>
      <c r="BMY3593" s="204"/>
      <c r="BMZ3593" s="204"/>
      <c r="BNA3593" s="204"/>
      <c r="BNB3593" s="204"/>
      <c r="BNC3593" s="204"/>
      <c r="BND3593" s="204"/>
      <c r="BNE3593" s="204"/>
      <c r="BNF3593" s="204"/>
      <c r="BNG3593" s="204"/>
      <c r="BNH3593" s="204"/>
      <c r="BNI3593" s="204"/>
      <c r="BNJ3593" s="204"/>
      <c r="BNK3593" s="204"/>
      <c r="BNL3593" s="204"/>
      <c r="BNM3593" s="204"/>
      <c r="BNN3593" s="204"/>
      <c r="BNO3593" s="204"/>
      <c r="BNP3593" s="204"/>
      <c r="BNQ3593" s="204"/>
      <c r="BNR3593" s="204"/>
      <c r="BNS3593" s="204"/>
      <c r="BNT3593" s="204"/>
      <c r="BNU3593" s="204"/>
      <c r="BNV3593" s="204"/>
      <c r="BNW3593" s="204"/>
      <c r="BNX3593" s="204"/>
      <c r="BNY3593" s="204"/>
      <c r="BNZ3593" s="204"/>
      <c r="BOA3593" s="204"/>
      <c r="BOB3593" s="204"/>
      <c r="BOC3593" s="204"/>
      <c r="BOD3593" s="204"/>
      <c r="BOE3593" s="204"/>
      <c r="BOF3593" s="204"/>
      <c r="BOG3593" s="204"/>
      <c r="BOH3593" s="204"/>
      <c r="BOI3593" s="204"/>
      <c r="BOJ3593" s="204"/>
      <c r="BOK3593" s="204"/>
      <c r="BOL3593" s="204"/>
      <c r="BOM3593" s="204"/>
      <c r="BON3593" s="204"/>
      <c r="BOO3593" s="204"/>
      <c r="BOP3593" s="204"/>
      <c r="BOQ3593" s="204"/>
      <c r="BOR3593" s="204"/>
      <c r="BOS3593" s="204"/>
      <c r="BOT3593" s="204"/>
      <c r="BOU3593" s="204"/>
      <c r="BOV3593" s="204"/>
      <c r="BOW3593" s="204"/>
      <c r="BOX3593" s="204"/>
      <c r="BOY3593" s="204"/>
      <c r="BOZ3593" s="204"/>
      <c r="BPA3593" s="204"/>
      <c r="BPB3593" s="204"/>
      <c r="BPC3593" s="204"/>
      <c r="BPD3593" s="204"/>
      <c r="BPE3593" s="204"/>
      <c r="BPF3593" s="204"/>
      <c r="BPG3593" s="204"/>
      <c r="BPH3593" s="204"/>
      <c r="BPI3593" s="204"/>
      <c r="BPJ3593" s="204"/>
      <c r="BPK3593" s="204"/>
      <c r="BPL3593" s="204"/>
      <c r="BPM3593" s="204"/>
      <c r="BPN3593" s="204"/>
      <c r="BPO3593" s="204"/>
      <c r="BPP3593" s="204"/>
      <c r="BPQ3593" s="204"/>
      <c r="BPR3593" s="204"/>
      <c r="BPS3593" s="204"/>
      <c r="BPT3593" s="204"/>
      <c r="BPU3593" s="204"/>
      <c r="BPV3593" s="204"/>
      <c r="BPW3593" s="204"/>
      <c r="BPX3593" s="204"/>
      <c r="BPY3593" s="204"/>
      <c r="BPZ3593" s="204"/>
      <c r="BQA3593" s="204"/>
      <c r="BQB3593" s="204"/>
      <c r="BQC3593" s="204"/>
      <c r="BQD3593" s="204"/>
      <c r="BQE3593" s="204"/>
      <c r="BQF3593" s="204"/>
      <c r="BQG3593" s="204"/>
      <c r="BQH3593" s="204"/>
      <c r="BQI3593" s="204"/>
      <c r="BQJ3593" s="204"/>
      <c r="BQK3593" s="204"/>
      <c r="BQL3593" s="204"/>
      <c r="BQM3593" s="204"/>
      <c r="BQN3593" s="204"/>
      <c r="BQO3593" s="204"/>
      <c r="BQP3593" s="204"/>
      <c r="BQQ3593" s="204"/>
      <c r="BQR3593" s="204"/>
      <c r="BQS3593" s="204"/>
      <c r="BQT3593" s="204"/>
      <c r="BQU3593" s="204"/>
      <c r="BQV3593" s="204"/>
      <c r="BQW3593" s="204"/>
      <c r="BQX3593" s="204"/>
      <c r="BQY3593" s="204"/>
      <c r="BQZ3593" s="204"/>
      <c r="BRA3593" s="204"/>
      <c r="BRB3593" s="204"/>
      <c r="BRC3593" s="204"/>
      <c r="BRD3593" s="204"/>
      <c r="BRE3593" s="204"/>
      <c r="BRF3593" s="204"/>
      <c r="BRG3593" s="204"/>
      <c r="BRH3593" s="204"/>
      <c r="BRI3593" s="204"/>
      <c r="BRJ3593" s="204"/>
      <c r="BRK3593" s="204"/>
      <c r="BRL3593" s="204"/>
      <c r="BRM3593" s="204"/>
      <c r="BRN3593" s="204"/>
      <c r="BRO3593" s="204"/>
      <c r="BRP3593" s="204"/>
      <c r="BRQ3593" s="204"/>
      <c r="BRR3593" s="204"/>
      <c r="BRS3593" s="204"/>
      <c r="BRT3593" s="204"/>
      <c r="BRU3593" s="204"/>
      <c r="BRV3593" s="204"/>
      <c r="BRW3593" s="204"/>
      <c r="BRX3593" s="204"/>
      <c r="BRY3593" s="204"/>
      <c r="BRZ3593" s="204"/>
      <c r="BSA3593" s="204"/>
      <c r="BSB3593" s="204"/>
      <c r="BSC3593" s="204"/>
      <c r="BSD3593" s="204"/>
      <c r="BSE3593" s="204"/>
      <c r="BSF3593" s="204"/>
      <c r="BSG3593" s="204"/>
      <c r="BSH3593" s="204"/>
      <c r="BSI3593" s="204"/>
      <c r="BSJ3593" s="204"/>
      <c r="BSK3593" s="204"/>
      <c r="BSL3593" s="204"/>
      <c r="BSM3593" s="204"/>
      <c r="BSN3593" s="204"/>
      <c r="BSO3593" s="204"/>
      <c r="BSP3593" s="204"/>
      <c r="BSQ3593" s="204"/>
      <c r="BSR3593" s="204"/>
      <c r="BSS3593" s="204"/>
      <c r="BST3593" s="204"/>
      <c r="BSU3593" s="204"/>
      <c r="BSV3593" s="204"/>
      <c r="BSW3593" s="204"/>
      <c r="BSX3593" s="204"/>
      <c r="BSY3593" s="204"/>
      <c r="BSZ3593" s="204"/>
      <c r="BTA3593" s="204"/>
      <c r="BTB3593" s="204"/>
      <c r="BTC3593" s="204"/>
      <c r="BTD3593" s="204"/>
      <c r="BTE3593" s="204"/>
      <c r="BTF3593" s="204"/>
      <c r="BTG3593" s="204"/>
      <c r="BTH3593" s="204"/>
      <c r="BTI3593" s="204"/>
      <c r="BTJ3593" s="204"/>
      <c r="BTK3593" s="204"/>
      <c r="BTL3593" s="204"/>
      <c r="BTM3593" s="204"/>
      <c r="BTN3593" s="204"/>
      <c r="BTO3593" s="204"/>
      <c r="BTP3593" s="204"/>
      <c r="BTQ3593" s="204"/>
      <c r="BTR3593" s="204"/>
      <c r="BTS3593" s="204"/>
      <c r="BTT3593" s="204"/>
      <c r="BTU3593" s="204"/>
      <c r="BTV3593" s="204"/>
      <c r="BTW3593" s="204"/>
      <c r="BTX3593" s="204"/>
      <c r="BTY3593" s="204"/>
      <c r="BTZ3593" s="204"/>
      <c r="BUA3593" s="204"/>
      <c r="BUB3593" s="204"/>
      <c r="BUC3593" s="204"/>
      <c r="BUD3593" s="204"/>
      <c r="BUE3593" s="204"/>
      <c r="BUF3593" s="204"/>
      <c r="BUG3593" s="204"/>
      <c r="BUH3593" s="204"/>
      <c r="BUI3593" s="204"/>
      <c r="BUJ3593" s="204"/>
      <c r="BUK3593" s="204"/>
      <c r="BUL3593" s="204"/>
      <c r="BUM3593" s="204"/>
      <c r="BUN3593" s="204"/>
      <c r="BUO3593" s="204"/>
      <c r="BUP3593" s="204"/>
      <c r="BUQ3593" s="204"/>
      <c r="BUR3593" s="204"/>
      <c r="BUS3593" s="204"/>
      <c r="BUT3593" s="204"/>
      <c r="BUU3593" s="204"/>
      <c r="BUV3593" s="204"/>
      <c r="BUW3593" s="204"/>
      <c r="BUX3593" s="204"/>
      <c r="BUY3593" s="204"/>
      <c r="BUZ3593" s="204"/>
      <c r="BVA3593" s="204"/>
      <c r="BVB3593" s="204"/>
      <c r="BVC3593" s="204"/>
      <c r="BVD3593" s="204"/>
      <c r="BVE3593" s="204"/>
      <c r="BVF3593" s="204"/>
      <c r="BVG3593" s="204"/>
      <c r="BVH3593" s="204"/>
      <c r="BVI3593" s="204"/>
      <c r="BVJ3593" s="204"/>
      <c r="BVK3593" s="204"/>
      <c r="BVL3593" s="204"/>
      <c r="BVM3593" s="204"/>
      <c r="BVN3593" s="204"/>
      <c r="BVO3593" s="204"/>
      <c r="BVP3593" s="204"/>
      <c r="BVQ3593" s="204"/>
      <c r="BVR3593" s="204"/>
      <c r="BVS3593" s="204"/>
      <c r="BVT3593" s="204"/>
      <c r="BVU3593" s="204"/>
      <c r="BVV3593" s="204"/>
      <c r="BVW3593" s="204"/>
      <c r="BVX3593" s="204"/>
      <c r="BVY3593" s="204"/>
      <c r="BVZ3593" s="204"/>
      <c r="BWA3593" s="204"/>
      <c r="BWB3593" s="204"/>
      <c r="BWC3593" s="204"/>
      <c r="BWD3593" s="204"/>
      <c r="BWE3593" s="204"/>
      <c r="BWF3593" s="204"/>
      <c r="BWG3593" s="204"/>
      <c r="BWH3593" s="204"/>
      <c r="BWI3593" s="204"/>
      <c r="BWJ3593" s="204"/>
      <c r="BWK3593" s="204"/>
      <c r="BWL3593" s="204"/>
      <c r="BWM3593" s="204"/>
      <c r="BWN3593" s="204"/>
      <c r="BWO3593" s="204"/>
      <c r="BWP3593" s="204"/>
      <c r="BWQ3593" s="204"/>
      <c r="BWR3593" s="204"/>
      <c r="BWS3593" s="204"/>
      <c r="BWT3593" s="204"/>
      <c r="BWU3593" s="204"/>
      <c r="BWV3593" s="204"/>
      <c r="BWW3593" s="204"/>
      <c r="BWX3593" s="204"/>
      <c r="BWY3593" s="204"/>
      <c r="BWZ3593" s="204"/>
      <c r="BXA3593" s="204"/>
      <c r="BXB3593" s="204"/>
      <c r="BXC3593" s="204"/>
      <c r="BXD3593" s="204"/>
      <c r="BXE3593" s="204"/>
      <c r="BXF3593" s="204"/>
      <c r="BXG3593" s="204"/>
      <c r="BXH3593" s="204"/>
      <c r="BXI3593" s="204"/>
      <c r="BXJ3593" s="204"/>
      <c r="BXK3593" s="204"/>
      <c r="BXL3593" s="204"/>
      <c r="BXM3593" s="204"/>
      <c r="BXN3593" s="204"/>
      <c r="BXO3593" s="204"/>
      <c r="BXP3593" s="204"/>
      <c r="BXQ3593" s="204"/>
      <c r="BXR3593" s="204"/>
      <c r="BXS3593" s="204"/>
      <c r="BXT3593" s="204"/>
      <c r="BXU3593" s="204"/>
      <c r="BXV3593" s="204"/>
      <c r="BXW3593" s="204"/>
      <c r="BXX3593" s="204"/>
      <c r="BXY3593" s="204"/>
      <c r="BXZ3593" s="204"/>
      <c r="BYA3593" s="204"/>
      <c r="BYB3593" s="204"/>
      <c r="BYC3593" s="204"/>
      <c r="BYD3593" s="204"/>
      <c r="BYE3593" s="204"/>
      <c r="BYF3593" s="204"/>
      <c r="BYG3593" s="204"/>
      <c r="BYH3593" s="204"/>
      <c r="BYI3593" s="204"/>
      <c r="BYJ3593" s="204"/>
      <c r="BYK3593" s="204"/>
      <c r="BYL3593" s="204"/>
      <c r="BYM3593" s="204"/>
      <c r="BYN3593" s="204"/>
      <c r="BYO3593" s="204"/>
      <c r="BYP3593" s="204"/>
      <c r="BYQ3593" s="204"/>
      <c r="BYR3593" s="204"/>
      <c r="BYS3593" s="204"/>
      <c r="BYT3593" s="204"/>
      <c r="BYU3593" s="204"/>
      <c r="BYV3593" s="204"/>
      <c r="BYW3593" s="204"/>
      <c r="BYX3593" s="204"/>
      <c r="BYY3593" s="204"/>
      <c r="BYZ3593" s="204"/>
      <c r="BZA3593" s="204"/>
      <c r="BZB3593" s="204"/>
      <c r="BZC3593" s="204"/>
      <c r="BZD3593" s="204"/>
      <c r="BZE3593" s="204"/>
      <c r="BZF3593" s="204"/>
      <c r="BZG3593" s="204"/>
      <c r="BZH3593" s="204"/>
      <c r="BZI3593" s="204"/>
      <c r="BZJ3593" s="204"/>
      <c r="BZK3593" s="204"/>
      <c r="BZL3593" s="204"/>
      <c r="BZM3593" s="204"/>
      <c r="BZN3593" s="204"/>
      <c r="BZO3593" s="204"/>
      <c r="BZP3593" s="204"/>
      <c r="BZQ3593" s="204"/>
      <c r="BZR3593" s="204"/>
      <c r="BZS3593" s="204"/>
      <c r="BZT3593" s="204"/>
      <c r="BZU3593" s="204"/>
      <c r="BZV3593" s="204"/>
      <c r="BZW3593" s="204"/>
      <c r="BZX3593" s="204"/>
      <c r="BZY3593" s="204"/>
      <c r="BZZ3593" s="204"/>
      <c r="CAA3593" s="204"/>
      <c r="CAB3593" s="204"/>
      <c r="CAC3593" s="204"/>
      <c r="CAD3593" s="204"/>
      <c r="CAE3593" s="204"/>
      <c r="CAF3593" s="204"/>
      <c r="CAG3593" s="204"/>
      <c r="CAH3593" s="204"/>
      <c r="CAI3593" s="204"/>
      <c r="CAJ3593" s="204"/>
      <c r="CAK3593" s="204"/>
      <c r="CAL3593" s="204"/>
      <c r="CAM3593" s="204"/>
      <c r="CAN3593" s="204"/>
      <c r="CAO3593" s="204"/>
      <c r="CAP3593" s="204"/>
      <c r="CAQ3593" s="204"/>
      <c r="CAR3593" s="204"/>
      <c r="CAS3593" s="204"/>
      <c r="CAT3593" s="204"/>
      <c r="CAU3593" s="204"/>
      <c r="CAV3593" s="204"/>
      <c r="CAW3593" s="204"/>
      <c r="CAX3593" s="204"/>
      <c r="CAY3593" s="204"/>
      <c r="CAZ3593" s="204"/>
      <c r="CBA3593" s="204"/>
      <c r="CBB3593" s="204"/>
      <c r="CBC3593" s="204"/>
      <c r="CBD3593" s="204"/>
      <c r="CBE3593" s="204"/>
      <c r="CBF3593" s="204"/>
      <c r="CBG3593" s="204"/>
      <c r="CBH3593" s="204"/>
      <c r="CBI3593" s="204"/>
      <c r="CBJ3593" s="204"/>
      <c r="CBK3593" s="204"/>
      <c r="CBL3593" s="204"/>
      <c r="CBM3593" s="204"/>
      <c r="CBN3593" s="204"/>
      <c r="CBO3593" s="204"/>
      <c r="CBP3593" s="204"/>
      <c r="CBQ3593" s="204"/>
      <c r="CBR3593" s="204"/>
      <c r="CBS3593" s="204"/>
      <c r="CBT3593" s="204"/>
      <c r="CBU3593" s="204"/>
      <c r="CBV3593" s="204"/>
      <c r="CBW3593" s="204"/>
      <c r="CBX3593" s="204"/>
      <c r="CBY3593" s="204"/>
      <c r="CBZ3593" s="204"/>
      <c r="CCA3593" s="204"/>
      <c r="CCB3593" s="204"/>
      <c r="CCC3593" s="204"/>
      <c r="CCD3593" s="204"/>
      <c r="CCE3593" s="204"/>
      <c r="CCF3593" s="204"/>
      <c r="CCG3593" s="204"/>
      <c r="CCH3593" s="204"/>
      <c r="CCI3593" s="204"/>
      <c r="CCJ3593" s="204"/>
      <c r="CCK3593" s="204"/>
      <c r="CCL3593" s="204"/>
      <c r="CCM3593" s="204"/>
      <c r="CCN3593" s="204"/>
      <c r="CCO3593" s="204"/>
      <c r="CCP3593" s="204"/>
      <c r="CCQ3593" s="204"/>
      <c r="CCR3593" s="204"/>
      <c r="CCS3593" s="204"/>
      <c r="CCT3593" s="204"/>
      <c r="CCU3593" s="204"/>
      <c r="CCV3593" s="204"/>
      <c r="CCW3593" s="204"/>
      <c r="CCX3593" s="204"/>
      <c r="CCY3593" s="204"/>
      <c r="CCZ3593" s="204"/>
      <c r="CDA3593" s="204"/>
      <c r="CDB3593" s="204"/>
      <c r="CDC3593" s="204"/>
      <c r="CDD3593" s="204"/>
      <c r="CDE3593" s="204"/>
      <c r="CDF3593" s="204"/>
      <c r="CDG3593" s="204"/>
      <c r="CDH3593" s="204"/>
      <c r="CDI3593" s="204"/>
      <c r="CDJ3593" s="204"/>
      <c r="CDK3593" s="204"/>
      <c r="CDL3593" s="204"/>
      <c r="CDM3593" s="204"/>
      <c r="CDN3593" s="204"/>
      <c r="CDO3593" s="204"/>
      <c r="CDP3593" s="204"/>
      <c r="CDQ3593" s="204"/>
      <c r="CDR3593" s="204"/>
      <c r="CDS3593" s="204"/>
      <c r="CDT3593" s="204"/>
      <c r="CDU3593" s="204"/>
      <c r="CDV3593" s="204"/>
      <c r="CDW3593" s="204"/>
      <c r="CDX3593" s="204"/>
      <c r="CDY3593" s="204"/>
      <c r="CDZ3593" s="204"/>
      <c r="CEA3593" s="204"/>
      <c r="CEB3593" s="204"/>
      <c r="CEC3593" s="204"/>
      <c r="CED3593" s="204"/>
      <c r="CEE3593" s="204"/>
      <c r="CEF3593" s="204"/>
      <c r="CEG3593" s="204"/>
      <c r="CEH3593" s="204"/>
      <c r="CEI3593" s="204"/>
      <c r="CEJ3593" s="204"/>
      <c r="CEK3593" s="204"/>
      <c r="CEL3593" s="204"/>
      <c r="CEM3593" s="204"/>
      <c r="CEN3593" s="204"/>
      <c r="CEO3593" s="204"/>
      <c r="CEP3593" s="204"/>
      <c r="CEQ3593" s="204"/>
      <c r="CER3593" s="204"/>
      <c r="CES3593" s="204"/>
      <c r="CET3593" s="204"/>
      <c r="CEU3593" s="204"/>
      <c r="CEV3593" s="204"/>
      <c r="CEW3593" s="204"/>
      <c r="CEX3593" s="204"/>
      <c r="CEY3593" s="204"/>
      <c r="CEZ3593" s="204"/>
      <c r="CFA3593" s="204"/>
      <c r="CFB3593" s="204"/>
      <c r="CFC3593" s="204"/>
      <c r="CFD3593" s="204"/>
      <c r="CFE3593" s="204"/>
      <c r="CFF3593" s="204"/>
      <c r="CFG3593" s="204"/>
      <c r="CFH3593" s="204"/>
      <c r="CFI3593" s="204"/>
      <c r="CFJ3593" s="204"/>
      <c r="CFK3593" s="204"/>
      <c r="CFL3593" s="204"/>
      <c r="CFM3593" s="204"/>
      <c r="CFN3593" s="204"/>
      <c r="CFO3593" s="204"/>
      <c r="CFP3593" s="204"/>
      <c r="CFQ3593" s="204"/>
      <c r="CFR3593" s="204"/>
      <c r="CFS3593" s="204"/>
      <c r="CFT3593" s="204"/>
      <c r="CFU3593" s="204"/>
      <c r="CFV3593" s="204"/>
      <c r="CFW3593" s="204"/>
      <c r="CFX3593" s="204"/>
      <c r="CFY3593" s="204"/>
      <c r="CFZ3593" s="204"/>
      <c r="CGA3593" s="204"/>
      <c r="CGB3593" s="204"/>
      <c r="CGC3593" s="204"/>
      <c r="CGD3593" s="204"/>
      <c r="CGE3593" s="204"/>
      <c r="CGF3593" s="204"/>
      <c r="CGG3593" s="204"/>
      <c r="CGH3593" s="204"/>
      <c r="CGI3593" s="204"/>
      <c r="CGJ3593" s="204"/>
      <c r="CGK3593" s="204"/>
      <c r="CGL3593" s="204"/>
      <c r="CGM3593" s="204"/>
      <c r="CGN3593" s="204"/>
      <c r="CGO3593" s="204"/>
      <c r="CGP3593" s="204"/>
      <c r="CGQ3593" s="204"/>
      <c r="CGR3593" s="204"/>
      <c r="CGS3593" s="204"/>
      <c r="CGT3593" s="204"/>
      <c r="CGU3593" s="204"/>
      <c r="CGV3593" s="204"/>
      <c r="CGW3593" s="204"/>
      <c r="CGX3593" s="204"/>
      <c r="CGY3593" s="204"/>
      <c r="CGZ3593" s="204"/>
      <c r="CHA3593" s="204"/>
      <c r="CHB3593" s="204"/>
      <c r="CHC3593" s="204"/>
      <c r="CHD3593" s="204"/>
      <c r="CHE3593" s="204"/>
      <c r="CHF3593" s="204"/>
      <c r="CHG3593" s="204"/>
      <c r="CHH3593" s="204"/>
      <c r="CHI3593" s="204"/>
      <c r="CHJ3593" s="204"/>
      <c r="CHK3593" s="204"/>
      <c r="CHL3593" s="204"/>
      <c r="CHM3593" s="204"/>
      <c r="CHN3593" s="204"/>
      <c r="CHO3593" s="204"/>
      <c r="CHP3593" s="204"/>
      <c r="CHQ3593" s="204"/>
      <c r="CHR3593" s="204"/>
      <c r="CHS3593" s="204"/>
      <c r="CHT3593" s="204"/>
      <c r="CHU3593" s="204"/>
      <c r="CHV3593" s="204"/>
      <c r="CHW3593" s="204"/>
      <c r="CHX3593" s="204"/>
      <c r="CHY3593" s="204"/>
      <c r="CHZ3593" s="204"/>
      <c r="CIA3593" s="204"/>
      <c r="CIB3593" s="204"/>
      <c r="CIC3593" s="204"/>
      <c r="CID3593" s="204"/>
      <c r="CIE3593" s="204"/>
      <c r="CIF3593" s="204"/>
      <c r="CIG3593" s="204"/>
      <c r="CIH3593" s="204"/>
      <c r="CII3593" s="204"/>
      <c r="CIJ3593" s="204"/>
      <c r="CIK3593" s="204"/>
      <c r="CIL3593" s="204"/>
      <c r="CIM3593" s="204"/>
      <c r="CIN3593" s="204"/>
      <c r="CIO3593" s="204"/>
      <c r="CIP3593" s="204"/>
      <c r="CIQ3593" s="204"/>
      <c r="CIR3593" s="204"/>
      <c r="CIS3593" s="204"/>
      <c r="CIT3593" s="204"/>
      <c r="CIU3593" s="204"/>
      <c r="CIV3593" s="204"/>
      <c r="CIW3593" s="204"/>
      <c r="CIX3593" s="204"/>
      <c r="CIY3593" s="204"/>
      <c r="CIZ3593" s="204"/>
      <c r="CJA3593" s="204"/>
      <c r="CJB3593" s="204"/>
      <c r="CJC3593" s="204"/>
      <c r="CJD3593" s="204"/>
      <c r="CJE3593" s="204"/>
      <c r="CJF3593" s="204"/>
      <c r="CJG3593" s="204"/>
      <c r="CJH3593" s="204"/>
      <c r="CJI3593" s="204"/>
      <c r="CJJ3593" s="204"/>
      <c r="CJK3593" s="204"/>
      <c r="CJL3593" s="204"/>
      <c r="CJM3593" s="204"/>
      <c r="CJN3593" s="204"/>
      <c r="CJO3593" s="204"/>
      <c r="CJP3593" s="204"/>
      <c r="CJQ3593" s="204"/>
      <c r="CJR3593" s="204"/>
      <c r="CJS3593" s="204"/>
      <c r="CJT3593" s="204"/>
      <c r="CJU3593" s="204"/>
      <c r="CJV3593" s="204"/>
      <c r="CJW3593" s="204"/>
      <c r="CJX3593" s="204"/>
      <c r="CJY3593" s="204"/>
      <c r="CJZ3593" s="204"/>
      <c r="CKA3593" s="204"/>
      <c r="CKB3593" s="204"/>
      <c r="CKC3593" s="204"/>
      <c r="CKD3593" s="204"/>
      <c r="CKE3593" s="204"/>
      <c r="CKF3593" s="204"/>
      <c r="CKG3593" s="204"/>
      <c r="CKH3593" s="204"/>
      <c r="CKI3593" s="204"/>
      <c r="CKJ3593" s="204"/>
      <c r="CKK3593" s="204"/>
      <c r="CKL3593" s="204"/>
      <c r="CKM3593" s="204"/>
      <c r="CKN3593" s="204"/>
      <c r="CKO3593" s="204"/>
      <c r="CKP3593" s="204"/>
      <c r="CKQ3593" s="204"/>
      <c r="CKR3593" s="204"/>
      <c r="CKS3593" s="204"/>
      <c r="CKT3593" s="204"/>
      <c r="CKU3593" s="204"/>
      <c r="CKV3593" s="204"/>
      <c r="CKW3593" s="204"/>
      <c r="CKX3593" s="204"/>
      <c r="CKY3593" s="204"/>
      <c r="CKZ3593" s="204"/>
      <c r="CLA3593" s="204"/>
      <c r="CLB3593" s="204"/>
      <c r="CLC3593" s="204"/>
      <c r="CLD3593" s="204"/>
      <c r="CLE3593" s="204"/>
      <c r="CLF3593" s="204"/>
      <c r="CLG3593" s="204"/>
      <c r="CLH3593" s="204"/>
      <c r="CLI3593" s="204"/>
      <c r="CLJ3593" s="204"/>
      <c r="CLK3593" s="204"/>
      <c r="CLL3593" s="204"/>
      <c r="CLM3593" s="204"/>
      <c r="CLN3593" s="204"/>
      <c r="CLO3593" s="204"/>
      <c r="CLP3593" s="204"/>
      <c r="CLQ3593" s="204"/>
      <c r="CLR3593" s="204"/>
      <c r="CLS3593" s="204"/>
      <c r="CLT3593" s="204"/>
      <c r="CLU3593" s="204"/>
      <c r="CLV3593" s="204"/>
      <c r="CLW3593" s="204"/>
      <c r="CLX3593" s="204"/>
      <c r="CLY3593" s="204"/>
      <c r="CLZ3593" s="204"/>
      <c r="CMA3593" s="204"/>
      <c r="CMB3593" s="204"/>
      <c r="CMC3593" s="204"/>
      <c r="CMD3593" s="204"/>
      <c r="CME3593" s="204"/>
      <c r="CMF3593" s="204"/>
      <c r="CMG3593" s="204"/>
      <c r="CMH3593" s="204"/>
      <c r="CMI3593" s="204"/>
      <c r="CMJ3593" s="204"/>
      <c r="CMK3593" s="204"/>
      <c r="CML3593" s="204"/>
      <c r="CMM3593" s="204"/>
      <c r="CMN3593" s="204"/>
      <c r="CMO3593" s="204"/>
      <c r="CMP3593" s="204"/>
      <c r="CMQ3593" s="204"/>
      <c r="CMR3593" s="204"/>
      <c r="CMS3593" s="204"/>
      <c r="CMT3593" s="204"/>
      <c r="CMU3593" s="204"/>
      <c r="CMV3593" s="204"/>
      <c r="CMW3593" s="204"/>
      <c r="CMX3593" s="204"/>
      <c r="CMY3593" s="204"/>
      <c r="CMZ3593" s="204"/>
      <c r="CNA3593" s="204"/>
      <c r="CNB3593" s="204"/>
      <c r="CNC3593" s="204"/>
      <c r="CND3593" s="204"/>
      <c r="CNE3593" s="204"/>
      <c r="CNF3593" s="204"/>
      <c r="CNG3593" s="204"/>
      <c r="CNH3593" s="204"/>
      <c r="CNI3593" s="204"/>
      <c r="CNJ3593" s="204"/>
      <c r="CNK3593" s="204"/>
      <c r="CNL3593" s="204"/>
      <c r="CNM3593" s="204"/>
      <c r="CNN3593" s="204"/>
      <c r="CNO3593" s="204"/>
      <c r="CNP3593" s="204"/>
      <c r="CNQ3593" s="204"/>
      <c r="CNR3593" s="204"/>
      <c r="CNS3593" s="204"/>
      <c r="CNT3593" s="204"/>
      <c r="CNU3593" s="204"/>
      <c r="CNV3593" s="204"/>
      <c r="CNW3593" s="204"/>
      <c r="CNX3593" s="204"/>
      <c r="CNY3593" s="204"/>
      <c r="CNZ3593" s="204"/>
      <c r="COA3593" s="204"/>
      <c r="COB3593" s="204"/>
      <c r="COC3593" s="204"/>
      <c r="COD3593" s="204"/>
      <c r="COE3593" s="204"/>
      <c r="COF3593" s="204"/>
      <c r="COG3593" s="204"/>
      <c r="COH3593" s="204"/>
      <c r="COI3593" s="204"/>
      <c r="COJ3593" s="204"/>
      <c r="COK3593" s="204"/>
      <c r="COL3593" s="204"/>
      <c r="COM3593" s="204"/>
      <c r="CON3593" s="204"/>
      <c r="COO3593" s="204"/>
      <c r="COP3593" s="204"/>
      <c r="COQ3593" s="204"/>
      <c r="COR3593" s="204"/>
      <c r="COS3593" s="204"/>
      <c r="COT3593" s="204"/>
      <c r="COU3593" s="204"/>
      <c r="COV3593" s="204"/>
      <c r="COW3593" s="204"/>
      <c r="COX3593" s="204"/>
      <c r="COY3593" s="204"/>
      <c r="COZ3593" s="204"/>
      <c r="CPA3593" s="204"/>
      <c r="CPB3593" s="204"/>
      <c r="CPC3593" s="204"/>
      <c r="CPD3593" s="204"/>
      <c r="CPE3593" s="204"/>
      <c r="CPF3593" s="204"/>
      <c r="CPG3593" s="204"/>
      <c r="CPH3593" s="204"/>
      <c r="CPI3593" s="204"/>
      <c r="CPJ3593" s="204"/>
      <c r="CPK3593" s="204"/>
      <c r="CPL3593" s="204"/>
      <c r="CPM3593" s="204"/>
      <c r="CPN3593" s="204"/>
      <c r="CPO3593" s="204"/>
      <c r="CPP3593" s="204"/>
      <c r="CPQ3593" s="204"/>
      <c r="CPR3593" s="204"/>
      <c r="CPS3593" s="204"/>
      <c r="CPT3593" s="204"/>
      <c r="CPU3593" s="204"/>
      <c r="CPV3593" s="204"/>
      <c r="CPW3593" s="204"/>
      <c r="CPX3593" s="204"/>
      <c r="CPY3593" s="204"/>
      <c r="CPZ3593" s="204"/>
      <c r="CQA3593" s="204"/>
      <c r="CQB3593" s="204"/>
      <c r="CQC3593" s="204"/>
      <c r="CQD3593" s="204"/>
      <c r="CQE3593" s="204"/>
      <c r="CQF3593" s="204"/>
      <c r="CQG3593" s="204"/>
      <c r="CQH3593" s="204"/>
      <c r="CQI3593" s="204"/>
      <c r="CQJ3593" s="204"/>
      <c r="CQK3593" s="204"/>
      <c r="CQL3593" s="204"/>
      <c r="CQM3593" s="204"/>
      <c r="CQN3593" s="204"/>
      <c r="CQO3593" s="204"/>
      <c r="CQP3593" s="204"/>
      <c r="CQQ3593" s="204"/>
      <c r="CQR3593" s="204"/>
      <c r="CQS3593" s="204"/>
      <c r="CQT3593" s="204"/>
      <c r="CQU3593" s="204"/>
      <c r="CQV3593" s="204"/>
      <c r="CQW3593" s="204"/>
      <c r="CQX3593" s="204"/>
      <c r="CQY3593" s="204"/>
      <c r="CQZ3593" s="204"/>
      <c r="CRA3593" s="204"/>
      <c r="CRB3593" s="204"/>
      <c r="CRC3593" s="204"/>
      <c r="CRD3593" s="204"/>
      <c r="CRE3593" s="204"/>
      <c r="CRF3593" s="204"/>
      <c r="CRG3593" s="204"/>
      <c r="CRH3593" s="204"/>
      <c r="CRI3593" s="204"/>
      <c r="CRJ3593" s="204"/>
      <c r="CRK3593" s="204"/>
      <c r="CRL3593" s="204"/>
      <c r="CRM3593" s="204"/>
      <c r="CRN3593" s="204"/>
      <c r="CRO3593" s="204"/>
      <c r="CRP3593" s="204"/>
      <c r="CRQ3593" s="204"/>
      <c r="CRR3593" s="204"/>
      <c r="CRS3593" s="204"/>
      <c r="CRT3593" s="204"/>
      <c r="CRU3593" s="204"/>
      <c r="CRV3593" s="204"/>
      <c r="CRW3593" s="204"/>
      <c r="CRX3593" s="204"/>
      <c r="CRY3593" s="204"/>
      <c r="CRZ3593" s="204"/>
      <c r="CSA3593" s="204"/>
      <c r="CSB3593" s="204"/>
      <c r="CSC3593" s="204"/>
      <c r="CSD3593" s="204"/>
      <c r="CSE3593" s="204"/>
      <c r="CSF3593" s="204"/>
      <c r="CSG3593" s="204"/>
      <c r="CSH3593" s="204"/>
      <c r="CSI3593" s="204"/>
      <c r="CSJ3593" s="204"/>
      <c r="CSK3593" s="204"/>
      <c r="CSL3593" s="204"/>
      <c r="CSM3593" s="204"/>
      <c r="CSN3593" s="204"/>
      <c r="CSO3593" s="204"/>
      <c r="CSP3593" s="204"/>
      <c r="CSQ3593" s="204"/>
      <c r="CSR3593" s="204"/>
      <c r="CSS3593" s="204"/>
      <c r="CST3593" s="204"/>
      <c r="CSU3593" s="204"/>
      <c r="CSV3593" s="204"/>
      <c r="CSW3593" s="204"/>
      <c r="CSX3593" s="204"/>
      <c r="CSY3593" s="204"/>
      <c r="CSZ3593" s="204"/>
      <c r="CTA3593" s="204"/>
      <c r="CTB3593" s="204"/>
      <c r="CTC3593" s="204"/>
      <c r="CTD3593" s="204"/>
      <c r="CTE3593" s="204"/>
      <c r="CTF3593" s="204"/>
      <c r="CTG3593" s="204"/>
      <c r="CTH3593" s="204"/>
      <c r="CTI3593" s="204"/>
      <c r="CTJ3593" s="204"/>
      <c r="CTK3593" s="204"/>
      <c r="CTL3593" s="204"/>
      <c r="CTM3593" s="204"/>
      <c r="CTN3593" s="204"/>
      <c r="CTO3593" s="204"/>
      <c r="CTP3593" s="204"/>
      <c r="CTQ3593" s="204"/>
      <c r="CTR3593" s="204"/>
      <c r="CTS3593" s="204"/>
      <c r="CTT3593" s="204"/>
      <c r="CTU3593" s="204"/>
      <c r="CTV3593" s="204"/>
      <c r="CTW3593" s="204"/>
      <c r="CTX3593" s="204"/>
      <c r="CTY3593" s="204"/>
      <c r="CTZ3593" s="204"/>
      <c r="CUA3593" s="204"/>
      <c r="CUB3593" s="204"/>
      <c r="CUC3593" s="204"/>
      <c r="CUD3593" s="204"/>
      <c r="CUE3593" s="204"/>
      <c r="CUF3593" s="204"/>
      <c r="CUG3593" s="204"/>
      <c r="CUH3593" s="204"/>
      <c r="CUI3593" s="204"/>
      <c r="CUJ3593" s="204"/>
      <c r="CUK3593" s="204"/>
      <c r="CUL3593" s="204"/>
      <c r="CUM3593" s="204"/>
      <c r="CUN3593" s="204"/>
      <c r="CUO3593" s="204"/>
      <c r="CUP3593" s="204"/>
      <c r="CUQ3593" s="204"/>
      <c r="CUR3593" s="204"/>
      <c r="CUS3593" s="204"/>
      <c r="CUT3593" s="204"/>
      <c r="CUU3593" s="204"/>
      <c r="CUV3593" s="204"/>
      <c r="CUW3593" s="204"/>
      <c r="CUX3593" s="204"/>
      <c r="CUY3593" s="204"/>
      <c r="CUZ3593" s="204"/>
      <c r="CVA3593" s="204"/>
      <c r="CVB3593" s="204"/>
      <c r="CVC3593" s="204"/>
      <c r="CVD3593" s="204"/>
      <c r="CVE3593" s="204"/>
      <c r="CVF3593" s="204"/>
      <c r="CVG3593" s="204"/>
      <c r="CVH3593" s="204"/>
      <c r="CVI3593" s="204"/>
      <c r="CVJ3593" s="204"/>
      <c r="CVK3593" s="204"/>
      <c r="CVL3593" s="204"/>
      <c r="CVM3593" s="204"/>
      <c r="CVN3593" s="204"/>
      <c r="CVO3593" s="204"/>
      <c r="CVP3593" s="204"/>
      <c r="CVQ3593" s="204"/>
      <c r="CVR3593" s="204"/>
      <c r="CVS3593" s="204"/>
      <c r="CVT3593" s="204"/>
      <c r="CVU3593" s="204"/>
      <c r="CVV3593" s="204"/>
      <c r="CVW3593" s="204"/>
      <c r="CVX3593" s="204"/>
      <c r="CVY3593" s="204"/>
      <c r="CVZ3593" s="204"/>
      <c r="CWA3593" s="204"/>
      <c r="CWB3593" s="204"/>
      <c r="CWC3593" s="204"/>
      <c r="CWD3593" s="204"/>
      <c r="CWE3593" s="204"/>
      <c r="CWF3593" s="204"/>
      <c r="CWG3593" s="204"/>
      <c r="CWH3593" s="204"/>
      <c r="CWI3593" s="204"/>
      <c r="CWJ3593" s="204"/>
      <c r="CWK3593" s="204"/>
      <c r="CWL3593" s="204"/>
      <c r="CWM3593" s="204"/>
      <c r="CWN3593" s="204"/>
      <c r="CWO3593" s="204"/>
      <c r="CWP3593" s="204"/>
      <c r="CWQ3593" s="204"/>
      <c r="CWR3593" s="204"/>
      <c r="CWS3593" s="204"/>
      <c r="CWT3593" s="204"/>
      <c r="CWU3593" s="204"/>
      <c r="CWV3593" s="204"/>
      <c r="CWW3593" s="204"/>
      <c r="CWX3593" s="204"/>
      <c r="CWY3593" s="204"/>
      <c r="CWZ3593" s="204"/>
      <c r="CXA3593" s="204"/>
      <c r="CXB3593" s="204"/>
      <c r="CXC3593" s="204"/>
      <c r="CXD3593" s="204"/>
      <c r="CXE3593" s="204"/>
      <c r="CXF3593" s="204"/>
      <c r="CXG3593" s="204"/>
      <c r="CXH3593" s="204"/>
      <c r="CXI3593" s="204"/>
      <c r="CXJ3593" s="204"/>
      <c r="CXK3593" s="204"/>
      <c r="CXL3593" s="204"/>
      <c r="CXM3593" s="204"/>
      <c r="CXN3593" s="204"/>
      <c r="CXO3593" s="204"/>
      <c r="CXP3593" s="204"/>
      <c r="CXQ3593" s="204"/>
      <c r="CXR3593" s="204"/>
      <c r="CXS3593" s="204"/>
      <c r="CXT3593" s="204"/>
      <c r="CXU3593" s="204"/>
      <c r="CXV3593" s="204"/>
      <c r="CXW3593" s="204"/>
      <c r="CXX3593" s="204"/>
      <c r="CXY3593" s="204"/>
      <c r="CXZ3593" s="204"/>
      <c r="CYA3593" s="204"/>
      <c r="CYB3593" s="204"/>
      <c r="CYC3593" s="204"/>
      <c r="CYD3593" s="204"/>
      <c r="CYE3593" s="204"/>
      <c r="CYF3593" s="204"/>
      <c r="CYG3593" s="204"/>
      <c r="CYH3593" s="204"/>
      <c r="CYI3593" s="204"/>
      <c r="CYJ3593" s="204"/>
      <c r="CYK3593" s="204"/>
      <c r="CYL3593" s="204"/>
      <c r="CYM3593" s="204"/>
      <c r="CYN3593" s="204"/>
      <c r="CYO3593" s="204"/>
      <c r="CYP3593" s="204"/>
      <c r="CYQ3593" s="204"/>
      <c r="CYR3593" s="204"/>
      <c r="CYS3593" s="204"/>
      <c r="CYT3593" s="204"/>
      <c r="CYU3593" s="204"/>
      <c r="CYV3593" s="204"/>
      <c r="CYW3593" s="204"/>
      <c r="CYX3593" s="204"/>
      <c r="CYY3593" s="204"/>
      <c r="CYZ3593" s="204"/>
      <c r="CZA3593" s="204"/>
      <c r="CZB3593" s="204"/>
      <c r="CZC3593" s="204"/>
      <c r="CZD3593" s="204"/>
      <c r="CZE3593" s="204"/>
      <c r="CZF3593" s="204"/>
      <c r="CZG3593" s="204"/>
      <c r="CZH3593" s="204"/>
      <c r="CZI3593" s="204"/>
      <c r="CZJ3593" s="204"/>
      <c r="CZK3593" s="204"/>
      <c r="CZL3593" s="204"/>
      <c r="CZM3593" s="204"/>
      <c r="CZN3593" s="204"/>
      <c r="CZO3593" s="204"/>
      <c r="CZP3593" s="204"/>
      <c r="CZQ3593" s="204"/>
      <c r="CZR3593" s="204"/>
      <c r="CZS3593" s="204"/>
      <c r="CZT3593" s="204"/>
      <c r="CZU3593" s="204"/>
      <c r="CZV3593" s="204"/>
      <c r="CZW3593" s="204"/>
      <c r="CZX3593" s="204"/>
      <c r="CZY3593" s="204"/>
      <c r="CZZ3593" s="204"/>
      <c r="DAA3593" s="204"/>
      <c r="DAB3593" s="204"/>
      <c r="DAC3593" s="204"/>
      <c r="DAD3593" s="204"/>
      <c r="DAE3593" s="204"/>
      <c r="DAF3593" s="204"/>
      <c r="DAG3593" s="204"/>
      <c r="DAH3593" s="204"/>
      <c r="DAI3593" s="204"/>
      <c r="DAJ3593" s="204"/>
      <c r="DAK3593" s="204"/>
      <c r="DAL3593" s="204"/>
      <c r="DAM3593" s="204"/>
      <c r="DAN3593" s="204"/>
      <c r="DAO3593" s="204"/>
      <c r="DAP3593" s="204"/>
      <c r="DAQ3593" s="204"/>
      <c r="DAR3593" s="204"/>
      <c r="DAS3593" s="204"/>
      <c r="DAT3593" s="204"/>
      <c r="DAU3593" s="204"/>
      <c r="DAV3593" s="204"/>
      <c r="DAW3593" s="204"/>
      <c r="DAX3593" s="204"/>
      <c r="DAY3593" s="204"/>
      <c r="DAZ3593" s="204"/>
      <c r="DBA3593" s="204"/>
      <c r="DBB3593" s="204"/>
      <c r="DBC3593" s="204"/>
      <c r="DBD3593" s="204"/>
      <c r="DBE3593" s="204"/>
      <c r="DBF3593" s="204"/>
      <c r="DBG3593" s="204"/>
      <c r="DBH3593" s="204"/>
      <c r="DBI3593" s="204"/>
      <c r="DBJ3593" s="204"/>
      <c r="DBK3593" s="204"/>
      <c r="DBL3593" s="204"/>
      <c r="DBM3593" s="204"/>
      <c r="DBN3593" s="204"/>
      <c r="DBO3593" s="204"/>
      <c r="DBP3593" s="204"/>
      <c r="DBQ3593" s="204"/>
      <c r="DBR3593" s="204"/>
      <c r="DBS3593" s="204"/>
      <c r="DBT3593" s="204"/>
      <c r="DBU3593" s="204"/>
      <c r="DBV3593" s="204"/>
      <c r="DBW3593" s="204"/>
      <c r="DBX3593" s="204"/>
      <c r="DBY3593" s="204"/>
      <c r="DBZ3593" s="204"/>
      <c r="DCA3593" s="204"/>
      <c r="DCB3593" s="204"/>
      <c r="DCC3593" s="204"/>
      <c r="DCD3593" s="204"/>
      <c r="DCE3593" s="204"/>
      <c r="DCF3593" s="204"/>
      <c r="DCG3593" s="204"/>
      <c r="DCH3593" s="204"/>
      <c r="DCI3593" s="204"/>
      <c r="DCJ3593" s="204"/>
      <c r="DCK3593" s="204"/>
      <c r="DCL3593" s="204"/>
      <c r="DCM3593" s="204"/>
      <c r="DCN3593" s="204"/>
      <c r="DCO3593" s="204"/>
      <c r="DCP3593" s="204"/>
      <c r="DCQ3593" s="204"/>
      <c r="DCR3593" s="204"/>
      <c r="DCS3593" s="204"/>
      <c r="DCT3593" s="204"/>
      <c r="DCU3593" s="204"/>
      <c r="DCV3593" s="204"/>
      <c r="DCW3593" s="204"/>
      <c r="DCX3593" s="204"/>
      <c r="DCY3593" s="204"/>
      <c r="DCZ3593" s="204"/>
      <c r="DDA3593" s="204"/>
      <c r="DDB3593" s="204"/>
      <c r="DDC3593" s="204"/>
      <c r="DDD3593" s="204"/>
      <c r="DDE3593" s="204"/>
      <c r="DDF3593" s="204"/>
      <c r="DDG3593" s="204"/>
      <c r="DDH3593" s="204"/>
      <c r="DDI3593" s="204"/>
      <c r="DDJ3593" s="204"/>
      <c r="DDK3593" s="204"/>
      <c r="DDL3593" s="204"/>
      <c r="DDM3593" s="204"/>
      <c r="DDN3593" s="204"/>
      <c r="DDO3593" s="204"/>
      <c r="DDP3593" s="204"/>
      <c r="DDQ3593" s="204"/>
      <c r="DDR3593" s="204"/>
      <c r="DDS3593" s="204"/>
      <c r="DDT3593" s="204"/>
      <c r="DDU3593" s="204"/>
      <c r="DDV3593" s="204"/>
      <c r="DDW3593" s="204"/>
      <c r="DDX3593" s="204"/>
      <c r="DDY3593" s="204"/>
      <c r="DDZ3593" s="204"/>
      <c r="DEA3593" s="204"/>
      <c r="DEB3593" s="204"/>
      <c r="DEC3593" s="204"/>
      <c r="DED3593" s="204"/>
      <c r="DEE3593" s="204"/>
      <c r="DEF3593" s="204"/>
      <c r="DEG3593" s="204"/>
      <c r="DEH3593" s="204"/>
      <c r="DEI3593" s="204"/>
      <c r="DEJ3593" s="204"/>
      <c r="DEK3593" s="204"/>
      <c r="DEL3593" s="204"/>
      <c r="DEM3593" s="204"/>
      <c r="DEN3593" s="204"/>
      <c r="DEO3593" s="204"/>
      <c r="DEP3593" s="204"/>
      <c r="DEQ3593" s="204"/>
      <c r="DER3593" s="204"/>
      <c r="DES3593" s="204"/>
      <c r="DET3593" s="204"/>
      <c r="DEU3593" s="204"/>
      <c r="DEV3593" s="204"/>
      <c r="DEW3593" s="204"/>
      <c r="DEX3593" s="204"/>
      <c r="DEY3593" s="204"/>
      <c r="DEZ3593" s="204"/>
      <c r="DFA3593" s="204"/>
      <c r="DFB3593" s="204"/>
      <c r="DFC3593" s="204"/>
      <c r="DFD3593" s="204"/>
      <c r="DFE3593" s="204"/>
      <c r="DFF3593" s="204"/>
      <c r="DFG3593" s="204"/>
      <c r="DFH3593" s="204"/>
      <c r="DFI3593" s="204"/>
      <c r="DFJ3593" s="204"/>
      <c r="DFK3593" s="204"/>
      <c r="DFL3593" s="204"/>
      <c r="DFM3593" s="204"/>
      <c r="DFN3593" s="204"/>
      <c r="DFO3593" s="204"/>
      <c r="DFP3593" s="204"/>
      <c r="DFQ3593" s="204"/>
      <c r="DFR3593" s="204"/>
      <c r="DFS3593" s="204"/>
      <c r="DFT3593" s="204"/>
      <c r="DFU3593" s="204"/>
      <c r="DFV3593" s="204"/>
      <c r="DFW3593" s="204"/>
      <c r="DFX3593" s="204"/>
      <c r="DFY3593" s="204"/>
      <c r="DFZ3593" s="204"/>
      <c r="DGA3593" s="204"/>
      <c r="DGB3593" s="204"/>
      <c r="DGC3593" s="204"/>
      <c r="DGD3593" s="204"/>
      <c r="DGE3593" s="204"/>
      <c r="DGF3593" s="204"/>
      <c r="DGG3593" s="204"/>
      <c r="DGH3593" s="204"/>
      <c r="DGI3593" s="204"/>
      <c r="DGJ3593" s="204"/>
      <c r="DGK3593" s="204"/>
      <c r="DGL3593" s="204"/>
      <c r="DGM3593" s="204"/>
      <c r="DGN3593" s="204"/>
      <c r="DGO3593" s="204"/>
      <c r="DGP3593" s="204"/>
      <c r="DGQ3593" s="204"/>
      <c r="DGR3593" s="204"/>
      <c r="DGS3593" s="204"/>
      <c r="DGT3593" s="204"/>
      <c r="DGU3593" s="204"/>
      <c r="DGV3593" s="204"/>
      <c r="DGW3593" s="204"/>
      <c r="DGX3593" s="204"/>
      <c r="DGY3593" s="204"/>
      <c r="DGZ3593" s="204"/>
      <c r="DHA3593" s="204"/>
      <c r="DHB3593" s="204"/>
      <c r="DHC3593" s="204"/>
      <c r="DHD3593" s="204"/>
      <c r="DHE3593" s="204"/>
      <c r="DHF3593" s="204"/>
      <c r="DHG3593" s="204"/>
      <c r="DHH3593" s="204"/>
      <c r="DHI3593" s="204"/>
      <c r="DHJ3593" s="204"/>
      <c r="DHK3593" s="204"/>
      <c r="DHL3593" s="204"/>
      <c r="DHM3593" s="204"/>
      <c r="DHN3593" s="204"/>
      <c r="DHO3593" s="204"/>
      <c r="DHP3593" s="204"/>
      <c r="DHQ3593" s="204"/>
      <c r="DHR3593" s="204"/>
      <c r="DHS3593" s="204"/>
      <c r="DHT3593" s="204"/>
      <c r="DHU3593" s="204"/>
      <c r="DHV3593" s="204"/>
      <c r="DHW3593" s="204"/>
      <c r="DHX3593" s="204"/>
      <c r="DHY3593" s="204"/>
      <c r="DHZ3593" s="204"/>
      <c r="DIA3593" s="204"/>
      <c r="DIB3593" s="204"/>
      <c r="DIC3593" s="204"/>
      <c r="DID3593" s="204"/>
      <c r="DIE3593" s="204"/>
      <c r="DIF3593" s="204"/>
      <c r="DIG3593" s="204"/>
      <c r="DIH3593" s="204"/>
      <c r="DII3593" s="204"/>
      <c r="DIJ3593" s="204"/>
      <c r="DIK3593" s="204"/>
      <c r="DIL3593" s="204"/>
      <c r="DIM3593" s="204"/>
      <c r="DIN3593" s="204"/>
      <c r="DIO3593" s="204"/>
      <c r="DIP3593" s="204"/>
      <c r="DIQ3593" s="204"/>
      <c r="DIR3593" s="204"/>
      <c r="DIS3593" s="204"/>
      <c r="DIT3593" s="204"/>
      <c r="DIU3593" s="204"/>
      <c r="DIV3593" s="204"/>
      <c r="DIW3593" s="204"/>
      <c r="DIX3593" s="204"/>
      <c r="DIY3593" s="204"/>
      <c r="DIZ3593" s="204"/>
      <c r="DJA3593" s="204"/>
      <c r="DJB3593" s="204"/>
      <c r="DJC3593" s="204"/>
      <c r="DJD3593" s="204"/>
      <c r="DJE3593" s="204"/>
      <c r="DJF3593" s="204"/>
      <c r="DJG3593" s="204"/>
      <c r="DJH3593" s="204"/>
      <c r="DJI3593" s="204"/>
      <c r="DJJ3593" s="204"/>
      <c r="DJK3593" s="204"/>
      <c r="DJL3593" s="204"/>
      <c r="DJM3593" s="204"/>
      <c r="DJN3593" s="204"/>
      <c r="DJO3593" s="204"/>
      <c r="DJP3593" s="204"/>
      <c r="DJQ3593" s="204"/>
      <c r="DJR3593" s="204"/>
      <c r="DJS3593" s="204"/>
      <c r="DJT3593" s="204"/>
      <c r="DJU3593" s="204"/>
      <c r="DJV3593" s="204"/>
      <c r="DJW3593" s="204"/>
      <c r="DJX3593" s="204"/>
      <c r="DJY3593" s="204"/>
      <c r="DJZ3593" s="204"/>
      <c r="DKA3593" s="204"/>
      <c r="DKB3593" s="204"/>
      <c r="DKC3593" s="204"/>
      <c r="DKD3593" s="204"/>
      <c r="DKE3593" s="204"/>
      <c r="DKF3593" s="204"/>
      <c r="DKG3593" s="204"/>
      <c r="DKH3593" s="204"/>
      <c r="DKI3593" s="204"/>
      <c r="DKJ3593" s="204"/>
      <c r="DKK3593" s="204"/>
      <c r="DKL3593" s="204"/>
      <c r="DKM3593" s="204"/>
      <c r="DKN3593" s="204"/>
      <c r="DKO3593" s="204"/>
      <c r="DKP3593" s="204"/>
      <c r="DKQ3593" s="204"/>
      <c r="DKR3593" s="204"/>
      <c r="DKS3593" s="204"/>
      <c r="DKT3593" s="204"/>
      <c r="DKU3593" s="204"/>
      <c r="DKV3593" s="204"/>
      <c r="DKW3593" s="204"/>
      <c r="DKX3593" s="204"/>
      <c r="DKY3593" s="204"/>
      <c r="DKZ3593" s="204"/>
      <c r="DLA3593" s="204"/>
      <c r="DLB3593" s="204"/>
      <c r="DLC3593" s="204"/>
      <c r="DLD3593" s="204"/>
      <c r="DLE3593" s="204"/>
      <c r="DLF3593" s="204"/>
      <c r="DLG3593" s="204"/>
      <c r="DLH3593" s="204"/>
      <c r="DLI3593" s="204"/>
      <c r="DLJ3593" s="204"/>
      <c r="DLK3593" s="204"/>
      <c r="DLL3593" s="204"/>
      <c r="DLM3593" s="204"/>
      <c r="DLN3593" s="204"/>
      <c r="DLO3593" s="204"/>
      <c r="DLP3593" s="204"/>
      <c r="DLQ3593" s="204"/>
      <c r="DLR3593" s="204"/>
      <c r="DLS3593" s="204"/>
      <c r="DLT3593" s="204"/>
      <c r="DLU3593" s="204"/>
      <c r="DLV3593" s="204"/>
      <c r="DLW3593" s="204"/>
      <c r="DLX3593" s="204"/>
      <c r="DLY3593" s="204"/>
      <c r="DLZ3593" s="204"/>
      <c r="DMA3593" s="204"/>
      <c r="DMB3593" s="204"/>
      <c r="DMC3593" s="204"/>
      <c r="DMD3593" s="204"/>
      <c r="DME3593" s="204"/>
      <c r="DMF3593" s="204"/>
      <c r="DMG3593" s="204"/>
      <c r="DMH3593" s="204"/>
      <c r="DMI3593" s="204"/>
      <c r="DMJ3593" s="204"/>
      <c r="DMK3593" s="204"/>
      <c r="DML3593" s="204"/>
      <c r="DMM3593" s="204"/>
      <c r="DMN3593" s="204"/>
      <c r="DMO3593" s="204"/>
      <c r="DMP3593" s="204"/>
      <c r="DMQ3593" s="204"/>
      <c r="DMR3593" s="204"/>
      <c r="DMS3593" s="204"/>
      <c r="DMT3593" s="204"/>
      <c r="DMU3593" s="204"/>
      <c r="DMV3593" s="204"/>
      <c r="DMW3593" s="204"/>
      <c r="DMX3593" s="204"/>
      <c r="DMY3593" s="204"/>
      <c r="DMZ3593" s="204"/>
      <c r="DNA3593" s="204"/>
      <c r="DNB3593" s="204"/>
      <c r="DNC3593" s="204"/>
      <c r="DND3593" s="204"/>
      <c r="DNE3593" s="204"/>
      <c r="DNF3593" s="204"/>
      <c r="DNG3593" s="204"/>
      <c r="DNH3593" s="204"/>
      <c r="DNI3593" s="204"/>
      <c r="DNJ3593" s="204"/>
      <c r="DNK3593" s="204"/>
      <c r="DNL3593" s="204"/>
      <c r="DNM3593" s="204"/>
      <c r="DNN3593" s="204"/>
      <c r="DNO3593" s="204"/>
      <c r="DNP3593" s="204"/>
      <c r="DNQ3593" s="204"/>
      <c r="DNR3593" s="204"/>
      <c r="DNS3593" s="204"/>
      <c r="DNT3593" s="204"/>
      <c r="DNU3593" s="204"/>
      <c r="DNV3593" s="204"/>
      <c r="DNW3593" s="204"/>
      <c r="DNX3593" s="204"/>
      <c r="DNY3593" s="204"/>
      <c r="DNZ3593" s="204"/>
      <c r="DOA3593" s="204"/>
      <c r="DOB3593" s="204"/>
      <c r="DOC3593" s="204"/>
      <c r="DOD3593" s="204"/>
      <c r="DOE3593" s="204"/>
      <c r="DOF3593" s="204"/>
      <c r="DOG3593" s="204"/>
      <c r="DOH3593" s="204"/>
      <c r="DOI3593" s="204"/>
      <c r="DOJ3593" s="204"/>
      <c r="DOK3593" s="204"/>
      <c r="DOL3593" s="204"/>
      <c r="DOM3593" s="204"/>
      <c r="DON3593" s="204"/>
      <c r="DOO3593" s="204"/>
      <c r="DOP3593" s="204"/>
      <c r="DOQ3593" s="204"/>
      <c r="DOR3593" s="204"/>
      <c r="DOS3593" s="204"/>
      <c r="DOT3593" s="204"/>
      <c r="DOU3593" s="204"/>
      <c r="DOV3593" s="204"/>
      <c r="DOW3593" s="204"/>
      <c r="DOX3593" s="204"/>
      <c r="DOY3593" s="204"/>
      <c r="DOZ3593" s="204"/>
      <c r="DPA3593" s="204"/>
      <c r="DPB3593" s="204"/>
      <c r="DPC3593" s="204"/>
      <c r="DPD3593" s="204"/>
      <c r="DPE3593" s="204"/>
      <c r="DPF3593" s="204"/>
      <c r="DPG3593" s="204"/>
      <c r="DPH3593" s="204"/>
      <c r="DPI3593" s="204"/>
      <c r="DPJ3593" s="204"/>
      <c r="DPK3593" s="204"/>
      <c r="DPL3593" s="204"/>
      <c r="DPM3593" s="204"/>
      <c r="DPN3593" s="204"/>
      <c r="DPO3593" s="204"/>
      <c r="DPP3593" s="204"/>
      <c r="DPQ3593" s="204"/>
      <c r="DPR3593" s="204"/>
      <c r="DPS3593" s="204"/>
      <c r="DPT3593" s="204"/>
      <c r="DPU3593" s="204"/>
      <c r="DPV3593" s="204"/>
      <c r="DPW3593" s="204"/>
      <c r="DPX3593" s="204"/>
      <c r="DPY3593" s="204"/>
      <c r="DPZ3593" s="204"/>
      <c r="DQA3593" s="204"/>
      <c r="DQB3593" s="204"/>
      <c r="DQC3593" s="204"/>
      <c r="DQD3593" s="204"/>
      <c r="DQE3593" s="204"/>
      <c r="DQF3593" s="204"/>
      <c r="DQG3593" s="204"/>
      <c r="DQH3593" s="204"/>
      <c r="DQI3593" s="204"/>
      <c r="DQJ3593" s="204"/>
      <c r="DQK3593" s="204"/>
      <c r="DQL3593" s="204"/>
      <c r="DQM3593" s="204"/>
      <c r="DQN3593" s="204"/>
      <c r="DQO3593" s="204"/>
      <c r="DQP3593" s="204"/>
      <c r="DQQ3593" s="204"/>
      <c r="DQR3593" s="204"/>
      <c r="DQS3593" s="204"/>
      <c r="DQT3593" s="204"/>
      <c r="DQU3593" s="204"/>
      <c r="DQV3593" s="204"/>
      <c r="DQW3593" s="204"/>
      <c r="DQX3593" s="204"/>
      <c r="DQY3593" s="204"/>
      <c r="DQZ3593" s="204"/>
      <c r="DRA3593" s="204"/>
      <c r="DRB3593" s="204"/>
      <c r="DRC3593" s="204"/>
      <c r="DRD3593" s="204"/>
      <c r="DRE3593" s="204"/>
      <c r="DRF3593" s="204"/>
      <c r="DRG3593" s="204"/>
      <c r="DRH3593" s="204"/>
      <c r="DRI3593" s="204"/>
      <c r="DRJ3593" s="204"/>
      <c r="DRK3593" s="204"/>
      <c r="DRL3593" s="204"/>
      <c r="DRM3593" s="204"/>
      <c r="DRN3593" s="204"/>
      <c r="DRO3593" s="204"/>
      <c r="DRP3593" s="204"/>
      <c r="DRQ3593" s="204"/>
      <c r="DRR3593" s="204"/>
      <c r="DRS3593" s="204"/>
      <c r="DRT3593" s="204"/>
      <c r="DRU3593" s="204"/>
      <c r="DRV3593" s="204"/>
      <c r="DRW3593" s="204"/>
      <c r="DRX3593" s="204"/>
      <c r="DRY3593" s="204"/>
      <c r="DRZ3593" s="204"/>
      <c r="DSA3593" s="204"/>
      <c r="DSB3593" s="204"/>
      <c r="DSC3593" s="204"/>
      <c r="DSD3593" s="204"/>
      <c r="DSE3593" s="204"/>
      <c r="DSF3593" s="204"/>
      <c r="DSG3593" s="204"/>
      <c r="DSH3593" s="204"/>
      <c r="DSI3593" s="204"/>
      <c r="DSJ3593" s="204"/>
      <c r="DSK3593" s="204"/>
      <c r="DSL3593" s="204"/>
      <c r="DSM3593" s="204"/>
      <c r="DSN3593" s="204"/>
      <c r="DSO3593" s="204"/>
      <c r="DSP3593" s="204"/>
      <c r="DSQ3593" s="204"/>
      <c r="DSR3593" s="204"/>
      <c r="DSS3593" s="204"/>
      <c r="DST3593" s="204"/>
      <c r="DSU3593" s="204"/>
      <c r="DSV3593" s="204"/>
      <c r="DSW3593" s="204"/>
      <c r="DSX3593" s="204"/>
      <c r="DSY3593" s="204"/>
      <c r="DSZ3593" s="204"/>
      <c r="DTA3593" s="204"/>
      <c r="DTB3593" s="204"/>
      <c r="DTC3593" s="204"/>
      <c r="DTD3593" s="204"/>
      <c r="DTE3593" s="204"/>
      <c r="DTF3593" s="204"/>
      <c r="DTG3593" s="204"/>
      <c r="DTH3593" s="204"/>
      <c r="DTI3593" s="204"/>
      <c r="DTJ3593" s="204"/>
      <c r="DTK3593" s="204"/>
      <c r="DTL3593" s="204"/>
      <c r="DTM3593" s="204"/>
      <c r="DTN3593" s="204"/>
      <c r="DTO3593" s="204"/>
      <c r="DTP3593" s="204"/>
      <c r="DTQ3593" s="204"/>
      <c r="DTR3593" s="204"/>
      <c r="DTS3593" s="204"/>
      <c r="DTT3593" s="204"/>
      <c r="DTU3593" s="204"/>
      <c r="DTV3593" s="204"/>
      <c r="DTW3593" s="204"/>
      <c r="DTX3593" s="204"/>
      <c r="DTY3593" s="204"/>
      <c r="DTZ3593" s="204"/>
      <c r="DUA3593" s="204"/>
      <c r="DUB3593" s="204"/>
      <c r="DUC3593" s="204"/>
      <c r="DUD3593" s="204"/>
      <c r="DUE3593" s="204"/>
      <c r="DUF3593" s="204"/>
      <c r="DUG3593" s="204"/>
      <c r="DUH3593" s="204"/>
      <c r="DUI3593" s="204"/>
      <c r="DUJ3593" s="204"/>
      <c r="DUK3593" s="204"/>
      <c r="DUL3593" s="204"/>
      <c r="DUM3593" s="204"/>
      <c r="DUN3593" s="204"/>
      <c r="DUO3593" s="204"/>
      <c r="DUP3593" s="204"/>
      <c r="DUQ3593" s="204"/>
      <c r="DUR3593" s="204"/>
      <c r="DUS3593" s="204"/>
      <c r="DUT3593" s="204"/>
      <c r="DUU3593" s="204"/>
      <c r="DUV3593" s="204"/>
      <c r="DUW3593" s="204"/>
      <c r="DUX3593" s="204"/>
      <c r="DUY3593" s="204"/>
      <c r="DUZ3593" s="204"/>
      <c r="DVA3593" s="204"/>
      <c r="DVB3593" s="204"/>
      <c r="DVC3593" s="204"/>
      <c r="DVD3593" s="204"/>
      <c r="DVE3593" s="204"/>
      <c r="DVF3593" s="204"/>
      <c r="DVG3593" s="204"/>
      <c r="DVH3593" s="204"/>
      <c r="DVI3593" s="204"/>
      <c r="DVJ3593" s="204"/>
      <c r="DVK3593" s="204"/>
      <c r="DVL3593" s="204"/>
      <c r="DVM3593" s="204"/>
      <c r="DVN3593" s="204"/>
      <c r="DVO3593" s="204"/>
      <c r="DVP3593" s="204"/>
      <c r="DVQ3593" s="204"/>
      <c r="DVR3593" s="204"/>
      <c r="DVS3593" s="204"/>
      <c r="DVT3593" s="204"/>
      <c r="DVU3593" s="204"/>
      <c r="DVV3593" s="204"/>
      <c r="DVW3593" s="204"/>
      <c r="DVX3593" s="204"/>
      <c r="DVY3593" s="204"/>
      <c r="DVZ3593" s="204"/>
      <c r="DWA3593" s="204"/>
      <c r="DWB3593" s="204"/>
      <c r="DWC3593" s="204"/>
      <c r="DWD3593" s="204"/>
      <c r="DWE3593" s="204"/>
      <c r="DWF3593" s="204"/>
      <c r="DWG3593" s="204"/>
      <c r="DWH3593" s="204"/>
      <c r="DWI3593" s="204"/>
      <c r="DWJ3593" s="204"/>
      <c r="DWK3593" s="204"/>
      <c r="DWL3593" s="204"/>
      <c r="DWM3593" s="204"/>
      <c r="DWN3593" s="204"/>
      <c r="DWO3593" s="204"/>
      <c r="DWP3593" s="204"/>
      <c r="DWQ3593" s="204"/>
      <c r="DWR3593" s="204"/>
      <c r="DWS3593" s="204"/>
      <c r="DWT3593" s="204"/>
      <c r="DWU3593" s="204"/>
      <c r="DWV3593" s="204"/>
      <c r="DWW3593" s="204"/>
      <c r="DWX3593" s="204"/>
      <c r="DWY3593" s="204"/>
      <c r="DWZ3593" s="204"/>
      <c r="DXA3593" s="204"/>
      <c r="DXB3593" s="204"/>
      <c r="DXC3593" s="204"/>
      <c r="DXD3593" s="204"/>
      <c r="DXE3593" s="204"/>
      <c r="DXF3593" s="204"/>
      <c r="DXG3593" s="204"/>
      <c r="DXH3593" s="204"/>
      <c r="DXI3593" s="204"/>
      <c r="DXJ3593" s="204"/>
      <c r="DXK3593" s="204"/>
      <c r="DXL3593" s="204"/>
      <c r="DXM3593" s="204"/>
      <c r="DXN3593" s="204"/>
      <c r="DXO3593" s="204"/>
      <c r="DXP3593" s="204"/>
      <c r="DXQ3593" s="204"/>
      <c r="DXR3593" s="204"/>
      <c r="DXS3593" s="204"/>
      <c r="DXT3593" s="204"/>
      <c r="DXU3593" s="204"/>
      <c r="DXV3593" s="204"/>
      <c r="DXW3593" s="204"/>
      <c r="DXX3593" s="204"/>
      <c r="DXY3593" s="204"/>
      <c r="DXZ3593" s="204"/>
      <c r="DYA3593" s="204"/>
      <c r="DYB3593" s="204"/>
      <c r="DYC3593" s="204"/>
      <c r="DYD3593" s="204"/>
      <c r="DYE3593" s="204"/>
      <c r="DYF3593" s="204"/>
      <c r="DYG3593" s="204"/>
      <c r="DYH3593" s="204"/>
      <c r="DYI3593" s="204"/>
      <c r="DYJ3593" s="204"/>
      <c r="DYK3593" s="204"/>
      <c r="DYL3593" s="204"/>
      <c r="DYM3593" s="204"/>
      <c r="DYN3593" s="204"/>
      <c r="DYO3593" s="204"/>
      <c r="DYP3593" s="204"/>
      <c r="DYQ3593" s="204"/>
      <c r="DYR3593" s="204"/>
      <c r="DYS3593" s="204"/>
      <c r="DYT3593" s="204"/>
      <c r="DYU3593" s="204"/>
      <c r="DYV3593" s="204"/>
      <c r="DYW3593" s="204"/>
      <c r="DYX3593" s="204"/>
      <c r="DYY3593" s="204"/>
      <c r="DYZ3593" s="204"/>
      <c r="DZA3593" s="204"/>
      <c r="DZB3593" s="204"/>
      <c r="DZC3593" s="204"/>
      <c r="DZD3593" s="204"/>
      <c r="DZE3593" s="204"/>
      <c r="DZF3593" s="204"/>
      <c r="DZG3593" s="204"/>
      <c r="DZH3593" s="204"/>
      <c r="DZI3593" s="204"/>
      <c r="DZJ3593" s="204"/>
      <c r="DZK3593" s="204"/>
      <c r="DZL3593" s="204"/>
      <c r="DZM3593" s="204"/>
      <c r="DZN3593" s="204"/>
      <c r="DZO3593" s="204"/>
      <c r="DZP3593" s="204"/>
      <c r="DZQ3593" s="204"/>
      <c r="DZR3593" s="204"/>
      <c r="DZS3593" s="204"/>
      <c r="DZT3593" s="204"/>
      <c r="DZU3593" s="204"/>
      <c r="DZV3593" s="204"/>
      <c r="DZW3593" s="204"/>
      <c r="DZX3593" s="204"/>
      <c r="DZY3593" s="204"/>
      <c r="DZZ3593" s="204"/>
      <c r="EAA3593" s="204"/>
      <c r="EAB3593" s="204"/>
      <c r="EAC3593" s="204"/>
      <c r="EAD3593" s="204"/>
      <c r="EAE3593" s="204"/>
      <c r="EAF3593" s="204"/>
      <c r="EAG3593" s="204"/>
      <c r="EAH3593" s="204"/>
      <c r="EAI3593" s="204"/>
      <c r="EAJ3593" s="204"/>
      <c r="EAK3593" s="204"/>
      <c r="EAL3593" s="204"/>
      <c r="EAM3593" s="204"/>
      <c r="EAN3593" s="204"/>
      <c r="EAO3593" s="204"/>
      <c r="EAP3593" s="204"/>
      <c r="EAQ3593" s="204"/>
      <c r="EAR3593" s="204"/>
      <c r="EAS3593" s="204"/>
      <c r="EAT3593" s="204"/>
      <c r="EAU3593" s="204"/>
      <c r="EAV3593" s="204"/>
      <c r="EAW3593" s="204"/>
      <c r="EAX3593" s="204"/>
      <c r="EAY3593" s="204"/>
      <c r="EAZ3593" s="204"/>
      <c r="EBA3593" s="204"/>
      <c r="EBB3593" s="204"/>
      <c r="EBC3593" s="204"/>
      <c r="EBD3593" s="204"/>
      <c r="EBE3593" s="204"/>
      <c r="EBF3593" s="204"/>
      <c r="EBG3593" s="204"/>
      <c r="EBH3593" s="204"/>
      <c r="EBI3593" s="204"/>
      <c r="EBJ3593" s="204"/>
      <c r="EBK3593" s="204"/>
      <c r="EBL3593" s="204"/>
      <c r="EBM3593" s="204"/>
      <c r="EBN3593" s="204"/>
      <c r="EBO3593" s="204"/>
      <c r="EBP3593" s="204"/>
      <c r="EBQ3593" s="204"/>
      <c r="EBR3593" s="204"/>
      <c r="EBS3593" s="204"/>
      <c r="EBT3593" s="204"/>
      <c r="EBU3593" s="204"/>
      <c r="EBV3593" s="204"/>
      <c r="EBW3593" s="204"/>
      <c r="EBX3593" s="204"/>
      <c r="EBY3593" s="204"/>
      <c r="EBZ3593" s="204"/>
      <c r="ECA3593" s="204"/>
      <c r="ECB3593" s="204"/>
      <c r="ECC3593" s="204"/>
      <c r="ECD3593" s="204"/>
      <c r="ECE3593" s="204"/>
      <c r="ECF3593" s="204"/>
      <c r="ECG3593" s="204"/>
      <c r="ECH3593" s="204"/>
      <c r="ECI3593" s="204"/>
      <c r="ECJ3593" s="204"/>
      <c r="ECK3593" s="204"/>
      <c r="ECL3593" s="204"/>
      <c r="ECM3593" s="204"/>
      <c r="ECN3593" s="204"/>
      <c r="ECO3593" s="204"/>
      <c r="ECP3593" s="204"/>
      <c r="ECQ3593" s="204"/>
      <c r="ECR3593" s="204"/>
      <c r="ECS3593" s="204"/>
      <c r="ECT3593" s="204"/>
      <c r="ECU3593" s="204"/>
      <c r="ECV3593" s="204"/>
      <c r="ECW3593" s="204"/>
      <c r="ECX3593" s="204"/>
      <c r="ECY3593" s="204"/>
      <c r="ECZ3593" s="204"/>
      <c r="EDA3593" s="204"/>
      <c r="EDB3593" s="204"/>
      <c r="EDC3593" s="204"/>
      <c r="EDD3593" s="204"/>
      <c r="EDE3593" s="204"/>
      <c r="EDF3593" s="204"/>
      <c r="EDG3593" s="204"/>
      <c r="EDH3593" s="204"/>
      <c r="EDI3593" s="204"/>
      <c r="EDJ3593" s="204"/>
      <c r="EDK3593" s="204"/>
      <c r="EDL3593" s="204"/>
      <c r="EDM3593" s="204"/>
      <c r="EDN3593" s="204"/>
      <c r="EDO3593" s="204"/>
      <c r="EDP3593" s="204"/>
      <c r="EDQ3593" s="204"/>
      <c r="EDR3593" s="204"/>
      <c r="EDS3593" s="204"/>
      <c r="EDT3593" s="204"/>
      <c r="EDU3593" s="204"/>
      <c r="EDV3593" s="204"/>
      <c r="EDW3593" s="204"/>
      <c r="EDX3593" s="204"/>
      <c r="EDY3593" s="204"/>
      <c r="EDZ3593" s="204"/>
      <c r="EEA3593" s="204"/>
      <c r="EEB3593" s="204"/>
      <c r="EEC3593" s="204"/>
      <c r="EED3593" s="204"/>
      <c r="EEE3593" s="204"/>
      <c r="EEF3593" s="204"/>
      <c r="EEG3593" s="204"/>
      <c r="EEH3593" s="204"/>
      <c r="EEI3593" s="204"/>
      <c r="EEJ3593" s="204"/>
      <c r="EEK3593" s="204"/>
      <c r="EEL3593" s="204"/>
      <c r="EEM3593" s="204"/>
      <c r="EEN3593" s="204"/>
      <c r="EEO3593" s="204"/>
      <c r="EEP3593" s="204"/>
      <c r="EEQ3593" s="204"/>
      <c r="EER3593" s="204"/>
      <c r="EES3593" s="204"/>
      <c r="EET3593" s="204"/>
      <c r="EEU3593" s="204"/>
      <c r="EEV3593" s="204"/>
      <c r="EEW3593" s="204"/>
      <c r="EEX3593" s="204"/>
      <c r="EEY3593" s="204"/>
      <c r="EEZ3593" s="204"/>
      <c r="EFA3593" s="204"/>
      <c r="EFB3593" s="204"/>
      <c r="EFC3593" s="204"/>
      <c r="EFD3593" s="204"/>
      <c r="EFE3593" s="204"/>
      <c r="EFF3593" s="204"/>
      <c r="EFG3593" s="204"/>
      <c r="EFH3593" s="204"/>
      <c r="EFI3593" s="204"/>
      <c r="EFJ3593" s="204"/>
      <c r="EFK3593" s="204"/>
      <c r="EFL3593" s="204"/>
      <c r="EFM3593" s="204"/>
      <c r="EFN3593" s="204"/>
      <c r="EFO3593" s="204"/>
      <c r="EFP3593" s="204"/>
      <c r="EFQ3593" s="204"/>
      <c r="EFR3593" s="204"/>
      <c r="EFS3593" s="204"/>
      <c r="EFT3593" s="204"/>
      <c r="EFU3593" s="204"/>
      <c r="EFV3593" s="204"/>
      <c r="EFW3593" s="204"/>
      <c r="EFX3593" s="204"/>
      <c r="EFY3593" s="204"/>
      <c r="EFZ3593" s="204"/>
      <c r="EGA3593" s="204"/>
      <c r="EGB3593" s="204"/>
      <c r="EGC3593" s="204"/>
      <c r="EGD3593" s="204"/>
      <c r="EGE3593" s="204"/>
      <c r="EGF3593" s="204"/>
      <c r="EGG3593" s="204"/>
      <c r="EGH3593" s="204"/>
      <c r="EGI3593" s="204"/>
      <c r="EGJ3593" s="204"/>
      <c r="EGK3593" s="204"/>
      <c r="EGL3593" s="204"/>
      <c r="EGM3593" s="204"/>
      <c r="EGN3593" s="204"/>
      <c r="EGO3593" s="204"/>
      <c r="EGP3593" s="204"/>
      <c r="EGQ3593" s="204"/>
      <c r="EGR3593" s="204"/>
      <c r="EGS3593" s="204"/>
      <c r="EGT3593" s="204"/>
      <c r="EGU3593" s="204"/>
      <c r="EGV3593" s="204"/>
      <c r="EGW3593" s="204"/>
      <c r="EGX3593" s="204"/>
      <c r="EGY3593" s="204"/>
      <c r="EGZ3593" s="204"/>
      <c r="EHA3593" s="204"/>
      <c r="EHB3593" s="204"/>
      <c r="EHC3593" s="204"/>
      <c r="EHD3593" s="204"/>
      <c r="EHE3593" s="204"/>
      <c r="EHF3593" s="204"/>
      <c r="EHG3593" s="204"/>
      <c r="EHH3593" s="204"/>
      <c r="EHI3593" s="204"/>
      <c r="EHJ3593" s="204"/>
      <c r="EHK3593" s="204"/>
      <c r="EHL3593" s="204"/>
      <c r="EHM3593" s="204"/>
      <c r="EHN3593" s="204"/>
      <c r="EHO3593" s="204"/>
      <c r="EHP3593" s="204"/>
      <c r="EHQ3593" s="204"/>
      <c r="EHR3593" s="204"/>
      <c r="EHS3593" s="204"/>
      <c r="EHT3593" s="204"/>
      <c r="EHU3593" s="204"/>
      <c r="EHV3593" s="204"/>
      <c r="EHW3593" s="204"/>
      <c r="EHX3593" s="204"/>
      <c r="EHY3593" s="204"/>
      <c r="EHZ3593" s="204"/>
      <c r="EIA3593" s="204"/>
      <c r="EIB3593" s="204"/>
      <c r="EIC3593" s="204"/>
      <c r="EID3593" s="204"/>
      <c r="EIE3593" s="204"/>
      <c r="EIF3593" s="204"/>
      <c r="EIG3593" s="204"/>
      <c r="EIH3593" s="204"/>
      <c r="EII3593" s="204"/>
      <c r="EIJ3593" s="204"/>
      <c r="EIK3593" s="204"/>
      <c r="EIL3593" s="204"/>
      <c r="EIM3593" s="204"/>
      <c r="EIN3593" s="204"/>
      <c r="EIO3593" s="204"/>
      <c r="EIP3593" s="204"/>
      <c r="EIQ3593" s="204"/>
      <c r="EIR3593" s="204"/>
      <c r="EIS3593" s="204"/>
      <c r="EIT3593" s="204"/>
      <c r="EIU3593" s="204"/>
      <c r="EIV3593" s="204"/>
      <c r="EIW3593" s="204"/>
      <c r="EIX3593" s="204"/>
      <c r="EIY3593" s="204"/>
      <c r="EIZ3593" s="204"/>
      <c r="EJA3593" s="204"/>
      <c r="EJB3593" s="204"/>
      <c r="EJC3593" s="204"/>
      <c r="EJD3593" s="204"/>
      <c r="EJE3593" s="204"/>
      <c r="EJF3593" s="204"/>
      <c r="EJG3593" s="204"/>
      <c r="EJH3593" s="204"/>
      <c r="EJI3593" s="204"/>
      <c r="EJJ3593" s="204"/>
      <c r="EJK3593" s="204"/>
      <c r="EJL3593" s="204"/>
      <c r="EJM3593" s="204"/>
      <c r="EJN3593" s="204"/>
      <c r="EJO3593" s="204"/>
      <c r="EJP3593" s="204"/>
      <c r="EJQ3593" s="204"/>
      <c r="EJR3593" s="204"/>
      <c r="EJS3593" s="204"/>
      <c r="EJT3593" s="204"/>
      <c r="EJU3593" s="204"/>
      <c r="EJV3593" s="204"/>
      <c r="EJW3593" s="204"/>
      <c r="EJX3593" s="204"/>
      <c r="EJY3593" s="204"/>
      <c r="EJZ3593" s="204"/>
      <c r="EKA3593" s="204"/>
      <c r="EKB3593" s="204"/>
      <c r="EKC3593" s="204"/>
      <c r="EKD3593" s="204"/>
      <c r="EKE3593" s="204"/>
      <c r="EKF3593" s="204"/>
      <c r="EKG3593" s="204"/>
      <c r="EKH3593" s="204"/>
      <c r="EKI3593" s="204"/>
      <c r="EKJ3593" s="204"/>
      <c r="EKK3593" s="204"/>
      <c r="EKL3593" s="204"/>
      <c r="EKM3593" s="204"/>
      <c r="EKN3593" s="204"/>
      <c r="EKO3593" s="204"/>
      <c r="EKP3593" s="204"/>
      <c r="EKQ3593" s="204"/>
      <c r="EKR3593" s="204"/>
      <c r="EKS3593" s="204"/>
      <c r="EKT3593" s="204"/>
      <c r="EKU3593" s="204"/>
      <c r="EKV3593" s="204"/>
      <c r="EKW3593" s="204"/>
      <c r="EKX3593" s="204"/>
      <c r="EKY3593" s="204"/>
      <c r="EKZ3593" s="204"/>
      <c r="ELA3593" s="204"/>
      <c r="ELB3593" s="204"/>
      <c r="ELC3593" s="204"/>
      <c r="ELD3593" s="204"/>
      <c r="ELE3593" s="204"/>
      <c r="ELF3593" s="204"/>
      <c r="ELG3593" s="204"/>
      <c r="ELH3593" s="204"/>
      <c r="ELI3593" s="204"/>
      <c r="ELJ3593" s="204"/>
      <c r="ELK3593" s="204"/>
      <c r="ELL3593" s="204"/>
      <c r="ELM3593" s="204"/>
      <c r="ELN3593" s="204"/>
      <c r="ELO3593" s="204"/>
      <c r="ELP3593" s="204"/>
      <c r="ELQ3593" s="204"/>
      <c r="ELR3593" s="204"/>
      <c r="ELS3593" s="204"/>
      <c r="ELT3593" s="204"/>
      <c r="ELU3593" s="204"/>
      <c r="ELV3593" s="204"/>
      <c r="ELW3593" s="204"/>
      <c r="ELX3593" s="204"/>
      <c r="ELY3593" s="204"/>
      <c r="ELZ3593" s="204"/>
      <c r="EMA3593" s="204"/>
      <c r="EMB3593" s="204"/>
      <c r="EMC3593" s="204"/>
      <c r="EMD3593" s="204"/>
      <c r="EME3593" s="204"/>
      <c r="EMF3593" s="204"/>
      <c r="EMG3593" s="204"/>
      <c r="EMH3593" s="204"/>
      <c r="EMI3593" s="204"/>
      <c r="EMJ3593" s="204"/>
      <c r="EMK3593" s="204"/>
      <c r="EML3593" s="204"/>
      <c r="EMM3593" s="204"/>
      <c r="EMN3593" s="204"/>
      <c r="EMO3593" s="204"/>
      <c r="EMP3593" s="204"/>
      <c r="EMQ3593" s="204"/>
      <c r="EMR3593" s="204"/>
      <c r="EMS3593" s="204"/>
      <c r="EMT3593" s="204"/>
      <c r="EMU3593" s="204"/>
      <c r="EMV3593" s="204"/>
      <c r="EMW3593" s="204"/>
      <c r="EMX3593" s="204"/>
      <c r="EMY3593" s="204"/>
      <c r="EMZ3593" s="204"/>
      <c r="ENA3593" s="204"/>
      <c r="ENB3593" s="204"/>
      <c r="ENC3593" s="204"/>
      <c r="END3593" s="204"/>
      <c r="ENE3593" s="204"/>
      <c r="ENF3593" s="204"/>
      <c r="ENG3593" s="204"/>
      <c r="ENH3593" s="204"/>
      <c r="ENI3593" s="204"/>
      <c r="ENJ3593" s="204"/>
      <c r="ENK3593" s="204"/>
      <c r="ENL3593" s="204"/>
      <c r="ENM3593" s="204"/>
      <c r="ENN3593" s="204"/>
      <c r="ENO3593" s="204"/>
      <c r="ENP3593" s="204"/>
      <c r="ENQ3593" s="204"/>
      <c r="ENR3593" s="204"/>
      <c r="ENS3593" s="204"/>
      <c r="ENT3593" s="204"/>
      <c r="ENU3593" s="204"/>
      <c r="ENV3593" s="204"/>
      <c r="ENW3593" s="204"/>
      <c r="ENX3593" s="204"/>
      <c r="ENY3593" s="204"/>
      <c r="ENZ3593" s="204"/>
      <c r="EOA3593" s="204"/>
      <c r="EOB3593" s="204"/>
      <c r="EOC3593" s="204"/>
      <c r="EOD3593" s="204"/>
      <c r="EOE3593" s="204"/>
      <c r="EOF3593" s="204"/>
      <c r="EOG3593" s="204"/>
      <c r="EOH3593" s="204"/>
      <c r="EOI3593" s="204"/>
      <c r="EOJ3593" s="204"/>
      <c r="EOK3593" s="204"/>
      <c r="EOL3593" s="204"/>
      <c r="EOM3593" s="204"/>
      <c r="EON3593" s="204"/>
      <c r="EOO3593" s="204"/>
      <c r="EOP3593" s="204"/>
      <c r="EOQ3593" s="204"/>
      <c r="EOR3593" s="204"/>
      <c r="EOS3593" s="204"/>
      <c r="EOT3593" s="204"/>
      <c r="EOU3593" s="204"/>
      <c r="EOV3593" s="204"/>
      <c r="EOW3593" s="204"/>
      <c r="EOX3593" s="204"/>
      <c r="EOY3593" s="204"/>
      <c r="EOZ3593" s="204"/>
      <c r="EPA3593" s="204"/>
      <c r="EPB3593" s="204"/>
      <c r="EPC3593" s="204"/>
      <c r="EPD3593" s="204"/>
      <c r="EPE3593" s="204"/>
      <c r="EPF3593" s="204"/>
      <c r="EPG3593" s="204"/>
      <c r="EPH3593" s="204"/>
      <c r="EPI3593" s="204"/>
      <c r="EPJ3593" s="204"/>
      <c r="EPK3593" s="204"/>
      <c r="EPL3593" s="204"/>
      <c r="EPM3593" s="204"/>
      <c r="EPN3593" s="204"/>
      <c r="EPO3593" s="204"/>
      <c r="EPP3593" s="204"/>
      <c r="EPQ3593" s="204"/>
      <c r="EPR3593" s="204"/>
      <c r="EPS3593" s="204"/>
      <c r="EPT3593" s="204"/>
      <c r="EPU3593" s="204"/>
      <c r="EPV3593" s="204"/>
      <c r="EPW3593" s="204"/>
      <c r="EPX3593" s="204"/>
      <c r="EPY3593" s="204"/>
      <c r="EPZ3593" s="204"/>
      <c r="EQA3593" s="204"/>
      <c r="EQB3593" s="204"/>
      <c r="EQC3593" s="204"/>
      <c r="EQD3593" s="204"/>
      <c r="EQE3593" s="204"/>
      <c r="EQF3593" s="204"/>
      <c r="EQG3593" s="204"/>
      <c r="EQH3593" s="204"/>
      <c r="EQI3593" s="204"/>
      <c r="EQJ3593" s="204"/>
      <c r="EQK3593" s="204"/>
      <c r="EQL3593" s="204"/>
      <c r="EQM3593" s="204"/>
      <c r="EQN3593" s="204"/>
      <c r="EQO3593" s="204"/>
      <c r="EQP3593" s="204"/>
      <c r="EQQ3593" s="204"/>
      <c r="EQR3593" s="204"/>
      <c r="EQS3593" s="204"/>
      <c r="EQT3593" s="204"/>
      <c r="EQU3593" s="204"/>
      <c r="EQV3593" s="204"/>
      <c r="EQW3593" s="204"/>
      <c r="EQX3593" s="204"/>
      <c r="EQY3593" s="204"/>
      <c r="EQZ3593" s="204"/>
      <c r="ERA3593" s="204"/>
      <c r="ERB3593" s="204"/>
      <c r="ERC3593" s="204"/>
      <c r="ERD3593" s="204"/>
      <c r="ERE3593" s="204"/>
      <c r="ERF3593" s="204"/>
      <c r="ERG3593" s="204"/>
      <c r="ERH3593" s="204"/>
      <c r="ERI3593" s="204"/>
      <c r="ERJ3593" s="204"/>
      <c r="ERK3593" s="204"/>
      <c r="ERL3593" s="204"/>
      <c r="ERM3593" s="204"/>
      <c r="ERN3593" s="204"/>
      <c r="ERO3593" s="204"/>
      <c r="ERP3593" s="204"/>
      <c r="ERQ3593" s="204"/>
      <c r="ERR3593" s="204"/>
      <c r="ERS3593" s="204"/>
      <c r="ERT3593" s="204"/>
      <c r="ERU3593" s="204"/>
      <c r="ERV3593" s="204"/>
      <c r="ERW3593" s="204"/>
      <c r="ERX3593" s="204"/>
      <c r="ERY3593" s="204"/>
      <c r="ERZ3593" s="204"/>
      <c r="ESA3593" s="204"/>
      <c r="ESB3593" s="204"/>
      <c r="ESC3593" s="204"/>
      <c r="ESD3593" s="204"/>
      <c r="ESE3593" s="204"/>
      <c r="ESF3593" s="204"/>
      <c r="ESG3593" s="204"/>
      <c r="ESH3593" s="204"/>
      <c r="ESI3593" s="204"/>
      <c r="ESJ3593" s="204"/>
      <c r="ESK3593" s="204"/>
      <c r="ESL3593" s="204"/>
      <c r="ESM3593" s="204"/>
      <c r="ESN3593" s="204"/>
      <c r="ESO3593" s="204"/>
      <c r="ESP3593" s="204"/>
      <c r="ESQ3593" s="204"/>
      <c r="ESR3593" s="204"/>
      <c r="ESS3593" s="204"/>
      <c r="EST3593" s="204"/>
      <c r="ESU3593" s="204"/>
      <c r="ESV3593" s="204"/>
      <c r="ESW3593" s="204"/>
      <c r="ESX3593" s="204"/>
      <c r="ESY3593" s="204"/>
      <c r="ESZ3593" s="204"/>
      <c r="ETA3593" s="204"/>
      <c r="ETB3593" s="204"/>
      <c r="ETC3593" s="204"/>
      <c r="ETD3593" s="204"/>
      <c r="ETE3593" s="204"/>
      <c r="ETF3593" s="204"/>
      <c r="ETG3593" s="204"/>
      <c r="ETH3593" s="204"/>
      <c r="ETI3593" s="204"/>
      <c r="ETJ3593" s="204"/>
      <c r="ETK3593" s="204"/>
      <c r="ETL3593" s="204"/>
      <c r="ETM3593" s="204"/>
      <c r="ETN3593" s="204"/>
      <c r="ETO3593" s="204"/>
      <c r="ETP3593" s="204"/>
      <c r="ETQ3593" s="204"/>
      <c r="ETR3593" s="204"/>
      <c r="ETS3593" s="204"/>
      <c r="ETT3593" s="204"/>
      <c r="ETU3593" s="204"/>
      <c r="ETV3593" s="204"/>
      <c r="ETW3593" s="204"/>
      <c r="ETX3593" s="204"/>
      <c r="ETY3593" s="204"/>
      <c r="ETZ3593" s="204"/>
      <c r="EUA3593" s="204"/>
      <c r="EUB3593" s="204"/>
      <c r="EUC3593" s="204"/>
      <c r="EUD3593" s="204"/>
      <c r="EUE3593" s="204"/>
      <c r="EUF3593" s="204"/>
      <c r="EUG3593" s="204"/>
      <c r="EUH3593" s="204"/>
      <c r="EUI3593" s="204"/>
      <c r="EUJ3593" s="204"/>
      <c r="EUK3593" s="204"/>
      <c r="EUL3593" s="204"/>
      <c r="EUM3593" s="204"/>
      <c r="EUN3593" s="204"/>
      <c r="EUO3593" s="204"/>
      <c r="EUP3593" s="204"/>
      <c r="EUQ3593" s="204"/>
      <c r="EUR3593" s="204"/>
      <c r="EUS3593" s="204"/>
      <c r="EUT3593" s="204"/>
      <c r="EUU3593" s="204"/>
      <c r="EUV3593" s="204"/>
      <c r="EUW3593" s="204"/>
      <c r="EUX3593" s="204"/>
      <c r="EUY3593" s="204"/>
      <c r="EUZ3593" s="204"/>
      <c r="EVA3593" s="204"/>
      <c r="EVB3593" s="204"/>
      <c r="EVC3593" s="204"/>
      <c r="EVD3593" s="204"/>
      <c r="EVE3593" s="204"/>
      <c r="EVF3593" s="204"/>
      <c r="EVG3593" s="204"/>
      <c r="EVH3593" s="204"/>
      <c r="EVI3593" s="204"/>
      <c r="EVJ3593" s="204"/>
      <c r="EVK3593" s="204"/>
      <c r="EVL3593" s="204"/>
      <c r="EVM3593" s="204"/>
      <c r="EVN3593" s="204"/>
      <c r="EVO3593" s="204"/>
      <c r="EVP3593" s="204"/>
      <c r="EVQ3593" s="204"/>
      <c r="EVR3593" s="204"/>
      <c r="EVS3593" s="204"/>
      <c r="EVT3593" s="204"/>
      <c r="EVU3593" s="204"/>
      <c r="EVV3593" s="204"/>
      <c r="EVW3593" s="204"/>
      <c r="EVX3593" s="204"/>
      <c r="EVY3593" s="204"/>
      <c r="EVZ3593" s="204"/>
      <c r="EWA3593" s="204"/>
      <c r="EWB3593" s="204"/>
      <c r="EWC3593" s="204"/>
      <c r="EWD3593" s="204"/>
      <c r="EWE3593" s="204"/>
      <c r="EWF3593" s="204"/>
      <c r="EWG3593" s="204"/>
      <c r="EWH3593" s="204"/>
      <c r="EWI3593" s="204"/>
      <c r="EWJ3593" s="204"/>
      <c r="EWK3593" s="204"/>
      <c r="EWL3593" s="204"/>
      <c r="EWM3593" s="204"/>
      <c r="EWN3593" s="204"/>
      <c r="EWO3593" s="204"/>
      <c r="EWP3593" s="204"/>
      <c r="EWQ3593" s="204"/>
      <c r="EWR3593" s="204"/>
      <c r="EWS3593" s="204"/>
      <c r="EWT3593" s="204"/>
      <c r="EWU3593" s="204"/>
      <c r="EWV3593" s="204"/>
      <c r="EWW3593" s="204"/>
      <c r="EWX3593" s="204"/>
      <c r="EWY3593" s="204"/>
      <c r="EWZ3593" s="204"/>
      <c r="EXA3593" s="204"/>
      <c r="EXB3593" s="204"/>
      <c r="EXC3593" s="204"/>
      <c r="EXD3593" s="204"/>
      <c r="EXE3593" s="204"/>
      <c r="EXF3593" s="204"/>
      <c r="EXG3593" s="204"/>
      <c r="EXH3593" s="204"/>
      <c r="EXI3593" s="204"/>
      <c r="EXJ3593" s="204"/>
      <c r="EXK3593" s="204"/>
      <c r="EXL3593" s="204"/>
      <c r="EXM3593" s="204"/>
      <c r="EXN3593" s="204"/>
      <c r="EXO3593" s="204"/>
      <c r="EXP3593" s="204"/>
      <c r="EXQ3593" s="204"/>
      <c r="EXR3593" s="204"/>
      <c r="EXS3593" s="204"/>
      <c r="EXT3593" s="204"/>
      <c r="EXU3593" s="204"/>
      <c r="EXV3593" s="204"/>
      <c r="EXW3593" s="204"/>
      <c r="EXX3593" s="204"/>
      <c r="EXY3593" s="204"/>
      <c r="EXZ3593" s="204"/>
      <c r="EYA3593" s="204"/>
      <c r="EYB3593" s="204"/>
      <c r="EYC3593" s="204"/>
      <c r="EYD3593" s="204"/>
      <c r="EYE3593" s="204"/>
      <c r="EYF3593" s="204"/>
      <c r="EYG3593" s="204"/>
      <c r="EYH3593" s="204"/>
      <c r="EYI3593" s="204"/>
      <c r="EYJ3593" s="204"/>
      <c r="EYK3593" s="204"/>
      <c r="EYL3593" s="204"/>
      <c r="EYM3593" s="204"/>
      <c r="EYN3593" s="204"/>
      <c r="EYO3593" s="204"/>
      <c r="EYP3593" s="204"/>
      <c r="EYQ3593" s="204"/>
      <c r="EYR3593" s="204"/>
      <c r="EYS3593" s="204"/>
      <c r="EYT3593" s="204"/>
      <c r="EYU3593" s="204"/>
      <c r="EYV3593" s="204"/>
      <c r="EYW3593" s="204"/>
      <c r="EYX3593" s="204"/>
      <c r="EYY3593" s="204"/>
      <c r="EYZ3593" s="204"/>
      <c r="EZA3593" s="204"/>
      <c r="EZB3593" s="204"/>
      <c r="EZC3593" s="204"/>
      <c r="EZD3593" s="204"/>
      <c r="EZE3593" s="204"/>
      <c r="EZF3593" s="204"/>
      <c r="EZG3593" s="204"/>
      <c r="EZH3593" s="204"/>
      <c r="EZI3593" s="204"/>
      <c r="EZJ3593" s="204"/>
      <c r="EZK3593" s="204"/>
      <c r="EZL3593" s="204"/>
      <c r="EZM3593" s="204"/>
      <c r="EZN3593" s="204"/>
      <c r="EZO3593" s="204"/>
      <c r="EZP3593" s="204"/>
      <c r="EZQ3593" s="204"/>
      <c r="EZR3593" s="204"/>
      <c r="EZS3593" s="204"/>
      <c r="EZT3593" s="204"/>
      <c r="EZU3593" s="204"/>
      <c r="EZV3593" s="204"/>
      <c r="EZW3593" s="204"/>
      <c r="EZX3593" s="204"/>
      <c r="EZY3593" s="204"/>
      <c r="EZZ3593" s="204"/>
      <c r="FAA3593" s="204"/>
      <c r="FAB3593" s="204"/>
      <c r="FAC3593" s="204"/>
      <c r="FAD3593" s="204"/>
      <c r="FAE3593" s="204"/>
      <c r="FAF3593" s="204"/>
      <c r="FAG3593" s="204"/>
      <c r="FAH3593" s="204"/>
      <c r="FAI3593" s="204"/>
      <c r="FAJ3593" s="204"/>
      <c r="FAK3593" s="204"/>
      <c r="FAL3593" s="204"/>
      <c r="FAM3593" s="204"/>
      <c r="FAN3593" s="204"/>
      <c r="FAO3593" s="204"/>
      <c r="FAP3593" s="204"/>
      <c r="FAQ3593" s="204"/>
      <c r="FAR3593" s="204"/>
      <c r="FAS3593" s="204"/>
      <c r="FAT3593" s="204"/>
      <c r="FAU3593" s="204"/>
      <c r="FAV3593" s="204"/>
      <c r="FAW3593" s="204"/>
      <c r="FAX3593" s="204"/>
      <c r="FAY3593" s="204"/>
      <c r="FAZ3593" s="204"/>
      <c r="FBA3593" s="204"/>
      <c r="FBB3593" s="204"/>
      <c r="FBC3593" s="204"/>
      <c r="FBD3593" s="204"/>
      <c r="FBE3593" s="204"/>
      <c r="FBF3593" s="204"/>
      <c r="FBG3593" s="204"/>
      <c r="FBH3593" s="204"/>
      <c r="FBI3593" s="204"/>
      <c r="FBJ3593" s="204"/>
      <c r="FBK3593" s="204"/>
      <c r="FBL3593" s="204"/>
      <c r="FBM3593" s="204"/>
      <c r="FBN3593" s="204"/>
      <c r="FBO3593" s="204"/>
      <c r="FBP3593" s="204"/>
      <c r="FBQ3593" s="204"/>
      <c r="FBR3593" s="204"/>
      <c r="FBS3593" s="204"/>
      <c r="FBT3593" s="204"/>
      <c r="FBU3593" s="204"/>
      <c r="FBV3593" s="204"/>
      <c r="FBW3593" s="204"/>
      <c r="FBX3593" s="204"/>
      <c r="FBY3593" s="204"/>
      <c r="FBZ3593" s="204"/>
      <c r="FCA3593" s="204"/>
      <c r="FCB3593" s="204"/>
      <c r="FCC3593" s="204"/>
      <c r="FCD3593" s="204"/>
      <c r="FCE3593" s="204"/>
      <c r="FCF3593" s="204"/>
      <c r="FCG3593" s="204"/>
      <c r="FCH3593" s="204"/>
      <c r="FCI3593" s="204"/>
      <c r="FCJ3593" s="204"/>
      <c r="FCK3593" s="204"/>
      <c r="FCL3593" s="204"/>
      <c r="FCM3593" s="204"/>
      <c r="FCN3593" s="204"/>
      <c r="FCO3593" s="204"/>
      <c r="FCP3593" s="204"/>
      <c r="FCQ3593" s="204"/>
      <c r="FCR3593" s="204"/>
      <c r="FCS3593" s="204"/>
      <c r="FCT3593" s="204"/>
      <c r="FCU3593" s="204"/>
      <c r="FCV3593" s="204"/>
      <c r="FCW3593" s="204"/>
      <c r="FCX3593" s="204"/>
      <c r="FCY3593" s="204"/>
      <c r="FCZ3593" s="204"/>
      <c r="FDA3593" s="204"/>
      <c r="FDB3593" s="204"/>
      <c r="FDC3593" s="204"/>
      <c r="FDD3593" s="204"/>
      <c r="FDE3593" s="204"/>
      <c r="FDF3593" s="204"/>
      <c r="FDG3593" s="204"/>
      <c r="FDH3593" s="204"/>
      <c r="FDI3593" s="204"/>
      <c r="FDJ3593" s="204"/>
      <c r="FDK3593" s="204"/>
      <c r="FDL3593" s="204"/>
      <c r="FDM3593" s="204"/>
      <c r="FDN3593" s="204"/>
      <c r="FDO3593" s="204"/>
      <c r="FDP3593" s="204"/>
      <c r="FDQ3593" s="204"/>
      <c r="FDR3593" s="204"/>
      <c r="FDS3593" s="204"/>
      <c r="FDT3593" s="204"/>
      <c r="FDU3593" s="204"/>
      <c r="FDV3593" s="204"/>
      <c r="FDW3593" s="204"/>
      <c r="FDX3593" s="204"/>
      <c r="FDY3593" s="204"/>
      <c r="FDZ3593" s="204"/>
      <c r="FEA3593" s="204"/>
      <c r="FEB3593" s="204"/>
      <c r="FEC3593" s="204"/>
      <c r="FED3593" s="204"/>
      <c r="FEE3593" s="204"/>
      <c r="FEF3593" s="204"/>
      <c r="FEG3593" s="204"/>
      <c r="FEH3593" s="204"/>
      <c r="FEI3593" s="204"/>
      <c r="FEJ3593" s="204"/>
      <c r="FEK3593" s="204"/>
      <c r="FEL3593" s="204"/>
      <c r="FEM3593" s="204"/>
      <c r="FEN3593" s="204"/>
      <c r="FEO3593" s="204"/>
      <c r="FEP3593" s="204"/>
      <c r="FEQ3593" s="204"/>
      <c r="FER3593" s="204"/>
      <c r="FES3593" s="204"/>
      <c r="FET3593" s="204"/>
      <c r="FEU3593" s="204"/>
      <c r="FEV3593" s="204"/>
      <c r="FEW3593" s="204"/>
      <c r="FEX3593" s="204"/>
      <c r="FEY3593" s="204"/>
      <c r="FEZ3593" s="204"/>
      <c r="FFA3593" s="204"/>
      <c r="FFB3593" s="204"/>
      <c r="FFC3593" s="204"/>
      <c r="FFD3593" s="204"/>
      <c r="FFE3593" s="204"/>
      <c r="FFF3593" s="204"/>
      <c r="FFG3593" s="204"/>
      <c r="FFH3593" s="204"/>
      <c r="FFI3593" s="204"/>
      <c r="FFJ3593" s="204"/>
      <c r="FFK3593" s="204"/>
      <c r="FFL3593" s="204"/>
      <c r="FFM3593" s="204"/>
      <c r="FFN3593" s="204"/>
      <c r="FFO3593" s="204"/>
      <c r="FFP3593" s="204"/>
      <c r="FFQ3593" s="204"/>
      <c r="FFR3593" s="204"/>
      <c r="FFS3593" s="204"/>
      <c r="FFT3593" s="204"/>
      <c r="FFU3593" s="204"/>
      <c r="FFV3593" s="204"/>
      <c r="FFW3593" s="204"/>
      <c r="FFX3593" s="204"/>
      <c r="FFY3593" s="204"/>
      <c r="FFZ3593" s="204"/>
      <c r="FGA3593" s="204"/>
      <c r="FGB3593" s="204"/>
      <c r="FGC3593" s="204"/>
      <c r="FGD3593" s="204"/>
      <c r="FGE3593" s="204"/>
      <c r="FGF3593" s="204"/>
      <c r="FGG3593" s="204"/>
      <c r="FGH3593" s="204"/>
      <c r="FGI3593" s="204"/>
      <c r="FGJ3593" s="204"/>
      <c r="FGK3593" s="204"/>
      <c r="FGL3593" s="204"/>
      <c r="FGM3593" s="204"/>
      <c r="FGN3593" s="204"/>
      <c r="FGO3593" s="204"/>
      <c r="FGP3593" s="204"/>
      <c r="FGQ3593" s="204"/>
      <c r="FGR3593" s="204"/>
      <c r="FGS3593" s="204"/>
      <c r="FGT3593" s="204"/>
      <c r="FGU3593" s="204"/>
      <c r="FGV3593" s="204"/>
      <c r="FGW3593" s="204"/>
      <c r="FGX3593" s="204"/>
      <c r="FGY3593" s="204"/>
      <c r="FGZ3593" s="204"/>
      <c r="FHA3593" s="204"/>
      <c r="FHB3593" s="204"/>
      <c r="FHC3593" s="204"/>
      <c r="FHD3593" s="204"/>
      <c r="FHE3593" s="204"/>
      <c r="FHF3593" s="204"/>
      <c r="FHG3593" s="204"/>
      <c r="FHH3593" s="204"/>
      <c r="FHI3593" s="204"/>
      <c r="FHJ3593" s="204"/>
      <c r="FHK3593" s="204"/>
      <c r="FHL3593" s="204"/>
      <c r="FHM3593" s="204"/>
      <c r="FHN3593" s="204"/>
      <c r="FHO3593" s="204"/>
      <c r="FHP3593" s="204"/>
      <c r="FHQ3593" s="204"/>
      <c r="FHR3593" s="204"/>
      <c r="FHS3593" s="204"/>
      <c r="FHT3593" s="204"/>
      <c r="FHU3593" s="204"/>
      <c r="FHV3593" s="204"/>
      <c r="FHW3593" s="204"/>
      <c r="FHX3593" s="204"/>
      <c r="FHY3593" s="204"/>
      <c r="FHZ3593" s="204"/>
      <c r="FIA3593" s="204"/>
      <c r="FIB3593" s="204"/>
      <c r="FIC3593" s="204"/>
      <c r="FID3593" s="204"/>
      <c r="FIE3593" s="204"/>
      <c r="FIF3593" s="204"/>
      <c r="FIG3593" s="204"/>
      <c r="FIH3593" s="204"/>
      <c r="FII3593" s="204"/>
      <c r="FIJ3593" s="204"/>
      <c r="FIK3593" s="204"/>
      <c r="FIL3593" s="204"/>
      <c r="FIM3593" s="204"/>
      <c r="FIN3593" s="204"/>
      <c r="FIO3593" s="204"/>
      <c r="FIP3593" s="204"/>
      <c r="FIQ3593" s="204"/>
      <c r="FIR3593" s="204"/>
      <c r="FIS3593" s="204"/>
      <c r="FIT3593" s="204"/>
      <c r="FIU3593" s="204"/>
      <c r="FIV3593" s="204"/>
      <c r="FIW3593" s="204"/>
      <c r="FIX3593" s="204"/>
      <c r="FIY3593" s="204"/>
      <c r="FIZ3593" s="204"/>
      <c r="FJA3593" s="204"/>
      <c r="FJB3593" s="204"/>
      <c r="FJC3593" s="204"/>
      <c r="FJD3593" s="204"/>
      <c r="FJE3593" s="204"/>
      <c r="FJF3593" s="204"/>
      <c r="FJG3593" s="204"/>
      <c r="FJH3593" s="204"/>
      <c r="FJI3593" s="204"/>
      <c r="FJJ3593" s="204"/>
      <c r="FJK3593" s="204"/>
      <c r="FJL3593" s="204"/>
      <c r="FJM3593" s="204"/>
      <c r="FJN3593" s="204"/>
      <c r="FJO3593" s="204"/>
      <c r="FJP3593" s="204"/>
      <c r="FJQ3593" s="204"/>
      <c r="FJR3593" s="204"/>
      <c r="FJS3593" s="204"/>
      <c r="FJT3593" s="204"/>
      <c r="FJU3593" s="204"/>
      <c r="FJV3593" s="204"/>
      <c r="FJW3593" s="204"/>
      <c r="FJX3593" s="204"/>
      <c r="FJY3593" s="204"/>
      <c r="FJZ3593" s="204"/>
      <c r="FKA3593" s="204"/>
      <c r="FKB3593" s="204"/>
      <c r="FKC3593" s="204"/>
      <c r="FKD3593" s="204"/>
      <c r="FKE3593" s="204"/>
      <c r="FKF3593" s="204"/>
      <c r="FKG3593" s="204"/>
      <c r="FKH3593" s="204"/>
      <c r="FKI3593" s="204"/>
      <c r="FKJ3593" s="204"/>
      <c r="FKK3593" s="204"/>
      <c r="FKL3593" s="204"/>
      <c r="FKM3593" s="204"/>
      <c r="FKN3593" s="204"/>
      <c r="FKO3593" s="204"/>
      <c r="FKP3593" s="204"/>
      <c r="FKQ3593" s="204"/>
      <c r="FKR3593" s="204"/>
      <c r="FKS3593" s="204"/>
      <c r="FKT3593" s="204"/>
      <c r="FKU3593" s="204"/>
      <c r="FKV3593" s="204"/>
      <c r="FKW3593" s="204"/>
      <c r="FKX3593" s="204"/>
      <c r="FKY3593" s="204"/>
      <c r="FKZ3593" s="204"/>
      <c r="FLA3593" s="204"/>
      <c r="FLB3593" s="204"/>
      <c r="FLC3593" s="204"/>
      <c r="FLD3593" s="204"/>
      <c r="FLE3593" s="204"/>
      <c r="FLF3593" s="204"/>
      <c r="FLG3593" s="204"/>
      <c r="FLH3593" s="204"/>
      <c r="FLI3593" s="204"/>
      <c r="FLJ3593" s="204"/>
      <c r="FLK3593" s="204"/>
      <c r="FLL3593" s="204"/>
      <c r="FLM3593" s="204"/>
      <c r="FLN3593" s="204"/>
      <c r="FLO3593" s="204"/>
      <c r="FLP3593" s="204"/>
      <c r="FLQ3593" s="204"/>
      <c r="FLR3593" s="204"/>
      <c r="FLS3593" s="204"/>
      <c r="FLT3593" s="204"/>
      <c r="FLU3593" s="204"/>
      <c r="FLV3593" s="204"/>
      <c r="FLW3593" s="204"/>
      <c r="FLX3593" s="204"/>
      <c r="FLY3593" s="204"/>
      <c r="FLZ3593" s="204"/>
      <c r="FMA3593" s="204"/>
      <c r="FMB3593" s="204"/>
      <c r="FMC3593" s="204"/>
      <c r="FMD3593" s="204"/>
      <c r="FME3593" s="204"/>
      <c r="FMF3593" s="204"/>
      <c r="FMG3593" s="204"/>
      <c r="FMH3593" s="204"/>
      <c r="FMI3593" s="204"/>
      <c r="FMJ3593" s="204"/>
      <c r="FMK3593" s="204"/>
      <c r="FML3593" s="204"/>
      <c r="FMM3593" s="204"/>
      <c r="FMN3593" s="204"/>
      <c r="FMO3593" s="204"/>
      <c r="FMP3593" s="204"/>
      <c r="FMQ3593" s="204"/>
      <c r="FMR3593" s="204"/>
      <c r="FMS3593" s="204"/>
      <c r="FMT3593" s="204"/>
      <c r="FMU3593" s="204"/>
      <c r="FMV3593" s="204"/>
      <c r="FMW3593" s="204"/>
      <c r="FMX3593" s="204"/>
      <c r="FMY3593" s="204"/>
      <c r="FMZ3593" s="204"/>
      <c r="FNA3593" s="204"/>
      <c r="FNB3593" s="204"/>
      <c r="FNC3593" s="204"/>
      <c r="FND3593" s="204"/>
      <c r="FNE3593" s="204"/>
      <c r="FNF3593" s="204"/>
      <c r="FNG3593" s="204"/>
      <c r="FNH3593" s="204"/>
      <c r="FNI3593" s="204"/>
      <c r="FNJ3593" s="204"/>
      <c r="FNK3593" s="204"/>
      <c r="FNL3593" s="204"/>
      <c r="FNM3593" s="204"/>
      <c r="FNN3593" s="204"/>
      <c r="FNO3593" s="204"/>
      <c r="FNP3593" s="204"/>
      <c r="FNQ3593" s="204"/>
      <c r="FNR3593" s="204"/>
      <c r="FNS3593" s="204"/>
      <c r="FNT3593" s="204"/>
      <c r="FNU3593" s="204"/>
      <c r="FNV3593" s="204"/>
      <c r="FNW3593" s="204"/>
      <c r="FNX3593" s="204"/>
      <c r="FNY3593" s="204"/>
      <c r="FNZ3593" s="204"/>
      <c r="FOA3593" s="204"/>
      <c r="FOB3593" s="204"/>
      <c r="FOC3593" s="204"/>
      <c r="FOD3593" s="204"/>
      <c r="FOE3593" s="204"/>
      <c r="FOF3593" s="204"/>
      <c r="FOG3593" s="204"/>
      <c r="FOH3593" s="204"/>
      <c r="FOI3593" s="204"/>
      <c r="FOJ3593" s="204"/>
      <c r="FOK3593" s="204"/>
      <c r="FOL3593" s="204"/>
      <c r="FOM3593" s="204"/>
      <c r="FON3593" s="204"/>
      <c r="FOO3593" s="204"/>
      <c r="FOP3593" s="204"/>
      <c r="FOQ3593" s="204"/>
      <c r="FOR3593" s="204"/>
      <c r="FOS3593" s="204"/>
      <c r="FOT3593" s="204"/>
      <c r="FOU3593" s="204"/>
      <c r="FOV3593" s="204"/>
      <c r="FOW3593" s="204"/>
      <c r="FOX3593" s="204"/>
      <c r="FOY3593" s="204"/>
      <c r="FOZ3593" s="204"/>
      <c r="FPA3593" s="204"/>
      <c r="FPB3593" s="204"/>
      <c r="FPC3593" s="204"/>
      <c r="FPD3593" s="204"/>
      <c r="FPE3593" s="204"/>
      <c r="FPF3593" s="204"/>
      <c r="FPG3593" s="204"/>
      <c r="FPH3593" s="204"/>
      <c r="FPI3593" s="204"/>
      <c r="FPJ3593" s="204"/>
      <c r="FPK3593" s="204"/>
      <c r="FPL3593" s="204"/>
      <c r="FPM3593" s="204"/>
      <c r="FPN3593" s="204"/>
      <c r="FPO3593" s="204"/>
      <c r="FPP3593" s="204"/>
      <c r="FPQ3593" s="204"/>
      <c r="FPR3593" s="204"/>
      <c r="FPS3593" s="204"/>
      <c r="FPT3593" s="204"/>
      <c r="FPU3593" s="204"/>
      <c r="FPV3593" s="204"/>
      <c r="FPW3593" s="204"/>
      <c r="FPX3593" s="204"/>
      <c r="FPY3593" s="204"/>
      <c r="FPZ3593" s="204"/>
      <c r="FQA3593" s="204"/>
      <c r="FQB3593" s="204"/>
      <c r="FQC3593" s="204"/>
      <c r="FQD3593" s="204"/>
      <c r="FQE3593" s="204"/>
      <c r="FQF3593" s="204"/>
      <c r="FQG3593" s="204"/>
      <c r="FQH3593" s="204"/>
      <c r="FQI3593" s="204"/>
      <c r="FQJ3593" s="204"/>
      <c r="FQK3593" s="204"/>
      <c r="FQL3593" s="204"/>
      <c r="FQM3593" s="204"/>
      <c r="FQN3593" s="204"/>
      <c r="FQO3593" s="204"/>
      <c r="FQP3593" s="204"/>
      <c r="FQQ3593" s="204"/>
      <c r="FQR3593" s="204"/>
      <c r="FQS3593" s="204"/>
      <c r="FQT3593" s="204"/>
      <c r="FQU3593" s="204"/>
      <c r="FQV3593" s="204"/>
      <c r="FQW3593" s="204"/>
      <c r="FQX3593" s="204"/>
      <c r="FQY3593" s="204"/>
      <c r="FQZ3593" s="204"/>
      <c r="FRA3593" s="204"/>
      <c r="FRB3593" s="204"/>
      <c r="FRC3593" s="204"/>
      <c r="FRD3593" s="204"/>
      <c r="FRE3593" s="204"/>
      <c r="FRF3593" s="204"/>
      <c r="FRG3593" s="204"/>
      <c r="FRH3593" s="204"/>
      <c r="FRI3593" s="204"/>
      <c r="FRJ3593" s="204"/>
      <c r="FRK3593" s="204"/>
      <c r="FRL3593" s="204"/>
      <c r="FRM3593" s="204"/>
      <c r="FRN3593" s="204"/>
      <c r="FRO3593" s="204"/>
      <c r="FRP3593" s="204"/>
      <c r="FRQ3593" s="204"/>
      <c r="FRR3593" s="204"/>
      <c r="FRS3593" s="204"/>
      <c r="FRT3593" s="204"/>
      <c r="FRU3593" s="204"/>
      <c r="FRV3593" s="204"/>
      <c r="FRW3593" s="204"/>
      <c r="FRX3593" s="204"/>
      <c r="FRY3593" s="204"/>
      <c r="FRZ3593" s="204"/>
      <c r="FSA3593" s="204"/>
      <c r="FSB3593" s="204"/>
      <c r="FSC3593" s="204"/>
      <c r="FSD3593" s="204"/>
      <c r="FSE3593" s="204"/>
      <c r="FSF3593" s="204"/>
      <c r="FSG3593" s="204"/>
      <c r="FSH3593" s="204"/>
      <c r="FSI3593" s="204"/>
      <c r="FSJ3593" s="204"/>
      <c r="FSK3593" s="204"/>
      <c r="FSL3593" s="204"/>
      <c r="FSM3593" s="204"/>
      <c r="FSN3593" s="204"/>
      <c r="FSO3593" s="204"/>
      <c r="FSP3593" s="204"/>
      <c r="FSQ3593" s="204"/>
      <c r="FSR3593" s="204"/>
      <c r="FSS3593" s="204"/>
      <c r="FST3593" s="204"/>
      <c r="FSU3593" s="204"/>
      <c r="FSV3593" s="204"/>
      <c r="FSW3593" s="204"/>
      <c r="FSX3593" s="204"/>
      <c r="FSY3593" s="204"/>
      <c r="FSZ3593" s="204"/>
      <c r="FTA3593" s="204"/>
      <c r="FTB3593" s="204"/>
      <c r="FTC3593" s="204"/>
      <c r="FTD3593" s="204"/>
      <c r="FTE3593" s="204"/>
      <c r="FTF3593" s="204"/>
      <c r="FTG3593" s="204"/>
      <c r="FTH3593" s="204"/>
      <c r="FTI3593" s="204"/>
      <c r="FTJ3593" s="204"/>
      <c r="FTK3593" s="204"/>
      <c r="FTL3593" s="204"/>
      <c r="FTM3593" s="204"/>
      <c r="FTN3593" s="204"/>
      <c r="FTO3593" s="204"/>
      <c r="FTP3593" s="204"/>
      <c r="FTQ3593" s="204"/>
      <c r="FTR3593" s="204"/>
      <c r="FTS3593" s="204"/>
      <c r="FTT3593" s="204"/>
      <c r="FTU3593" s="204"/>
      <c r="FTV3593" s="204"/>
      <c r="FTW3593" s="204"/>
      <c r="FTX3593" s="204"/>
      <c r="FTY3593" s="204"/>
      <c r="FTZ3593" s="204"/>
      <c r="FUA3593" s="204"/>
      <c r="FUB3593" s="204"/>
      <c r="FUC3593" s="204"/>
      <c r="FUD3593" s="204"/>
      <c r="FUE3593" s="204"/>
      <c r="FUF3593" s="204"/>
      <c r="FUG3593" s="204"/>
      <c r="FUH3593" s="204"/>
      <c r="FUI3593" s="204"/>
      <c r="FUJ3593" s="204"/>
      <c r="FUK3593" s="204"/>
      <c r="FUL3593" s="204"/>
      <c r="FUM3593" s="204"/>
      <c r="FUN3593" s="204"/>
      <c r="FUO3593" s="204"/>
      <c r="FUP3593" s="204"/>
      <c r="FUQ3593" s="204"/>
      <c r="FUR3593" s="204"/>
      <c r="FUS3593" s="204"/>
      <c r="FUT3593" s="204"/>
      <c r="FUU3593" s="204"/>
      <c r="FUV3593" s="204"/>
      <c r="FUW3593" s="204"/>
      <c r="FUX3593" s="204"/>
      <c r="FUY3593" s="204"/>
      <c r="FUZ3593" s="204"/>
      <c r="FVA3593" s="204"/>
      <c r="FVB3593" s="204"/>
      <c r="FVC3593" s="204"/>
      <c r="FVD3593" s="204"/>
      <c r="FVE3593" s="204"/>
      <c r="FVF3593" s="204"/>
      <c r="FVG3593" s="204"/>
      <c r="FVH3593" s="204"/>
      <c r="FVI3593" s="204"/>
      <c r="FVJ3593" s="204"/>
      <c r="FVK3593" s="204"/>
      <c r="FVL3593" s="204"/>
      <c r="FVM3593" s="204"/>
      <c r="FVN3593" s="204"/>
      <c r="FVO3593" s="204"/>
      <c r="FVP3593" s="204"/>
      <c r="FVQ3593" s="204"/>
      <c r="FVR3593" s="204"/>
      <c r="FVS3593" s="204"/>
      <c r="FVT3593" s="204"/>
      <c r="FVU3593" s="204"/>
      <c r="FVV3593" s="204"/>
      <c r="FVW3593" s="204"/>
      <c r="FVX3593" s="204"/>
      <c r="FVY3593" s="204"/>
      <c r="FVZ3593" s="204"/>
      <c r="FWA3593" s="204"/>
      <c r="FWB3593" s="204"/>
      <c r="FWC3593" s="204"/>
      <c r="FWD3593" s="204"/>
      <c r="FWE3593" s="204"/>
      <c r="FWF3593" s="204"/>
      <c r="FWG3593" s="204"/>
      <c r="FWH3593" s="204"/>
      <c r="FWI3593" s="204"/>
      <c r="FWJ3593" s="204"/>
      <c r="FWK3593" s="204"/>
      <c r="FWL3593" s="204"/>
      <c r="FWM3593" s="204"/>
      <c r="FWN3593" s="204"/>
      <c r="FWO3593" s="204"/>
      <c r="FWP3593" s="204"/>
      <c r="FWQ3593" s="204"/>
      <c r="FWR3593" s="204"/>
      <c r="FWS3593" s="204"/>
      <c r="FWT3593" s="204"/>
      <c r="FWU3593" s="204"/>
      <c r="FWV3593" s="204"/>
      <c r="FWW3593" s="204"/>
      <c r="FWX3593" s="204"/>
      <c r="FWY3593" s="204"/>
      <c r="FWZ3593" s="204"/>
      <c r="FXA3593" s="204"/>
      <c r="FXB3593" s="204"/>
      <c r="FXC3593" s="204"/>
      <c r="FXD3593" s="204"/>
      <c r="FXE3593" s="204"/>
      <c r="FXF3593" s="204"/>
      <c r="FXG3593" s="204"/>
      <c r="FXH3593" s="204"/>
      <c r="FXI3593" s="204"/>
      <c r="FXJ3593" s="204"/>
      <c r="FXK3593" s="204"/>
      <c r="FXL3593" s="204"/>
      <c r="FXM3593" s="204"/>
      <c r="FXN3593" s="204"/>
      <c r="FXO3593" s="204"/>
      <c r="FXP3593" s="204"/>
      <c r="FXQ3593" s="204"/>
      <c r="FXR3593" s="204"/>
      <c r="FXS3593" s="204"/>
      <c r="FXT3593" s="204"/>
      <c r="FXU3593" s="204"/>
      <c r="FXV3593" s="204"/>
      <c r="FXW3593" s="204"/>
      <c r="FXX3593" s="204"/>
      <c r="FXY3593" s="204"/>
      <c r="FXZ3593" s="204"/>
      <c r="FYA3593" s="204"/>
      <c r="FYB3593" s="204"/>
      <c r="FYC3593" s="204"/>
      <c r="FYD3593" s="204"/>
      <c r="FYE3593" s="204"/>
      <c r="FYF3593" s="204"/>
      <c r="FYG3593" s="204"/>
      <c r="FYH3593" s="204"/>
      <c r="FYI3593" s="204"/>
      <c r="FYJ3593" s="204"/>
      <c r="FYK3593" s="204"/>
      <c r="FYL3593" s="204"/>
      <c r="FYM3593" s="204"/>
      <c r="FYN3593" s="204"/>
      <c r="FYO3593" s="204"/>
      <c r="FYP3593" s="204"/>
      <c r="FYQ3593" s="204"/>
      <c r="FYR3593" s="204"/>
      <c r="FYS3593" s="204"/>
      <c r="FYT3593" s="204"/>
      <c r="FYU3593" s="204"/>
      <c r="FYV3593" s="204"/>
      <c r="FYW3593" s="204"/>
      <c r="FYX3593" s="204"/>
      <c r="FYY3593" s="204"/>
      <c r="FYZ3593" s="204"/>
      <c r="FZA3593" s="204"/>
      <c r="FZB3593" s="204"/>
      <c r="FZC3593" s="204"/>
      <c r="FZD3593" s="204"/>
      <c r="FZE3593" s="204"/>
      <c r="FZF3593" s="204"/>
      <c r="FZG3593" s="204"/>
      <c r="FZH3593" s="204"/>
      <c r="FZI3593" s="204"/>
      <c r="FZJ3593" s="204"/>
      <c r="FZK3593" s="204"/>
      <c r="FZL3593" s="204"/>
      <c r="FZM3593" s="204"/>
      <c r="FZN3593" s="204"/>
      <c r="FZO3593" s="204"/>
      <c r="FZP3593" s="204"/>
      <c r="FZQ3593" s="204"/>
      <c r="FZR3593" s="204"/>
      <c r="FZS3593" s="204"/>
      <c r="FZT3593" s="204"/>
      <c r="FZU3593" s="204"/>
      <c r="FZV3593" s="204"/>
      <c r="FZW3593" s="204"/>
      <c r="FZX3593" s="204"/>
      <c r="FZY3593" s="204"/>
      <c r="FZZ3593" s="204"/>
      <c r="GAA3593" s="204"/>
      <c r="GAB3593" s="204"/>
      <c r="GAC3593" s="204"/>
      <c r="GAD3593" s="204"/>
      <c r="GAE3593" s="204"/>
      <c r="GAF3593" s="204"/>
      <c r="GAG3593" s="204"/>
      <c r="GAH3593" s="204"/>
      <c r="GAI3593" s="204"/>
      <c r="GAJ3593" s="204"/>
      <c r="GAK3593" s="204"/>
      <c r="GAL3593" s="204"/>
      <c r="GAM3593" s="204"/>
      <c r="GAN3593" s="204"/>
      <c r="GAO3593" s="204"/>
      <c r="GAP3593" s="204"/>
      <c r="GAQ3593" s="204"/>
      <c r="GAR3593" s="204"/>
      <c r="GAS3593" s="204"/>
      <c r="GAT3593" s="204"/>
      <c r="GAU3593" s="204"/>
      <c r="GAV3593" s="204"/>
      <c r="GAW3593" s="204"/>
      <c r="GAX3593" s="204"/>
      <c r="GAY3593" s="204"/>
      <c r="GAZ3593" s="204"/>
      <c r="GBA3593" s="204"/>
      <c r="GBB3593" s="204"/>
      <c r="GBC3593" s="204"/>
      <c r="GBD3593" s="204"/>
      <c r="GBE3593" s="204"/>
      <c r="GBF3593" s="204"/>
      <c r="GBG3593" s="204"/>
      <c r="GBH3593" s="204"/>
      <c r="GBI3593" s="204"/>
      <c r="GBJ3593" s="204"/>
      <c r="GBK3593" s="204"/>
      <c r="GBL3593" s="204"/>
      <c r="GBM3593" s="204"/>
      <c r="GBN3593" s="204"/>
      <c r="GBO3593" s="204"/>
      <c r="GBP3593" s="204"/>
      <c r="GBQ3593" s="204"/>
      <c r="GBR3593" s="204"/>
      <c r="GBS3593" s="204"/>
      <c r="GBT3593" s="204"/>
      <c r="GBU3593" s="204"/>
      <c r="GBV3593" s="204"/>
      <c r="GBW3593" s="204"/>
      <c r="GBX3593" s="204"/>
      <c r="GBY3593" s="204"/>
      <c r="GBZ3593" s="204"/>
      <c r="GCA3593" s="204"/>
      <c r="GCB3593" s="204"/>
      <c r="GCC3593" s="204"/>
      <c r="GCD3593" s="204"/>
      <c r="GCE3593" s="204"/>
      <c r="GCF3593" s="204"/>
      <c r="GCG3593" s="204"/>
      <c r="GCH3593" s="204"/>
      <c r="GCI3593" s="204"/>
      <c r="GCJ3593" s="204"/>
      <c r="GCK3593" s="204"/>
      <c r="GCL3593" s="204"/>
      <c r="GCM3593" s="204"/>
      <c r="GCN3593" s="204"/>
      <c r="GCO3593" s="204"/>
      <c r="GCP3593" s="204"/>
      <c r="GCQ3593" s="204"/>
      <c r="GCR3593" s="204"/>
      <c r="GCS3593" s="204"/>
      <c r="GCT3593" s="204"/>
      <c r="GCU3593" s="204"/>
      <c r="GCV3593" s="204"/>
      <c r="GCW3593" s="204"/>
      <c r="GCX3593" s="204"/>
      <c r="GCY3593" s="204"/>
      <c r="GCZ3593" s="204"/>
      <c r="GDA3593" s="204"/>
      <c r="GDB3593" s="204"/>
      <c r="GDC3593" s="204"/>
      <c r="GDD3593" s="204"/>
      <c r="GDE3593" s="204"/>
      <c r="GDF3593" s="204"/>
      <c r="GDG3593" s="204"/>
      <c r="GDH3593" s="204"/>
      <c r="GDI3593" s="204"/>
      <c r="GDJ3593" s="204"/>
      <c r="GDK3593" s="204"/>
      <c r="GDL3593" s="204"/>
      <c r="GDM3593" s="204"/>
      <c r="GDN3593" s="204"/>
      <c r="GDO3593" s="204"/>
      <c r="GDP3593" s="204"/>
      <c r="GDQ3593" s="204"/>
      <c r="GDR3593" s="204"/>
      <c r="GDS3593" s="204"/>
      <c r="GDT3593" s="204"/>
      <c r="GDU3593" s="204"/>
      <c r="GDV3593" s="204"/>
      <c r="GDW3593" s="204"/>
      <c r="GDX3593" s="204"/>
      <c r="GDY3593" s="204"/>
      <c r="GDZ3593" s="204"/>
      <c r="GEA3593" s="204"/>
      <c r="GEB3593" s="204"/>
      <c r="GEC3593" s="204"/>
      <c r="GED3593" s="204"/>
      <c r="GEE3593" s="204"/>
      <c r="GEF3593" s="204"/>
      <c r="GEG3593" s="204"/>
      <c r="GEH3593" s="204"/>
      <c r="GEI3593" s="204"/>
      <c r="GEJ3593" s="204"/>
      <c r="GEK3593" s="204"/>
      <c r="GEL3593" s="204"/>
      <c r="GEM3593" s="204"/>
      <c r="GEN3593" s="204"/>
      <c r="GEO3593" s="204"/>
      <c r="GEP3593" s="204"/>
      <c r="GEQ3593" s="204"/>
      <c r="GER3593" s="204"/>
      <c r="GES3593" s="204"/>
      <c r="GET3593" s="204"/>
      <c r="GEU3593" s="204"/>
      <c r="GEV3593" s="204"/>
      <c r="GEW3593" s="204"/>
      <c r="GEX3593" s="204"/>
      <c r="GEY3593" s="204"/>
      <c r="GEZ3593" s="204"/>
      <c r="GFA3593" s="204"/>
      <c r="GFB3593" s="204"/>
      <c r="GFC3593" s="204"/>
      <c r="GFD3593" s="204"/>
      <c r="GFE3593" s="204"/>
      <c r="GFF3593" s="204"/>
      <c r="GFG3593" s="204"/>
      <c r="GFH3593" s="204"/>
      <c r="GFI3593" s="204"/>
      <c r="GFJ3593" s="204"/>
      <c r="GFK3593" s="204"/>
      <c r="GFL3593" s="204"/>
      <c r="GFM3593" s="204"/>
      <c r="GFN3593" s="204"/>
      <c r="GFO3593" s="204"/>
      <c r="GFP3593" s="204"/>
      <c r="GFQ3593" s="204"/>
      <c r="GFR3593" s="204"/>
      <c r="GFS3593" s="204"/>
      <c r="GFT3593" s="204"/>
      <c r="GFU3593" s="204"/>
      <c r="GFV3593" s="204"/>
      <c r="GFW3593" s="204"/>
      <c r="GFX3593" s="204"/>
      <c r="GFY3593" s="204"/>
      <c r="GFZ3593" s="204"/>
      <c r="GGA3593" s="204"/>
      <c r="GGB3593" s="204"/>
      <c r="GGC3593" s="204"/>
      <c r="GGD3593" s="204"/>
      <c r="GGE3593" s="204"/>
      <c r="GGF3593" s="204"/>
      <c r="GGG3593" s="204"/>
      <c r="GGH3593" s="204"/>
      <c r="GGI3593" s="204"/>
      <c r="GGJ3593" s="204"/>
      <c r="GGK3593" s="204"/>
      <c r="GGL3593" s="204"/>
      <c r="GGM3593" s="204"/>
      <c r="GGN3593" s="204"/>
      <c r="GGO3593" s="204"/>
      <c r="GGP3593" s="204"/>
      <c r="GGQ3593" s="204"/>
      <c r="GGR3593" s="204"/>
      <c r="GGS3593" s="204"/>
      <c r="GGT3593" s="204"/>
      <c r="GGU3593" s="204"/>
      <c r="GGV3593" s="204"/>
      <c r="GGW3593" s="204"/>
      <c r="GGX3593" s="204"/>
      <c r="GGY3593" s="204"/>
      <c r="GGZ3593" s="204"/>
      <c r="GHA3593" s="204"/>
      <c r="GHB3593" s="204"/>
      <c r="GHC3593" s="204"/>
      <c r="GHD3593" s="204"/>
      <c r="GHE3593" s="204"/>
      <c r="GHF3593" s="204"/>
      <c r="GHG3593" s="204"/>
      <c r="GHH3593" s="204"/>
      <c r="GHI3593" s="204"/>
      <c r="GHJ3593" s="204"/>
      <c r="GHK3593" s="204"/>
      <c r="GHL3593" s="204"/>
      <c r="GHM3593" s="204"/>
      <c r="GHN3593" s="204"/>
      <c r="GHO3593" s="204"/>
      <c r="GHP3593" s="204"/>
      <c r="GHQ3593" s="204"/>
      <c r="GHR3593" s="204"/>
      <c r="GHS3593" s="204"/>
      <c r="GHT3593" s="204"/>
      <c r="GHU3593" s="204"/>
      <c r="GHV3593" s="204"/>
      <c r="GHW3593" s="204"/>
      <c r="GHX3593" s="204"/>
      <c r="GHY3593" s="204"/>
      <c r="GHZ3593" s="204"/>
      <c r="GIA3593" s="204"/>
      <c r="GIB3593" s="204"/>
      <c r="GIC3593" s="204"/>
      <c r="GID3593" s="204"/>
      <c r="GIE3593" s="204"/>
      <c r="GIF3593" s="204"/>
      <c r="GIG3593" s="204"/>
      <c r="GIH3593" s="204"/>
      <c r="GII3593" s="204"/>
      <c r="GIJ3593" s="204"/>
      <c r="GIK3593" s="204"/>
      <c r="GIL3593" s="204"/>
      <c r="GIM3593" s="204"/>
      <c r="GIN3593" s="204"/>
      <c r="GIO3593" s="204"/>
      <c r="GIP3593" s="204"/>
      <c r="GIQ3593" s="204"/>
      <c r="GIR3593" s="204"/>
      <c r="GIS3593" s="204"/>
      <c r="GIT3593" s="204"/>
      <c r="GIU3593" s="204"/>
      <c r="GIV3593" s="204"/>
      <c r="GIW3593" s="204"/>
      <c r="GIX3593" s="204"/>
      <c r="GIY3593" s="204"/>
      <c r="GIZ3593" s="204"/>
      <c r="GJA3593" s="204"/>
      <c r="GJB3593" s="204"/>
      <c r="GJC3593" s="204"/>
      <c r="GJD3593" s="204"/>
      <c r="GJE3593" s="204"/>
      <c r="GJF3593" s="204"/>
      <c r="GJG3593" s="204"/>
      <c r="GJH3593" s="204"/>
      <c r="GJI3593" s="204"/>
      <c r="GJJ3593" s="204"/>
      <c r="GJK3593" s="204"/>
      <c r="GJL3593" s="204"/>
      <c r="GJM3593" s="204"/>
      <c r="GJN3593" s="204"/>
      <c r="GJO3593" s="204"/>
      <c r="GJP3593" s="204"/>
      <c r="GJQ3593" s="204"/>
      <c r="GJR3593" s="204"/>
      <c r="GJS3593" s="204"/>
      <c r="GJT3593" s="204"/>
      <c r="GJU3593" s="204"/>
      <c r="GJV3593" s="204"/>
      <c r="GJW3593" s="204"/>
      <c r="GJX3593" s="204"/>
      <c r="GJY3593" s="204"/>
      <c r="GJZ3593" s="204"/>
      <c r="GKA3593" s="204"/>
      <c r="GKB3593" s="204"/>
      <c r="GKC3593" s="204"/>
      <c r="GKD3593" s="204"/>
      <c r="GKE3593" s="204"/>
      <c r="GKF3593" s="204"/>
      <c r="GKG3593" s="204"/>
      <c r="GKH3593" s="204"/>
      <c r="GKI3593" s="204"/>
      <c r="GKJ3593" s="204"/>
      <c r="GKK3593" s="204"/>
      <c r="GKL3593" s="204"/>
      <c r="GKM3593" s="204"/>
      <c r="GKN3593" s="204"/>
      <c r="GKO3593" s="204"/>
      <c r="GKP3593" s="204"/>
      <c r="GKQ3593" s="204"/>
      <c r="GKR3593" s="204"/>
      <c r="GKS3593" s="204"/>
      <c r="GKT3593" s="204"/>
      <c r="GKU3593" s="204"/>
      <c r="GKV3593" s="204"/>
      <c r="GKW3593" s="204"/>
      <c r="GKX3593" s="204"/>
      <c r="GKY3593" s="204"/>
      <c r="GKZ3593" s="204"/>
      <c r="GLA3593" s="204"/>
      <c r="GLB3593" s="204"/>
      <c r="GLC3593" s="204"/>
      <c r="GLD3593" s="204"/>
      <c r="GLE3593" s="204"/>
      <c r="GLF3593" s="204"/>
      <c r="GLG3593" s="204"/>
      <c r="GLH3593" s="204"/>
      <c r="GLI3593" s="204"/>
      <c r="GLJ3593" s="204"/>
      <c r="GLK3593" s="204"/>
      <c r="GLL3593" s="204"/>
      <c r="GLM3593" s="204"/>
      <c r="GLN3593" s="204"/>
      <c r="GLO3593" s="204"/>
      <c r="GLP3593" s="204"/>
      <c r="GLQ3593" s="204"/>
      <c r="GLR3593" s="204"/>
      <c r="GLS3593" s="204"/>
      <c r="GLT3593" s="204"/>
      <c r="GLU3593" s="204"/>
      <c r="GLV3593" s="204"/>
      <c r="GLW3593" s="204"/>
      <c r="GLX3593" s="204"/>
      <c r="GLY3593" s="204"/>
      <c r="GLZ3593" s="204"/>
      <c r="GMA3593" s="204"/>
      <c r="GMB3593" s="204"/>
      <c r="GMC3593" s="204"/>
      <c r="GMD3593" s="204"/>
      <c r="GME3593" s="204"/>
      <c r="GMF3593" s="204"/>
      <c r="GMG3593" s="204"/>
      <c r="GMH3593" s="204"/>
      <c r="GMI3593" s="204"/>
      <c r="GMJ3593" s="204"/>
      <c r="GMK3593" s="204"/>
      <c r="GML3593" s="204"/>
      <c r="GMM3593" s="204"/>
      <c r="GMN3593" s="204"/>
      <c r="GMO3593" s="204"/>
      <c r="GMP3593" s="204"/>
      <c r="GMQ3593" s="204"/>
      <c r="GMR3593" s="204"/>
      <c r="GMS3593" s="204"/>
      <c r="GMT3593" s="204"/>
      <c r="GMU3593" s="204"/>
      <c r="GMV3593" s="204"/>
      <c r="GMW3593" s="204"/>
      <c r="GMX3593" s="204"/>
      <c r="GMY3593" s="204"/>
      <c r="GMZ3593" s="204"/>
      <c r="GNA3593" s="204"/>
      <c r="GNB3593" s="204"/>
      <c r="GNC3593" s="204"/>
      <c r="GND3593" s="204"/>
      <c r="GNE3593" s="204"/>
      <c r="GNF3593" s="204"/>
      <c r="GNG3593" s="204"/>
      <c r="GNH3593" s="204"/>
      <c r="GNI3593" s="204"/>
      <c r="GNJ3593" s="204"/>
      <c r="GNK3593" s="204"/>
      <c r="GNL3593" s="204"/>
      <c r="GNM3593" s="204"/>
      <c r="GNN3593" s="204"/>
      <c r="GNO3593" s="204"/>
      <c r="GNP3593" s="204"/>
      <c r="GNQ3593" s="204"/>
      <c r="GNR3593" s="204"/>
      <c r="GNS3593" s="204"/>
      <c r="GNT3593" s="204"/>
      <c r="GNU3593" s="204"/>
      <c r="GNV3593" s="204"/>
      <c r="GNW3593" s="204"/>
      <c r="GNX3593" s="204"/>
      <c r="GNY3593" s="204"/>
      <c r="GNZ3593" s="204"/>
      <c r="GOA3593" s="204"/>
      <c r="GOB3593" s="204"/>
      <c r="GOC3593" s="204"/>
      <c r="GOD3593" s="204"/>
      <c r="GOE3593" s="204"/>
      <c r="GOF3593" s="204"/>
      <c r="GOG3593" s="204"/>
      <c r="GOH3593" s="204"/>
      <c r="GOI3593" s="204"/>
      <c r="GOJ3593" s="204"/>
      <c r="GOK3593" s="204"/>
      <c r="GOL3593" s="204"/>
      <c r="GOM3593" s="204"/>
      <c r="GON3593" s="204"/>
      <c r="GOO3593" s="204"/>
      <c r="GOP3593" s="204"/>
      <c r="GOQ3593" s="204"/>
      <c r="GOR3593" s="204"/>
      <c r="GOS3593" s="204"/>
      <c r="GOT3593" s="204"/>
      <c r="GOU3593" s="204"/>
      <c r="GOV3593" s="204"/>
      <c r="GOW3593" s="204"/>
      <c r="GOX3593" s="204"/>
      <c r="GOY3593" s="204"/>
      <c r="GOZ3593" s="204"/>
      <c r="GPA3593" s="204"/>
      <c r="GPB3593" s="204"/>
      <c r="GPC3593" s="204"/>
      <c r="GPD3593" s="204"/>
      <c r="GPE3593" s="204"/>
      <c r="GPF3593" s="204"/>
      <c r="GPG3593" s="204"/>
      <c r="GPH3593" s="204"/>
      <c r="GPI3593" s="204"/>
      <c r="GPJ3593" s="204"/>
      <c r="GPK3593" s="204"/>
      <c r="GPL3593" s="204"/>
      <c r="GPM3593" s="204"/>
      <c r="GPN3593" s="204"/>
      <c r="GPO3593" s="204"/>
      <c r="GPP3593" s="204"/>
      <c r="GPQ3593" s="204"/>
      <c r="GPR3593" s="204"/>
      <c r="GPS3593" s="204"/>
      <c r="GPT3593" s="204"/>
      <c r="GPU3593" s="204"/>
      <c r="GPV3593" s="204"/>
      <c r="GPW3593" s="204"/>
      <c r="GPX3593" s="204"/>
      <c r="GPY3593" s="204"/>
      <c r="GPZ3593" s="204"/>
      <c r="GQA3593" s="204"/>
      <c r="GQB3593" s="204"/>
      <c r="GQC3593" s="204"/>
      <c r="GQD3593" s="204"/>
      <c r="GQE3593" s="204"/>
      <c r="GQF3593" s="204"/>
      <c r="GQG3593" s="204"/>
      <c r="GQH3593" s="204"/>
      <c r="GQI3593" s="204"/>
      <c r="GQJ3593" s="204"/>
      <c r="GQK3593" s="204"/>
      <c r="GQL3593" s="204"/>
      <c r="GQM3593" s="204"/>
      <c r="GQN3593" s="204"/>
      <c r="GQO3593" s="204"/>
      <c r="GQP3593" s="204"/>
      <c r="GQQ3593" s="204"/>
      <c r="GQR3593" s="204"/>
      <c r="GQS3593" s="204"/>
      <c r="GQT3593" s="204"/>
      <c r="GQU3593" s="204"/>
      <c r="GQV3593" s="204"/>
      <c r="GQW3593" s="204"/>
      <c r="GQX3593" s="204"/>
      <c r="GQY3593" s="204"/>
      <c r="GQZ3593" s="204"/>
      <c r="GRA3593" s="204"/>
      <c r="GRB3593" s="204"/>
      <c r="GRC3593" s="204"/>
      <c r="GRD3593" s="204"/>
      <c r="GRE3593" s="204"/>
      <c r="GRF3593" s="204"/>
      <c r="GRG3593" s="204"/>
      <c r="GRH3593" s="204"/>
      <c r="GRI3593" s="204"/>
      <c r="GRJ3593" s="204"/>
      <c r="GRK3593" s="204"/>
      <c r="GRL3593" s="204"/>
      <c r="GRM3593" s="204"/>
      <c r="GRN3593" s="204"/>
      <c r="GRO3593" s="204"/>
      <c r="GRP3593" s="204"/>
      <c r="GRQ3593" s="204"/>
      <c r="GRR3593" s="204"/>
      <c r="GRS3593" s="204"/>
      <c r="GRT3593" s="204"/>
      <c r="GRU3593" s="204"/>
      <c r="GRV3593" s="204"/>
      <c r="GRW3593" s="204"/>
      <c r="GRX3593" s="204"/>
      <c r="GRY3593" s="204"/>
      <c r="GRZ3593" s="204"/>
      <c r="GSA3593" s="204"/>
      <c r="GSB3593" s="204"/>
      <c r="GSC3593" s="204"/>
      <c r="GSD3593" s="204"/>
      <c r="GSE3593" s="204"/>
      <c r="GSF3593" s="204"/>
      <c r="GSG3593" s="204"/>
      <c r="GSH3593" s="204"/>
      <c r="GSI3593" s="204"/>
      <c r="GSJ3593" s="204"/>
      <c r="GSK3593" s="204"/>
      <c r="GSL3593" s="204"/>
      <c r="GSM3593" s="204"/>
      <c r="GSN3593" s="204"/>
      <c r="GSO3593" s="204"/>
      <c r="GSP3593" s="204"/>
      <c r="GSQ3593" s="204"/>
      <c r="GSR3593" s="204"/>
      <c r="GSS3593" s="204"/>
      <c r="GST3593" s="204"/>
      <c r="GSU3593" s="204"/>
      <c r="GSV3593" s="204"/>
      <c r="GSW3593" s="204"/>
      <c r="GSX3593" s="204"/>
      <c r="GSY3593" s="204"/>
      <c r="GSZ3593" s="204"/>
      <c r="GTA3593" s="204"/>
      <c r="GTB3593" s="204"/>
      <c r="GTC3593" s="204"/>
      <c r="GTD3593" s="204"/>
      <c r="GTE3593" s="204"/>
      <c r="GTF3593" s="204"/>
      <c r="GTG3593" s="204"/>
      <c r="GTH3593" s="204"/>
      <c r="GTI3593" s="204"/>
      <c r="GTJ3593" s="204"/>
      <c r="GTK3593" s="204"/>
      <c r="GTL3593" s="204"/>
      <c r="GTM3593" s="204"/>
      <c r="GTN3593" s="204"/>
      <c r="GTO3593" s="204"/>
      <c r="GTP3593" s="204"/>
      <c r="GTQ3593" s="204"/>
      <c r="GTR3593" s="204"/>
      <c r="GTS3593" s="204"/>
      <c r="GTT3593" s="204"/>
      <c r="GTU3593" s="204"/>
      <c r="GTV3593" s="204"/>
      <c r="GTW3593" s="204"/>
      <c r="GTX3593" s="204"/>
      <c r="GTY3593" s="204"/>
      <c r="GTZ3593" s="204"/>
      <c r="GUA3593" s="204"/>
      <c r="GUB3593" s="204"/>
      <c r="GUC3593" s="204"/>
      <c r="GUD3593" s="204"/>
      <c r="GUE3593" s="204"/>
      <c r="GUF3593" s="204"/>
      <c r="GUG3593" s="204"/>
      <c r="GUH3593" s="204"/>
      <c r="GUI3593" s="204"/>
      <c r="GUJ3593" s="204"/>
      <c r="GUK3593" s="204"/>
      <c r="GUL3593" s="204"/>
      <c r="GUM3593" s="204"/>
      <c r="GUN3593" s="204"/>
      <c r="GUO3593" s="204"/>
      <c r="GUP3593" s="204"/>
      <c r="GUQ3593" s="204"/>
      <c r="GUR3593" s="204"/>
      <c r="GUS3593" s="204"/>
      <c r="GUT3593" s="204"/>
      <c r="GUU3593" s="204"/>
      <c r="GUV3593" s="204"/>
      <c r="GUW3593" s="204"/>
      <c r="GUX3593" s="204"/>
      <c r="GUY3593" s="204"/>
      <c r="GUZ3593" s="204"/>
      <c r="GVA3593" s="204"/>
      <c r="GVB3593" s="204"/>
      <c r="GVC3593" s="204"/>
      <c r="GVD3593" s="204"/>
      <c r="GVE3593" s="204"/>
      <c r="GVF3593" s="204"/>
      <c r="GVG3593" s="204"/>
      <c r="GVH3593" s="204"/>
      <c r="GVI3593" s="204"/>
      <c r="GVJ3593" s="204"/>
      <c r="GVK3593" s="204"/>
      <c r="GVL3593" s="204"/>
      <c r="GVM3593" s="204"/>
      <c r="GVN3593" s="204"/>
      <c r="GVO3593" s="204"/>
      <c r="GVP3593" s="204"/>
      <c r="GVQ3593" s="204"/>
      <c r="GVR3593" s="204"/>
      <c r="GVS3593" s="204"/>
      <c r="GVT3593" s="204"/>
      <c r="GVU3593" s="204"/>
      <c r="GVV3593" s="204"/>
      <c r="GVW3593" s="204"/>
      <c r="GVX3593" s="204"/>
      <c r="GVY3593" s="204"/>
      <c r="GVZ3593" s="204"/>
      <c r="GWA3593" s="204"/>
      <c r="GWB3593" s="204"/>
      <c r="GWC3593" s="204"/>
      <c r="GWD3593" s="204"/>
      <c r="GWE3593" s="204"/>
      <c r="GWF3593" s="204"/>
      <c r="GWG3593" s="204"/>
      <c r="GWH3593" s="204"/>
      <c r="GWI3593" s="204"/>
      <c r="GWJ3593" s="204"/>
      <c r="GWK3593" s="204"/>
      <c r="GWL3593" s="204"/>
      <c r="GWM3593" s="204"/>
      <c r="GWN3593" s="204"/>
      <c r="GWO3593" s="204"/>
      <c r="GWP3593" s="204"/>
      <c r="GWQ3593" s="204"/>
      <c r="GWR3593" s="204"/>
      <c r="GWS3593" s="204"/>
      <c r="GWT3593" s="204"/>
      <c r="GWU3593" s="204"/>
      <c r="GWV3593" s="204"/>
      <c r="GWW3593" s="204"/>
      <c r="GWX3593" s="204"/>
      <c r="GWY3593" s="204"/>
      <c r="GWZ3593" s="204"/>
      <c r="GXA3593" s="204"/>
      <c r="GXB3593" s="204"/>
      <c r="GXC3593" s="204"/>
      <c r="GXD3593" s="204"/>
      <c r="GXE3593" s="204"/>
      <c r="GXF3593" s="204"/>
      <c r="GXG3593" s="204"/>
      <c r="GXH3593" s="204"/>
      <c r="GXI3593" s="204"/>
      <c r="GXJ3593" s="204"/>
      <c r="GXK3593" s="204"/>
      <c r="GXL3593" s="204"/>
      <c r="GXM3593" s="204"/>
      <c r="GXN3593" s="204"/>
      <c r="GXO3593" s="204"/>
      <c r="GXP3593" s="204"/>
      <c r="GXQ3593" s="204"/>
      <c r="GXR3593" s="204"/>
      <c r="GXS3593" s="204"/>
      <c r="GXT3593" s="204"/>
      <c r="GXU3593" s="204"/>
      <c r="GXV3593" s="204"/>
      <c r="GXW3593" s="204"/>
      <c r="GXX3593" s="204"/>
      <c r="GXY3593" s="204"/>
      <c r="GXZ3593" s="204"/>
      <c r="GYA3593" s="204"/>
      <c r="GYB3593" s="204"/>
      <c r="GYC3593" s="204"/>
      <c r="GYD3593" s="204"/>
      <c r="GYE3593" s="204"/>
      <c r="GYF3593" s="204"/>
      <c r="GYG3593" s="204"/>
      <c r="GYH3593" s="204"/>
      <c r="GYI3593" s="204"/>
      <c r="GYJ3593" s="204"/>
      <c r="GYK3593" s="204"/>
      <c r="GYL3593" s="204"/>
      <c r="GYM3593" s="204"/>
      <c r="GYN3593" s="204"/>
      <c r="GYO3593" s="204"/>
      <c r="GYP3593" s="204"/>
      <c r="GYQ3593" s="204"/>
      <c r="GYR3593" s="204"/>
      <c r="GYS3593" s="204"/>
      <c r="GYT3593" s="204"/>
      <c r="GYU3593" s="204"/>
      <c r="GYV3593" s="204"/>
      <c r="GYW3593" s="204"/>
      <c r="GYX3593" s="204"/>
      <c r="GYY3593" s="204"/>
      <c r="GYZ3593" s="204"/>
      <c r="GZA3593" s="204"/>
      <c r="GZB3593" s="204"/>
      <c r="GZC3593" s="204"/>
      <c r="GZD3593" s="204"/>
      <c r="GZE3593" s="204"/>
      <c r="GZF3593" s="204"/>
      <c r="GZG3593" s="204"/>
      <c r="GZH3593" s="204"/>
      <c r="GZI3593" s="204"/>
      <c r="GZJ3593" s="204"/>
      <c r="GZK3593" s="204"/>
      <c r="GZL3593" s="204"/>
      <c r="GZM3593" s="204"/>
      <c r="GZN3593" s="204"/>
      <c r="GZO3593" s="204"/>
      <c r="GZP3593" s="204"/>
      <c r="GZQ3593" s="204"/>
      <c r="GZR3593" s="204"/>
      <c r="GZS3593" s="204"/>
      <c r="GZT3593" s="204"/>
      <c r="GZU3593" s="204"/>
      <c r="GZV3593" s="204"/>
      <c r="GZW3593" s="204"/>
      <c r="GZX3593" s="204"/>
      <c r="GZY3593" s="204"/>
      <c r="GZZ3593" s="204"/>
      <c r="HAA3593" s="204"/>
      <c r="HAB3593" s="204"/>
      <c r="HAC3593" s="204"/>
      <c r="HAD3593" s="204"/>
      <c r="HAE3593" s="204"/>
      <c r="HAF3593" s="204"/>
      <c r="HAG3593" s="204"/>
      <c r="HAH3593" s="204"/>
      <c r="HAI3593" s="204"/>
      <c r="HAJ3593" s="204"/>
      <c r="HAK3593" s="204"/>
      <c r="HAL3593" s="204"/>
      <c r="HAM3593" s="204"/>
      <c r="HAN3593" s="204"/>
      <c r="HAO3593" s="204"/>
      <c r="HAP3593" s="204"/>
      <c r="HAQ3593" s="204"/>
      <c r="HAR3593" s="204"/>
      <c r="HAS3593" s="204"/>
      <c r="HAT3593" s="204"/>
      <c r="HAU3593" s="204"/>
      <c r="HAV3593" s="204"/>
      <c r="HAW3593" s="204"/>
      <c r="HAX3593" s="204"/>
      <c r="HAY3593" s="204"/>
      <c r="HAZ3593" s="204"/>
      <c r="HBA3593" s="204"/>
      <c r="HBB3593" s="204"/>
      <c r="HBC3593" s="204"/>
      <c r="HBD3593" s="204"/>
      <c r="HBE3593" s="204"/>
      <c r="HBF3593" s="204"/>
      <c r="HBG3593" s="204"/>
      <c r="HBH3593" s="204"/>
      <c r="HBI3593" s="204"/>
      <c r="HBJ3593" s="204"/>
      <c r="HBK3593" s="204"/>
      <c r="HBL3593" s="204"/>
      <c r="HBM3593" s="204"/>
      <c r="HBN3593" s="204"/>
      <c r="HBO3593" s="204"/>
      <c r="HBP3593" s="204"/>
      <c r="HBQ3593" s="204"/>
      <c r="HBR3593" s="204"/>
      <c r="HBS3593" s="204"/>
      <c r="HBT3593" s="204"/>
      <c r="HBU3593" s="204"/>
      <c r="HBV3593" s="204"/>
      <c r="HBW3593" s="204"/>
      <c r="HBX3593" s="204"/>
      <c r="HBY3593" s="204"/>
      <c r="HBZ3593" s="204"/>
      <c r="HCA3593" s="204"/>
      <c r="HCB3593" s="204"/>
      <c r="HCC3593" s="204"/>
      <c r="HCD3593" s="204"/>
      <c r="HCE3593" s="204"/>
      <c r="HCF3593" s="204"/>
      <c r="HCG3593" s="204"/>
      <c r="HCH3593" s="204"/>
      <c r="HCI3593" s="204"/>
      <c r="HCJ3593" s="204"/>
      <c r="HCK3593" s="204"/>
      <c r="HCL3593" s="204"/>
      <c r="HCM3593" s="204"/>
      <c r="HCN3593" s="204"/>
      <c r="HCO3593" s="204"/>
      <c r="HCP3593" s="204"/>
      <c r="HCQ3593" s="204"/>
      <c r="HCR3593" s="204"/>
      <c r="HCS3593" s="204"/>
      <c r="HCT3593" s="204"/>
      <c r="HCU3593" s="204"/>
      <c r="HCV3593" s="204"/>
      <c r="HCW3593" s="204"/>
      <c r="HCX3593" s="204"/>
      <c r="HCY3593" s="204"/>
      <c r="HCZ3593" s="204"/>
      <c r="HDA3593" s="204"/>
      <c r="HDB3593" s="204"/>
      <c r="HDC3593" s="204"/>
      <c r="HDD3593" s="204"/>
      <c r="HDE3593" s="204"/>
      <c r="HDF3593" s="204"/>
      <c r="HDG3593" s="204"/>
      <c r="HDH3593" s="204"/>
      <c r="HDI3593" s="204"/>
      <c r="HDJ3593" s="204"/>
      <c r="HDK3593" s="204"/>
      <c r="HDL3593" s="204"/>
      <c r="HDM3593" s="204"/>
      <c r="HDN3593" s="204"/>
      <c r="HDO3593" s="204"/>
      <c r="HDP3593" s="204"/>
      <c r="HDQ3593" s="204"/>
      <c r="HDR3593" s="204"/>
      <c r="HDS3593" s="204"/>
      <c r="HDT3593" s="204"/>
      <c r="HDU3593" s="204"/>
      <c r="HDV3593" s="204"/>
      <c r="HDW3593" s="204"/>
      <c r="HDX3593" s="204"/>
      <c r="HDY3593" s="204"/>
      <c r="HDZ3593" s="204"/>
      <c r="HEA3593" s="204"/>
      <c r="HEB3593" s="204"/>
      <c r="HEC3593" s="204"/>
      <c r="HED3593" s="204"/>
      <c r="HEE3593" s="204"/>
      <c r="HEF3593" s="204"/>
      <c r="HEG3593" s="204"/>
      <c r="HEH3593" s="204"/>
      <c r="HEI3593" s="204"/>
      <c r="HEJ3593" s="204"/>
      <c r="HEK3593" s="204"/>
      <c r="HEL3593" s="204"/>
      <c r="HEM3593" s="204"/>
      <c r="HEN3593" s="204"/>
      <c r="HEO3593" s="204"/>
      <c r="HEP3593" s="204"/>
      <c r="HEQ3593" s="204"/>
      <c r="HER3593" s="204"/>
      <c r="HES3593" s="204"/>
      <c r="HET3593" s="204"/>
      <c r="HEU3593" s="204"/>
      <c r="HEV3593" s="204"/>
      <c r="HEW3593" s="204"/>
      <c r="HEX3593" s="204"/>
      <c r="HEY3593" s="204"/>
      <c r="HEZ3593" s="204"/>
      <c r="HFA3593" s="204"/>
      <c r="HFB3593" s="204"/>
      <c r="HFC3593" s="204"/>
      <c r="HFD3593" s="204"/>
      <c r="HFE3593" s="204"/>
      <c r="HFF3593" s="204"/>
      <c r="HFG3593" s="204"/>
      <c r="HFH3593" s="204"/>
      <c r="HFI3593" s="204"/>
      <c r="HFJ3593" s="204"/>
      <c r="HFK3593" s="204"/>
      <c r="HFL3593" s="204"/>
      <c r="HFM3593" s="204"/>
      <c r="HFN3593" s="204"/>
      <c r="HFO3593" s="204"/>
      <c r="HFP3593" s="204"/>
      <c r="HFQ3593" s="204"/>
      <c r="HFR3593" s="204"/>
      <c r="HFS3593" s="204"/>
      <c r="HFT3593" s="204"/>
      <c r="HFU3593" s="204"/>
      <c r="HFV3593" s="204"/>
      <c r="HFW3593" s="204"/>
      <c r="HFX3593" s="204"/>
      <c r="HFY3593" s="204"/>
      <c r="HFZ3593" s="204"/>
      <c r="HGA3593" s="204"/>
      <c r="HGB3593" s="204"/>
      <c r="HGC3593" s="204"/>
      <c r="HGD3593" s="204"/>
      <c r="HGE3593" s="204"/>
      <c r="HGF3593" s="204"/>
      <c r="HGG3593" s="204"/>
      <c r="HGH3593" s="204"/>
      <c r="HGI3593" s="204"/>
      <c r="HGJ3593" s="204"/>
      <c r="HGK3593" s="204"/>
      <c r="HGL3593" s="204"/>
      <c r="HGM3593" s="204"/>
      <c r="HGN3593" s="204"/>
      <c r="HGO3593" s="204"/>
      <c r="HGP3593" s="204"/>
      <c r="HGQ3593" s="204"/>
      <c r="HGR3593" s="204"/>
      <c r="HGS3593" s="204"/>
      <c r="HGT3593" s="204"/>
      <c r="HGU3593" s="204"/>
      <c r="HGV3593" s="204"/>
      <c r="HGW3593" s="204"/>
      <c r="HGX3593" s="204"/>
      <c r="HGY3593" s="204"/>
      <c r="HGZ3593" s="204"/>
      <c r="HHA3593" s="204"/>
      <c r="HHB3593" s="204"/>
      <c r="HHC3593" s="204"/>
      <c r="HHD3593" s="204"/>
      <c r="HHE3593" s="204"/>
      <c r="HHF3593" s="204"/>
      <c r="HHG3593" s="204"/>
      <c r="HHH3593" s="204"/>
      <c r="HHI3593" s="204"/>
      <c r="HHJ3593" s="204"/>
      <c r="HHK3593" s="204"/>
      <c r="HHL3593" s="204"/>
      <c r="HHM3593" s="204"/>
      <c r="HHN3593" s="204"/>
      <c r="HHO3593" s="204"/>
      <c r="HHP3593" s="204"/>
      <c r="HHQ3593" s="204"/>
      <c r="HHR3593" s="204"/>
      <c r="HHS3593" s="204"/>
      <c r="HHT3593" s="204"/>
      <c r="HHU3593" s="204"/>
      <c r="HHV3593" s="204"/>
      <c r="HHW3593" s="204"/>
      <c r="HHX3593" s="204"/>
      <c r="HHY3593" s="204"/>
      <c r="HHZ3593" s="204"/>
      <c r="HIA3593" s="204"/>
      <c r="HIB3593" s="204"/>
      <c r="HIC3593" s="204"/>
      <c r="HID3593" s="204"/>
      <c r="HIE3593" s="204"/>
      <c r="HIF3593" s="204"/>
      <c r="HIG3593" s="204"/>
      <c r="HIH3593" s="204"/>
      <c r="HII3593" s="204"/>
      <c r="HIJ3593" s="204"/>
      <c r="HIK3593" s="204"/>
      <c r="HIL3593" s="204"/>
      <c r="HIM3593" s="204"/>
      <c r="HIN3593" s="204"/>
      <c r="HIO3593" s="204"/>
      <c r="HIP3593" s="204"/>
      <c r="HIQ3593" s="204"/>
      <c r="HIR3593" s="204"/>
      <c r="HIS3593" s="204"/>
      <c r="HIT3593" s="204"/>
      <c r="HIU3593" s="204"/>
      <c r="HIV3593" s="204"/>
      <c r="HIW3593" s="204"/>
      <c r="HIX3593" s="204"/>
      <c r="HIY3593" s="204"/>
      <c r="HIZ3593" s="204"/>
      <c r="HJA3593" s="204"/>
      <c r="HJB3593" s="204"/>
      <c r="HJC3593" s="204"/>
      <c r="HJD3593" s="204"/>
      <c r="HJE3593" s="204"/>
      <c r="HJF3593" s="204"/>
      <c r="HJG3593" s="204"/>
      <c r="HJH3593" s="204"/>
      <c r="HJI3593" s="204"/>
      <c r="HJJ3593" s="204"/>
      <c r="HJK3593" s="204"/>
      <c r="HJL3593" s="204"/>
      <c r="HJM3593" s="204"/>
      <c r="HJN3593" s="204"/>
      <c r="HJO3593" s="204"/>
      <c r="HJP3593" s="204"/>
      <c r="HJQ3593" s="204"/>
      <c r="HJR3593" s="204"/>
      <c r="HJS3593" s="204"/>
      <c r="HJT3593" s="204"/>
      <c r="HJU3593" s="204"/>
      <c r="HJV3593" s="204"/>
      <c r="HJW3593" s="204"/>
      <c r="HJX3593" s="204"/>
      <c r="HJY3593" s="204"/>
      <c r="HJZ3593" s="204"/>
      <c r="HKA3593" s="204"/>
      <c r="HKB3593" s="204"/>
      <c r="HKC3593" s="204"/>
      <c r="HKD3593" s="204"/>
      <c r="HKE3593" s="204"/>
      <c r="HKF3593" s="204"/>
      <c r="HKG3593" s="204"/>
      <c r="HKH3593" s="204"/>
      <c r="HKI3593" s="204"/>
      <c r="HKJ3593" s="204"/>
      <c r="HKK3593" s="204"/>
      <c r="HKL3593" s="204"/>
      <c r="HKM3593" s="204"/>
      <c r="HKN3593" s="204"/>
      <c r="HKO3593" s="204"/>
      <c r="HKP3593" s="204"/>
      <c r="HKQ3593" s="204"/>
      <c r="HKR3593" s="204"/>
      <c r="HKS3593" s="204"/>
      <c r="HKT3593" s="204"/>
      <c r="HKU3593" s="204"/>
      <c r="HKV3593" s="204"/>
      <c r="HKW3593" s="204"/>
      <c r="HKX3593" s="204"/>
      <c r="HKY3593" s="204"/>
      <c r="HKZ3593" s="204"/>
      <c r="HLA3593" s="204"/>
      <c r="HLB3593" s="204"/>
      <c r="HLC3593" s="204"/>
      <c r="HLD3593" s="204"/>
      <c r="HLE3593" s="204"/>
      <c r="HLF3593" s="204"/>
      <c r="HLG3593" s="204"/>
      <c r="HLH3593" s="204"/>
      <c r="HLI3593" s="204"/>
      <c r="HLJ3593" s="204"/>
      <c r="HLK3593" s="204"/>
      <c r="HLL3593" s="204"/>
      <c r="HLM3593" s="204"/>
      <c r="HLN3593" s="204"/>
      <c r="HLO3593" s="204"/>
      <c r="HLP3593" s="204"/>
      <c r="HLQ3593" s="204"/>
      <c r="HLR3593" s="204"/>
      <c r="HLS3593" s="204"/>
      <c r="HLT3593" s="204"/>
      <c r="HLU3593" s="204"/>
      <c r="HLV3593" s="204"/>
      <c r="HLW3593" s="204"/>
      <c r="HLX3593" s="204"/>
      <c r="HLY3593" s="204"/>
      <c r="HLZ3593" s="204"/>
      <c r="HMA3593" s="204"/>
      <c r="HMB3593" s="204"/>
      <c r="HMC3593" s="204"/>
      <c r="HMD3593" s="204"/>
      <c r="HME3593" s="204"/>
      <c r="HMF3593" s="204"/>
      <c r="HMG3593" s="204"/>
      <c r="HMH3593" s="204"/>
      <c r="HMI3593" s="204"/>
      <c r="HMJ3593" s="204"/>
      <c r="HMK3593" s="204"/>
      <c r="HML3593" s="204"/>
      <c r="HMM3593" s="204"/>
      <c r="HMN3593" s="204"/>
      <c r="HMO3593" s="204"/>
      <c r="HMP3593" s="204"/>
      <c r="HMQ3593" s="204"/>
      <c r="HMR3593" s="204"/>
      <c r="HMS3593" s="204"/>
      <c r="HMT3593" s="204"/>
      <c r="HMU3593" s="204"/>
      <c r="HMV3593" s="204"/>
      <c r="HMW3593" s="204"/>
      <c r="HMX3593" s="204"/>
      <c r="HMY3593" s="204"/>
      <c r="HMZ3593" s="204"/>
      <c r="HNA3593" s="204"/>
      <c r="HNB3593" s="204"/>
      <c r="HNC3593" s="204"/>
      <c r="HND3593" s="204"/>
      <c r="HNE3593" s="204"/>
      <c r="HNF3593" s="204"/>
      <c r="HNG3593" s="204"/>
      <c r="HNH3593" s="204"/>
      <c r="HNI3593" s="204"/>
      <c r="HNJ3593" s="204"/>
      <c r="HNK3593" s="204"/>
      <c r="HNL3593" s="204"/>
      <c r="HNM3593" s="204"/>
      <c r="HNN3593" s="204"/>
      <c r="HNO3593" s="204"/>
      <c r="HNP3593" s="204"/>
      <c r="HNQ3593" s="204"/>
      <c r="HNR3593" s="204"/>
      <c r="HNS3593" s="204"/>
      <c r="HNT3593" s="204"/>
      <c r="HNU3593" s="204"/>
      <c r="HNV3593" s="204"/>
      <c r="HNW3593" s="204"/>
      <c r="HNX3593" s="204"/>
      <c r="HNY3593" s="204"/>
      <c r="HNZ3593" s="204"/>
      <c r="HOA3593" s="204"/>
      <c r="HOB3593" s="204"/>
      <c r="HOC3593" s="204"/>
      <c r="HOD3593" s="204"/>
      <c r="HOE3593" s="204"/>
      <c r="HOF3593" s="204"/>
      <c r="HOG3593" s="204"/>
      <c r="HOH3593" s="204"/>
      <c r="HOI3593" s="204"/>
      <c r="HOJ3593" s="204"/>
      <c r="HOK3593" s="204"/>
      <c r="HOL3593" s="204"/>
      <c r="HOM3593" s="204"/>
      <c r="HON3593" s="204"/>
      <c r="HOO3593" s="204"/>
      <c r="HOP3593" s="204"/>
      <c r="HOQ3593" s="204"/>
      <c r="HOR3593" s="204"/>
      <c r="HOS3593" s="204"/>
      <c r="HOT3593" s="204"/>
      <c r="HOU3593" s="204"/>
      <c r="HOV3593" s="204"/>
      <c r="HOW3593" s="204"/>
      <c r="HOX3593" s="204"/>
      <c r="HOY3593" s="204"/>
      <c r="HOZ3593" s="204"/>
      <c r="HPA3593" s="204"/>
      <c r="HPB3593" s="204"/>
      <c r="HPC3593" s="204"/>
      <c r="HPD3593" s="204"/>
      <c r="HPE3593" s="204"/>
      <c r="HPF3593" s="204"/>
      <c r="HPG3593" s="204"/>
      <c r="HPH3593" s="204"/>
      <c r="HPI3593" s="204"/>
      <c r="HPJ3593" s="204"/>
      <c r="HPK3593" s="204"/>
      <c r="HPL3593" s="204"/>
      <c r="HPM3593" s="204"/>
      <c r="HPN3593" s="204"/>
      <c r="HPO3593" s="204"/>
      <c r="HPP3593" s="204"/>
      <c r="HPQ3593" s="204"/>
      <c r="HPR3593" s="204"/>
      <c r="HPS3593" s="204"/>
      <c r="HPT3593" s="204"/>
      <c r="HPU3593" s="204"/>
      <c r="HPV3593" s="204"/>
      <c r="HPW3593" s="204"/>
      <c r="HPX3593" s="204"/>
      <c r="HPY3593" s="204"/>
      <c r="HPZ3593" s="204"/>
      <c r="HQA3593" s="204"/>
      <c r="HQB3593" s="204"/>
      <c r="HQC3593" s="204"/>
      <c r="HQD3593" s="204"/>
      <c r="HQE3593" s="204"/>
      <c r="HQF3593" s="204"/>
      <c r="HQG3593" s="204"/>
      <c r="HQH3593" s="204"/>
      <c r="HQI3593" s="204"/>
      <c r="HQJ3593" s="204"/>
      <c r="HQK3593" s="204"/>
      <c r="HQL3593" s="204"/>
      <c r="HQM3593" s="204"/>
      <c r="HQN3593" s="204"/>
      <c r="HQO3593" s="204"/>
      <c r="HQP3593" s="204"/>
      <c r="HQQ3593" s="204"/>
      <c r="HQR3593" s="204"/>
      <c r="HQS3593" s="204"/>
      <c r="HQT3593" s="204"/>
      <c r="HQU3593" s="204"/>
      <c r="HQV3593" s="204"/>
      <c r="HQW3593" s="204"/>
      <c r="HQX3593" s="204"/>
      <c r="HQY3593" s="204"/>
      <c r="HQZ3593" s="204"/>
      <c r="HRA3593" s="204"/>
      <c r="HRB3593" s="204"/>
      <c r="HRC3593" s="204"/>
      <c r="HRD3593" s="204"/>
      <c r="HRE3593" s="204"/>
      <c r="HRF3593" s="204"/>
      <c r="HRG3593" s="204"/>
      <c r="HRH3593" s="204"/>
      <c r="HRI3593" s="204"/>
      <c r="HRJ3593" s="204"/>
      <c r="HRK3593" s="204"/>
      <c r="HRL3593" s="204"/>
      <c r="HRM3593" s="204"/>
      <c r="HRN3593" s="204"/>
      <c r="HRO3593" s="204"/>
      <c r="HRP3593" s="204"/>
      <c r="HRQ3593" s="204"/>
      <c r="HRR3593" s="204"/>
      <c r="HRS3593" s="204"/>
      <c r="HRT3593" s="204"/>
      <c r="HRU3593" s="204"/>
      <c r="HRV3593" s="204"/>
      <c r="HRW3593" s="204"/>
      <c r="HRX3593" s="204"/>
      <c r="HRY3593" s="204"/>
      <c r="HRZ3593" s="204"/>
      <c r="HSA3593" s="204"/>
      <c r="HSB3593" s="204"/>
      <c r="HSC3593" s="204"/>
      <c r="HSD3593" s="204"/>
      <c r="HSE3593" s="204"/>
      <c r="HSF3593" s="204"/>
      <c r="HSG3593" s="204"/>
      <c r="HSH3593" s="204"/>
      <c r="HSI3593" s="204"/>
      <c r="HSJ3593" s="204"/>
      <c r="HSK3593" s="204"/>
      <c r="HSL3593" s="204"/>
      <c r="HSM3593" s="204"/>
      <c r="HSN3593" s="204"/>
      <c r="HSO3593" s="204"/>
      <c r="HSP3593" s="204"/>
      <c r="HSQ3593" s="204"/>
      <c r="HSR3593" s="204"/>
      <c r="HSS3593" s="204"/>
      <c r="HST3593" s="204"/>
      <c r="HSU3593" s="204"/>
      <c r="HSV3593" s="204"/>
      <c r="HSW3593" s="204"/>
      <c r="HSX3593" s="204"/>
      <c r="HSY3593" s="204"/>
      <c r="HSZ3593" s="204"/>
      <c r="HTA3593" s="204"/>
      <c r="HTB3593" s="204"/>
      <c r="HTC3593" s="204"/>
      <c r="HTD3593" s="204"/>
      <c r="HTE3593" s="204"/>
      <c r="HTF3593" s="204"/>
      <c r="HTG3593" s="204"/>
      <c r="HTH3593" s="204"/>
      <c r="HTI3593" s="204"/>
      <c r="HTJ3593" s="204"/>
      <c r="HTK3593" s="204"/>
      <c r="HTL3593" s="204"/>
      <c r="HTM3593" s="204"/>
      <c r="HTN3593" s="204"/>
      <c r="HTO3593" s="204"/>
      <c r="HTP3593" s="204"/>
      <c r="HTQ3593" s="204"/>
      <c r="HTR3593" s="204"/>
      <c r="HTS3593" s="204"/>
      <c r="HTT3593" s="204"/>
      <c r="HTU3593" s="204"/>
      <c r="HTV3593" s="204"/>
      <c r="HTW3593" s="204"/>
      <c r="HTX3593" s="204"/>
      <c r="HTY3593" s="204"/>
      <c r="HTZ3593" s="204"/>
      <c r="HUA3593" s="204"/>
      <c r="HUB3593" s="204"/>
      <c r="HUC3593" s="204"/>
      <c r="HUD3593" s="204"/>
      <c r="HUE3593" s="204"/>
      <c r="HUF3593" s="204"/>
      <c r="HUG3593" s="204"/>
      <c r="HUH3593" s="204"/>
      <c r="HUI3593" s="204"/>
      <c r="HUJ3593" s="204"/>
      <c r="HUK3593" s="204"/>
      <c r="HUL3593" s="204"/>
      <c r="HUM3593" s="204"/>
      <c r="HUN3593" s="204"/>
      <c r="HUO3593" s="204"/>
      <c r="HUP3593" s="204"/>
      <c r="HUQ3593" s="204"/>
      <c r="HUR3593" s="204"/>
      <c r="HUS3593" s="204"/>
      <c r="HUT3593" s="204"/>
      <c r="HUU3593" s="204"/>
      <c r="HUV3593" s="204"/>
      <c r="HUW3593" s="204"/>
      <c r="HUX3593" s="204"/>
      <c r="HUY3593" s="204"/>
      <c r="HUZ3593" s="204"/>
      <c r="HVA3593" s="204"/>
      <c r="HVB3593" s="204"/>
      <c r="HVC3593" s="204"/>
      <c r="HVD3593" s="204"/>
      <c r="HVE3593" s="204"/>
      <c r="HVF3593" s="204"/>
      <c r="HVG3593" s="204"/>
      <c r="HVH3593" s="204"/>
      <c r="HVI3593" s="204"/>
      <c r="HVJ3593" s="204"/>
      <c r="HVK3593" s="204"/>
      <c r="HVL3593" s="204"/>
      <c r="HVM3593" s="204"/>
      <c r="HVN3593" s="204"/>
      <c r="HVO3593" s="204"/>
      <c r="HVP3593" s="204"/>
      <c r="HVQ3593" s="204"/>
      <c r="HVR3593" s="204"/>
      <c r="HVS3593" s="204"/>
      <c r="HVT3593" s="204"/>
      <c r="HVU3593" s="204"/>
      <c r="HVV3593" s="204"/>
      <c r="HVW3593" s="204"/>
      <c r="HVX3593" s="204"/>
      <c r="HVY3593" s="204"/>
      <c r="HVZ3593" s="204"/>
      <c r="HWA3593" s="204"/>
      <c r="HWB3593" s="204"/>
      <c r="HWC3593" s="204"/>
      <c r="HWD3593" s="204"/>
      <c r="HWE3593" s="204"/>
      <c r="HWF3593" s="204"/>
      <c r="HWG3593" s="204"/>
      <c r="HWH3593" s="204"/>
      <c r="HWI3593" s="204"/>
      <c r="HWJ3593" s="204"/>
      <c r="HWK3593" s="204"/>
      <c r="HWL3593" s="204"/>
      <c r="HWM3593" s="204"/>
      <c r="HWN3593" s="204"/>
      <c r="HWO3593" s="204"/>
      <c r="HWP3593" s="204"/>
      <c r="HWQ3593" s="204"/>
      <c r="HWR3593" s="204"/>
      <c r="HWS3593" s="204"/>
      <c r="HWT3593" s="204"/>
      <c r="HWU3593" s="204"/>
      <c r="HWV3593" s="204"/>
      <c r="HWW3593" s="204"/>
      <c r="HWX3593" s="204"/>
      <c r="HWY3593" s="204"/>
      <c r="HWZ3593" s="204"/>
      <c r="HXA3593" s="204"/>
      <c r="HXB3593" s="204"/>
      <c r="HXC3593" s="204"/>
      <c r="HXD3593" s="204"/>
      <c r="HXE3593" s="204"/>
      <c r="HXF3593" s="204"/>
      <c r="HXG3593" s="204"/>
      <c r="HXH3593" s="204"/>
      <c r="HXI3593" s="204"/>
      <c r="HXJ3593" s="204"/>
      <c r="HXK3593" s="204"/>
      <c r="HXL3593" s="204"/>
      <c r="HXM3593" s="204"/>
      <c r="HXN3593" s="204"/>
      <c r="HXO3593" s="204"/>
      <c r="HXP3593" s="204"/>
      <c r="HXQ3593" s="204"/>
      <c r="HXR3593" s="204"/>
      <c r="HXS3593" s="204"/>
      <c r="HXT3593" s="204"/>
      <c r="HXU3593" s="204"/>
      <c r="HXV3593" s="204"/>
      <c r="HXW3593" s="204"/>
      <c r="HXX3593" s="204"/>
      <c r="HXY3593" s="204"/>
      <c r="HXZ3593" s="204"/>
      <c r="HYA3593" s="204"/>
      <c r="HYB3593" s="204"/>
      <c r="HYC3593" s="204"/>
      <c r="HYD3593" s="204"/>
      <c r="HYE3593" s="204"/>
      <c r="HYF3593" s="204"/>
      <c r="HYG3593" s="204"/>
      <c r="HYH3593" s="204"/>
      <c r="HYI3593" s="204"/>
      <c r="HYJ3593" s="204"/>
      <c r="HYK3593" s="204"/>
      <c r="HYL3593" s="204"/>
      <c r="HYM3593" s="204"/>
      <c r="HYN3593" s="204"/>
      <c r="HYO3593" s="204"/>
      <c r="HYP3593" s="204"/>
      <c r="HYQ3593" s="204"/>
      <c r="HYR3593" s="204"/>
      <c r="HYS3593" s="204"/>
      <c r="HYT3593" s="204"/>
      <c r="HYU3593" s="204"/>
      <c r="HYV3593" s="204"/>
      <c r="HYW3593" s="204"/>
      <c r="HYX3593" s="204"/>
      <c r="HYY3593" s="204"/>
      <c r="HYZ3593" s="204"/>
      <c r="HZA3593" s="204"/>
      <c r="HZB3593" s="204"/>
      <c r="HZC3593" s="204"/>
      <c r="HZD3593" s="204"/>
      <c r="HZE3593" s="204"/>
      <c r="HZF3593" s="204"/>
      <c r="HZG3593" s="204"/>
      <c r="HZH3593" s="204"/>
      <c r="HZI3593" s="204"/>
      <c r="HZJ3593" s="204"/>
      <c r="HZK3593" s="204"/>
      <c r="HZL3593" s="204"/>
      <c r="HZM3593" s="204"/>
      <c r="HZN3593" s="204"/>
      <c r="HZO3593" s="204"/>
      <c r="HZP3593" s="204"/>
      <c r="HZQ3593" s="204"/>
      <c r="HZR3593" s="204"/>
      <c r="HZS3593" s="204"/>
      <c r="HZT3593" s="204"/>
      <c r="HZU3593" s="204"/>
      <c r="HZV3593" s="204"/>
      <c r="HZW3593" s="204"/>
      <c r="HZX3593" s="204"/>
      <c r="HZY3593" s="204"/>
      <c r="HZZ3593" s="204"/>
      <c r="IAA3593" s="204"/>
      <c r="IAB3593" s="204"/>
      <c r="IAC3593" s="204"/>
      <c r="IAD3593" s="204"/>
      <c r="IAE3593" s="204"/>
      <c r="IAF3593" s="204"/>
      <c r="IAG3593" s="204"/>
      <c r="IAH3593" s="204"/>
      <c r="IAI3593" s="204"/>
      <c r="IAJ3593" s="204"/>
      <c r="IAK3593" s="204"/>
      <c r="IAL3593" s="204"/>
      <c r="IAM3593" s="204"/>
      <c r="IAN3593" s="204"/>
      <c r="IAO3593" s="204"/>
      <c r="IAP3593" s="204"/>
      <c r="IAQ3593" s="204"/>
      <c r="IAR3593" s="204"/>
      <c r="IAS3593" s="204"/>
      <c r="IAT3593" s="204"/>
      <c r="IAU3593" s="204"/>
      <c r="IAV3593" s="204"/>
      <c r="IAW3593" s="204"/>
      <c r="IAX3593" s="204"/>
      <c r="IAY3593" s="204"/>
      <c r="IAZ3593" s="204"/>
      <c r="IBA3593" s="204"/>
      <c r="IBB3593" s="204"/>
      <c r="IBC3593" s="204"/>
      <c r="IBD3593" s="204"/>
      <c r="IBE3593" s="204"/>
      <c r="IBF3593" s="204"/>
      <c r="IBG3593" s="204"/>
      <c r="IBH3593" s="204"/>
      <c r="IBI3593" s="204"/>
      <c r="IBJ3593" s="204"/>
      <c r="IBK3593" s="204"/>
      <c r="IBL3593" s="204"/>
      <c r="IBM3593" s="204"/>
      <c r="IBN3593" s="204"/>
      <c r="IBO3593" s="204"/>
      <c r="IBP3593" s="204"/>
      <c r="IBQ3593" s="204"/>
      <c r="IBR3593" s="204"/>
      <c r="IBS3593" s="204"/>
      <c r="IBT3593" s="204"/>
      <c r="IBU3593" s="204"/>
      <c r="IBV3593" s="204"/>
      <c r="IBW3593" s="204"/>
      <c r="IBX3593" s="204"/>
      <c r="IBY3593" s="204"/>
      <c r="IBZ3593" s="204"/>
      <c r="ICA3593" s="204"/>
      <c r="ICB3593" s="204"/>
      <c r="ICC3593" s="204"/>
      <c r="ICD3593" s="204"/>
      <c r="ICE3593" s="204"/>
      <c r="ICF3593" s="204"/>
      <c r="ICG3593" s="204"/>
      <c r="ICH3593" s="204"/>
      <c r="ICI3593" s="204"/>
      <c r="ICJ3593" s="204"/>
      <c r="ICK3593" s="204"/>
      <c r="ICL3593" s="204"/>
      <c r="ICM3593" s="204"/>
      <c r="ICN3593" s="204"/>
      <c r="ICO3593" s="204"/>
      <c r="ICP3593" s="204"/>
      <c r="ICQ3593" s="204"/>
      <c r="ICR3593" s="204"/>
      <c r="ICS3593" s="204"/>
      <c r="ICT3593" s="204"/>
      <c r="ICU3593" s="204"/>
      <c r="ICV3593" s="204"/>
      <c r="ICW3593" s="204"/>
      <c r="ICX3593" s="204"/>
      <c r="ICY3593" s="204"/>
      <c r="ICZ3593" s="204"/>
      <c r="IDA3593" s="204"/>
      <c r="IDB3593" s="204"/>
      <c r="IDC3593" s="204"/>
      <c r="IDD3593" s="204"/>
      <c r="IDE3593" s="204"/>
      <c r="IDF3593" s="204"/>
      <c r="IDG3593" s="204"/>
      <c r="IDH3593" s="204"/>
      <c r="IDI3593" s="204"/>
      <c r="IDJ3593" s="204"/>
      <c r="IDK3593" s="204"/>
      <c r="IDL3593" s="204"/>
      <c r="IDM3593" s="204"/>
      <c r="IDN3593" s="204"/>
      <c r="IDO3593" s="204"/>
      <c r="IDP3593" s="204"/>
      <c r="IDQ3593" s="204"/>
      <c r="IDR3593" s="204"/>
      <c r="IDS3593" s="204"/>
      <c r="IDT3593" s="204"/>
      <c r="IDU3593" s="204"/>
      <c r="IDV3593" s="204"/>
      <c r="IDW3593" s="204"/>
      <c r="IDX3593" s="204"/>
      <c r="IDY3593" s="204"/>
      <c r="IDZ3593" s="204"/>
      <c r="IEA3593" s="204"/>
      <c r="IEB3593" s="204"/>
      <c r="IEC3593" s="204"/>
      <c r="IED3593" s="204"/>
      <c r="IEE3593" s="204"/>
      <c r="IEF3593" s="204"/>
      <c r="IEG3593" s="204"/>
      <c r="IEH3593" s="204"/>
      <c r="IEI3593" s="204"/>
      <c r="IEJ3593" s="204"/>
      <c r="IEK3593" s="204"/>
      <c r="IEL3593" s="204"/>
      <c r="IEM3593" s="204"/>
      <c r="IEN3593" s="204"/>
      <c r="IEO3593" s="204"/>
      <c r="IEP3593" s="204"/>
      <c r="IEQ3593" s="204"/>
      <c r="IER3593" s="204"/>
      <c r="IES3593" s="204"/>
      <c r="IET3593" s="204"/>
      <c r="IEU3593" s="204"/>
      <c r="IEV3593" s="204"/>
      <c r="IEW3593" s="204"/>
      <c r="IEX3593" s="204"/>
      <c r="IEY3593" s="204"/>
      <c r="IEZ3593" s="204"/>
      <c r="IFA3593" s="204"/>
      <c r="IFB3593" s="204"/>
      <c r="IFC3593" s="204"/>
      <c r="IFD3593" s="204"/>
      <c r="IFE3593" s="204"/>
      <c r="IFF3593" s="204"/>
      <c r="IFG3593" s="204"/>
      <c r="IFH3593" s="204"/>
      <c r="IFI3593" s="204"/>
      <c r="IFJ3593" s="204"/>
      <c r="IFK3593" s="204"/>
      <c r="IFL3593" s="204"/>
      <c r="IFM3593" s="204"/>
      <c r="IFN3593" s="204"/>
      <c r="IFO3593" s="204"/>
      <c r="IFP3593" s="204"/>
      <c r="IFQ3593" s="204"/>
      <c r="IFR3593" s="204"/>
      <c r="IFS3593" s="204"/>
      <c r="IFT3593" s="204"/>
      <c r="IFU3593" s="204"/>
      <c r="IFV3593" s="204"/>
      <c r="IFW3593" s="204"/>
      <c r="IFX3593" s="204"/>
      <c r="IFY3593" s="204"/>
      <c r="IFZ3593" s="204"/>
      <c r="IGA3593" s="204"/>
      <c r="IGB3593" s="204"/>
      <c r="IGC3593" s="204"/>
      <c r="IGD3593" s="204"/>
      <c r="IGE3593" s="204"/>
      <c r="IGF3593" s="204"/>
      <c r="IGG3593" s="204"/>
      <c r="IGH3593" s="204"/>
      <c r="IGI3593" s="204"/>
      <c r="IGJ3593" s="204"/>
      <c r="IGK3593" s="204"/>
      <c r="IGL3593" s="204"/>
      <c r="IGM3593" s="204"/>
      <c r="IGN3593" s="204"/>
      <c r="IGO3593" s="204"/>
      <c r="IGP3593" s="204"/>
      <c r="IGQ3593" s="204"/>
      <c r="IGR3593" s="204"/>
      <c r="IGS3593" s="204"/>
      <c r="IGT3593" s="204"/>
      <c r="IGU3593" s="204"/>
      <c r="IGV3593" s="204"/>
      <c r="IGW3593" s="204"/>
      <c r="IGX3593" s="204"/>
      <c r="IGY3593" s="204"/>
      <c r="IGZ3593" s="204"/>
      <c r="IHA3593" s="204"/>
      <c r="IHB3593" s="204"/>
      <c r="IHC3593" s="204"/>
      <c r="IHD3593" s="204"/>
      <c r="IHE3593" s="204"/>
      <c r="IHF3593" s="204"/>
      <c r="IHG3593" s="204"/>
      <c r="IHH3593" s="204"/>
      <c r="IHI3593" s="204"/>
      <c r="IHJ3593" s="204"/>
      <c r="IHK3593" s="204"/>
      <c r="IHL3593" s="204"/>
      <c r="IHM3593" s="204"/>
      <c r="IHN3593" s="204"/>
      <c r="IHO3593" s="204"/>
      <c r="IHP3593" s="204"/>
      <c r="IHQ3593" s="204"/>
      <c r="IHR3593" s="204"/>
      <c r="IHS3593" s="204"/>
      <c r="IHT3593" s="204"/>
      <c r="IHU3593" s="204"/>
      <c r="IHV3593" s="204"/>
      <c r="IHW3593" s="204"/>
      <c r="IHX3593" s="204"/>
      <c r="IHY3593" s="204"/>
      <c r="IHZ3593" s="204"/>
      <c r="IIA3593" s="204"/>
      <c r="IIB3593" s="204"/>
      <c r="IIC3593" s="204"/>
      <c r="IID3593" s="204"/>
      <c r="IIE3593" s="204"/>
      <c r="IIF3593" s="204"/>
      <c r="IIG3593" s="204"/>
      <c r="IIH3593" s="204"/>
      <c r="III3593" s="204"/>
      <c r="IIJ3593" s="204"/>
      <c r="IIK3593" s="204"/>
      <c r="IIL3593" s="204"/>
      <c r="IIM3593" s="204"/>
      <c r="IIN3593" s="204"/>
      <c r="IIO3593" s="204"/>
      <c r="IIP3593" s="204"/>
      <c r="IIQ3593" s="204"/>
      <c r="IIR3593" s="204"/>
      <c r="IIS3593" s="204"/>
      <c r="IIT3593" s="204"/>
      <c r="IIU3593" s="204"/>
      <c r="IIV3593" s="204"/>
      <c r="IIW3593" s="204"/>
      <c r="IIX3593" s="204"/>
      <c r="IIY3593" s="204"/>
      <c r="IIZ3593" s="204"/>
      <c r="IJA3593" s="204"/>
      <c r="IJB3593" s="204"/>
      <c r="IJC3593" s="204"/>
      <c r="IJD3593" s="204"/>
      <c r="IJE3593" s="204"/>
      <c r="IJF3593" s="204"/>
      <c r="IJG3593" s="204"/>
      <c r="IJH3593" s="204"/>
      <c r="IJI3593" s="204"/>
      <c r="IJJ3593" s="204"/>
      <c r="IJK3593" s="204"/>
      <c r="IJL3593" s="204"/>
      <c r="IJM3593" s="204"/>
      <c r="IJN3593" s="204"/>
      <c r="IJO3593" s="204"/>
      <c r="IJP3593" s="204"/>
      <c r="IJQ3593" s="204"/>
      <c r="IJR3593" s="204"/>
      <c r="IJS3593" s="204"/>
      <c r="IJT3593" s="204"/>
      <c r="IJU3593" s="204"/>
      <c r="IJV3593" s="204"/>
      <c r="IJW3593" s="204"/>
      <c r="IJX3593" s="204"/>
      <c r="IJY3593" s="204"/>
      <c r="IJZ3593" s="204"/>
      <c r="IKA3593" s="204"/>
      <c r="IKB3593" s="204"/>
      <c r="IKC3593" s="204"/>
      <c r="IKD3593" s="204"/>
      <c r="IKE3593" s="204"/>
      <c r="IKF3593" s="204"/>
      <c r="IKG3593" s="204"/>
      <c r="IKH3593" s="204"/>
      <c r="IKI3593" s="204"/>
      <c r="IKJ3593" s="204"/>
      <c r="IKK3593" s="204"/>
      <c r="IKL3593" s="204"/>
      <c r="IKM3593" s="204"/>
      <c r="IKN3593" s="204"/>
      <c r="IKO3593" s="204"/>
      <c r="IKP3593" s="204"/>
      <c r="IKQ3593" s="204"/>
      <c r="IKR3593" s="204"/>
      <c r="IKS3593" s="204"/>
      <c r="IKT3593" s="204"/>
      <c r="IKU3593" s="204"/>
      <c r="IKV3593" s="204"/>
      <c r="IKW3593" s="204"/>
      <c r="IKX3593" s="204"/>
      <c r="IKY3593" s="204"/>
      <c r="IKZ3593" s="204"/>
      <c r="ILA3593" s="204"/>
      <c r="ILB3593" s="204"/>
      <c r="ILC3593" s="204"/>
      <c r="ILD3593" s="204"/>
      <c r="ILE3593" s="204"/>
      <c r="ILF3593" s="204"/>
      <c r="ILG3593" s="204"/>
      <c r="ILH3593" s="204"/>
      <c r="ILI3593" s="204"/>
      <c r="ILJ3593" s="204"/>
      <c r="ILK3593" s="204"/>
      <c r="ILL3593" s="204"/>
      <c r="ILM3593" s="204"/>
      <c r="ILN3593" s="204"/>
      <c r="ILO3593" s="204"/>
      <c r="ILP3593" s="204"/>
      <c r="ILQ3593" s="204"/>
      <c r="ILR3593" s="204"/>
      <c r="ILS3593" s="204"/>
      <c r="ILT3593" s="204"/>
      <c r="ILU3593" s="204"/>
      <c r="ILV3593" s="204"/>
      <c r="ILW3593" s="204"/>
      <c r="ILX3593" s="204"/>
      <c r="ILY3593" s="204"/>
      <c r="ILZ3593" s="204"/>
      <c r="IMA3593" s="204"/>
      <c r="IMB3593" s="204"/>
      <c r="IMC3593" s="204"/>
      <c r="IMD3593" s="204"/>
      <c r="IME3593" s="204"/>
      <c r="IMF3593" s="204"/>
      <c r="IMG3593" s="204"/>
      <c r="IMH3593" s="204"/>
      <c r="IMI3593" s="204"/>
      <c r="IMJ3593" s="204"/>
      <c r="IMK3593" s="204"/>
      <c r="IML3593" s="204"/>
      <c r="IMM3593" s="204"/>
      <c r="IMN3593" s="204"/>
      <c r="IMO3593" s="204"/>
      <c r="IMP3593" s="204"/>
      <c r="IMQ3593" s="204"/>
      <c r="IMR3593" s="204"/>
      <c r="IMS3593" s="204"/>
      <c r="IMT3593" s="204"/>
      <c r="IMU3593" s="204"/>
      <c r="IMV3593" s="204"/>
      <c r="IMW3593" s="204"/>
      <c r="IMX3593" s="204"/>
      <c r="IMY3593" s="204"/>
      <c r="IMZ3593" s="204"/>
      <c r="INA3593" s="204"/>
      <c r="INB3593" s="204"/>
      <c r="INC3593" s="204"/>
      <c r="IND3593" s="204"/>
      <c r="INE3593" s="204"/>
      <c r="INF3593" s="204"/>
      <c r="ING3593" s="204"/>
      <c r="INH3593" s="204"/>
      <c r="INI3593" s="204"/>
      <c r="INJ3593" s="204"/>
      <c r="INK3593" s="204"/>
      <c r="INL3593" s="204"/>
      <c r="INM3593" s="204"/>
      <c r="INN3593" s="204"/>
      <c r="INO3593" s="204"/>
      <c r="INP3593" s="204"/>
      <c r="INQ3593" s="204"/>
      <c r="INR3593" s="204"/>
      <c r="INS3593" s="204"/>
      <c r="INT3593" s="204"/>
      <c r="INU3593" s="204"/>
      <c r="INV3593" s="204"/>
      <c r="INW3593" s="204"/>
      <c r="INX3593" s="204"/>
      <c r="INY3593" s="204"/>
      <c r="INZ3593" s="204"/>
      <c r="IOA3593" s="204"/>
      <c r="IOB3593" s="204"/>
      <c r="IOC3593" s="204"/>
      <c r="IOD3593" s="204"/>
      <c r="IOE3593" s="204"/>
      <c r="IOF3593" s="204"/>
      <c r="IOG3593" s="204"/>
      <c r="IOH3593" s="204"/>
      <c r="IOI3593" s="204"/>
      <c r="IOJ3593" s="204"/>
      <c r="IOK3593" s="204"/>
      <c r="IOL3593" s="204"/>
      <c r="IOM3593" s="204"/>
      <c r="ION3593" s="204"/>
      <c r="IOO3593" s="204"/>
      <c r="IOP3593" s="204"/>
      <c r="IOQ3593" s="204"/>
      <c r="IOR3593" s="204"/>
      <c r="IOS3593" s="204"/>
      <c r="IOT3593" s="204"/>
      <c r="IOU3593" s="204"/>
      <c r="IOV3593" s="204"/>
      <c r="IOW3593" s="204"/>
      <c r="IOX3593" s="204"/>
      <c r="IOY3593" s="204"/>
      <c r="IOZ3593" s="204"/>
      <c r="IPA3593" s="204"/>
      <c r="IPB3593" s="204"/>
      <c r="IPC3593" s="204"/>
      <c r="IPD3593" s="204"/>
      <c r="IPE3593" s="204"/>
      <c r="IPF3593" s="204"/>
      <c r="IPG3593" s="204"/>
      <c r="IPH3593" s="204"/>
      <c r="IPI3593" s="204"/>
      <c r="IPJ3593" s="204"/>
      <c r="IPK3593" s="204"/>
      <c r="IPL3593" s="204"/>
      <c r="IPM3593" s="204"/>
      <c r="IPN3593" s="204"/>
      <c r="IPO3593" s="204"/>
      <c r="IPP3593" s="204"/>
      <c r="IPQ3593" s="204"/>
      <c r="IPR3593" s="204"/>
      <c r="IPS3593" s="204"/>
      <c r="IPT3593" s="204"/>
      <c r="IPU3593" s="204"/>
      <c r="IPV3593" s="204"/>
      <c r="IPW3593" s="204"/>
      <c r="IPX3593" s="204"/>
      <c r="IPY3593" s="204"/>
      <c r="IPZ3593" s="204"/>
      <c r="IQA3593" s="204"/>
      <c r="IQB3593" s="204"/>
      <c r="IQC3593" s="204"/>
      <c r="IQD3593" s="204"/>
      <c r="IQE3593" s="204"/>
      <c r="IQF3593" s="204"/>
      <c r="IQG3593" s="204"/>
      <c r="IQH3593" s="204"/>
      <c r="IQI3593" s="204"/>
      <c r="IQJ3593" s="204"/>
      <c r="IQK3593" s="204"/>
      <c r="IQL3593" s="204"/>
      <c r="IQM3593" s="204"/>
      <c r="IQN3593" s="204"/>
      <c r="IQO3593" s="204"/>
      <c r="IQP3593" s="204"/>
      <c r="IQQ3593" s="204"/>
      <c r="IQR3593" s="204"/>
      <c r="IQS3593" s="204"/>
      <c r="IQT3593" s="204"/>
      <c r="IQU3593" s="204"/>
      <c r="IQV3593" s="204"/>
      <c r="IQW3593" s="204"/>
      <c r="IQX3593" s="204"/>
      <c r="IQY3593" s="204"/>
      <c r="IQZ3593" s="204"/>
      <c r="IRA3593" s="204"/>
      <c r="IRB3593" s="204"/>
      <c r="IRC3593" s="204"/>
      <c r="IRD3593" s="204"/>
      <c r="IRE3593" s="204"/>
      <c r="IRF3593" s="204"/>
      <c r="IRG3593" s="204"/>
      <c r="IRH3593" s="204"/>
      <c r="IRI3593" s="204"/>
      <c r="IRJ3593" s="204"/>
      <c r="IRK3593" s="204"/>
      <c r="IRL3593" s="204"/>
      <c r="IRM3593" s="204"/>
      <c r="IRN3593" s="204"/>
      <c r="IRO3593" s="204"/>
      <c r="IRP3593" s="204"/>
      <c r="IRQ3593" s="204"/>
      <c r="IRR3593" s="204"/>
      <c r="IRS3593" s="204"/>
      <c r="IRT3593" s="204"/>
      <c r="IRU3593" s="204"/>
      <c r="IRV3593" s="204"/>
      <c r="IRW3593" s="204"/>
      <c r="IRX3593" s="204"/>
      <c r="IRY3593" s="204"/>
      <c r="IRZ3593" s="204"/>
      <c r="ISA3593" s="204"/>
      <c r="ISB3593" s="204"/>
      <c r="ISC3593" s="204"/>
      <c r="ISD3593" s="204"/>
      <c r="ISE3593" s="204"/>
      <c r="ISF3593" s="204"/>
      <c r="ISG3593" s="204"/>
      <c r="ISH3593" s="204"/>
      <c r="ISI3593" s="204"/>
      <c r="ISJ3593" s="204"/>
      <c r="ISK3593" s="204"/>
      <c r="ISL3593" s="204"/>
      <c r="ISM3593" s="204"/>
      <c r="ISN3593" s="204"/>
      <c r="ISO3593" s="204"/>
      <c r="ISP3593" s="204"/>
      <c r="ISQ3593" s="204"/>
      <c r="ISR3593" s="204"/>
      <c r="ISS3593" s="204"/>
      <c r="IST3593" s="204"/>
      <c r="ISU3593" s="204"/>
      <c r="ISV3593" s="204"/>
      <c r="ISW3593" s="204"/>
      <c r="ISX3593" s="204"/>
      <c r="ISY3593" s="204"/>
      <c r="ISZ3593" s="204"/>
      <c r="ITA3593" s="204"/>
      <c r="ITB3593" s="204"/>
      <c r="ITC3593" s="204"/>
      <c r="ITD3593" s="204"/>
      <c r="ITE3593" s="204"/>
      <c r="ITF3593" s="204"/>
      <c r="ITG3593" s="204"/>
      <c r="ITH3593" s="204"/>
      <c r="ITI3593" s="204"/>
      <c r="ITJ3593" s="204"/>
      <c r="ITK3593" s="204"/>
      <c r="ITL3593" s="204"/>
      <c r="ITM3593" s="204"/>
      <c r="ITN3593" s="204"/>
      <c r="ITO3593" s="204"/>
      <c r="ITP3593" s="204"/>
      <c r="ITQ3593" s="204"/>
      <c r="ITR3593" s="204"/>
      <c r="ITS3593" s="204"/>
      <c r="ITT3593" s="204"/>
      <c r="ITU3593" s="204"/>
      <c r="ITV3593" s="204"/>
      <c r="ITW3593" s="204"/>
      <c r="ITX3593" s="204"/>
      <c r="ITY3593" s="204"/>
      <c r="ITZ3593" s="204"/>
      <c r="IUA3593" s="204"/>
      <c r="IUB3593" s="204"/>
      <c r="IUC3593" s="204"/>
      <c r="IUD3593" s="204"/>
      <c r="IUE3593" s="204"/>
      <c r="IUF3593" s="204"/>
      <c r="IUG3593" s="204"/>
      <c r="IUH3593" s="204"/>
      <c r="IUI3593" s="204"/>
      <c r="IUJ3593" s="204"/>
      <c r="IUK3593" s="204"/>
      <c r="IUL3593" s="204"/>
      <c r="IUM3593" s="204"/>
      <c r="IUN3593" s="204"/>
      <c r="IUO3593" s="204"/>
      <c r="IUP3593" s="204"/>
      <c r="IUQ3593" s="204"/>
      <c r="IUR3593" s="204"/>
      <c r="IUS3593" s="204"/>
      <c r="IUT3593" s="204"/>
      <c r="IUU3593" s="204"/>
      <c r="IUV3593" s="204"/>
      <c r="IUW3593" s="204"/>
      <c r="IUX3593" s="204"/>
      <c r="IUY3593" s="204"/>
      <c r="IUZ3593" s="204"/>
      <c r="IVA3593" s="204"/>
      <c r="IVB3593" s="204"/>
      <c r="IVC3593" s="204"/>
      <c r="IVD3593" s="204"/>
      <c r="IVE3593" s="204"/>
      <c r="IVF3593" s="204"/>
      <c r="IVG3593" s="204"/>
      <c r="IVH3593" s="204"/>
      <c r="IVI3593" s="204"/>
      <c r="IVJ3593" s="204"/>
      <c r="IVK3593" s="204"/>
      <c r="IVL3593" s="204"/>
      <c r="IVM3593" s="204"/>
      <c r="IVN3593" s="204"/>
      <c r="IVO3593" s="204"/>
      <c r="IVP3593" s="204"/>
      <c r="IVQ3593" s="204"/>
      <c r="IVR3593" s="204"/>
      <c r="IVS3593" s="204"/>
      <c r="IVT3593" s="204"/>
      <c r="IVU3593" s="204"/>
      <c r="IVV3593" s="204"/>
      <c r="IVW3593" s="204"/>
      <c r="IVX3593" s="204"/>
      <c r="IVY3593" s="204"/>
      <c r="IVZ3593" s="204"/>
      <c r="IWA3593" s="204"/>
      <c r="IWB3593" s="204"/>
      <c r="IWC3593" s="204"/>
      <c r="IWD3593" s="204"/>
      <c r="IWE3593" s="204"/>
      <c r="IWF3593" s="204"/>
      <c r="IWG3593" s="204"/>
      <c r="IWH3593" s="204"/>
      <c r="IWI3593" s="204"/>
      <c r="IWJ3593" s="204"/>
      <c r="IWK3593" s="204"/>
      <c r="IWL3593" s="204"/>
      <c r="IWM3593" s="204"/>
      <c r="IWN3593" s="204"/>
      <c r="IWO3593" s="204"/>
      <c r="IWP3593" s="204"/>
      <c r="IWQ3593" s="204"/>
      <c r="IWR3593" s="204"/>
      <c r="IWS3593" s="204"/>
      <c r="IWT3593" s="204"/>
      <c r="IWU3593" s="204"/>
      <c r="IWV3593" s="204"/>
      <c r="IWW3593" s="204"/>
      <c r="IWX3593" s="204"/>
      <c r="IWY3593" s="204"/>
      <c r="IWZ3593" s="204"/>
      <c r="IXA3593" s="204"/>
      <c r="IXB3593" s="204"/>
      <c r="IXC3593" s="204"/>
      <c r="IXD3593" s="204"/>
      <c r="IXE3593" s="204"/>
      <c r="IXF3593" s="204"/>
      <c r="IXG3593" s="204"/>
      <c r="IXH3593" s="204"/>
      <c r="IXI3593" s="204"/>
      <c r="IXJ3593" s="204"/>
      <c r="IXK3593" s="204"/>
      <c r="IXL3593" s="204"/>
      <c r="IXM3593" s="204"/>
      <c r="IXN3593" s="204"/>
      <c r="IXO3593" s="204"/>
      <c r="IXP3593" s="204"/>
      <c r="IXQ3593" s="204"/>
      <c r="IXR3593" s="204"/>
      <c r="IXS3593" s="204"/>
      <c r="IXT3593" s="204"/>
      <c r="IXU3593" s="204"/>
      <c r="IXV3593" s="204"/>
      <c r="IXW3593" s="204"/>
      <c r="IXX3593" s="204"/>
      <c r="IXY3593" s="204"/>
      <c r="IXZ3593" s="204"/>
      <c r="IYA3593" s="204"/>
      <c r="IYB3593" s="204"/>
      <c r="IYC3593" s="204"/>
      <c r="IYD3593" s="204"/>
      <c r="IYE3593" s="204"/>
      <c r="IYF3593" s="204"/>
      <c r="IYG3593" s="204"/>
      <c r="IYH3593" s="204"/>
      <c r="IYI3593" s="204"/>
      <c r="IYJ3593" s="204"/>
      <c r="IYK3593" s="204"/>
      <c r="IYL3593" s="204"/>
      <c r="IYM3593" s="204"/>
      <c r="IYN3593" s="204"/>
      <c r="IYO3593" s="204"/>
      <c r="IYP3593" s="204"/>
      <c r="IYQ3593" s="204"/>
      <c r="IYR3593" s="204"/>
      <c r="IYS3593" s="204"/>
      <c r="IYT3593" s="204"/>
      <c r="IYU3593" s="204"/>
      <c r="IYV3593" s="204"/>
      <c r="IYW3593" s="204"/>
      <c r="IYX3593" s="204"/>
      <c r="IYY3593" s="204"/>
      <c r="IYZ3593" s="204"/>
      <c r="IZA3593" s="204"/>
      <c r="IZB3593" s="204"/>
      <c r="IZC3593" s="204"/>
      <c r="IZD3593" s="204"/>
      <c r="IZE3593" s="204"/>
      <c r="IZF3593" s="204"/>
      <c r="IZG3593" s="204"/>
      <c r="IZH3593" s="204"/>
      <c r="IZI3593" s="204"/>
      <c r="IZJ3593" s="204"/>
      <c r="IZK3593" s="204"/>
      <c r="IZL3593" s="204"/>
      <c r="IZM3593" s="204"/>
      <c r="IZN3593" s="204"/>
      <c r="IZO3593" s="204"/>
      <c r="IZP3593" s="204"/>
      <c r="IZQ3593" s="204"/>
      <c r="IZR3593" s="204"/>
      <c r="IZS3593" s="204"/>
      <c r="IZT3593" s="204"/>
      <c r="IZU3593" s="204"/>
      <c r="IZV3593" s="204"/>
      <c r="IZW3593" s="204"/>
      <c r="IZX3593" s="204"/>
      <c r="IZY3593" s="204"/>
      <c r="IZZ3593" s="204"/>
      <c r="JAA3593" s="204"/>
      <c r="JAB3593" s="204"/>
      <c r="JAC3593" s="204"/>
      <c r="JAD3593" s="204"/>
      <c r="JAE3593" s="204"/>
      <c r="JAF3593" s="204"/>
      <c r="JAG3593" s="204"/>
      <c r="JAH3593" s="204"/>
      <c r="JAI3593" s="204"/>
      <c r="JAJ3593" s="204"/>
      <c r="JAK3593" s="204"/>
      <c r="JAL3593" s="204"/>
      <c r="JAM3593" s="204"/>
      <c r="JAN3593" s="204"/>
      <c r="JAO3593" s="204"/>
      <c r="JAP3593" s="204"/>
      <c r="JAQ3593" s="204"/>
      <c r="JAR3593" s="204"/>
      <c r="JAS3593" s="204"/>
      <c r="JAT3593" s="204"/>
      <c r="JAU3593" s="204"/>
      <c r="JAV3593" s="204"/>
      <c r="JAW3593" s="204"/>
      <c r="JAX3593" s="204"/>
      <c r="JAY3593" s="204"/>
      <c r="JAZ3593" s="204"/>
      <c r="JBA3593" s="204"/>
      <c r="JBB3593" s="204"/>
      <c r="JBC3593" s="204"/>
      <c r="JBD3593" s="204"/>
      <c r="JBE3593" s="204"/>
      <c r="JBF3593" s="204"/>
      <c r="JBG3593" s="204"/>
      <c r="JBH3593" s="204"/>
      <c r="JBI3593" s="204"/>
      <c r="JBJ3593" s="204"/>
      <c r="JBK3593" s="204"/>
      <c r="JBL3593" s="204"/>
      <c r="JBM3593" s="204"/>
      <c r="JBN3593" s="204"/>
      <c r="JBO3593" s="204"/>
      <c r="JBP3593" s="204"/>
      <c r="JBQ3593" s="204"/>
      <c r="JBR3593" s="204"/>
      <c r="JBS3593" s="204"/>
      <c r="JBT3593" s="204"/>
      <c r="JBU3593" s="204"/>
      <c r="JBV3593" s="204"/>
      <c r="JBW3593" s="204"/>
      <c r="JBX3593" s="204"/>
      <c r="JBY3593" s="204"/>
      <c r="JBZ3593" s="204"/>
      <c r="JCA3593" s="204"/>
      <c r="JCB3593" s="204"/>
      <c r="JCC3593" s="204"/>
      <c r="JCD3593" s="204"/>
      <c r="JCE3593" s="204"/>
      <c r="JCF3593" s="204"/>
      <c r="JCG3593" s="204"/>
      <c r="JCH3593" s="204"/>
      <c r="JCI3593" s="204"/>
      <c r="JCJ3593" s="204"/>
      <c r="JCK3593" s="204"/>
      <c r="JCL3593" s="204"/>
      <c r="JCM3593" s="204"/>
      <c r="JCN3593" s="204"/>
      <c r="JCO3593" s="204"/>
      <c r="JCP3593" s="204"/>
      <c r="JCQ3593" s="204"/>
      <c r="JCR3593" s="204"/>
      <c r="JCS3593" s="204"/>
      <c r="JCT3593" s="204"/>
      <c r="JCU3593" s="204"/>
      <c r="JCV3593" s="204"/>
      <c r="JCW3593" s="204"/>
      <c r="JCX3593" s="204"/>
      <c r="JCY3593" s="204"/>
      <c r="JCZ3593" s="204"/>
      <c r="JDA3593" s="204"/>
      <c r="JDB3593" s="204"/>
      <c r="JDC3593" s="204"/>
      <c r="JDD3593" s="204"/>
      <c r="JDE3593" s="204"/>
      <c r="JDF3593" s="204"/>
      <c r="JDG3593" s="204"/>
      <c r="JDH3593" s="204"/>
      <c r="JDI3593" s="204"/>
      <c r="JDJ3593" s="204"/>
      <c r="JDK3593" s="204"/>
      <c r="JDL3593" s="204"/>
      <c r="JDM3593" s="204"/>
      <c r="JDN3593" s="204"/>
      <c r="JDO3593" s="204"/>
      <c r="JDP3593" s="204"/>
      <c r="JDQ3593" s="204"/>
      <c r="JDR3593" s="204"/>
      <c r="JDS3593" s="204"/>
      <c r="JDT3593" s="204"/>
      <c r="JDU3593" s="204"/>
      <c r="JDV3593" s="204"/>
      <c r="JDW3593" s="204"/>
      <c r="JDX3593" s="204"/>
      <c r="JDY3593" s="204"/>
      <c r="JDZ3593" s="204"/>
      <c r="JEA3593" s="204"/>
      <c r="JEB3593" s="204"/>
      <c r="JEC3593" s="204"/>
      <c r="JED3593" s="204"/>
      <c r="JEE3593" s="204"/>
      <c r="JEF3593" s="204"/>
      <c r="JEG3593" s="204"/>
      <c r="JEH3593" s="204"/>
      <c r="JEI3593" s="204"/>
      <c r="JEJ3593" s="204"/>
      <c r="JEK3593" s="204"/>
      <c r="JEL3593" s="204"/>
      <c r="JEM3593" s="204"/>
      <c r="JEN3593" s="204"/>
      <c r="JEO3593" s="204"/>
      <c r="JEP3593" s="204"/>
      <c r="JEQ3593" s="204"/>
      <c r="JER3593" s="204"/>
      <c r="JES3593" s="204"/>
      <c r="JET3593" s="204"/>
      <c r="JEU3593" s="204"/>
      <c r="JEV3593" s="204"/>
      <c r="JEW3593" s="204"/>
      <c r="JEX3593" s="204"/>
      <c r="JEY3593" s="204"/>
      <c r="JEZ3593" s="204"/>
      <c r="JFA3593" s="204"/>
      <c r="JFB3593" s="204"/>
      <c r="JFC3593" s="204"/>
      <c r="JFD3593" s="204"/>
      <c r="JFE3593" s="204"/>
      <c r="JFF3593" s="204"/>
      <c r="JFG3593" s="204"/>
      <c r="JFH3593" s="204"/>
      <c r="JFI3593" s="204"/>
      <c r="JFJ3593" s="204"/>
      <c r="JFK3593" s="204"/>
      <c r="JFL3593" s="204"/>
      <c r="JFM3593" s="204"/>
      <c r="JFN3593" s="204"/>
      <c r="JFO3593" s="204"/>
      <c r="JFP3593" s="204"/>
      <c r="JFQ3593" s="204"/>
      <c r="JFR3593" s="204"/>
      <c r="JFS3593" s="204"/>
      <c r="JFT3593" s="204"/>
      <c r="JFU3593" s="204"/>
      <c r="JFV3593" s="204"/>
      <c r="JFW3593" s="204"/>
      <c r="JFX3593" s="204"/>
      <c r="JFY3593" s="204"/>
      <c r="JFZ3593" s="204"/>
      <c r="JGA3593" s="204"/>
      <c r="JGB3593" s="204"/>
      <c r="JGC3593" s="204"/>
      <c r="JGD3593" s="204"/>
      <c r="JGE3593" s="204"/>
      <c r="JGF3593" s="204"/>
      <c r="JGG3593" s="204"/>
      <c r="JGH3593" s="204"/>
      <c r="JGI3593" s="204"/>
      <c r="JGJ3593" s="204"/>
      <c r="JGK3593" s="204"/>
      <c r="JGL3593" s="204"/>
      <c r="JGM3593" s="204"/>
      <c r="JGN3593" s="204"/>
      <c r="JGO3593" s="204"/>
      <c r="JGP3593" s="204"/>
      <c r="JGQ3593" s="204"/>
      <c r="JGR3593" s="204"/>
      <c r="JGS3593" s="204"/>
      <c r="JGT3593" s="204"/>
      <c r="JGU3593" s="204"/>
      <c r="JGV3593" s="204"/>
      <c r="JGW3593" s="204"/>
      <c r="JGX3593" s="204"/>
      <c r="JGY3593" s="204"/>
      <c r="JGZ3593" s="204"/>
      <c r="JHA3593" s="204"/>
      <c r="JHB3593" s="204"/>
      <c r="JHC3593" s="204"/>
      <c r="JHD3593" s="204"/>
      <c r="JHE3593" s="204"/>
      <c r="JHF3593" s="204"/>
      <c r="JHG3593" s="204"/>
      <c r="JHH3593" s="204"/>
      <c r="JHI3593" s="204"/>
      <c r="JHJ3593" s="204"/>
      <c r="JHK3593" s="204"/>
      <c r="JHL3593" s="204"/>
      <c r="JHM3593" s="204"/>
      <c r="JHN3593" s="204"/>
      <c r="JHO3593" s="204"/>
      <c r="JHP3593" s="204"/>
      <c r="JHQ3593" s="204"/>
      <c r="JHR3593" s="204"/>
      <c r="JHS3593" s="204"/>
      <c r="JHT3593" s="204"/>
      <c r="JHU3593" s="204"/>
      <c r="JHV3593" s="204"/>
      <c r="JHW3593" s="204"/>
      <c r="JHX3593" s="204"/>
      <c r="JHY3593" s="204"/>
      <c r="JHZ3593" s="204"/>
      <c r="JIA3593" s="204"/>
      <c r="JIB3593" s="204"/>
      <c r="JIC3593" s="204"/>
      <c r="JID3593" s="204"/>
      <c r="JIE3593" s="204"/>
      <c r="JIF3593" s="204"/>
      <c r="JIG3593" s="204"/>
      <c r="JIH3593" s="204"/>
      <c r="JII3593" s="204"/>
      <c r="JIJ3593" s="204"/>
      <c r="JIK3593" s="204"/>
      <c r="JIL3593" s="204"/>
      <c r="JIM3593" s="204"/>
      <c r="JIN3593" s="204"/>
      <c r="JIO3593" s="204"/>
      <c r="JIP3593" s="204"/>
      <c r="JIQ3593" s="204"/>
      <c r="JIR3593" s="204"/>
      <c r="JIS3593" s="204"/>
      <c r="JIT3593" s="204"/>
      <c r="JIU3593" s="204"/>
      <c r="JIV3593" s="204"/>
      <c r="JIW3593" s="204"/>
      <c r="JIX3593" s="204"/>
      <c r="JIY3593" s="204"/>
      <c r="JIZ3593" s="204"/>
      <c r="JJA3593" s="204"/>
      <c r="JJB3593" s="204"/>
      <c r="JJC3593" s="204"/>
      <c r="JJD3593" s="204"/>
      <c r="JJE3593" s="204"/>
      <c r="JJF3593" s="204"/>
      <c r="JJG3593" s="204"/>
      <c r="JJH3593" s="204"/>
      <c r="JJI3593" s="204"/>
      <c r="JJJ3593" s="204"/>
      <c r="JJK3593" s="204"/>
      <c r="JJL3593" s="204"/>
      <c r="JJM3593" s="204"/>
      <c r="JJN3593" s="204"/>
      <c r="JJO3593" s="204"/>
      <c r="JJP3593" s="204"/>
      <c r="JJQ3593" s="204"/>
      <c r="JJR3593" s="204"/>
      <c r="JJS3593" s="204"/>
      <c r="JJT3593" s="204"/>
      <c r="JJU3593" s="204"/>
      <c r="JJV3593" s="204"/>
      <c r="JJW3593" s="204"/>
      <c r="JJX3593" s="204"/>
      <c r="JJY3593" s="204"/>
      <c r="JJZ3593" s="204"/>
      <c r="JKA3593" s="204"/>
      <c r="JKB3593" s="204"/>
      <c r="JKC3593" s="204"/>
      <c r="JKD3593" s="204"/>
      <c r="JKE3593" s="204"/>
      <c r="JKF3593" s="204"/>
      <c r="JKG3593" s="204"/>
      <c r="JKH3593" s="204"/>
      <c r="JKI3593" s="204"/>
      <c r="JKJ3593" s="204"/>
      <c r="JKK3593" s="204"/>
      <c r="JKL3593" s="204"/>
      <c r="JKM3593" s="204"/>
      <c r="JKN3593" s="204"/>
      <c r="JKO3593" s="204"/>
      <c r="JKP3593" s="204"/>
      <c r="JKQ3593" s="204"/>
      <c r="JKR3593" s="204"/>
      <c r="JKS3593" s="204"/>
      <c r="JKT3593" s="204"/>
      <c r="JKU3593" s="204"/>
      <c r="JKV3593" s="204"/>
      <c r="JKW3593" s="204"/>
      <c r="JKX3593" s="204"/>
      <c r="JKY3593" s="204"/>
      <c r="JKZ3593" s="204"/>
      <c r="JLA3593" s="204"/>
      <c r="JLB3593" s="204"/>
      <c r="JLC3593" s="204"/>
      <c r="JLD3593" s="204"/>
      <c r="JLE3593" s="204"/>
      <c r="JLF3593" s="204"/>
      <c r="JLG3593" s="204"/>
      <c r="JLH3593" s="204"/>
      <c r="JLI3593" s="204"/>
      <c r="JLJ3593" s="204"/>
      <c r="JLK3593" s="204"/>
      <c r="JLL3593" s="204"/>
      <c r="JLM3593" s="204"/>
      <c r="JLN3593" s="204"/>
      <c r="JLO3593" s="204"/>
      <c r="JLP3593" s="204"/>
      <c r="JLQ3593" s="204"/>
      <c r="JLR3593" s="204"/>
      <c r="JLS3593" s="204"/>
      <c r="JLT3593" s="204"/>
      <c r="JLU3593" s="204"/>
      <c r="JLV3593" s="204"/>
      <c r="JLW3593" s="204"/>
      <c r="JLX3593" s="204"/>
      <c r="JLY3593" s="204"/>
      <c r="JLZ3593" s="204"/>
      <c r="JMA3593" s="204"/>
      <c r="JMB3593" s="204"/>
      <c r="JMC3593" s="204"/>
      <c r="JMD3593" s="204"/>
      <c r="JME3593" s="204"/>
      <c r="JMF3593" s="204"/>
      <c r="JMG3593" s="204"/>
      <c r="JMH3593" s="204"/>
      <c r="JMI3593" s="204"/>
      <c r="JMJ3593" s="204"/>
      <c r="JMK3593" s="204"/>
      <c r="JML3593" s="204"/>
      <c r="JMM3593" s="204"/>
      <c r="JMN3593" s="204"/>
      <c r="JMO3593" s="204"/>
      <c r="JMP3593" s="204"/>
      <c r="JMQ3593" s="204"/>
      <c r="JMR3593" s="204"/>
      <c r="JMS3593" s="204"/>
      <c r="JMT3593" s="204"/>
      <c r="JMU3593" s="204"/>
      <c r="JMV3593" s="204"/>
      <c r="JMW3593" s="204"/>
      <c r="JMX3593" s="204"/>
      <c r="JMY3593" s="204"/>
      <c r="JMZ3593" s="204"/>
      <c r="JNA3593" s="204"/>
      <c r="JNB3593" s="204"/>
      <c r="JNC3593" s="204"/>
      <c r="JND3593" s="204"/>
      <c r="JNE3593" s="204"/>
      <c r="JNF3593" s="204"/>
      <c r="JNG3593" s="204"/>
      <c r="JNH3593" s="204"/>
      <c r="JNI3593" s="204"/>
      <c r="JNJ3593" s="204"/>
      <c r="JNK3593" s="204"/>
      <c r="JNL3593" s="204"/>
      <c r="JNM3593" s="204"/>
      <c r="JNN3593" s="204"/>
      <c r="JNO3593" s="204"/>
      <c r="JNP3593" s="204"/>
      <c r="JNQ3593" s="204"/>
      <c r="JNR3593" s="204"/>
      <c r="JNS3593" s="204"/>
      <c r="JNT3593" s="204"/>
      <c r="JNU3593" s="204"/>
      <c r="JNV3593" s="204"/>
      <c r="JNW3593" s="204"/>
      <c r="JNX3593" s="204"/>
      <c r="JNY3593" s="204"/>
      <c r="JNZ3593" s="204"/>
      <c r="JOA3593" s="204"/>
      <c r="JOB3593" s="204"/>
      <c r="JOC3593" s="204"/>
      <c r="JOD3593" s="204"/>
      <c r="JOE3593" s="204"/>
      <c r="JOF3593" s="204"/>
      <c r="JOG3593" s="204"/>
      <c r="JOH3593" s="204"/>
      <c r="JOI3593" s="204"/>
      <c r="JOJ3593" s="204"/>
      <c r="JOK3593" s="204"/>
      <c r="JOL3593" s="204"/>
      <c r="JOM3593" s="204"/>
      <c r="JON3593" s="204"/>
      <c r="JOO3593" s="204"/>
      <c r="JOP3593" s="204"/>
      <c r="JOQ3593" s="204"/>
      <c r="JOR3593" s="204"/>
      <c r="JOS3593" s="204"/>
      <c r="JOT3593" s="204"/>
      <c r="JOU3593" s="204"/>
      <c r="JOV3593" s="204"/>
      <c r="JOW3593" s="204"/>
      <c r="JOX3593" s="204"/>
      <c r="JOY3593" s="204"/>
      <c r="JOZ3593" s="204"/>
      <c r="JPA3593" s="204"/>
      <c r="JPB3593" s="204"/>
      <c r="JPC3593" s="204"/>
      <c r="JPD3593" s="204"/>
      <c r="JPE3593" s="204"/>
      <c r="JPF3593" s="204"/>
      <c r="JPG3593" s="204"/>
      <c r="JPH3593" s="204"/>
      <c r="JPI3593" s="204"/>
      <c r="JPJ3593" s="204"/>
      <c r="JPK3593" s="204"/>
      <c r="JPL3593" s="204"/>
      <c r="JPM3593" s="204"/>
      <c r="JPN3593" s="204"/>
      <c r="JPO3593" s="204"/>
      <c r="JPP3593" s="204"/>
      <c r="JPQ3593" s="204"/>
      <c r="JPR3593" s="204"/>
      <c r="JPS3593" s="204"/>
      <c r="JPT3593" s="204"/>
      <c r="JPU3593" s="204"/>
      <c r="JPV3593" s="204"/>
      <c r="JPW3593" s="204"/>
      <c r="JPX3593" s="204"/>
      <c r="JPY3593" s="204"/>
      <c r="JPZ3593" s="204"/>
      <c r="JQA3593" s="204"/>
      <c r="JQB3593" s="204"/>
      <c r="JQC3593" s="204"/>
      <c r="JQD3593" s="204"/>
      <c r="JQE3593" s="204"/>
      <c r="JQF3593" s="204"/>
      <c r="JQG3593" s="204"/>
      <c r="JQH3593" s="204"/>
      <c r="JQI3593" s="204"/>
      <c r="JQJ3593" s="204"/>
      <c r="JQK3593" s="204"/>
      <c r="JQL3593" s="204"/>
      <c r="JQM3593" s="204"/>
      <c r="JQN3593" s="204"/>
      <c r="JQO3593" s="204"/>
      <c r="JQP3593" s="204"/>
      <c r="JQQ3593" s="204"/>
      <c r="JQR3593" s="204"/>
      <c r="JQS3593" s="204"/>
      <c r="JQT3593" s="204"/>
      <c r="JQU3593" s="204"/>
      <c r="JQV3593" s="204"/>
      <c r="JQW3593" s="204"/>
      <c r="JQX3593" s="204"/>
      <c r="JQY3593" s="204"/>
      <c r="JQZ3593" s="204"/>
      <c r="JRA3593" s="204"/>
      <c r="JRB3593" s="204"/>
      <c r="JRC3593" s="204"/>
      <c r="JRD3593" s="204"/>
      <c r="JRE3593" s="204"/>
      <c r="JRF3593" s="204"/>
      <c r="JRG3593" s="204"/>
      <c r="JRH3593" s="204"/>
      <c r="JRI3593" s="204"/>
      <c r="JRJ3593" s="204"/>
      <c r="JRK3593" s="204"/>
      <c r="JRL3593" s="204"/>
      <c r="JRM3593" s="204"/>
      <c r="JRN3593" s="204"/>
      <c r="JRO3593" s="204"/>
      <c r="JRP3593" s="204"/>
      <c r="JRQ3593" s="204"/>
      <c r="JRR3593" s="204"/>
      <c r="JRS3593" s="204"/>
      <c r="JRT3593" s="204"/>
      <c r="JRU3593" s="204"/>
      <c r="JRV3593" s="204"/>
      <c r="JRW3593" s="204"/>
      <c r="JRX3593" s="204"/>
      <c r="JRY3593" s="204"/>
      <c r="JRZ3593" s="204"/>
      <c r="JSA3593" s="204"/>
      <c r="JSB3593" s="204"/>
      <c r="JSC3593" s="204"/>
      <c r="JSD3593" s="204"/>
      <c r="JSE3593" s="204"/>
      <c r="JSF3593" s="204"/>
      <c r="JSG3593" s="204"/>
      <c r="JSH3593" s="204"/>
      <c r="JSI3593" s="204"/>
      <c r="JSJ3593" s="204"/>
      <c r="JSK3593" s="204"/>
      <c r="JSL3593" s="204"/>
      <c r="JSM3593" s="204"/>
      <c r="JSN3593" s="204"/>
      <c r="JSO3593" s="204"/>
      <c r="JSP3593" s="204"/>
      <c r="JSQ3593" s="204"/>
      <c r="JSR3593" s="204"/>
      <c r="JSS3593" s="204"/>
      <c r="JST3593" s="204"/>
      <c r="JSU3593" s="204"/>
      <c r="JSV3593" s="204"/>
      <c r="JSW3593" s="204"/>
      <c r="JSX3593" s="204"/>
      <c r="JSY3593" s="204"/>
      <c r="JSZ3593" s="204"/>
      <c r="JTA3593" s="204"/>
      <c r="JTB3593" s="204"/>
      <c r="JTC3593" s="204"/>
      <c r="JTD3593" s="204"/>
      <c r="JTE3593" s="204"/>
      <c r="JTF3593" s="204"/>
      <c r="JTG3593" s="204"/>
      <c r="JTH3593" s="204"/>
      <c r="JTI3593" s="204"/>
      <c r="JTJ3593" s="204"/>
      <c r="JTK3593" s="204"/>
      <c r="JTL3593" s="204"/>
      <c r="JTM3593" s="204"/>
      <c r="JTN3593" s="204"/>
      <c r="JTO3593" s="204"/>
      <c r="JTP3593" s="204"/>
      <c r="JTQ3593" s="204"/>
      <c r="JTR3593" s="204"/>
      <c r="JTS3593" s="204"/>
      <c r="JTT3593" s="204"/>
      <c r="JTU3593" s="204"/>
      <c r="JTV3593" s="204"/>
      <c r="JTW3593" s="204"/>
      <c r="JTX3593" s="204"/>
      <c r="JTY3593" s="204"/>
      <c r="JTZ3593" s="204"/>
      <c r="JUA3593" s="204"/>
      <c r="JUB3593" s="204"/>
      <c r="JUC3593" s="204"/>
      <c r="JUD3593" s="204"/>
      <c r="JUE3593" s="204"/>
      <c r="JUF3593" s="204"/>
      <c r="JUG3593" s="204"/>
      <c r="JUH3593" s="204"/>
      <c r="JUI3593" s="204"/>
      <c r="JUJ3593" s="204"/>
      <c r="JUK3593" s="204"/>
      <c r="JUL3593" s="204"/>
      <c r="JUM3593" s="204"/>
      <c r="JUN3593" s="204"/>
      <c r="JUO3593" s="204"/>
      <c r="JUP3593" s="204"/>
      <c r="JUQ3593" s="204"/>
      <c r="JUR3593" s="204"/>
      <c r="JUS3593" s="204"/>
      <c r="JUT3593" s="204"/>
      <c r="JUU3593" s="204"/>
      <c r="JUV3593" s="204"/>
      <c r="JUW3593" s="204"/>
      <c r="JUX3593" s="204"/>
      <c r="JUY3593" s="204"/>
      <c r="JUZ3593" s="204"/>
      <c r="JVA3593" s="204"/>
      <c r="JVB3593" s="204"/>
      <c r="JVC3593" s="204"/>
      <c r="JVD3593" s="204"/>
      <c r="JVE3593" s="204"/>
      <c r="JVF3593" s="204"/>
      <c r="JVG3593" s="204"/>
      <c r="JVH3593" s="204"/>
      <c r="JVI3593" s="204"/>
      <c r="JVJ3593" s="204"/>
      <c r="JVK3593" s="204"/>
      <c r="JVL3593" s="204"/>
      <c r="JVM3593" s="204"/>
      <c r="JVN3593" s="204"/>
      <c r="JVO3593" s="204"/>
      <c r="JVP3593" s="204"/>
      <c r="JVQ3593" s="204"/>
      <c r="JVR3593" s="204"/>
      <c r="JVS3593" s="204"/>
      <c r="JVT3593" s="204"/>
      <c r="JVU3593" s="204"/>
      <c r="JVV3593" s="204"/>
      <c r="JVW3593" s="204"/>
      <c r="JVX3593" s="204"/>
      <c r="JVY3593" s="204"/>
      <c r="JVZ3593" s="204"/>
      <c r="JWA3593" s="204"/>
      <c r="JWB3593" s="204"/>
      <c r="JWC3593" s="204"/>
      <c r="JWD3593" s="204"/>
      <c r="JWE3593" s="204"/>
      <c r="JWF3593" s="204"/>
      <c r="JWG3593" s="204"/>
      <c r="JWH3593" s="204"/>
      <c r="JWI3593" s="204"/>
      <c r="JWJ3593" s="204"/>
      <c r="JWK3593" s="204"/>
      <c r="JWL3593" s="204"/>
      <c r="JWM3593" s="204"/>
      <c r="JWN3593" s="204"/>
      <c r="JWO3593" s="204"/>
      <c r="JWP3593" s="204"/>
      <c r="JWQ3593" s="204"/>
      <c r="JWR3593" s="204"/>
      <c r="JWS3593" s="204"/>
      <c r="JWT3593" s="204"/>
      <c r="JWU3593" s="204"/>
      <c r="JWV3593" s="204"/>
      <c r="JWW3593" s="204"/>
      <c r="JWX3593" s="204"/>
      <c r="JWY3593" s="204"/>
      <c r="JWZ3593" s="204"/>
      <c r="JXA3593" s="204"/>
      <c r="JXB3593" s="204"/>
      <c r="JXC3593" s="204"/>
      <c r="JXD3593" s="204"/>
      <c r="JXE3593" s="204"/>
      <c r="JXF3593" s="204"/>
      <c r="JXG3593" s="204"/>
      <c r="JXH3593" s="204"/>
      <c r="JXI3593" s="204"/>
      <c r="JXJ3593" s="204"/>
      <c r="JXK3593" s="204"/>
      <c r="JXL3593" s="204"/>
      <c r="JXM3593" s="204"/>
      <c r="JXN3593" s="204"/>
      <c r="JXO3593" s="204"/>
      <c r="JXP3593" s="204"/>
      <c r="JXQ3593" s="204"/>
      <c r="JXR3593" s="204"/>
      <c r="JXS3593" s="204"/>
      <c r="JXT3593" s="204"/>
      <c r="JXU3593" s="204"/>
      <c r="JXV3593" s="204"/>
      <c r="JXW3593" s="204"/>
      <c r="JXX3593" s="204"/>
      <c r="JXY3593" s="204"/>
      <c r="JXZ3593" s="204"/>
      <c r="JYA3593" s="204"/>
      <c r="JYB3593" s="204"/>
      <c r="JYC3593" s="204"/>
      <c r="JYD3593" s="204"/>
      <c r="JYE3593" s="204"/>
      <c r="JYF3593" s="204"/>
      <c r="JYG3593" s="204"/>
      <c r="JYH3593" s="204"/>
      <c r="JYI3593" s="204"/>
      <c r="JYJ3593" s="204"/>
      <c r="JYK3593" s="204"/>
      <c r="JYL3593" s="204"/>
      <c r="JYM3593" s="204"/>
      <c r="JYN3593" s="204"/>
      <c r="JYO3593" s="204"/>
      <c r="JYP3593" s="204"/>
      <c r="JYQ3593" s="204"/>
      <c r="JYR3593" s="204"/>
      <c r="JYS3593" s="204"/>
      <c r="JYT3593" s="204"/>
      <c r="JYU3593" s="204"/>
      <c r="JYV3593" s="204"/>
      <c r="JYW3593" s="204"/>
      <c r="JYX3593" s="204"/>
      <c r="JYY3593" s="204"/>
      <c r="JYZ3593" s="204"/>
      <c r="JZA3593" s="204"/>
      <c r="JZB3593" s="204"/>
      <c r="JZC3593" s="204"/>
      <c r="JZD3593" s="204"/>
      <c r="JZE3593" s="204"/>
      <c r="JZF3593" s="204"/>
      <c r="JZG3593" s="204"/>
      <c r="JZH3593" s="204"/>
      <c r="JZI3593" s="204"/>
      <c r="JZJ3593" s="204"/>
      <c r="JZK3593" s="204"/>
      <c r="JZL3593" s="204"/>
      <c r="JZM3593" s="204"/>
      <c r="JZN3593" s="204"/>
      <c r="JZO3593" s="204"/>
      <c r="JZP3593" s="204"/>
      <c r="JZQ3593" s="204"/>
      <c r="JZR3593" s="204"/>
      <c r="JZS3593" s="204"/>
      <c r="JZT3593" s="204"/>
      <c r="JZU3593" s="204"/>
      <c r="JZV3593" s="204"/>
      <c r="JZW3593" s="204"/>
      <c r="JZX3593" s="204"/>
      <c r="JZY3593" s="204"/>
      <c r="JZZ3593" s="204"/>
      <c r="KAA3593" s="204"/>
      <c r="KAB3593" s="204"/>
      <c r="KAC3593" s="204"/>
      <c r="KAD3593" s="204"/>
      <c r="KAE3593" s="204"/>
      <c r="KAF3593" s="204"/>
      <c r="KAG3593" s="204"/>
      <c r="KAH3593" s="204"/>
      <c r="KAI3593" s="204"/>
      <c r="KAJ3593" s="204"/>
      <c r="KAK3593" s="204"/>
      <c r="KAL3593" s="204"/>
      <c r="KAM3593" s="204"/>
      <c r="KAN3593" s="204"/>
      <c r="KAO3593" s="204"/>
      <c r="KAP3593" s="204"/>
      <c r="KAQ3593" s="204"/>
      <c r="KAR3593" s="204"/>
      <c r="KAS3593" s="204"/>
      <c r="KAT3593" s="204"/>
      <c r="KAU3593" s="204"/>
      <c r="KAV3593" s="204"/>
      <c r="KAW3593" s="204"/>
      <c r="KAX3593" s="204"/>
      <c r="KAY3593" s="204"/>
      <c r="KAZ3593" s="204"/>
      <c r="KBA3593" s="204"/>
      <c r="KBB3593" s="204"/>
      <c r="KBC3593" s="204"/>
      <c r="KBD3593" s="204"/>
      <c r="KBE3593" s="204"/>
      <c r="KBF3593" s="204"/>
      <c r="KBG3593" s="204"/>
      <c r="KBH3593" s="204"/>
      <c r="KBI3593" s="204"/>
      <c r="KBJ3593" s="204"/>
      <c r="KBK3593" s="204"/>
      <c r="KBL3593" s="204"/>
      <c r="KBM3593" s="204"/>
      <c r="KBN3593" s="204"/>
      <c r="KBO3593" s="204"/>
      <c r="KBP3593" s="204"/>
      <c r="KBQ3593" s="204"/>
      <c r="KBR3593" s="204"/>
      <c r="KBS3593" s="204"/>
      <c r="KBT3593" s="204"/>
      <c r="KBU3593" s="204"/>
      <c r="KBV3593" s="204"/>
      <c r="KBW3593" s="204"/>
      <c r="KBX3593" s="204"/>
      <c r="KBY3593" s="204"/>
      <c r="KBZ3593" s="204"/>
      <c r="KCA3593" s="204"/>
      <c r="KCB3593" s="204"/>
      <c r="KCC3593" s="204"/>
      <c r="KCD3593" s="204"/>
      <c r="KCE3593" s="204"/>
      <c r="KCF3593" s="204"/>
      <c r="KCG3593" s="204"/>
      <c r="KCH3593" s="204"/>
      <c r="KCI3593" s="204"/>
      <c r="KCJ3593" s="204"/>
      <c r="KCK3593" s="204"/>
      <c r="KCL3593" s="204"/>
      <c r="KCM3593" s="204"/>
      <c r="KCN3593" s="204"/>
      <c r="KCO3593" s="204"/>
      <c r="KCP3593" s="204"/>
      <c r="KCQ3593" s="204"/>
      <c r="KCR3593" s="204"/>
      <c r="KCS3593" s="204"/>
      <c r="KCT3593" s="204"/>
      <c r="KCU3593" s="204"/>
      <c r="KCV3593" s="204"/>
      <c r="KCW3593" s="204"/>
      <c r="KCX3593" s="204"/>
      <c r="KCY3593" s="204"/>
      <c r="KCZ3593" s="204"/>
      <c r="KDA3593" s="204"/>
      <c r="KDB3593" s="204"/>
      <c r="KDC3593" s="204"/>
      <c r="KDD3593" s="204"/>
      <c r="KDE3593" s="204"/>
      <c r="KDF3593" s="204"/>
      <c r="KDG3593" s="204"/>
      <c r="KDH3593" s="204"/>
      <c r="KDI3593" s="204"/>
      <c r="KDJ3593" s="204"/>
      <c r="KDK3593" s="204"/>
      <c r="KDL3593" s="204"/>
      <c r="KDM3593" s="204"/>
      <c r="KDN3593" s="204"/>
      <c r="KDO3593" s="204"/>
      <c r="KDP3593" s="204"/>
      <c r="KDQ3593" s="204"/>
      <c r="KDR3593" s="204"/>
      <c r="KDS3593" s="204"/>
      <c r="KDT3593" s="204"/>
      <c r="KDU3593" s="204"/>
      <c r="KDV3593" s="204"/>
      <c r="KDW3593" s="204"/>
      <c r="KDX3593" s="204"/>
      <c r="KDY3593" s="204"/>
      <c r="KDZ3593" s="204"/>
      <c r="KEA3593" s="204"/>
      <c r="KEB3593" s="204"/>
      <c r="KEC3593" s="204"/>
      <c r="KED3593" s="204"/>
      <c r="KEE3593" s="204"/>
      <c r="KEF3593" s="204"/>
      <c r="KEG3593" s="204"/>
      <c r="KEH3593" s="204"/>
      <c r="KEI3593" s="204"/>
      <c r="KEJ3593" s="204"/>
      <c r="KEK3593" s="204"/>
      <c r="KEL3593" s="204"/>
      <c r="KEM3593" s="204"/>
      <c r="KEN3593" s="204"/>
      <c r="KEO3593" s="204"/>
      <c r="KEP3593" s="204"/>
      <c r="KEQ3593" s="204"/>
      <c r="KER3593" s="204"/>
      <c r="KES3593" s="204"/>
      <c r="KET3593" s="204"/>
      <c r="KEU3593" s="204"/>
      <c r="KEV3593" s="204"/>
      <c r="KEW3593" s="204"/>
      <c r="KEX3593" s="204"/>
      <c r="KEY3593" s="204"/>
      <c r="KEZ3593" s="204"/>
      <c r="KFA3593" s="204"/>
      <c r="KFB3593" s="204"/>
      <c r="KFC3593" s="204"/>
      <c r="KFD3593" s="204"/>
      <c r="KFE3593" s="204"/>
      <c r="KFF3593" s="204"/>
      <c r="KFG3593" s="204"/>
      <c r="KFH3593" s="204"/>
      <c r="KFI3593" s="204"/>
      <c r="KFJ3593" s="204"/>
      <c r="KFK3593" s="204"/>
      <c r="KFL3593" s="204"/>
      <c r="KFM3593" s="204"/>
      <c r="KFN3593" s="204"/>
      <c r="KFO3593" s="204"/>
      <c r="KFP3593" s="204"/>
      <c r="KFQ3593" s="204"/>
      <c r="KFR3593" s="204"/>
      <c r="KFS3593" s="204"/>
      <c r="KFT3593" s="204"/>
      <c r="KFU3593" s="204"/>
      <c r="KFV3593" s="204"/>
      <c r="KFW3593" s="204"/>
      <c r="KFX3593" s="204"/>
      <c r="KFY3593" s="204"/>
      <c r="KFZ3593" s="204"/>
      <c r="KGA3593" s="204"/>
      <c r="KGB3593" s="204"/>
      <c r="KGC3593" s="204"/>
      <c r="KGD3593" s="204"/>
      <c r="KGE3593" s="204"/>
      <c r="KGF3593" s="204"/>
      <c r="KGG3593" s="204"/>
      <c r="KGH3593" s="204"/>
      <c r="KGI3593" s="204"/>
      <c r="KGJ3593" s="204"/>
      <c r="KGK3593" s="204"/>
      <c r="KGL3593" s="204"/>
      <c r="KGM3593" s="204"/>
      <c r="KGN3593" s="204"/>
      <c r="KGO3593" s="204"/>
      <c r="KGP3593" s="204"/>
      <c r="KGQ3593" s="204"/>
      <c r="KGR3593" s="204"/>
      <c r="KGS3593" s="204"/>
      <c r="KGT3593" s="204"/>
      <c r="KGU3593" s="204"/>
      <c r="KGV3593" s="204"/>
      <c r="KGW3593" s="204"/>
      <c r="KGX3593" s="204"/>
      <c r="KGY3593" s="204"/>
      <c r="KGZ3593" s="204"/>
      <c r="KHA3593" s="204"/>
      <c r="KHB3593" s="204"/>
      <c r="KHC3593" s="204"/>
      <c r="KHD3593" s="204"/>
      <c r="KHE3593" s="204"/>
      <c r="KHF3593" s="204"/>
      <c r="KHG3593" s="204"/>
      <c r="KHH3593" s="204"/>
      <c r="KHI3593" s="204"/>
      <c r="KHJ3593" s="204"/>
      <c r="KHK3593" s="204"/>
      <c r="KHL3593" s="204"/>
      <c r="KHM3593" s="204"/>
      <c r="KHN3593" s="204"/>
      <c r="KHO3593" s="204"/>
      <c r="KHP3593" s="204"/>
      <c r="KHQ3593" s="204"/>
      <c r="KHR3593" s="204"/>
      <c r="KHS3593" s="204"/>
      <c r="KHT3593" s="204"/>
      <c r="KHU3593" s="204"/>
      <c r="KHV3593" s="204"/>
      <c r="KHW3593" s="204"/>
      <c r="KHX3593" s="204"/>
      <c r="KHY3593" s="204"/>
      <c r="KHZ3593" s="204"/>
      <c r="KIA3593" s="204"/>
      <c r="KIB3593" s="204"/>
      <c r="KIC3593" s="204"/>
      <c r="KID3593" s="204"/>
      <c r="KIE3593" s="204"/>
      <c r="KIF3593" s="204"/>
      <c r="KIG3593" s="204"/>
      <c r="KIH3593" s="204"/>
      <c r="KII3593" s="204"/>
      <c r="KIJ3593" s="204"/>
      <c r="KIK3593" s="204"/>
      <c r="KIL3593" s="204"/>
      <c r="KIM3593" s="204"/>
      <c r="KIN3593" s="204"/>
      <c r="KIO3593" s="204"/>
      <c r="KIP3593" s="204"/>
      <c r="KIQ3593" s="204"/>
      <c r="KIR3593" s="204"/>
      <c r="KIS3593" s="204"/>
      <c r="KIT3593" s="204"/>
      <c r="KIU3593" s="204"/>
      <c r="KIV3593" s="204"/>
      <c r="KIW3593" s="204"/>
      <c r="KIX3593" s="204"/>
      <c r="KIY3593" s="204"/>
      <c r="KIZ3593" s="204"/>
      <c r="KJA3593" s="204"/>
      <c r="KJB3593" s="204"/>
      <c r="KJC3593" s="204"/>
      <c r="KJD3593" s="204"/>
      <c r="KJE3593" s="204"/>
      <c r="KJF3593" s="204"/>
      <c r="KJG3593" s="204"/>
      <c r="KJH3593" s="204"/>
      <c r="KJI3593" s="204"/>
      <c r="KJJ3593" s="204"/>
      <c r="KJK3593" s="204"/>
      <c r="KJL3593" s="204"/>
      <c r="KJM3593" s="204"/>
      <c r="KJN3593" s="204"/>
      <c r="KJO3593" s="204"/>
      <c r="KJP3593" s="204"/>
      <c r="KJQ3593" s="204"/>
      <c r="KJR3593" s="204"/>
      <c r="KJS3593" s="204"/>
      <c r="KJT3593" s="204"/>
      <c r="KJU3593" s="204"/>
      <c r="KJV3593" s="204"/>
      <c r="KJW3593" s="204"/>
      <c r="KJX3593" s="204"/>
      <c r="KJY3593" s="204"/>
      <c r="KJZ3593" s="204"/>
      <c r="KKA3593" s="204"/>
      <c r="KKB3593" s="204"/>
      <c r="KKC3593" s="204"/>
      <c r="KKD3593" s="204"/>
      <c r="KKE3593" s="204"/>
      <c r="KKF3593" s="204"/>
      <c r="KKG3593" s="204"/>
      <c r="KKH3593" s="204"/>
      <c r="KKI3593" s="204"/>
      <c r="KKJ3593" s="204"/>
      <c r="KKK3593" s="204"/>
      <c r="KKL3593" s="204"/>
      <c r="KKM3593" s="204"/>
      <c r="KKN3593" s="204"/>
      <c r="KKO3593" s="204"/>
      <c r="KKP3593" s="204"/>
      <c r="KKQ3593" s="204"/>
      <c r="KKR3593" s="204"/>
      <c r="KKS3593" s="204"/>
      <c r="KKT3593" s="204"/>
      <c r="KKU3593" s="204"/>
      <c r="KKV3593" s="204"/>
      <c r="KKW3593" s="204"/>
      <c r="KKX3593" s="204"/>
      <c r="KKY3593" s="204"/>
      <c r="KKZ3593" s="204"/>
      <c r="KLA3593" s="204"/>
      <c r="KLB3593" s="204"/>
      <c r="KLC3593" s="204"/>
      <c r="KLD3593" s="204"/>
      <c r="KLE3593" s="204"/>
      <c r="KLF3593" s="204"/>
      <c r="KLG3593" s="204"/>
      <c r="KLH3593" s="204"/>
      <c r="KLI3593" s="204"/>
      <c r="KLJ3593" s="204"/>
      <c r="KLK3593" s="204"/>
      <c r="KLL3593" s="204"/>
      <c r="KLM3593" s="204"/>
      <c r="KLN3593" s="204"/>
      <c r="KLO3593" s="204"/>
      <c r="KLP3593" s="204"/>
      <c r="KLQ3593" s="204"/>
      <c r="KLR3593" s="204"/>
      <c r="KLS3593" s="204"/>
      <c r="KLT3593" s="204"/>
      <c r="KLU3593" s="204"/>
      <c r="KLV3593" s="204"/>
      <c r="KLW3593" s="204"/>
      <c r="KLX3593" s="204"/>
      <c r="KLY3593" s="204"/>
      <c r="KLZ3593" s="204"/>
      <c r="KMA3593" s="204"/>
      <c r="KMB3593" s="204"/>
      <c r="KMC3593" s="204"/>
      <c r="KMD3593" s="204"/>
      <c r="KME3593" s="204"/>
      <c r="KMF3593" s="204"/>
      <c r="KMG3593" s="204"/>
      <c r="KMH3593" s="204"/>
      <c r="KMI3593" s="204"/>
      <c r="KMJ3593" s="204"/>
      <c r="KMK3593" s="204"/>
      <c r="KML3593" s="204"/>
      <c r="KMM3593" s="204"/>
      <c r="KMN3593" s="204"/>
      <c r="KMO3593" s="204"/>
      <c r="KMP3593" s="204"/>
      <c r="KMQ3593" s="204"/>
      <c r="KMR3593" s="204"/>
      <c r="KMS3593" s="204"/>
      <c r="KMT3593" s="204"/>
      <c r="KMU3593" s="204"/>
      <c r="KMV3593" s="204"/>
      <c r="KMW3593" s="204"/>
      <c r="KMX3593" s="204"/>
      <c r="KMY3593" s="204"/>
      <c r="KMZ3593" s="204"/>
      <c r="KNA3593" s="204"/>
      <c r="KNB3593" s="204"/>
      <c r="KNC3593" s="204"/>
      <c r="KND3593" s="204"/>
      <c r="KNE3593" s="204"/>
      <c r="KNF3593" s="204"/>
      <c r="KNG3593" s="204"/>
      <c r="KNH3593" s="204"/>
      <c r="KNI3593" s="204"/>
      <c r="KNJ3593" s="204"/>
      <c r="KNK3593" s="204"/>
      <c r="KNL3593" s="204"/>
      <c r="KNM3593" s="204"/>
      <c r="KNN3593" s="204"/>
      <c r="KNO3593" s="204"/>
      <c r="KNP3593" s="204"/>
      <c r="KNQ3593" s="204"/>
      <c r="KNR3593" s="204"/>
      <c r="KNS3593" s="204"/>
      <c r="KNT3593" s="204"/>
      <c r="KNU3593" s="204"/>
      <c r="KNV3593" s="204"/>
      <c r="KNW3593" s="204"/>
      <c r="KNX3593" s="204"/>
      <c r="KNY3593" s="204"/>
      <c r="KNZ3593" s="204"/>
      <c r="KOA3593" s="204"/>
      <c r="KOB3593" s="204"/>
      <c r="KOC3593" s="204"/>
      <c r="KOD3593" s="204"/>
      <c r="KOE3593" s="204"/>
      <c r="KOF3593" s="204"/>
      <c r="KOG3593" s="204"/>
      <c r="KOH3593" s="204"/>
      <c r="KOI3593" s="204"/>
      <c r="KOJ3593" s="204"/>
      <c r="KOK3593" s="204"/>
      <c r="KOL3593" s="204"/>
      <c r="KOM3593" s="204"/>
      <c r="KON3593" s="204"/>
      <c r="KOO3593" s="204"/>
      <c r="KOP3593" s="204"/>
      <c r="KOQ3593" s="204"/>
      <c r="KOR3593" s="204"/>
      <c r="KOS3593" s="204"/>
      <c r="KOT3593" s="204"/>
      <c r="KOU3593" s="204"/>
      <c r="KOV3593" s="204"/>
      <c r="KOW3593" s="204"/>
      <c r="KOX3593" s="204"/>
      <c r="KOY3593" s="204"/>
      <c r="KOZ3593" s="204"/>
      <c r="KPA3593" s="204"/>
      <c r="KPB3593" s="204"/>
      <c r="KPC3593" s="204"/>
      <c r="KPD3593" s="204"/>
      <c r="KPE3593" s="204"/>
      <c r="KPF3593" s="204"/>
      <c r="KPG3593" s="204"/>
      <c r="KPH3593" s="204"/>
      <c r="KPI3593" s="204"/>
      <c r="KPJ3593" s="204"/>
      <c r="KPK3593" s="204"/>
      <c r="KPL3593" s="204"/>
      <c r="KPM3593" s="204"/>
      <c r="KPN3593" s="204"/>
      <c r="KPO3593" s="204"/>
      <c r="KPP3593" s="204"/>
      <c r="KPQ3593" s="204"/>
      <c r="KPR3593" s="204"/>
      <c r="KPS3593" s="204"/>
      <c r="KPT3593" s="204"/>
      <c r="KPU3593" s="204"/>
      <c r="KPV3593" s="204"/>
      <c r="KPW3593" s="204"/>
      <c r="KPX3593" s="204"/>
      <c r="KPY3593" s="204"/>
      <c r="KPZ3593" s="204"/>
      <c r="KQA3593" s="204"/>
      <c r="KQB3593" s="204"/>
      <c r="KQC3593" s="204"/>
      <c r="KQD3593" s="204"/>
      <c r="KQE3593" s="204"/>
      <c r="KQF3593" s="204"/>
      <c r="KQG3593" s="204"/>
      <c r="KQH3593" s="204"/>
      <c r="KQI3593" s="204"/>
      <c r="KQJ3593" s="204"/>
      <c r="KQK3593" s="204"/>
      <c r="KQL3593" s="204"/>
      <c r="KQM3593" s="204"/>
      <c r="KQN3593" s="204"/>
      <c r="KQO3593" s="204"/>
      <c r="KQP3593" s="204"/>
      <c r="KQQ3593" s="204"/>
      <c r="KQR3593" s="204"/>
      <c r="KQS3593" s="204"/>
      <c r="KQT3593" s="204"/>
      <c r="KQU3593" s="204"/>
      <c r="KQV3593" s="204"/>
      <c r="KQW3593" s="204"/>
      <c r="KQX3593" s="204"/>
      <c r="KQY3593" s="204"/>
      <c r="KQZ3593" s="204"/>
      <c r="KRA3593" s="204"/>
      <c r="KRB3593" s="204"/>
      <c r="KRC3593" s="204"/>
      <c r="KRD3593" s="204"/>
      <c r="KRE3593" s="204"/>
      <c r="KRF3593" s="204"/>
      <c r="KRG3593" s="204"/>
      <c r="KRH3593" s="204"/>
      <c r="KRI3593" s="204"/>
      <c r="KRJ3593" s="204"/>
      <c r="KRK3593" s="204"/>
      <c r="KRL3593" s="204"/>
      <c r="KRM3593" s="204"/>
      <c r="KRN3593" s="204"/>
      <c r="KRO3593" s="204"/>
      <c r="KRP3593" s="204"/>
      <c r="KRQ3593" s="204"/>
      <c r="KRR3593" s="204"/>
      <c r="KRS3593" s="204"/>
      <c r="KRT3593" s="204"/>
      <c r="KRU3593" s="204"/>
      <c r="KRV3593" s="204"/>
      <c r="KRW3593" s="204"/>
      <c r="KRX3593" s="204"/>
      <c r="KRY3593" s="204"/>
      <c r="KRZ3593" s="204"/>
      <c r="KSA3593" s="204"/>
      <c r="KSB3593" s="204"/>
      <c r="KSC3593" s="204"/>
      <c r="KSD3593" s="204"/>
      <c r="KSE3593" s="204"/>
      <c r="KSF3593" s="204"/>
      <c r="KSG3593" s="204"/>
      <c r="KSH3593" s="204"/>
      <c r="KSI3593" s="204"/>
      <c r="KSJ3593" s="204"/>
      <c r="KSK3593" s="204"/>
      <c r="KSL3593" s="204"/>
      <c r="KSM3593" s="204"/>
      <c r="KSN3593" s="204"/>
      <c r="KSO3593" s="204"/>
      <c r="KSP3593" s="204"/>
      <c r="KSQ3593" s="204"/>
      <c r="KSR3593" s="204"/>
      <c r="KSS3593" s="204"/>
      <c r="KST3593" s="204"/>
      <c r="KSU3593" s="204"/>
      <c r="KSV3593" s="204"/>
      <c r="KSW3593" s="204"/>
      <c r="KSX3593" s="204"/>
      <c r="KSY3593" s="204"/>
      <c r="KSZ3593" s="204"/>
      <c r="KTA3593" s="204"/>
      <c r="KTB3593" s="204"/>
      <c r="KTC3593" s="204"/>
      <c r="KTD3593" s="204"/>
      <c r="KTE3593" s="204"/>
      <c r="KTF3593" s="204"/>
      <c r="KTG3593" s="204"/>
      <c r="KTH3593" s="204"/>
      <c r="KTI3593" s="204"/>
      <c r="KTJ3593" s="204"/>
      <c r="KTK3593" s="204"/>
      <c r="KTL3593" s="204"/>
      <c r="KTM3593" s="204"/>
      <c r="KTN3593" s="204"/>
      <c r="KTO3593" s="204"/>
      <c r="KTP3593" s="204"/>
      <c r="KTQ3593" s="204"/>
      <c r="KTR3593" s="204"/>
      <c r="KTS3593" s="204"/>
      <c r="KTT3593" s="204"/>
      <c r="KTU3593" s="204"/>
      <c r="KTV3593" s="204"/>
      <c r="KTW3593" s="204"/>
      <c r="KTX3593" s="204"/>
      <c r="KTY3593" s="204"/>
      <c r="KTZ3593" s="204"/>
      <c r="KUA3593" s="204"/>
      <c r="KUB3593" s="204"/>
      <c r="KUC3593" s="204"/>
      <c r="KUD3593" s="204"/>
      <c r="KUE3593" s="204"/>
      <c r="KUF3593" s="204"/>
      <c r="KUG3593" s="204"/>
      <c r="KUH3593" s="204"/>
      <c r="KUI3593" s="204"/>
      <c r="KUJ3593" s="204"/>
      <c r="KUK3593" s="204"/>
      <c r="KUL3593" s="204"/>
      <c r="KUM3593" s="204"/>
      <c r="KUN3593" s="204"/>
      <c r="KUO3593" s="204"/>
      <c r="KUP3593" s="204"/>
      <c r="KUQ3593" s="204"/>
      <c r="KUR3593" s="204"/>
      <c r="KUS3593" s="204"/>
      <c r="KUT3593" s="204"/>
      <c r="KUU3593" s="204"/>
      <c r="KUV3593" s="204"/>
      <c r="KUW3593" s="204"/>
      <c r="KUX3593" s="204"/>
      <c r="KUY3593" s="204"/>
      <c r="KUZ3593" s="204"/>
      <c r="KVA3593" s="204"/>
      <c r="KVB3593" s="204"/>
      <c r="KVC3593" s="204"/>
      <c r="KVD3593" s="204"/>
      <c r="KVE3593" s="204"/>
      <c r="KVF3593" s="204"/>
      <c r="KVG3593" s="204"/>
      <c r="KVH3593" s="204"/>
      <c r="KVI3593" s="204"/>
      <c r="KVJ3593" s="204"/>
      <c r="KVK3593" s="204"/>
      <c r="KVL3593" s="204"/>
      <c r="KVM3593" s="204"/>
      <c r="KVN3593" s="204"/>
      <c r="KVO3593" s="204"/>
      <c r="KVP3593" s="204"/>
      <c r="KVQ3593" s="204"/>
      <c r="KVR3593" s="204"/>
      <c r="KVS3593" s="204"/>
      <c r="KVT3593" s="204"/>
      <c r="KVU3593" s="204"/>
      <c r="KVV3593" s="204"/>
      <c r="KVW3593" s="204"/>
      <c r="KVX3593" s="204"/>
      <c r="KVY3593" s="204"/>
      <c r="KVZ3593" s="204"/>
      <c r="KWA3593" s="204"/>
      <c r="KWB3593" s="204"/>
      <c r="KWC3593" s="204"/>
      <c r="KWD3593" s="204"/>
      <c r="KWE3593" s="204"/>
      <c r="KWF3593" s="204"/>
      <c r="KWG3593" s="204"/>
      <c r="KWH3593" s="204"/>
      <c r="KWI3593" s="204"/>
      <c r="KWJ3593" s="204"/>
      <c r="KWK3593" s="204"/>
      <c r="KWL3593" s="204"/>
      <c r="KWM3593" s="204"/>
      <c r="KWN3593" s="204"/>
      <c r="KWO3593" s="204"/>
      <c r="KWP3593" s="204"/>
      <c r="KWQ3593" s="204"/>
      <c r="KWR3593" s="204"/>
      <c r="KWS3593" s="204"/>
      <c r="KWT3593" s="204"/>
      <c r="KWU3593" s="204"/>
      <c r="KWV3593" s="204"/>
      <c r="KWW3593" s="204"/>
      <c r="KWX3593" s="204"/>
      <c r="KWY3593" s="204"/>
      <c r="KWZ3593" s="204"/>
      <c r="KXA3593" s="204"/>
      <c r="KXB3593" s="204"/>
      <c r="KXC3593" s="204"/>
      <c r="KXD3593" s="204"/>
      <c r="KXE3593" s="204"/>
      <c r="KXF3593" s="204"/>
      <c r="KXG3593" s="204"/>
      <c r="KXH3593" s="204"/>
      <c r="KXI3593" s="204"/>
      <c r="KXJ3593" s="204"/>
      <c r="KXK3593" s="204"/>
      <c r="KXL3593" s="204"/>
      <c r="KXM3593" s="204"/>
      <c r="KXN3593" s="204"/>
      <c r="KXO3593" s="204"/>
      <c r="KXP3593" s="204"/>
      <c r="KXQ3593" s="204"/>
      <c r="KXR3593" s="204"/>
      <c r="KXS3593" s="204"/>
      <c r="KXT3593" s="204"/>
      <c r="KXU3593" s="204"/>
      <c r="KXV3593" s="204"/>
      <c r="KXW3593" s="204"/>
      <c r="KXX3593" s="204"/>
      <c r="KXY3593" s="204"/>
      <c r="KXZ3593" s="204"/>
      <c r="KYA3593" s="204"/>
      <c r="KYB3593" s="204"/>
      <c r="KYC3593" s="204"/>
      <c r="KYD3593" s="204"/>
      <c r="KYE3593" s="204"/>
      <c r="KYF3593" s="204"/>
      <c r="KYG3593" s="204"/>
      <c r="KYH3593" s="204"/>
      <c r="KYI3593" s="204"/>
      <c r="KYJ3593" s="204"/>
      <c r="KYK3593" s="204"/>
      <c r="KYL3593" s="204"/>
      <c r="KYM3593" s="204"/>
      <c r="KYN3593" s="204"/>
      <c r="KYO3593" s="204"/>
      <c r="KYP3593" s="204"/>
      <c r="KYQ3593" s="204"/>
      <c r="KYR3593" s="204"/>
      <c r="KYS3593" s="204"/>
      <c r="KYT3593" s="204"/>
      <c r="KYU3593" s="204"/>
      <c r="KYV3593" s="204"/>
      <c r="KYW3593" s="204"/>
      <c r="KYX3593" s="204"/>
      <c r="KYY3593" s="204"/>
      <c r="KYZ3593" s="204"/>
      <c r="KZA3593" s="204"/>
      <c r="KZB3593" s="204"/>
      <c r="KZC3593" s="204"/>
      <c r="KZD3593" s="204"/>
      <c r="KZE3593" s="204"/>
      <c r="KZF3593" s="204"/>
      <c r="KZG3593" s="204"/>
      <c r="KZH3593" s="204"/>
      <c r="KZI3593" s="204"/>
      <c r="KZJ3593" s="204"/>
      <c r="KZK3593" s="204"/>
      <c r="KZL3593" s="204"/>
      <c r="KZM3593" s="204"/>
      <c r="KZN3593" s="204"/>
      <c r="KZO3593" s="204"/>
      <c r="KZP3593" s="204"/>
      <c r="KZQ3593" s="204"/>
      <c r="KZR3593" s="204"/>
      <c r="KZS3593" s="204"/>
      <c r="KZT3593" s="204"/>
      <c r="KZU3593" s="204"/>
      <c r="KZV3593" s="204"/>
      <c r="KZW3593" s="204"/>
      <c r="KZX3593" s="204"/>
      <c r="KZY3593" s="204"/>
      <c r="KZZ3593" s="204"/>
      <c r="LAA3593" s="204"/>
      <c r="LAB3593" s="204"/>
      <c r="LAC3593" s="204"/>
      <c r="LAD3593" s="204"/>
      <c r="LAE3593" s="204"/>
      <c r="LAF3593" s="204"/>
      <c r="LAG3593" s="204"/>
      <c r="LAH3593" s="204"/>
      <c r="LAI3593" s="204"/>
      <c r="LAJ3593" s="204"/>
      <c r="LAK3593" s="204"/>
      <c r="LAL3593" s="204"/>
      <c r="LAM3593" s="204"/>
      <c r="LAN3593" s="204"/>
      <c r="LAO3593" s="204"/>
      <c r="LAP3593" s="204"/>
      <c r="LAQ3593" s="204"/>
      <c r="LAR3593" s="204"/>
      <c r="LAS3593" s="204"/>
      <c r="LAT3593" s="204"/>
      <c r="LAU3593" s="204"/>
      <c r="LAV3593" s="204"/>
      <c r="LAW3593" s="204"/>
      <c r="LAX3593" s="204"/>
      <c r="LAY3593" s="204"/>
      <c r="LAZ3593" s="204"/>
      <c r="LBA3593" s="204"/>
      <c r="LBB3593" s="204"/>
      <c r="LBC3593" s="204"/>
      <c r="LBD3593" s="204"/>
      <c r="LBE3593" s="204"/>
      <c r="LBF3593" s="204"/>
      <c r="LBG3593" s="204"/>
      <c r="LBH3593" s="204"/>
      <c r="LBI3593" s="204"/>
      <c r="LBJ3593" s="204"/>
      <c r="LBK3593" s="204"/>
      <c r="LBL3593" s="204"/>
      <c r="LBM3593" s="204"/>
      <c r="LBN3593" s="204"/>
      <c r="LBO3593" s="204"/>
      <c r="LBP3593" s="204"/>
      <c r="LBQ3593" s="204"/>
      <c r="LBR3593" s="204"/>
      <c r="LBS3593" s="204"/>
      <c r="LBT3593" s="204"/>
      <c r="LBU3593" s="204"/>
      <c r="LBV3593" s="204"/>
      <c r="LBW3593" s="204"/>
      <c r="LBX3593" s="204"/>
      <c r="LBY3593" s="204"/>
      <c r="LBZ3593" s="204"/>
      <c r="LCA3593" s="204"/>
      <c r="LCB3593" s="204"/>
      <c r="LCC3593" s="204"/>
      <c r="LCD3593" s="204"/>
      <c r="LCE3593" s="204"/>
      <c r="LCF3593" s="204"/>
      <c r="LCG3593" s="204"/>
      <c r="LCH3593" s="204"/>
      <c r="LCI3593" s="204"/>
      <c r="LCJ3593" s="204"/>
      <c r="LCK3593" s="204"/>
      <c r="LCL3593" s="204"/>
      <c r="LCM3593" s="204"/>
      <c r="LCN3593" s="204"/>
      <c r="LCO3593" s="204"/>
      <c r="LCP3593" s="204"/>
      <c r="LCQ3593" s="204"/>
      <c r="LCR3593" s="204"/>
      <c r="LCS3593" s="204"/>
      <c r="LCT3593" s="204"/>
      <c r="LCU3593" s="204"/>
      <c r="LCV3593" s="204"/>
      <c r="LCW3593" s="204"/>
      <c r="LCX3593" s="204"/>
      <c r="LCY3593" s="204"/>
      <c r="LCZ3593" s="204"/>
      <c r="LDA3593" s="204"/>
      <c r="LDB3593" s="204"/>
      <c r="LDC3593" s="204"/>
      <c r="LDD3593" s="204"/>
      <c r="LDE3593" s="204"/>
      <c r="LDF3593" s="204"/>
      <c r="LDG3593" s="204"/>
      <c r="LDH3593" s="204"/>
      <c r="LDI3593" s="204"/>
      <c r="LDJ3593" s="204"/>
      <c r="LDK3593" s="204"/>
      <c r="LDL3593" s="204"/>
      <c r="LDM3593" s="204"/>
      <c r="LDN3593" s="204"/>
      <c r="LDO3593" s="204"/>
      <c r="LDP3593" s="204"/>
      <c r="LDQ3593" s="204"/>
      <c r="LDR3593" s="204"/>
      <c r="LDS3593" s="204"/>
      <c r="LDT3593" s="204"/>
      <c r="LDU3593" s="204"/>
      <c r="LDV3593" s="204"/>
      <c r="LDW3593" s="204"/>
      <c r="LDX3593" s="204"/>
      <c r="LDY3593" s="204"/>
      <c r="LDZ3593" s="204"/>
      <c r="LEA3593" s="204"/>
      <c r="LEB3593" s="204"/>
      <c r="LEC3593" s="204"/>
      <c r="LED3593" s="204"/>
      <c r="LEE3593" s="204"/>
      <c r="LEF3593" s="204"/>
      <c r="LEG3593" s="204"/>
      <c r="LEH3593" s="204"/>
      <c r="LEI3593" s="204"/>
      <c r="LEJ3593" s="204"/>
      <c r="LEK3593" s="204"/>
      <c r="LEL3593" s="204"/>
      <c r="LEM3593" s="204"/>
      <c r="LEN3593" s="204"/>
      <c r="LEO3593" s="204"/>
      <c r="LEP3593" s="204"/>
      <c r="LEQ3593" s="204"/>
      <c r="LER3593" s="204"/>
      <c r="LES3593" s="204"/>
      <c r="LET3593" s="204"/>
      <c r="LEU3593" s="204"/>
      <c r="LEV3593" s="204"/>
      <c r="LEW3593" s="204"/>
      <c r="LEX3593" s="204"/>
      <c r="LEY3593" s="204"/>
      <c r="LEZ3593" s="204"/>
      <c r="LFA3593" s="204"/>
      <c r="LFB3593" s="204"/>
      <c r="LFC3593" s="204"/>
      <c r="LFD3593" s="204"/>
      <c r="LFE3593" s="204"/>
      <c r="LFF3593" s="204"/>
      <c r="LFG3593" s="204"/>
      <c r="LFH3593" s="204"/>
      <c r="LFI3593" s="204"/>
      <c r="LFJ3593" s="204"/>
      <c r="LFK3593" s="204"/>
      <c r="LFL3593" s="204"/>
      <c r="LFM3593" s="204"/>
      <c r="LFN3593" s="204"/>
      <c r="LFO3593" s="204"/>
      <c r="LFP3593" s="204"/>
      <c r="LFQ3593" s="204"/>
      <c r="LFR3593" s="204"/>
      <c r="LFS3593" s="204"/>
      <c r="LFT3593" s="204"/>
      <c r="LFU3593" s="204"/>
      <c r="LFV3593" s="204"/>
      <c r="LFW3593" s="204"/>
      <c r="LFX3593" s="204"/>
      <c r="LFY3593" s="204"/>
      <c r="LFZ3593" s="204"/>
      <c r="LGA3593" s="204"/>
      <c r="LGB3593" s="204"/>
      <c r="LGC3593" s="204"/>
      <c r="LGD3593" s="204"/>
      <c r="LGE3593" s="204"/>
      <c r="LGF3593" s="204"/>
      <c r="LGG3593" s="204"/>
      <c r="LGH3593" s="204"/>
      <c r="LGI3593" s="204"/>
      <c r="LGJ3593" s="204"/>
      <c r="LGK3593" s="204"/>
      <c r="LGL3593" s="204"/>
      <c r="LGM3593" s="204"/>
      <c r="LGN3593" s="204"/>
      <c r="LGO3593" s="204"/>
      <c r="LGP3593" s="204"/>
      <c r="LGQ3593" s="204"/>
      <c r="LGR3593" s="204"/>
      <c r="LGS3593" s="204"/>
      <c r="LGT3593" s="204"/>
      <c r="LGU3593" s="204"/>
      <c r="LGV3593" s="204"/>
      <c r="LGW3593" s="204"/>
      <c r="LGX3593" s="204"/>
      <c r="LGY3593" s="204"/>
      <c r="LGZ3593" s="204"/>
      <c r="LHA3593" s="204"/>
      <c r="LHB3593" s="204"/>
      <c r="LHC3593" s="204"/>
      <c r="LHD3593" s="204"/>
      <c r="LHE3593" s="204"/>
      <c r="LHF3593" s="204"/>
      <c r="LHG3593" s="204"/>
      <c r="LHH3593" s="204"/>
      <c r="LHI3593" s="204"/>
      <c r="LHJ3593" s="204"/>
      <c r="LHK3593" s="204"/>
      <c r="LHL3593" s="204"/>
      <c r="LHM3593" s="204"/>
      <c r="LHN3593" s="204"/>
      <c r="LHO3593" s="204"/>
      <c r="LHP3593" s="204"/>
      <c r="LHQ3593" s="204"/>
      <c r="LHR3593" s="204"/>
      <c r="LHS3593" s="204"/>
      <c r="LHT3593" s="204"/>
      <c r="LHU3593" s="204"/>
      <c r="LHV3593" s="204"/>
      <c r="LHW3593" s="204"/>
      <c r="LHX3593" s="204"/>
      <c r="LHY3593" s="204"/>
      <c r="LHZ3593" s="204"/>
      <c r="LIA3593" s="204"/>
      <c r="LIB3593" s="204"/>
      <c r="LIC3593" s="204"/>
      <c r="LID3593" s="204"/>
      <c r="LIE3593" s="204"/>
      <c r="LIF3593" s="204"/>
      <c r="LIG3593" s="204"/>
      <c r="LIH3593" s="204"/>
      <c r="LII3593" s="204"/>
      <c r="LIJ3593" s="204"/>
      <c r="LIK3593" s="204"/>
      <c r="LIL3593" s="204"/>
      <c r="LIM3593" s="204"/>
      <c r="LIN3593" s="204"/>
      <c r="LIO3593" s="204"/>
      <c r="LIP3593" s="204"/>
      <c r="LIQ3593" s="204"/>
      <c r="LIR3593" s="204"/>
      <c r="LIS3593" s="204"/>
      <c r="LIT3593" s="204"/>
      <c r="LIU3593" s="204"/>
      <c r="LIV3593" s="204"/>
      <c r="LIW3593" s="204"/>
      <c r="LIX3593" s="204"/>
      <c r="LIY3593" s="204"/>
      <c r="LIZ3593" s="204"/>
      <c r="LJA3593" s="204"/>
      <c r="LJB3593" s="204"/>
      <c r="LJC3593" s="204"/>
      <c r="LJD3593" s="204"/>
      <c r="LJE3593" s="204"/>
      <c r="LJF3593" s="204"/>
      <c r="LJG3593" s="204"/>
      <c r="LJH3593" s="204"/>
      <c r="LJI3593" s="204"/>
      <c r="LJJ3593" s="204"/>
      <c r="LJK3593" s="204"/>
      <c r="LJL3593" s="204"/>
      <c r="LJM3593" s="204"/>
      <c r="LJN3593" s="204"/>
      <c r="LJO3593" s="204"/>
      <c r="LJP3593" s="204"/>
      <c r="LJQ3593" s="204"/>
      <c r="LJR3593" s="204"/>
      <c r="LJS3593" s="204"/>
      <c r="LJT3593" s="204"/>
      <c r="LJU3593" s="204"/>
      <c r="LJV3593" s="204"/>
      <c r="LJW3593" s="204"/>
      <c r="LJX3593" s="204"/>
      <c r="LJY3593" s="204"/>
      <c r="LJZ3593" s="204"/>
      <c r="LKA3593" s="204"/>
      <c r="LKB3593" s="204"/>
      <c r="LKC3593" s="204"/>
      <c r="LKD3593" s="204"/>
      <c r="LKE3593" s="204"/>
      <c r="LKF3593" s="204"/>
      <c r="LKG3593" s="204"/>
      <c r="LKH3593" s="204"/>
      <c r="LKI3593" s="204"/>
      <c r="LKJ3593" s="204"/>
      <c r="LKK3593" s="204"/>
      <c r="LKL3593" s="204"/>
      <c r="LKM3593" s="204"/>
      <c r="LKN3593" s="204"/>
      <c r="LKO3593" s="204"/>
      <c r="LKP3593" s="204"/>
      <c r="LKQ3593" s="204"/>
      <c r="LKR3593" s="204"/>
      <c r="LKS3593" s="204"/>
      <c r="LKT3593" s="204"/>
      <c r="LKU3593" s="204"/>
      <c r="LKV3593" s="204"/>
      <c r="LKW3593" s="204"/>
      <c r="LKX3593" s="204"/>
      <c r="LKY3593" s="204"/>
      <c r="LKZ3593" s="204"/>
      <c r="LLA3593" s="204"/>
      <c r="LLB3593" s="204"/>
      <c r="LLC3593" s="204"/>
      <c r="LLD3593" s="204"/>
      <c r="LLE3593" s="204"/>
      <c r="LLF3593" s="204"/>
      <c r="LLG3593" s="204"/>
      <c r="LLH3593" s="204"/>
      <c r="LLI3593" s="204"/>
      <c r="LLJ3593" s="204"/>
      <c r="LLK3593" s="204"/>
      <c r="LLL3593" s="204"/>
      <c r="LLM3593" s="204"/>
      <c r="LLN3593" s="204"/>
      <c r="LLO3593" s="204"/>
      <c r="LLP3593" s="204"/>
      <c r="LLQ3593" s="204"/>
      <c r="LLR3593" s="204"/>
      <c r="LLS3593" s="204"/>
      <c r="LLT3593" s="204"/>
      <c r="LLU3593" s="204"/>
      <c r="LLV3593" s="204"/>
      <c r="LLW3593" s="204"/>
      <c r="LLX3593" s="204"/>
      <c r="LLY3593" s="204"/>
      <c r="LLZ3593" s="204"/>
      <c r="LMA3593" s="204"/>
      <c r="LMB3593" s="204"/>
      <c r="LMC3593" s="204"/>
      <c r="LMD3593" s="204"/>
      <c r="LME3593" s="204"/>
      <c r="LMF3593" s="204"/>
      <c r="LMG3593" s="204"/>
      <c r="LMH3593" s="204"/>
      <c r="LMI3593" s="204"/>
      <c r="LMJ3593" s="204"/>
      <c r="LMK3593" s="204"/>
      <c r="LML3593" s="204"/>
      <c r="LMM3593" s="204"/>
      <c r="LMN3593" s="204"/>
      <c r="LMO3593" s="204"/>
      <c r="LMP3593" s="204"/>
      <c r="LMQ3593" s="204"/>
      <c r="LMR3593" s="204"/>
      <c r="LMS3593" s="204"/>
      <c r="LMT3593" s="204"/>
      <c r="LMU3593" s="204"/>
      <c r="LMV3593" s="204"/>
      <c r="LMW3593" s="204"/>
      <c r="LMX3593" s="204"/>
      <c r="LMY3593" s="204"/>
      <c r="LMZ3593" s="204"/>
      <c r="LNA3593" s="204"/>
      <c r="LNB3593" s="204"/>
      <c r="LNC3593" s="204"/>
      <c r="LND3593" s="204"/>
      <c r="LNE3593" s="204"/>
      <c r="LNF3593" s="204"/>
      <c r="LNG3593" s="204"/>
      <c r="LNH3593" s="204"/>
      <c r="LNI3593" s="204"/>
      <c r="LNJ3593" s="204"/>
      <c r="LNK3593" s="204"/>
      <c r="LNL3593" s="204"/>
      <c r="LNM3593" s="204"/>
      <c r="LNN3593" s="204"/>
      <c r="LNO3593" s="204"/>
      <c r="LNP3593" s="204"/>
      <c r="LNQ3593" s="204"/>
      <c r="LNR3593" s="204"/>
      <c r="LNS3593" s="204"/>
      <c r="LNT3593" s="204"/>
      <c r="LNU3593" s="204"/>
      <c r="LNV3593" s="204"/>
      <c r="LNW3593" s="204"/>
      <c r="LNX3593" s="204"/>
      <c r="LNY3593" s="204"/>
      <c r="LNZ3593" s="204"/>
      <c r="LOA3593" s="204"/>
      <c r="LOB3593" s="204"/>
      <c r="LOC3593" s="204"/>
      <c r="LOD3593" s="204"/>
      <c r="LOE3593" s="204"/>
      <c r="LOF3593" s="204"/>
      <c r="LOG3593" s="204"/>
      <c r="LOH3593" s="204"/>
      <c r="LOI3593" s="204"/>
      <c r="LOJ3593" s="204"/>
      <c r="LOK3593" s="204"/>
      <c r="LOL3593" s="204"/>
      <c r="LOM3593" s="204"/>
      <c r="LON3593" s="204"/>
      <c r="LOO3593" s="204"/>
      <c r="LOP3593" s="204"/>
      <c r="LOQ3593" s="204"/>
      <c r="LOR3593" s="204"/>
      <c r="LOS3593" s="204"/>
      <c r="LOT3593" s="204"/>
      <c r="LOU3593" s="204"/>
      <c r="LOV3593" s="204"/>
      <c r="LOW3593" s="204"/>
      <c r="LOX3593" s="204"/>
      <c r="LOY3593" s="204"/>
      <c r="LOZ3593" s="204"/>
      <c r="LPA3593" s="204"/>
      <c r="LPB3593" s="204"/>
      <c r="LPC3593" s="204"/>
      <c r="LPD3593" s="204"/>
      <c r="LPE3593" s="204"/>
      <c r="LPF3593" s="204"/>
      <c r="LPG3593" s="204"/>
      <c r="LPH3593" s="204"/>
      <c r="LPI3593" s="204"/>
      <c r="LPJ3593" s="204"/>
      <c r="LPK3593" s="204"/>
      <c r="LPL3593" s="204"/>
      <c r="LPM3593" s="204"/>
      <c r="LPN3593" s="204"/>
      <c r="LPO3593" s="204"/>
      <c r="LPP3593" s="204"/>
      <c r="LPQ3593" s="204"/>
      <c r="LPR3593" s="204"/>
      <c r="LPS3593" s="204"/>
      <c r="LPT3593" s="204"/>
      <c r="LPU3593" s="204"/>
      <c r="LPV3593" s="204"/>
      <c r="LPW3593" s="204"/>
      <c r="LPX3593" s="204"/>
      <c r="LPY3593" s="204"/>
      <c r="LPZ3593" s="204"/>
      <c r="LQA3593" s="204"/>
      <c r="LQB3593" s="204"/>
      <c r="LQC3593" s="204"/>
      <c r="LQD3593" s="204"/>
      <c r="LQE3593" s="204"/>
      <c r="LQF3593" s="204"/>
      <c r="LQG3593" s="204"/>
      <c r="LQH3593" s="204"/>
      <c r="LQI3593" s="204"/>
      <c r="LQJ3593" s="204"/>
      <c r="LQK3593" s="204"/>
      <c r="LQL3593" s="204"/>
      <c r="LQM3593" s="204"/>
      <c r="LQN3593" s="204"/>
      <c r="LQO3593" s="204"/>
      <c r="LQP3593" s="204"/>
      <c r="LQQ3593" s="204"/>
      <c r="LQR3593" s="204"/>
      <c r="LQS3593" s="204"/>
      <c r="LQT3593" s="204"/>
      <c r="LQU3593" s="204"/>
      <c r="LQV3593" s="204"/>
      <c r="LQW3593" s="204"/>
      <c r="LQX3593" s="204"/>
      <c r="LQY3593" s="204"/>
      <c r="LQZ3593" s="204"/>
      <c r="LRA3593" s="204"/>
      <c r="LRB3593" s="204"/>
      <c r="LRC3593" s="204"/>
      <c r="LRD3593" s="204"/>
      <c r="LRE3593" s="204"/>
      <c r="LRF3593" s="204"/>
      <c r="LRG3593" s="204"/>
      <c r="LRH3593" s="204"/>
      <c r="LRI3593" s="204"/>
      <c r="LRJ3593" s="204"/>
      <c r="LRK3593" s="204"/>
      <c r="LRL3593" s="204"/>
      <c r="LRM3593" s="204"/>
      <c r="LRN3593" s="204"/>
      <c r="LRO3593" s="204"/>
      <c r="LRP3593" s="204"/>
      <c r="LRQ3593" s="204"/>
      <c r="LRR3593" s="204"/>
      <c r="LRS3593" s="204"/>
      <c r="LRT3593" s="204"/>
      <c r="LRU3593" s="204"/>
      <c r="LRV3593" s="204"/>
      <c r="LRW3593" s="204"/>
      <c r="LRX3593" s="204"/>
      <c r="LRY3593" s="204"/>
      <c r="LRZ3593" s="204"/>
      <c r="LSA3593" s="204"/>
      <c r="LSB3593" s="204"/>
      <c r="LSC3593" s="204"/>
      <c r="LSD3593" s="204"/>
      <c r="LSE3593" s="204"/>
      <c r="LSF3593" s="204"/>
      <c r="LSG3593" s="204"/>
      <c r="LSH3593" s="204"/>
      <c r="LSI3593" s="204"/>
      <c r="LSJ3593" s="204"/>
      <c r="LSK3593" s="204"/>
      <c r="LSL3593" s="204"/>
      <c r="LSM3593" s="204"/>
      <c r="LSN3593" s="204"/>
      <c r="LSO3593" s="204"/>
      <c r="LSP3593" s="204"/>
      <c r="LSQ3593" s="204"/>
      <c r="LSR3593" s="204"/>
      <c r="LSS3593" s="204"/>
      <c r="LST3593" s="204"/>
      <c r="LSU3593" s="204"/>
      <c r="LSV3593" s="204"/>
      <c r="LSW3593" s="204"/>
      <c r="LSX3593" s="204"/>
      <c r="LSY3593" s="204"/>
      <c r="LSZ3593" s="204"/>
      <c r="LTA3593" s="204"/>
      <c r="LTB3593" s="204"/>
      <c r="LTC3593" s="204"/>
      <c r="LTD3593" s="204"/>
      <c r="LTE3593" s="204"/>
      <c r="LTF3593" s="204"/>
      <c r="LTG3593" s="204"/>
      <c r="LTH3593" s="204"/>
      <c r="LTI3593" s="204"/>
      <c r="LTJ3593" s="204"/>
      <c r="LTK3593" s="204"/>
      <c r="LTL3593" s="204"/>
      <c r="LTM3593" s="204"/>
      <c r="LTN3593" s="204"/>
      <c r="LTO3593" s="204"/>
      <c r="LTP3593" s="204"/>
      <c r="LTQ3593" s="204"/>
      <c r="LTR3593" s="204"/>
      <c r="LTS3593" s="204"/>
      <c r="LTT3593" s="204"/>
      <c r="LTU3593" s="204"/>
      <c r="LTV3593" s="204"/>
      <c r="LTW3593" s="204"/>
      <c r="LTX3593" s="204"/>
      <c r="LTY3593" s="204"/>
      <c r="LTZ3593" s="204"/>
      <c r="LUA3593" s="204"/>
      <c r="LUB3593" s="204"/>
      <c r="LUC3593" s="204"/>
      <c r="LUD3593" s="204"/>
      <c r="LUE3593" s="204"/>
      <c r="LUF3593" s="204"/>
      <c r="LUG3593" s="204"/>
      <c r="LUH3593" s="204"/>
      <c r="LUI3593" s="204"/>
      <c r="LUJ3593" s="204"/>
      <c r="LUK3593" s="204"/>
      <c r="LUL3593" s="204"/>
      <c r="LUM3593" s="204"/>
      <c r="LUN3593" s="204"/>
      <c r="LUO3593" s="204"/>
      <c r="LUP3593" s="204"/>
      <c r="LUQ3593" s="204"/>
      <c r="LUR3593" s="204"/>
      <c r="LUS3593" s="204"/>
      <c r="LUT3593" s="204"/>
      <c r="LUU3593" s="204"/>
      <c r="LUV3593" s="204"/>
      <c r="LUW3593" s="204"/>
      <c r="LUX3593" s="204"/>
      <c r="LUY3593" s="204"/>
      <c r="LUZ3593" s="204"/>
      <c r="LVA3593" s="204"/>
      <c r="LVB3593" s="204"/>
      <c r="LVC3593" s="204"/>
      <c r="LVD3593" s="204"/>
      <c r="LVE3593" s="204"/>
      <c r="LVF3593" s="204"/>
      <c r="LVG3593" s="204"/>
      <c r="LVH3593" s="204"/>
      <c r="LVI3593" s="204"/>
      <c r="LVJ3593" s="204"/>
      <c r="LVK3593" s="204"/>
      <c r="LVL3593" s="204"/>
      <c r="LVM3593" s="204"/>
      <c r="LVN3593" s="204"/>
      <c r="LVO3593" s="204"/>
      <c r="LVP3593" s="204"/>
      <c r="LVQ3593" s="204"/>
      <c r="LVR3593" s="204"/>
      <c r="LVS3593" s="204"/>
      <c r="LVT3593" s="204"/>
      <c r="LVU3593" s="204"/>
      <c r="LVV3593" s="204"/>
      <c r="LVW3593" s="204"/>
      <c r="LVX3593" s="204"/>
      <c r="LVY3593" s="204"/>
      <c r="LVZ3593" s="204"/>
      <c r="LWA3593" s="204"/>
      <c r="LWB3593" s="204"/>
      <c r="LWC3593" s="204"/>
      <c r="LWD3593" s="204"/>
      <c r="LWE3593" s="204"/>
      <c r="LWF3593" s="204"/>
      <c r="LWG3593" s="204"/>
      <c r="LWH3593" s="204"/>
      <c r="LWI3593" s="204"/>
      <c r="LWJ3593" s="204"/>
      <c r="LWK3593" s="204"/>
      <c r="LWL3593" s="204"/>
      <c r="LWM3593" s="204"/>
      <c r="LWN3593" s="204"/>
      <c r="LWO3593" s="204"/>
      <c r="LWP3593" s="204"/>
      <c r="LWQ3593" s="204"/>
      <c r="LWR3593" s="204"/>
      <c r="LWS3593" s="204"/>
      <c r="LWT3593" s="204"/>
      <c r="LWU3593" s="204"/>
      <c r="LWV3593" s="204"/>
      <c r="LWW3593" s="204"/>
      <c r="LWX3593" s="204"/>
      <c r="LWY3593" s="204"/>
      <c r="LWZ3593" s="204"/>
      <c r="LXA3593" s="204"/>
      <c r="LXB3593" s="204"/>
      <c r="LXC3593" s="204"/>
      <c r="LXD3593" s="204"/>
      <c r="LXE3593" s="204"/>
      <c r="LXF3593" s="204"/>
      <c r="LXG3593" s="204"/>
      <c r="LXH3593" s="204"/>
      <c r="LXI3593" s="204"/>
      <c r="LXJ3593" s="204"/>
      <c r="LXK3593" s="204"/>
      <c r="LXL3593" s="204"/>
      <c r="LXM3593" s="204"/>
      <c r="LXN3593" s="204"/>
      <c r="LXO3593" s="204"/>
      <c r="LXP3593" s="204"/>
      <c r="LXQ3593" s="204"/>
      <c r="LXR3593" s="204"/>
      <c r="LXS3593" s="204"/>
      <c r="LXT3593" s="204"/>
      <c r="LXU3593" s="204"/>
      <c r="LXV3593" s="204"/>
      <c r="LXW3593" s="204"/>
      <c r="LXX3593" s="204"/>
      <c r="LXY3593" s="204"/>
      <c r="LXZ3593" s="204"/>
      <c r="LYA3593" s="204"/>
      <c r="LYB3593" s="204"/>
      <c r="LYC3593" s="204"/>
      <c r="LYD3593" s="204"/>
      <c r="LYE3593" s="204"/>
      <c r="LYF3593" s="204"/>
      <c r="LYG3593" s="204"/>
      <c r="LYH3593" s="204"/>
      <c r="LYI3593" s="204"/>
      <c r="LYJ3593" s="204"/>
      <c r="LYK3593" s="204"/>
      <c r="LYL3593" s="204"/>
      <c r="LYM3593" s="204"/>
      <c r="LYN3593" s="204"/>
      <c r="LYO3593" s="204"/>
      <c r="LYP3593" s="204"/>
      <c r="LYQ3593" s="204"/>
      <c r="LYR3593" s="204"/>
      <c r="LYS3593" s="204"/>
      <c r="LYT3593" s="204"/>
      <c r="LYU3593" s="204"/>
      <c r="LYV3593" s="204"/>
      <c r="LYW3593" s="204"/>
      <c r="LYX3593" s="204"/>
      <c r="LYY3593" s="204"/>
      <c r="LYZ3593" s="204"/>
      <c r="LZA3593" s="204"/>
      <c r="LZB3593" s="204"/>
      <c r="LZC3593" s="204"/>
      <c r="LZD3593" s="204"/>
      <c r="LZE3593" s="204"/>
      <c r="LZF3593" s="204"/>
      <c r="LZG3593" s="204"/>
      <c r="LZH3593" s="204"/>
      <c r="LZI3593" s="204"/>
      <c r="LZJ3593" s="204"/>
      <c r="LZK3593" s="204"/>
      <c r="LZL3593" s="204"/>
      <c r="LZM3593" s="204"/>
      <c r="LZN3593" s="204"/>
      <c r="LZO3593" s="204"/>
      <c r="LZP3593" s="204"/>
      <c r="LZQ3593" s="204"/>
      <c r="LZR3593" s="204"/>
      <c r="LZS3593" s="204"/>
      <c r="LZT3593" s="204"/>
      <c r="LZU3593" s="204"/>
      <c r="LZV3593" s="204"/>
      <c r="LZW3593" s="204"/>
      <c r="LZX3593" s="204"/>
      <c r="LZY3593" s="204"/>
      <c r="LZZ3593" s="204"/>
      <c r="MAA3593" s="204"/>
      <c r="MAB3593" s="204"/>
      <c r="MAC3593" s="204"/>
      <c r="MAD3593" s="204"/>
      <c r="MAE3593" s="204"/>
      <c r="MAF3593" s="204"/>
      <c r="MAG3593" s="204"/>
      <c r="MAH3593" s="204"/>
      <c r="MAI3593" s="204"/>
      <c r="MAJ3593" s="204"/>
      <c r="MAK3593" s="204"/>
      <c r="MAL3593" s="204"/>
      <c r="MAM3593" s="204"/>
      <c r="MAN3593" s="204"/>
      <c r="MAO3593" s="204"/>
      <c r="MAP3593" s="204"/>
      <c r="MAQ3593" s="204"/>
      <c r="MAR3593" s="204"/>
      <c r="MAS3593" s="204"/>
      <c r="MAT3593" s="204"/>
      <c r="MAU3593" s="204"/>
      <c r="MAV3593" s="204"/>
      <c r="MAW3593" s="204"/>
      <c r="MAX3593" s="204"/>
      <c r="MAY3593" s="204"/>
      <c r="MAZ3593" s="204"/>
      <c r="MBA3593" s="204"/>
      <c r="MBB3593" s="204"/>
      <c r="MBC3593" s="204"/>
      <c r="MBD3593" s="204"/>
      <c r="MBE3593" s="204"/>
      <c r="MBF3593" s="204"/>
      <c r="MBG3593" s="204"/>
      <c r="MBH3593" s="204"/>
      <c r="MBI3593" s="204"/>
      <c r="MBJ3593" s="204"/>
      <c r="MBK3593" s="204"/>
      <c r="MBL3593" s="204"/>
      <c r="MBM3593" s="204"/>
      <c r="MBN3593" s="204"/>
      <c r="MBO3593" s="204"/>
      <c r="MBP3593" s="204"/>
      <c r="MBQ3593" s="204"/>
      <c r="MBR3593" s="204"/>
      <c r="MBS3593" s="204"/>
      <c r="MBT3593" s="204"/>
      <c r="MBU3593" s="204"/>
      <c r="MBV3593" s="204"/>
      <c r="MBW3593" s="204"/>
      <c r="MBX3593" s="204"/>
      <c r="MBY3593" s="204"/>
      <c r="MBZ3593" s="204"/>
      <c r="MCA3593" s="204"/>
      <c r="MCB3593" s="204"/>
      <c r="MCC3593" s="204"/>
      <c r="MCD3593" s="204"/>
      <c r="MCE3593" s="204"/>
      <c r="MCF3593" s="204"/>
      <c r="MCG3593" s="204"/>
      <c r="MCH3593" s="204"/>
      <c r="MCI3593" s="204"/>
      <c r="MCJ3593" s="204"/>
      <c r="MCK3593" s="204"/>
      <c r="MCL3593" s="204"/>
      <c r="MCM3593" s="204"/>
      <c r="MCN3593" s="204"/>
      <c r="MCO3593" s="204"/>
      <c r="MCP3593" s="204"/>
      <c r="MCQ3593" s="204"/>
      <c r="MCR3593" s="204"/>
      <c r="MCS3593" s="204"/>
      <c r="MCT3593" s="204"/>
      <c r="MCU3593" s="204"/>
      <c r="MCV3593" s="204"/>
      <c r="MCW3593" s="204"/>
      <c r="MCX3593" s="204"/>
      <c r="MCY3593" s="204"/>
      <c r="MCZ3593" s="204"/>
      <c r="MDA3593" s="204"/>
      <c r="MDB3593" s="204"/>
      <c r="MDC3593" s="204"/>
      <c r="MDD3593" s="204"/>
      <c r="MDE3593" s="204"/>
      <c r="MDF3593" s="204"/>
      <c r="MDG3593" s="204"/>
      <c r="MDH3593" s="204"/>
      <c r="MDI3593" s="204"/>
      <c r="MDJ3593" s="204"/>
      <c r="MDK3593" s="204"/>
      <c r="MDL3593" s="204"/>
      <c r="MDM3593" s="204"/>
      <c r="MDN3593" s="204"/>
      <c r="MDO3593" s="204"/>
      <c r="MDP3593" s="204"/>
      <c r="MDQ3593" s="204"/>
      <c r="MDR3593" s="204"/>
      <c r="MDS3593" s="204"/>
      <c r="MDT3593" s="204"/>
      <c r="MDU3593" s="204"/>
      <c r="MDV3593" s="204"/>
      <c r="MDW3593" s="204"/>
      <c r="MDX3593" s="204"/>
      <c r="MDY3593" s="204"/>
      <c r="MDZ3593" s="204"/>
      <c r="MEA3593" s="204"/>
      <c r="MEB3593" s="204"/>
      <c r="MEC3593" s="204"/>
      <c r="MED3593" s="204"/>
      <c r="MEE3593" s="204"/>
      <c r="MEF3593" s="204"/>
      <c r="MEG3593" s="204"/>
      <c r="MEH3593" s="204"/>
      <c r="MEI3593" s="204"/>
      <c r="MEJ3593" s="204"/>
      <c r="MEK3593" s="204"/>
      <c r="MEL3593" s="204"/>
      <c r="MEM3593" s="204"/>
      <c r="MEN3593" s="204"/>
      <c r="MEO3593" s="204"/>
      <c r="MEP3593" s="204"/>
      <c r="MEQ3593" s="204"/>
      <c r="MER3593" s="204"/>
      <c r="MES3593" s="204"/>
      <c r="MET3593" s="204"/>
      <c r="MEU3593" s="204"/>
      <c r="MEV3593" s="204"/>
      <c r="MEW3593" s="204"/>
      <c r="MEX3593" s="204"/>
      <c r="MEY3593" s="204"/>
      <c r="MEZ3593" s="204"/>
      <c r="MFA3593" s="204"/>
      <c r="MFB3593" s="204"/>
      <c r="MFC3593" s="204"/>
      <c r="MFD3593" s="204"/>
      <c r="MFE3593" s="204"/>
      <c r="MFF3593" s="204"/>
      <c r="MFG3593" s="204"/>
      <c r="MFH3593" s="204"/>
      <c r="MFI3593" s="204"/>
      <c r="MFJ3593" s="204"/>
      <c r="MFK3593" s="204"/>
      <c r="MFL3593" s="204"/>
      <c r="MFM3593" s="204"/>
      <c r="MFN3593" s="204"/>
      <c r="MFO3593" s="204"/>
      <c r="MFP3593" s="204"/>
      <c r="MFQ3593" s="204"/>
      <c r="MFR3593" s="204"/>
      <c r="MFS3593" s="204"/>
      <c r="MFT3593" s="204"/>
      <c r="MFU3593" s="204"/>
      <c r="MFV3593" s="204"/>
      <c r="MFW3593" s="204"/>
      <c r="MFX3593" s="204"/>
      <c r="MFY3593" s="204"/>
      <c r="MFZ3593" s="204"/>
      <c r="MGA3593" s="204"/>
      <c r="MGB3593" s="204"/>
      <c r="MGC3593" s="204"/>
      <c r="MGD3593" s="204"/>
      <c r="MGE3593" s="204"/>
      <c r="MGF3593" s="204"/>
      <c r="MGG3593" s="204"/>
      <c r="MGH3593" s="204"/>
      <c r="MGI3593" s="204"/>
      <c r="MGJ3593" s="204"/>
      <c r="MGK3593" s="204"/>
      <c r="MGL3593" s="204"/>
      <c r="MGM3593" s="204"/>
      <c r="MGN3593" s="204"/>
      <c r="MGO3593" s="204"/>
      <c r="MGP3593" s="204"/>
      <c r="MGQ3593" s="204"/>
      <c r="MGR3593" s="204"/>
      <c r="MGS3593" s="204"/>
      <c r="MGT3593" s="204"/>
      <c r="MGU3593" s="204"/>
      <c r="MGV3593" s="204"/>
      <c r="MGW3593" s="204"/>
      <c r="MGX3593" s="204"/>
      <c r="MGY3593" s="204"/>
      <c r="MGZ3593" s="204"/>
      <c r="MHA3593" s="204"/>
      <c r="MHB3593" s="204"/>
      <c r="MHC3593" s="204"/>
      <c r="MHD3593" s="204"/>
      <c r="MHE3593" s="204"/>
      <c r="MHF3593" s="204"/>
      <c r="MHG3593" s="204"/>
      <c r="MHH3593" s="204"/>
      <c r="MHI3593" s="204"/>
      <c r="MHJ3593" s="204"/>
      <c r="MHK3593" s="204"/>
      <c r="MHL3593" s="204"/>
      <c r="MHM3593" s="204"/>
      <c r="MHN3593" s="204"/>
      <c r="MHO3593" s="204"/>
      <c r="MHP3593" s="204"/>
      <c r="MHQ3593" s="204"/>
      <c r="MHR3593" s="204"/>
      <c r="MHS3593" s="204"/>
      <c r="MHT3593" s="204"/>
      <c r="MHU3593" s="204"/>
      <c r="MHV3593" s="204"/>
      <c r="MHW3593" s="204"/>
      <c r="MHX3593" s="204"/>
      <c r="MHY3593" s="204"/>
      <c r="MHZ3593" s="204"/>
      <c r="MIA3593" s="204"/>
      <c r="MIB3593" s="204"/>
      <c r="MIC3593" s="204"/>
      <c r="MID3593" s="204"/>
      <c r="MIE3593" s="204"/>
      <c r="MIF3593" s="204"/>
      <c r="MIG3593" s="204"/>
      <c r="MIH3593" s="204"/>
      <c r="MII3593" s="204"/>
      <c r="MIJ3593" s="204"/>
      <c r="MIK3593" s="204"/>
      <c r="MIL3593" s="204"/>
      <c r="MIM3593" s="204"/>
      <c r="MIN3593" s="204"/>
      <c r="MIO3593" s="204"/>
      <c r="MIP3593" s="204"/>
      <c r="MIQ3593" s="204"/>
      <c r="MIR3593" s="204"/>
      <c r="MIS3593" s="204"/>
      <c r="MIT3593" s="204"/>
      <c r="MIU3593" s="204"/>
      <c r="MIV3593" s="204"/>
      <c r="MIW3593" s="204"/>
      <c r="MIX3593" s="204"/>
      <c r="MIY3593" s="204"/>
      <c r="MIZ3593" s="204"/>
      <c r="MJA3593" s="204"/>
      <c r="MJB3593" s="204"/>
      <c r="MJC3593" s="204"/>
      <c r="MJD3593" s="204"/>
      <c r="MJE3593" s="204"/>
      <c r="MJF3593" s="204"/>
      <c r="MJG3593" s="204"/>
      <c r="MJH3593" s="204"/>
      <c r="MJI3593" s="204"/>
      <c r="MJJ3593" s="204"/>
      <c r="MJK3593" s="204"/>
      <c r="MJL3593" s="204"/>
      <c r="MJM3593" s="204"/>
      <c r="MJN3593" s="204"/>
      <c r="MJO3593" s="204"/>
      <c r="MJP3593" s="204"/>
      <c r="MJQ3593" s="204"/>
      <c r="MJR3593" s="204"/>
      <c r="MJS3593" s="204"/>
      <c r="MJT3593" s="204"/>
      <c r="MJU3593" s="204"/>
      <c r="MJV3593" s="204"/>
      <c r="MJW3593" s="204"/>
      <c r="MJX3593" s="204"/>
      <c r="MJY3593" s="204"/>
      <c r="MJZ3593" s="204"/>
      <c r="MKA3593" s="204"/>
      <c r="MKB3593" s="204"/>
      <c r="MKC3593" s="204"/>
      <c r="MKD3593" s="204"/>
      <c r="MKE3593" s="204"/>
      <c r="MKF3593" s="204"/>
      <c r="MKG3593" s="204"/>
      <c r="MKH3593" s="204"/>
      <c r="MKI3593" s="204"/>
      <c r="MKJ3593" s="204"/>
      <c r="MKK3593" s="204"/>
      <c r="MKL3593" s="204"/>
      <c r="MKM3593" s="204"/>
      <c r="MKN3593" s="204"/>
      <c r="MKO3593" s="204"/>
      <c r="MKP3593" s="204"/>
      <c r="MKQ3593" s="204"/>
      <c r="MKR3593" s="204"/>
      <c r="MKS3593" s="204"/>
      <c r="MKT3593" s="204"/>
      <c r="MKU3593" s="204"/>
      <c r="MKV3593" s="204"/>
      <c r="MKW3593" s="204"/>
      <c r="MKX3593" s="204"/>
      <c r="MKY3593" s="204"/>
      <c r="MKZ3593" s="204"/>
      <c r="MLA3593" s="204"/>
      <c r="MLB3593" s="204"/>
      <c r="MLC3593" s="204"/>
      <c r="MLD3593" s="204"/>
      <c r="MLE3593" s="204"/>
      <c r="MLF3593" s="204"/>
      <c r="MLG3593" s="204"/>
      <c r="MLH3593" s="204"/>
      <c r="MLI3593" s="204"/>
      <c r="MLJ3593" s="204"/>
      <c r="MLK3593" s="204"/>
      <c r="MLL3593" s="204"/>
      <c r="MLM3593" s="204"/>
      <c r="MLN3593" s="204"/>
      <c r="MLO3593" s="204"/>
      <c r="MLP3593" s="204"/>
      <c r="MLQ3593" s="204"/>
      <c r="MLR3593" s="204"/>
      <c r="MLS3593" s="204"/>
      <c r="MLT3593" s="204"/>
      <c r="MLU3593" s="204"/>
      <c r="MLV3593" s="204"/>
      <c r="MLW3593" s="204"/>
      <c r="MLX3593" s="204"/>
      <c r="MLY3593" s="204"/>
      <c r="MLZ3593" s="204"/>
      <c r="MMA3593" s="204"/>
      <c r="MMB3593" s="204"/>
      <c r="MMC3593" s="204"/>
      <c r="MMD3593" s="204"/>
      <c r="MME3593" s="204"/>
      <c r="MMF3593" s="204"/>
      <c r="MMG3593" s="204"/>
      <c r="MMH3593" s="204"/>
      <c r="MMI3593" s="204"/>
      <c r="MMJ3593" s="204"/>
      <c r="MMK3593" s="204"/>
      <c r="MML3593" s="204"/>
      <c r="MMM3593" s="204"/>
      <c r="MMN3593" s="204"/>
      <c r="MMO3593" s="204"/>
      <c r="MMP3593" s="204"/>
      <c r="MMQ3593" s="204"/>
      <c r="MMR3593" s="204"/>
      <c r="MMS3593" s="204"/>
      <c r="MMT3593" s="204"/>
      <c r="MMU3593" s="204"/>
      <c r="MMV3593" s="204"/>
      <c r="MMW3593" s="204"/>
      <c r="MMX3593" s="204"/>
      <c r="MMY3593" s="204"/>
      <c r="MMZ3593" s="204"/>
      <c r="MNA3593" s="204"/>
      <c r="MNB3593" s="204"/>
      <c r="MNC3593" s="204"/>
      <c r="MND3593" s="204"/>
      <c r="MNE3593" s="204"/>
      <c r="MNF3593" s="204"/>
      <c r="MNG3593" s="204"/>
      <c r="MNH3593" s="204"/>
      <c r="MNI3593" s="204"/>
      <c r="MNJ3593" s="204"/>
      <c r="MNK3593" s="204"/>
      <c r="MNL3593" s="204"/>
      <c r="MNM3593" s="204"/>
      <c r="MNN3593" s="204"/>
      <c r="MNO3593" s="204"/>
      <c r="MNP3593" s="204"/>
      <c r="MNQ3593" s="204"/>
      <c r="MNR3593" s="204"/>
      <c r="MNS3593" s="204"/>
      <c r="MNT3593" s="204"/>
      <c r="MNU3593" s="204"/>
      <c r="MNV3593" s="204"/>
      <c r="MNW3593" s="204"/>
      <c r="MNX3593" s="204"/>
      <c r="MNY3593" s="204"/>
      <c r="MNZ3593" s="204"/>
      <c r="MOA3593" s="204"/>
      <c r="MOB3593" s="204"/>
      <c r="MOC3593" s="204"/>
      <c r="MOD3593" s="204"/>
      <c r="MOE3593" s="204"/>
      <c r="MOF3593" s="204"/>
      <c r="MOG3593" s="204"/>
      <c r="MOH3593" s="204"/>
      <c r="MOI3593" s="204"/>
      <c r="MOJ3593" s="204"/>
      <c r="MOK3593" s="204"/>
      <c r="MOL3593" s="204"/>
      <c r="MOM3593" s="204"/>
      <c r="MON3593" s="204"/>
      <c r="MOO3593" s="204"/>
      <c r="MOP3593" s="204"/>
      <c r="MOQ3593" s="204"/>
      <c r="MOR3593" s="204"/>
      <c r="MOS3593" s="204"/>
      <c r="MOT3593" s="204"/>
      <c r="MOU3593" s="204"/>
      <c r="MOV3593" s="204"/>
      <c r="MOW3593" s="204"/>
      <c r="MOX3593" s="204"/>
      <c r="MOY3593" s="204"/>
      <c r="MOZ3593" s="204"/>
      <c r="MPA3593" s="204"/>
      <c r="MPB3593" s="204"/>
      <c r="MPC3593" s="204"/>
      <c r="MPD3593" s="204"/>
      <c r="MPE3593" s="204"/>
      <c r="MPF3593" s="204"/>
      <c r="MPG3593" s="204"/>
      <c r="MPH3593" s="204"/>
      <c r="MPI3593" s="204"/>
      <c r="MPJ3593" s="204"/>
      <c r="MPK3593" s="204"/>
      <c r="MPL3593" s="204"/>
      <c r="MPM3593" s="204"/>
      <c r="MPN3593" s="204"/>
      <c r="MPO3593" s="204"/>
      <c r="MPP3593" s="204"/>
      <c r="MPQ3593" s="204"/>
      <c r="MPR3593" s="204"/>
      <c r="MPS3593" s="204"/>
      <c r="MPT3593" s="204"/>
      <c r="MPU3593" s="204"/>
      <c r="MPV3593" s="204"/>
      <c r="MPW3593" s="204"/>
      <c r="MPX3593" s="204"/>
      <c r="MPY3593" s="204"/>
      <c r="MPZ3593" s="204"/>
      <c r="MQA3593" s="204"/>
      <c r="MQB3593" s="204"/>
      <c r="MQC3593" s="204"/>
      <c r="MQD3593" s="204"/>
      <c r="MQE3593" s="204"/>
      <c r="MQF3593" s="204"/>
      <c r="MQG3593" s="204"/>
      <c r="MQH3593" s="204"/>
      <c r="MQI3593" s="204"/>
      <c r="MQJ3593" s="204"/>
      <c r="MQK3593" s="204"/>
      <c r="MQL3593" s="204"/>
      <c r="MQM3593" s="204"/>
      <c r="MQN3593" s="204"/>
      <c r="MQO3593" s="204"/>
      <c r="MQP3593" s="204"/>
      <c r="MQQ3593" s="204"/>
      <c r="MQR3593" s="204"/>
      <c r="MQS3593" s="204"/>
      <c r="MQT3593" s="204"/>
      <c r="MQU3593" s="204"/>
      <c r="MQV3593" s="204"/>
      <c r="MQW3593" s="204"/>
      <c r="MQX3593" s="204"/>
      <c r="MQY3593" s="204"/>
      <c r="MQZ3593" s="204"/>
      <c r="MRA3593" s="204"/>
      <c r="MRB3593" s="204"/>
      <c r="MRC3593" s="204"/>
      <c r="MRD3593" s="204"/>
      <c r="MRE3593" s="204"/>
      <c r="MRF3593" s="204"/>
      <c r="MRG3593" s="204"/>
      <c r="MRH3593" s="204"/>
      <c r="MRI3593" s="204"/>
      <c r="MRJ3593" s="204"/>
      <c r="MRK3593" s="204"/>
      <c r="MRL3593" s="204"/>
      <c r="MRM3593" s="204"/>
      <c r="MRN3593" s="204"/>
      <c r="MRO3593" s="204"/>
      <c r="MRP3593" s="204"/>
      <c r="MRQ3593" s="204"/>
      <c r="MRR3593" s="204"/>
      <c r="MRS3593" s="204"/>
      <c r="MRT3593" s="204"/>
      <c r="MRU3593" s="204"/>
      <c r="MRV3593" s="204"/>
      <c r="MRW3593" s="204"/>
      <c r="MRX3593" s="204"/>
      <c r="MRY3593" s="204"/>
      <c r="MRZ3593" s="204"/>
      <c r="MSA3593" s="204"/>
      <c r="MSB3593" s="204"/>
      <c r="MSC3593" s="204"/>
      <c r="MSD3593" s="204"/>
      <c r="MSE3593" s="204"/>
      <c r="MSF3593" s="204"/>
      <c r="MSG3593" s="204"/>
      <c r="MSH3593" s="204"/>
      <c r="MSI3593" s="204"/>
      <c r="MSJ3593" s="204"/>
      <c r="MSK3593" s="204"/>
      <c r="MSL3593" s="204"/>
      <c r="MSM3593" s="204"/>
      <c r="MSN3593" s="204"/>
      <c r="MSO3593" s="204"/>
      <c r="MSP3593" s="204"/>
      <c r="MSQ3593" s="204"/>
      <c r="MSR3593" s="204"/>
      <c r="MSS3593" s="204"/>
      <c r="MST3593" s="204"/>
      <c r="MSU3593" s="204"/>
      <c r="MSV3593" s="204"/>
      <c r="MSW3593" s="204"/>
      <c r="MSX3593" s="204"/>
      <c r="MSY3593" s="204"/>
      <c r="MSZ3593" s="204"/>
      <c r="MTA3593" s="204"/>
      <c r="MTB3593" s="204"/>
      <c r="MTC3593" s="204"/>
      <c r="MTD3593" s="204"/>
      <c r="MTE3593" s="204"/>
      <c r="MTF3593" s="204"/>
      <c r="MTG3593" s="204"/>
      <c r="MTH3593" s="204"/>
      <c r="MTI3593" s="204"/>
      <c r="MTJ3593" s="204"/>
      <c r="MTK3593" s="204"/>
      <c r="MTL3593" s="204"/>
      <c r="MTM3593" s="204"/>
      <c r="MTN3593" s="204"/>
      <c r="MTO3593" s="204"/>
      <c r="MTP3593" s="204"/>
      <c r="MTQ3593" s="204"/>
      <c r="MTR3593" s="204"/>
      <c r="MTS3593" s="204"/>
      <c r="MTT3593" s="204"/>
      <c r="MTU3593" s="204"/>
      <c r="MTV3593" s="204"/>
      <c r="MTW3593" s="204"/>
      <c r="MTX3593" s="204"/>
      <c r="MTY3593" s="204"/>
      <c r="MTZ3593" s="204"/>
      <c r="MUA3593" s="204"/>
      <c r="MUB3593" s="204"/>
      <c r="MUC3593" s="204"/>
      <c r="MUD3593" s="204"/>
      <c r="MUE3593" s="204"/>
      <c r="MUF3593" s="204"/>
      <c r="MUG3593" s="204"/>
      <c r="MUH3593" s="204"/>
      <c r="MUI3593" s="204"/>
      <c r="MUJ3593" s="204"/>
      <c r="MUK3593" s="204"/>
      <c r="MUL3593" s="204"/>
      <c r="MUM3593" s="204"/>
      <c r="MUN3593" s="204"/>
      <c r="MUO3593" s="204"/>
      <c r="MUP3593" s="204"/>
      <c r="MUQ3593" s="204"/>
      <c r="MUR3593" s="204"/>
      <c r="MUS3593" s="204"/>
      <c r="MUT3593" s="204"/>
      <c r="MUU3593" s="204"/>
      <c r="MUV3593" s="204"/>
      <c r="MUW3593" s="204"/>
      <c r="MUX3593" s="204"/>
      <c r="MUY3593" s="204"/>
      <c r="MUZ3593" s="204"/>
      <c r="MVA3593" s="204"/>
      <c r="MVB3593" s="204"/>
      <c r="MVC3593" s="204"/>
      <c r="MVD3593" s="204"/>
      <c r="MVE3593" s="204"/>
      <c r="MVF3593" s="204"/>
      <c r="MVG3593" s="204"/>
      <c r="MVH3593" s="204"/>
      <c r="MVI3593" s="204"/>
      <c r="MVJ3593" s="204"/>
      <c r="MVK3593" s="204"/>
      <c r="MVL3593" s="204"/>
      <c r="MVM3593" s="204"/>
      <c r="MVN3593" s="204"/>
      <c r="MVO3593" s="204"/>
      <c r="MVP3593" s="204"/>
      <c r="MVQ3593" s="204"/>
      <c r="MVR3593" s="204"/>
      <c r="MVS3593" s="204"/>
      <c r="MVT3593" s="204"/>
      <c r="MVU3593" s="204"/>
      <c r="MVV3593" s="204"/>
      <c r="MVW3593" s="204"/>
      <c r="MVX3593" s="204"/>
      <c r="MVY3593" s="204"/>
      <c r="MVZ3593" s="204"/>
      <c r="MWA3593" s="204"/>
      <c r="MWB3593" s="204"/>
      <c r="MWC3593" s="204"/>
      <c r="MWD3593" s="204"/>
      <c r="MWE3593" s="204"/>
      <c r="MWF3593" s="204"/>
      <c r="MWG3593" s="204"/>
      <c r="MWH3593" s="204"/>
      <c r="MWI3593" s="204"/>
      <c r="MWJ3593" s="204"/>
      <c r="MWK3593" s="204"/>
      <c r="MWL3593" s="204"/>
      <c r="MWM3593" s="204"/>
      <c r="MWN3593" s="204"/>
      <c r="MWO3593" s="204"/>
      <c r="MWP3593" s="204"/>
      <c r="MWQ3593" s="204"/>
      <c r="MWR3593" s="204"/>
      <c r="MWS3593" s="204"/>
      <c r="MWT3593" s="204"/>
      <c r="MWU3593" s="204"/>
      <c r="MWV3593" s="204"/>
      <c r="MWW3593" s="204"/>
      <c r="MWX3593" s="204"/>
      <c r="MWY3593" s="204"/>
      <c r="MWZ3593" s="204"/>
      <c r="MXA3593" s="204"/>
      <c r="MXB3593" s="204"/>
      <c r="MXC3593" s="204"/>
      <c r="MXD3593" s="204"/>
      <c r="MXE3593" s="204"/>
      <c r="MXF3593" s="204"/>
      <c r="MXG3593" s="204"/>
      <c r="MXH3593" s="204"/>
      <c r="MXI3593" s="204"/>
      <c r="MXJ3593" s="204"/>
      <c r="MXK3593" s="204"/>
      <c r="MXL3593" s="204"/>
      <c r="MXM3593" s="204"/>
      <c r="MXN3593" s="204"/>
      <c r="MXO3593" s="204"/>
      <c r="MXP3593" s="204"/>
      <c r="MXQ3593" s="204"/>
      <c r="MXR3593" s="204"/>
      <c r="MXS3593" s="204"/>
      <c r="MXT3593" s="204"/>
      <c r="MXU3593" s="204"/>
      <c r="MXV3593" s="204"/>
      <c r="MXW3593" s="204"/>
      <c r="MXX3593" s="204"/>
      <c r="MXY3593" s="204"/>
      <c r="MXZ3593" s="204"/>
      <c r="MYA3593" s="204"/>
      <c r="MYB3593" s="204"/>
      <c r="MYC3593" s="204"/>
      <c r="MYD3593" s="204"/>
      <c r="MYE3593" s="204"/>
      <c r="MYF3593" s="204"/>
      <c r="MYG3593" s="204"/>
      <c r="MYH3593" s="204"/>
      <c r="MYI3593" s="204"/>
      <c r="MYJ3593" s="204"/>
      <c r="MYK3593" s="204"/>
      <c r="MYL3593" s="204"/>
      <c r="MYM3593" s="204"/>
      <c r="MYN3593" s="204"/>
      <c r="MYO3593" s="204"/>
      <c r="MYP3593" s="204"/>
      <c r="MYQ3593" s="204"/>
      <c r="MYR3593" s="204"/>
      <c r="MYS3593" s="204"/>
      <c r="MYT3593" s="204"/>
      <c r="MYU3593" s="204"/>
      <c r="MYV3593" s="204"/>
      <c r="MYW3593" s="204"/>
      <c r="MYX3593" s="204"/>
      <c r="MYY3593" s="204"/>
      <c r="MYZ3593" s="204"/>
      <c r="MZA3593" s="204"/>
      <c r="MZB3593" s="204"/>
      <c r="MZC3593" s="204"/>
      <c r="MZD3593" s="204"/>
      <c r="MZE3593" s="204"/>
      <c r="MZF3593" s="204"/>
      <c r="MZG3593" s="204"/>
      <c r="MZH3593" s="204"/>
      <c r="MZI3593" s="204"/>
      <c r="MZJ3593" s="204"/>
      <c r="MZK3593" s="204"/>
      <c r="MZL3593" s="204"/>
      <c r="MZM3593" s="204"/>
      <c r="MZN3593" s="204"/>
      <c r="MZO3593" s="204"/>
      <c r="MZP3593" s="204"/>
      <c r="MZQ3593" s="204"/>
      <c r="MZR3593" s="204"/>
      <c r="MZS3593" s="204"/>
      <c r="MZT3593" s="204"/>
      <c r="MZU3593" s="204"/>
      <c r="MZV3593" s="204"/>
      <c r="MZW3593" s="204"/>
      <c r="MZX3593" s="204"/>
      <c r="MZY3593" s="204"/>
      <c r="MZZ3593" s="204"/>
      <c r="NAA3593" s="204"/>
      <c r="NAB3593" s="204"/>
      <c r="NAC3593" s="204"/>
      <c r="NAD3593" s="204"/>
      <c r="NAE3593" s="204"/>
      <c r="NAF3593" s="204"/>
      <c r="NAG3593" s="204"/>
      <c r="NAH3593" s="204"/>
      <c r="NAI3593" s="204"/>
      <c r="NAJ3593" s="204"/>
      <c r="NAK3593" s="204"/>
      <c r="NAL3593" s="204"/>
      <c r="NAM3593" s="204"/>
      <c r="NAN3593" s="204"/>
      <c r="NAO3593" s="204"/>
      <c r="NAP3593" s="204"/>
      <c r="NAQ3593" s="204"/>
      <c r="NAR3593" s="204"/>
      <c r="NAS3593" s="204"/>
      <c r="NAT3593" s="204"/>
      <c r="NAU3593" s="204"/>
      <c r="NAV3593" s="204"/>
      <c r="NAW3593" s="204"/>
      <c r="NAX3593" s="204"/>
      <c r="NAY3593" s="204"/>
      <c r="NAZ3593" s="204"/>
      <c r="NBA3593" s="204"/>
      <c r="NBB3593" s="204"/>
      <c r="NBC3593" s="204"/>
      <c r="NBD3593" s="204"/>
      <c r="NBE3593" s="204"/>
      <c r="NBF3593" s="204"/>
      <c r="NBG3593" s="204"/>
      <c r="NBH3593" s="204"/>
      <c r="NBI3593" s="204"/>
      <c r="NBJ3593" s="204"/>
      <c r="NBK3593" s="204"/>
      <c r="NBL3593" s="204"/>
      <c r="NBM3593" s="204"/>
      <c r="NBN3593" s="204"/>
      <c r="NBO3593" s="204"/>
      <c r="NBP3593" s="204"/>
      <c r="NBQ3593" s="204"/>
      <c r="NBR3593" s="204"/>
      <c r="NBS3593" s="204"/>
      <c r="NBT3593" s="204"/>
      <c r="NBU3593" s="204"/>
      <c r="NBV3593" s="204"/>
      <c r="NBW3593" s="204"/>
      <c r="NBX3593" s="204"/>
      <c r="NBY3593" s="204"/>
      <c r="NBZ3593" s="204"/>
      <c r="NCA3593" s="204"/>
      <c r="NCB3593" s="204"/>
      <c r="NCC3593" s="204"/>
      <c r="NCD3593" s="204"/>
      <c r="NCE3593" s="204"/>
      <c r="NCF3593" s="204"/>
      <c r="NCG3593" s="204"/>
      <c r="NCH3593" s="204"/>
      <c r="NCI3593" s="204"/>
      <c r="NCJ3593" s="204"/>
      <c r="NCK3593" s="204"/>
      <c r="NCL3593" s="204"/>
      <c r="NCM3593" s="204"/>
      <c r="NCN3593" s="204"/>
      <c r="NCO3593" s="204"/>
      <c r="NCP3593" s="204"/>
      <c r="NCQ3593" s="204"/>
      <c r="NCR3593" s="204"/>
      <c r="NCS3593" s="204"/>
      <c r="NCT3593" s="204"/>
      <c r="NCU3593" s="204"/>
      <c r="NCV3593" s="204"/>
      <c r="NCW3593" s="204"/>
      <c r="NCX3593" s="204"/>
      <c r="NCY3593" s="204"/>
      <c r="NCZ3593" s="204"/>
      <c r="NDA3593" s="204"/>
      <c r="NDB3593" s="204"/>
      <c r="NDC3593" s="204"/>
      <c r="NDD3593" s="204"/>
      <c r="NDE3593" s="204"/>
      <c r="NDF3593" s="204"/>
      <c r="NDG3593" s="204"/>
      <c r="NDH3593" s="204"/>
      <c r="NDI3593" s="204"/>
      <c r="NDJ3593" s="204"/>
      <c r="NDK3593" s="204"/>
      <c r="NDL3593" s="204"/>
      <c r="NDM3593" s="204"/>
      <c r="NDN3593" s="204"/>
      <c r="NDO3593" s="204"/>
      <c r="NDP3593" s="204"/>
      <c r="NDQ3593" s="204"/>
      <c r="NDR3593" s="204"/>
      <c r="NDS3593" s="204"/>
      <c r="NDT3593" s="204"/>
      <c r="NDU3593" s="204"/>
      <c r="NDV3593" s="204"/>
      <c r="NDW3593" s="204"/>
      <c r="NDX3593" s="204"/>
      <c r="NDY3593" s="204"/>
      <c r="NDZ3593" s="204"/>
      <c r="NEA3593" s="204"/>
      <c r="NEB3593" s="204"/>
      <c r="NEC3593" s="204"/>
      <c r="NED3593" s="204"/>
      <c r="NEE3593" s="204"/>
      <c r="NEF3593" s="204"/>
      <c r="NEG3593" s="204"/>
      <c r="NEH3593" s="204"/>
      <c r="NEI3593" s="204"/>
      <c r="NEJ3593" s="204"/>
      <c r="NEK3593" s="204"/>
      <c r="NEL3593" s="204"/>
      <c r="NEM3593" s="204"/>
      <c r="NEN3593" s="204"/>
      <c r="NEO3593" s="204"/>
      <c r="NEP3593" s="204"/>
      <c r="NEQ3593" s="204"/>
      <c r="NER3593" s="204"/>
      <c r="NES3593" s="204"/>
      <c r="NET3593" s="204"/>
      <c r="NEU3593" s="204"/>
      <c r="NEV3593" s="204"/>
      <c r="NEW3593" s="204"/>
      <c r="NEX3593" s="204"/>
      <c r="NEY3593" s="204"/>
      <c r="NEZ3593" s="204"/>
      <c r="NFA3593" s="204"/>
      <c r="NFB3593" s="204"/>
      <c r="NFC3593" s="204"/>
      <c r="NFD3593" s="204"/>
      <c r="NFE3593" s="204"/>
      <c r="NFF3593" s="204"/>
      <c r="NFG3593" s="204"/>
      <c r="NFH3593" s="204"/>
      <c r="NFI3593" s="204"/>
      <c r="NFJ3593" s="204"/>
      <c r="NFK3593" s="204"/>
      <c r="NFL3593" s="204"/>
      <c r="NFM3593" s="204"/>
      <c r="NFN3593" s="204"/>
      <c r="NFO3593" s="204"/>
      <c r="NFP3593" s="204"/>
      <c r="NFQ3593" s="204"/>
      <c r="NFR3593" s="204"/>
      <c r="NFS3593" s="204"/>
      <c r="NFT3593" s="204"/>
      <c r="NFU3593" s="204"/>
      <c r="NFV3593" s="204"/>
      <c r="NFW3593" s="204"/>
      <c r="NFX3593" s="204"/>
      <c r="NFY3593" s="204"/>
      <c r="NFZ3593" s="204"/>
      <c r="NGA3593" s="204"/>
      <c r="NGB3593" s="204"/>
      <c r="NGC3593" s="204"/>
      <c r="NGD3593" s="204"/>
      <c r="NGE3593" s="204"/>
      <c r="NGF3593" s="204"/>
      <c r="NGG3593" s="204"/>
      <c r="NGH3593" s="204"/>
      <c r="NGI3593" s="204"/>
      <c r="NGJ3593" s="204"/>
      <c r="NGK3593" s="204"/>
      <c r="NGL3593" s="204"/>
      <c r="NGM3593" s="204"/>
      <c r="NGN3593" s="204"/>
      <c r="NGO3593" s="204"/>
      <c r="NGP3593" s="204"/>
      <c r="NGQ3593" s="204"/>
      <c r="NGR3593" s="204"/>
      <c r="NGS3593" s="204"/>
      <c r="NGT3593" s="204"/>
      <c r="NGU3593" s="204"/>
      <c r="NGV3593" s="204"/>
      <c r="NGW3593" s="204"/>
      <c r="NGX3593" s="204"/>
      <c r="NGY3593" s="204"/>
      <c r="NGZ3593" s="204"/>
      <c r="NHA3593" s="204"/>
      <c r="NHB3593" s="204"/>
      <c r="NHC3593" s="204"/>
      <c r="NHD3593" s="204"/>
      <c r="NHE3593" s="204"/>
      <c r="NHF3593" s="204"/>
      <c r="NHG3593" s="204"/>
      <c r="NHH3593" s="204"/>
      <c r="NHI3593" s="204"/>
      <c r="NHJ3593" s="204"/>
      <c r="NHK3593" s="204"/>
      <c r="NHL3593" s="204"/>
      <c r="NHM3593" s="204"/>
      <c r="NHN3593" s="204"/>
      <c r="NHO3593" s="204"/>
      <c r="NHP3593" s="204"/>
      <c r="NHQ3593" s="204"/>
      <c r="NHR3593" s="204"/>
      <c r="NHS3593" s="204"/>
      <c r="NHT3593" s="204"/>
      <c r="NHU3593" s="204"/>
      <c r="NHV3593" s="204"/>
      <c r="NHW3593" s="204"/>
      <c r="NHX3593" s="204"/>
      <c r="NHY3593" s="204"/>
      <c r="NHZ3593" s="204"/>
      <c r="NIA3593" s="204"/>
      <c r="NIB3593" s="204"/>
      <c r="NIC3593" s="204"/>
      <c r="NID3593" s="204"/>
      <c r="NIE3593" s="204"/>
      <c r="NIF3593" s="204"/>
      <c r="NIG3593" s="204"/>
      <c r="NIH3593" s="204"/>
      <c r="NII3593" s="204"/>
      <c r="NIJ3593" s="204"/>
      <c r="NIK3593" s="204"/>
      <c r="NIL3593" s="204"/>
      <c r="NIM3593" s="204"/>
      <c r="NIN3593" s="204"/>
      <c r="NIO3593" s="204"/>
      <c r="NIP3593" s="204"/>
      <c r="NIQ3593" s="204"/>
      <c r="NIR3593" s="204"/>
      <c r="NIS3593" s="204"/>
      <c r="NIT3593" s="204"/>
      <c r="NIU3593" s="204"/>
      <c r="NIV3593" s="204"/>
      <c r="NIW3593" s="204"/>
      <c r="NIX3593" s="204"/>
      <c r="NIY3593" s="204"/>
      <c r="NIZ3593" s="204"/>
      <c r="NJA3593" s="204"/>
      <c r="NJB3593" s="204"/>
      <c r="NJC3593" s="204"/>
      <c r="NJD3593" s="204"/>
      <c r="NJE3593" s="204"/>
      <c r="NJF3593" s="204"/>
      <c r="NJG3593" s="204"/>
      <c r="NJH3593" s="204"/>
      <c r="NJI3593" s="204"/>
      <c r="NJJ3593" s="204"/>
      <c r="NJK3593" s="204"/>
      <c r="NJL3593" s="204"/>
      <c r="NJM3593" s="204"/>
      <c r="NJN3593" s="204"/>
      <c r="NJO3593" s="204"/>
      <c r="NJP3593" s="204"/>
      <c r="NJQ3593" s="204"/>
      <c r="NJR3593" s="204"/>
      <c r="NJS3593" s="204"/>
      <c r="NJT3593" s="204"/>
      <c r="NJU3593" s="204"/>
      <c r="NJV3593" s="204"/>
      <c r="NJW3593" s="204"/>
      <c r="NJX3593" s="204"/>
      <c r="NJY3593" s="204"/>
      <c r="NJZ3593" s="204"/>
      <c r="NKA3593" s="204"/>
      <c r="NKB3593" s="204"/>
      <c r="NKC3593" s="204"/>
      <c r="NKD3593" s="204"/>
      <c r="NKE3593" s="204"/>
      <c r="NKF3593" s="204"/>
      <c r="NKG3593" s="204"/>
      <c r="NKH3593" s="204"/>
      <c r="NKI3593" s="204"/>
      <c r="NKJ3593" s="204"/>
      <c r="NKK3593" s="204"/>
      <c r="NKL3593" s="204"/>
      <c r="NKM3593" s="204"/>
      <c r="NKN3593" s="204"/>
      <c r="NKO3593" s="204"/>
      <c r="NKP3593" s="204"/>
      <c r="NKQ3593" s="204"/>
      <c r="NKR3593" s="204"/>
      <c r="NKS3593" s="204"/>
      <c r="NKT3593" s="204"/>
      <c r="NKU3593" s="204"/>
      <c r="NKV3593" s="204"/>
      <c r="NKW3593" s="204"/>
      <c r="NKX3593" s="204"/>
      <c r="NKY3593" s="204"/>
      <c r="NKZ3593" s="204"/>
      <c r="NLA3593" s="204"/>
      <c r="NLB3593" s="204"/>
      <c r="NLC3593" s="204"/>
      <c r="NLD3593" s="204"/>
      <c r="NLE3593" s="204"/>
      <c r="NLF3593" s="204"/>
      <c r="NLG3593" s="204"/>
      <c r="NLH3593" s="204"/>
      <c r="NLI3593" s="204"/>
      <c r="NLJ3593" s="204"/>
      <c r="NLK3593" s="204"/>
      <c r="NLL3593" s="204"/>
      <c r="NLM3593" s="204"/>
      <c r="NLN3593" s="204"/>
      <c r="NLO3593" s="204"/>
      <c r="NLP3593" s="204"/>
      <c r="NLQ3593" s="204"/>
      <c r="NLR3593" s="204"/>
      <c r="NLS3593" s="204"/>
      <c r="NLT3593" s="204"/>
      <c r="NLU3593" s="204"/>
      <c r="NLV3593" s="204"/>
      <c r="NLW3593" s="204"/>
      <c r="NLX3593" s="204"/>
      <c r="NLY3593" s="204"/>
      <c r="NLZ3593" s="204"/>
      <c r="NMA3593" s="204"/>
      <c r="NMB3593" s="204"/>
      <c r="NMC3593" s="204"/>
      <c r="NMD3593" s="204"/>
      <c r="NME3593" s="204"/>
      <c r="NMF3593" s="204"/>
      <c r="NMG3593" s="204"/>
      <c r="NMH3593" s="204"/>
      <c r="NMI3593" s="204"/>
      <c r="NMJ3593" s="204"/>
      <c r="NMK3593" s="204"/>
      <c r="NML3593" s="204"/>
      <c r="NMM3593" s="204"/>
      <c r="NMN3593" s="204"/>
      <c r="NMO3593" s="204"/>
      <c r="NMP3593" s="204"/>
      <c r="NMQ3593" s="204"/>
      <c r="NMR3593" s="204"/>
      <c r="NMS3593" s="204"/>
      <c r="NMT3593" s="204"/>
      <c r="NMU3593" s="204"/>
      <c r="NMV3593" s="204"/>
      <c r="NMW3593" s="204"/>
      <c r="NMX3593" s="204"/>
      <c r="NMY3593" s="204"/>
      <c r="NMZ3593" s="204"/>
      <c r="NNA3593" s="204"/>
      <c r="NNB3593" s="204"/>
      <c r="NNC3593" s="204"/>
      <c r="NND3593" s="204"/>
      <c r="NNE3593" s="204"/>
      <c r="NNF3593" s="204"/>
      <c r="NNG3593" s="204"/>
      <c r="NNH3593" s="204"/>
      <c r="NNI3593" s="204"/>
      <c r="NNJ3593" s="204"/>
      <c r="NNK3593" s="204"/>
      <c r="NNL3593" s="204"/>
      <c r="NNM3593" s="204"/>
      <c r="NNN3593" s="204"/>
      <c r="NNO3593" s="204"/>
      <c r="NNP3593" s="204"/>
      <c r="NNQ3593" s="204"/>
      <c r="NNR3593" s="204"/>
      <c r="NNS3593" s="204"/>
      <c r="NNT3593" s="204"/>
      <c r="NNU3593" s="204"/>
      <c r="NNV3593" s="204"/>
      <c r="NNW3593" s="204"/>
      <c r="NNX3593" s="204"/>
      <c r="NNY3593" s="204"/>
      <c r="NNZ3593" s="204"/>
      <c r="NOA3593" s="204"/>
      <c r="NOB3593" s="204"/>
      <c r="NOC3593" s="204"/>
      <c r="NOD3593" s="204"/>
      <c r="NOE3593" s="204"/>
      <c r="NOF3593" s="204"/>
      <c r="NOG3593" s="204"/>
      <c r="NOH3593" s="204"/>
      <c r="NOI3593" s="204"/>
      <c r="NOJ3593" s="204"/>
      <c r="NOK3593" s="204"/>
      <c r="NOL3593" s="204"/>
      <c r="NOM3593" s="204"/>
      <c r="NON3593" s="204"/>
      <c r="NOO3593" s="204"/>
      <c r="NOP3593" s="204"/>
      <c r="NOQ3593" s="204"/>
      <c r="NOR3593" s="204"/>
      <c r="NOS3593" s="204"/>
      <c r="NOT3593" s="204"/>
      <c r="NOU3593" s="204"/>
      <c r="NOV3593" s="204"/>
      <c r="NOW3593" s="204"/>
      <c r="NOX3593" s="204"/>
      <c r="NOY3593" s="204"/>
      <c r="NOZ3593" s="204"/>
      <c r="NPA3593" s="204"/>
      <c r="NPB3593" s="204"/>
      <c r="NPC3593" s="204"/>
      <c r="NPD3593" s="204"/>
      <c r="NPE3593" s="204"/>
      <c r="NPF3593" s="204"/>
      <c r="NPG3593" s="204"/>
      <c r="NPH3593" s="204"/>
      <c r="NPI3593" s="204"/>
      <c r="NPJ3593" s="204"/>
      <c r="NPK3593" s="204"/>
      <c r="NPL3593" s="204"/>
      <c r="NPM3593" s="204"/>
      <c r="NPN3593" s="204"/>
      <c r="NPO3593" s="204"/>
      <c r="NPP3593" s="204"/>
      <c r="NPQ3593" s="204"/>
      <c r="NPR3593" s="204"/>
      <c r="NPS3593" s="204"/>
      <c r="NPT3593" s="204"/>
      <c r="NPU3593" s="204"/>
      <c r="NPV3593" s="204"/>
      <c r="NPW3593" s="204"/>
      <c r="NPX3593" s="204"/>
      <c r="NPY3593" s="204"/>
      <c r="NPZ3593" s="204"/>
      <c r="NQA3593" s="204"/>
      <c r="NQB3593" s="204"/>
      <c r="NQC3593" s="204"/>
      <c r="NQD3593" s="204"/>
      <c r="NQE3593" s="204"/>
      <c r="NQF3593" s="204"/>
      <c r="NQG3593" s="204"/>
      <c r="NQH3593" s="204"/>
      <c r="NQI3593" s="204"/>
      <c r="NQJ3593" s="204"/>
      <c r="NQK3593" s="204"/>
      <c r="NQL3593" s="204"/>
      <c r="NQM3593" s="204"/>
      <c r="NQN3593" s="204"/>
      <c r="NQO3593" s="204"/>
      <c r="NQP3593" s="204"/>
      <c r="NQQ3593" s="204"/>
      <c r="NQR3593" s="204"/>
      <c r="NQS3593" s="204"/>
      <c r="NQT3593" s="204"/>
      <c r="NQU3593" s="204"/>
      <c r="NQV3593" s="204"/>
      <c r="NQW3593" s="204"/>
      <c r="NQX3593" s="204"/>
      <c r="NQY3593" s="204"/>
      <c r="NQZ3593" s="204"/>
      <c r="NRA3593" s="204"/>
      <c r="NRB3593" s="204"/>
      <c r="NRC3593" s="204"/>
      <c r="NRD3593" s="204"/>
      <c r="NRE3593" s="204"/>
      <c r="NRF3593" s="204"/>
      <c r="NRG3593" s="204"/>
      <c r="NRH3593" s="204"/>
      <c r="NRI3593" s="204"/>
      <c r="NRJ3593" s="204"/>
      <c r="NRK3593" s="204"/>
      <c r="NRL3593" s="204"/>
      <c r="NRM3593" s="204"/>
      <c r="NRN3593" s="204"/>
      <c r="NRO3593" s="204"/>
      <c r="NRP3593" s="204"/>
      <c r="NRQ3593" s="204"/>
      <c r="NRR3593" s="204"/>
      <c r="NRS3593" s="204"/>
      <c r="NRT3593" s="204"/>
      <c r="NRU3593" s="204"/>
      <c r="NRV3593" s="204"/>
      <c r="NRW3593" s="204"/>
      <c r="NRX3593" s="204"/>
      <c r="NRY3593" s="204"/>
      <c r="NRZ3593" s="204"/>
      <c r="NSA3593" s="204"/>
      <c r="NSB3593" s="204"/>
      <c r="NSC3593" s="204"/>
      <c r="NSD3593" s="204"/>
      <c r="NSE3593" s="204"/>
      <c r="NSF3593" s="204"/>
      <c r="NSG3593" s="204"/>
      <c r="NSH3593" s="204"/>
      <c r="NSI3593" s="204"/>
      <c r="NSJ3593" s="204"/>
      <c r="NSK3593" s="204"/>
      <c r="NSL3593" s="204"/>
      <c r="NSM3593" s="204"/>
      <c r="NSN3593" s="204"/>
      <c r="NSO3593" s="204"/>
      <c r="NSP3593" s="204"/>
      <c r="NSQ3593" s="204"/>
      <c r="NSR3593" s="204"/>
      <c r="NSS3593" s="204"/>
      <c r="NST3593" s="204"/>
      <c r="NSU3593" s="204"/>
      <c r="NSV3593" s="204"/>
      <c r="NSW3593" s="204"/>
      <c r="NSX3593" s="204"/>
      <c r="NSY3593" s="204"/>
      <c r="NSZ3593" s="204"/>
      <c r="NTA3593" s="204"/>
      <c r="NTB3593" s="204"/>
      <c r="NTC3593" s="204"/>
      <c r="NTD3593" s="204"/>
      <c r="NTE3593" s="204"/>
      <c r="NTF3593" s="204"/>
      <c r="NTG3593" s="204"/>
      <c r="NTH3593" s="204"/>
      <c r="NTI3593" s="204"/>
      <c r="NTJ3593" s="204"/>
      <c r="NTK3593" s="204"/>
      <c r="NTL3593" s="204"/>
      <c r="NTM3593" s="204"/>
      <c r="NTN3593" s="204"/>
      <c r="NTO3593" s="204"/>
      <c r="NTP3593" s="204"/>
      <c r="NTQ3593" s="204"/>
      <c r="NTR3593" s="204"/>
      <c r="NTS3593" s="204"/>
      <c r="NTT3593" s="204"/>
      <c r="NTU3593" s="204"/>
      <c r="NTV3593" s="204"/>
      <c r="NTW3593" s="204"/>
      <c r="NTX3593" s="204"/>
      <c r="NTY3593" s="204"/>
      <c r="NTZ3593" s="204"/>
      <c r="NUA3593" s="204"/>
      <c r="NUB3593" s="204"/>
      <c r="NUC3593" s="204"/>
      <c r="NUD3593" s="204"/>
      <c r="NUE3593" s="204"/>
      <c r="NUF3593" s="204"/>
      <c r="NUG3593" s="204"/>
      <c r="NUH3593" s="204"/>
      <c r="NUI3593" s="204"/>
      <c r="NUJ3593" s="204"/>
      <c r="NUK3593" s="204"/>
      <c r="NUL3593" s="204"/>
      <c r="NUM3593" s="204"/>
      <c r="NUN3593" s="204"/>
      <c r="NUO3593" s="204"/>
      <c r="NUP3593" s="204"/>
      <c r="NUQ3593" s="204"/>
      <c r="NUR3593" s="204"/>
      <c r="NUS3593" s="204"/>
      <c r="NUT3593" s="204"/>
      <c r="NUU3593" s="204"/>
      <c r="NUV3593" s="204"/>
      <c r="NUW3593" s="204"/>
      <c r="NUX3593" s="204"/>
      <c r="NUY3593" s="204"/>
      <c r="NUZ3593" s="204"/>
      <c r="NVA3593" s="204"/>
      <c r="NVB3593" s="204"/>
      <c r="NVC3593" s="204"/>
      <c r="NVD3593" s="204"/>
      <c r="NVE3593" s="204"/>
      <c r="NVF3593" s="204"/>
      <c r="NVG3593" s="204"/>
      <c r="NVH3593" s="204"/>
      <c r="NVI3593" s="204"/>
      <c r="NVJ3593" s="204"/>
      <c r="NVK3593" s="204"/>
      <c r="NVL3593" s="204"/>
      <c r="NVM3593" s="204"/>
      <c r="NVN3593" s="204"/>
      <c r="NVO3593" s="204"/>
      <c r="NVP3593" s="204"/>
      <c r="NVQ3593" s="204"/>
      <c r="NVR3593" s="204"/>
      <c r="NVS3593" s="204"/>
      <c r="NVT3593" s="204"/>
      <c r="NVU3593" s="204"/>
      <c r="NVV3593" s="204"/>
      <c r="NVW3593" s="204"/>
      <c r="NVX3593" s="204"/>
      <c r="NVY3593" s="204"/>
      <c r="NVZ3593" s="204"/>
      <c r="NWA3593" s="204"/>
      <c r="NWB3593" s="204"/>
      <c r="NWC3593" s="204"/>
      <c r="NWD3593" s="204"/>
      <c r="NWE3593" s="204"/>
      <c r="NWF3593" s="204"/>
      <c r="NWG3593" s="204"/>
      <c r="NWH3593" s="204"/>
      <c r="NWI3593" s="204"/>
      <c r="NWJ3593" s="204"/>
      <c r="NWK3593" s="204"/>
      <c r="NWL3593" s="204"/>
      <c r="NWM3593" s="204"/>
      <c r="NWN3593" s="204"/>
      <c r="NWO3593" s="204"/>
      <c r="NWP3593" s="204"/>
      <c r="NWQ3593" s="204"/>
      <c r="NWR3593" s="204"/>
      <c r="NWS3593" s="204"/>
      <c r="NWT3593" s="204"/>
      <c r="NWU3593" s="204"/>
      <c r="NWV3593" s="204"/>
      <c r="NWW3593" s="204"/>
      <c r="NWX3593" s="204"/>
      <c r="NWY3593" s="204"/>
      <c r="NWZ3593" s="204"/>
      <c r="NXA3593" s="204"/>
      <c r="NXB3593" s="204"/>
      <c r="NXC3593" s="204"/>
      <c r="NXD3593" s="204"/>
      <c r="NXE3593" s="204"/>
      <c r="NXF3593" s="204"/>
      <c r="NXG3593" s="204"/>
      <c r="NXH3593" s="204"/>
      <c r="NXI3593" s="204"/>
      <c r="NXJ3593" s="204"/>
      <c r="NXK3593" s="204"/>
      <c r="NXL3593" s="204"/>
      <c r="NXM3593" s="204"/>
      <c r="NXN3593" s="204"/>
      <c r="NXO3593" s="204"/>
      <c r="NXP3593" s="204"/>
      <c r="NXQ3593" s="204"/>
      <c r="NXR3593" s="204"/>
      <c r="NXS3593" s="204"/>
      <c r="NXT3593" s="204"/>
      <c r="NXU3593" s="204"/>
      <c r="NXV3593" s="204"/>
      <c r="NXW3593" s="204"/>
      <c r="NXX3593" s="204"/>
      <c r="NXY3593" s="204"/>
      <c r="NXZ3593" s="204"/>
      <c r="NYA3593" s="204"/>
      <c r="NYB3593" s="204"/>
      <c r="NYC3593" s="204"/>
      <c r="NYD3593" s="204"/>
      <c r="NYE3593" s="204"/>
      <c r="NYF3593" s="204"/>
      <c r="NYG3593" s="204"/>
      <c r="NYH3593" s="204"/>
      <c r="NYI3593" s="204"/>
      <c r="NYJ3593" s="204"/>
      <c r="NYK3593" s="204"/>
      <c r="NYL3593" s="204"/>
      <c r="NYM3593" s="204"/>
      <c r="NYN3593" s="204"/>
      <c r="NYO3593" s="204"/>
      <c r="NYP3593" s="204"/>
      <c r="NYQ3593" s="204"/>
      <c r="NYR3593" s="204"/>
      <c r="NYS3593" s="204"/>
      <c r="NYT3593" s="204"/>
      <c r="NYU3593" s="204"/>
      <c r="NYV3593" s="204"/>
      <c r="NYW3593" s="204"/>
      <c r="NYX3593" s="204"/>
      <c r="NYY3593" s="204"/>
      <c r="NYZ3593" s="204"/>
      <c r="NZA3593" s="204"/>
      <c r="NZB3593" s="204"/>
      <c r="NZC3593" s="204"/>
      <c r="NZD3593" s="204"/>
      <c r="NZE3593" s="204"/>
      <c r="NZF3593" s="204"/>
      <c r="NZG3593" s="204"/>
      <c r="NZH3593" s="204"/>
      <c r="NZI3593" s="204"/>
      <c r="NZJ3593" s="204"/>
      <c r="NZK3593" s="204"/>
      <c r="NZL3593" s="204"/>
      <c r="NZM3593" s="204"/>
      <c r="NZN3593" s="204"/>
      <c r="NZO3593" s="204"/>
      <c r="NZP3593" s="204"/>
      <c r="NZQ3593" s="204"/>
      <c r="NZR3593" s="204"/>
      <c r="NZS3593" s="204"/>
      <c r="NZT3593" s="204"/>
      <c r="NZU3593" s="204"/>
      <c r="NZV3593" s="204"/>
      <c r="NZW3593" s="204"/>
      <c r="NZX3593" s="204"/>
      <c r="NZY3593" s="204"/>
      <c r="NZZ3593" s="204"/>
      <c r="OAA3593" s="204"/>
      <c r="OAB3593" s="204"/>
      <c r="OAC3593" s="204"/>
      <c r="OAD3593" s="204"/>
      <c r="OAE3593" s="204"/>
      <c r="OAF3593" s="204"/>
      <c r="OAG3593" s="204"/>
      <c r="OAH3593" s="204"/>
      <c r="OAI3593" s="204"/>
      <c r="OAJ3593" s="204"/>
      <c r="OAK3593" s="204"/>
      <c r="OAL3593" s="204"/>
      <c r="OAM3593" s="204"/>
      <c r="OAN3593" s="204"/>
      <c r="OAO3593" s="204"/>
      <c r="OAP3593" s="204"/>
      <c r="OAQ3593" s="204"/>
      <c r="OAR3593" s="204"/>
      <c r="OAS3593" s="204"/>
      <c r="OAT3593" s="204"/>
      <c r="OAU3593" s="204"/>
      <c r="OAV3593" s="204"/>
      <c r="OAW3593" s="204"/>
      <c r="OAX3593" s="204"/>
      <c r="OAY3593" s="204"/>
      <c r="OAZ3593" s="204"/>
      <c r="OBA3593" s="204"/>
      <c r="OBB3593" s="204"/>
      <c r="OBC3593" s="204"/>
      <c r="OBD3593" s="204"/>
      <c r="OBE3593" s="204"/>
      <c r="OBF3593" s="204"/>
      <c r="OBG3593" s="204"/>
      <c r="OBH3593" s="204"/>
      <c r="OBI3593" s="204"/>
      <c r="OBJ3593" s="204"/>
      <c r="OBK3593" s="204"/>
      <c r="OBL3593" s="204"/>
      <c r="OBM3593" s="204"/>
      <c r="OBN3593" s="204"/>
      <c r="OBO3593" s="204"/>
      <c r="OBP3593" s="204"/>
      <c r="OBQ3593" s="204"/>
      <c r="OBR3593" s="204"/>
      <c r="OBS3593" s="204"/>
      <c r="OBT3593" s="204"/>
      <c r="OBU3593" s="204"/>
      <c r="OBV3593" s="204"/>
      <c r="OBW3593" s="204"/>
      <c r="OBX3593" s="204"/>
      <c r="OBY3593" s="204"/>
      <c r="OBZ3593" s="204"/>
      <c r="OCA3593" s="204"/>
      <c r="OCB3593" s="204"/>
      <c r="OCC3593" s="204"/>
      <c r="OCD3593" s="204"/>
      <c r="OCE3593" s="204"/>
      <c r="OCF3593" s="204"/>
      <c r="OCG3593" s="204"/>
      <c r="OCH3593" s="204"/>
      <c r="OCI3593" s="204"/>
      <c r="OCJ3593" s="204"/>
      <c r="OCK3593" s="204"/>
      <c r="OCL3593" s="204"/>
      <c r="OCM3593" s="204"/>
      <c r="OCN3593" s="204"/>
      <c r="OCO3593" s="204"/>
      <c r="OCP3593" s="204"/>
      <c r="OCQ3593" s="204"/>
      <c r="OCR3593" s="204"/>
      <c r="OCS3593" s="204"/>
      <c r="OCT3593" s="204"/>
      <c r="OCU3593" s="204"/>
      <c r="OCV3593" s="204"/>
      <c r="OCW3593" s="204"/>
      <c r="OCX3593" s="204"/>
      <c r="OCY3593" s="204"/>
      <c r="OCZ3593" s="204"/>
      <c r="ODA3593" s="204"/>
      <c r="ODB3593" s="204"/>
      <c r="ODC3593" s="204"/>
      <c r="ODD3593" s="204"/>
      <c r="ODE3593" s="204"/>
      <c r="ODF3593" s="204"/>
      <c r="ODG3593" s="204"/>
      <c r="ODH3593" s="204"/>
      <c r="ODI3593" s="204"/>
      <c r="ODJ3593" s="204"/>
      <c r="ODK3593" s="204"/>
      <c r="ODL3593" s="204"/>
      <c r="ODM3593" s="204"/>
      <c r="ODN3593" s="204"/>
      <c r="ODO3593" s="204"/>
      <c r="ODP3593" s="204"/>
      <c r="ODQ3593" s="204"/>
      <c r="ODR3593" s="204"/>
      <c r="ODS3593" s="204"/>
      <c r="ODT3593" s="204"/>
      <c r="ODU3593" s="204"/>
      <c r="ODV3593" s="204"/>
      <c r="ODW3593" s="204"/>
      <c r="ODX3593" s="204"/>
      <c r="ODY3593" s="204"/>
      <c r="ODZ3593" s="204"/>
      <c r="OEA3593" s="204"/>
      <c r="OEB3593" s="204"/>
      <c r="OEC3593" s="204"/>
      <c r="OED3593" s="204"/>
      <c r="OEE3593" s="204"/>
      <c r="OEF3593" s="204"/>
      <c r="OEG3593" s="204"/>
      <c r="OEH3593" s="204"/>
      <c r="OEI3593" s="204"/>
      <c r="OEJ3593" s="204"/>
      <c r="OEK3593" s="204"/>
      <c r="OEL3593" s="204"/>
      <c r="OEM3593" s="204"/>
      <c r="OEN3593" s="204"/>
      <c r="OEO3593" s="204"/>
      <c r="OEP3593" s="204"/>
      <c r="OEQ3593" s="204"/>
      <c r="OER3593" s="204"/>
      <c r="OES3593" s="204"/>
      <c r="OET3593" s="204"/>
      <c r="OEU3593" s="204"/>
      <c r="OEV3593" s="204"/>
      <c r="OEW3593" s="204"/>
      <c r="OEX3593" s="204"/>
      <c r="OEY3593" s="204"/>
      <c r="OEZ3593" s="204"/>
      <c r="OFA3593" s="204"/>
      <c r="OFB3593" s="204"/>
      <c r="OFC3593" s="204"/>
      <c r="OFD3593" s="204"/>
      <c r="OFE3593" s="204"/>
      <c r="OFF3593" s="204"/>
      <c r="OFG3593" s="204"/>
      <c r="OFH3593" s="204"/>
      <c r="OFI3593" s="204"/>
      <c r="OFJ3593" s="204"/>
      <c r="OFK3593" s="204"/>
      <c r="OFL3593" s="204"/>
      <c r="OFM3593" s="204"/>
      <c r="OFN3593" s="204"/>
      <c r="OFO3593" s="204"/>
      <c r="OFP3593" s="204"/>
      <c r="OFQ3593" s="204"/>
      <c r="OFR3593" s="204"/>
      <c r="OFS3593" s="204"/>
      <c r="OFT3593" s="204"/>
      <c r="OFU3593" s="204"/>
      <c r="OFV3593" s="204"/>
      <c r="OFW3593" s="204"/>
      <c r="OFX3593" s="204"/>
      <c r="OFY3593" s="204"/>
      <c r="OFZ3593" s="204"/>
      <c r="OGA3593" s="204"/>
      <c r="OGB3593" s="204"/>
      <c r="OGC3593" s="204"/>
      <c r="OGD3593" s="204"/>
      <c r="OGE3593" s="204"/>
      <c r="OGF3593" s="204"/>
      <c r="OGG3593" s="204"/>
      <c r="OGH3593" s="204"/>
      <c r="OGI3593" s="204"/>
      <c r="OGJ3593" s="204"/>
      <c r="OGK3593" s="204"/>
      <c r="OGL3593" s="204"/>
      <c r="OGM3593" s="204"/>
      <c r="OGN3593" s="204"/>
      <c r="OGO3593" s="204"/>
      <c r="OGP3593" s="204"/>
      <c r="OGQ3593" s="204"/>
      <c r="OGR3593" s="204"/>
      <c r="OGS3593" s="204"/>
      <c r="OGT3593" s="204"/>
      <c r="OGU3593" s="204"/>
      <c r="OGV3593" s="204"/>
      <c r="OGW3593" s="204"/>
      <c r="OGX3593" s="204"/>
      <c r="OGY3593" s="204"/>
      <c r="OGZ3593" s="204"/>
      <c r="OHA3593" s="204"/>
      <c r="OHB3593" s="204"/>
      <c r="OHC3593" s="204"/>
      <c r="OHD3593" s="204"/>
      <c r="OHE3593" s="204"/>
      <c r="OHF3593" s="204"/>
      <c r="OHG3593" s="204"/>
      <c r="OHH3593" s="204"/>
      <c r="OHI3593" s="204"/>
      <c r="OHJ3593" s="204"/>
      <c r="OHK3593" s="204"/>
      <c r="OHL3593" s="204"/>
      <c r="OHM3593" s="204"/>
      <c r="OHN3593" s="204"/>
      <c r="OHO3593" s="204"/>
      <c r="OHP3593" s="204"/>
      <c r="OHQ3593" s="204"/>
      <c r="OHR3593" s="204"/>
      <c r="OHS3593" s="204"/>
      <c r="OHT3593" s="204"/>
      <c r="OHU3593" s="204"/>
      <c r="OHV3593" s="204"/>
      <c r="OHW3593" s="204"/>
      <c r="OHX3593" s="204"/>
      <c r="OHY3593" s="204"/>
      <c r="OHZ3593" s="204"/>
      <c r="OIA3593" s="204"/>
      <c r="OIB3593" s="204"/>
      <c r="OIC3593" s="204"/>
      <c r="OID3593" s="204"/>
      <c r="OIE3593" s="204"/>
      <c r="OIF3593" s="204"/>
      <c r="OIG3593" s="204"/>
      <c r="OIH3593" s="204"/>
      <c r="OII3593" s="204"/>
      <c r="OIJ3593" s="204"/>
      <c r="OIK3593" s="204"/>
      <c r="OIL3593" s="204"/>
      <c r="OIM3593" s="204"/>
      <c r="OIN3593" s="204"/>
      <c r="OIO3593" s="204"/>
      <c r="OIP3593" s="204"/>
      <c r="OIQ3593" s="204"/>
      <c r="OIR3593" s="204"/>
      <c r="OIS3593" s="204"/>
      <c r="OIT3593" s="204"/>
      <c r="OIU3593" s="204"/>
      <c r="OIV3593" s="204"/>
      <c r="OIW3593" s="204"/>
      <c r="OIX3593" s="204"/>
      <c r="OIY3593" s="204"/>
      <c r="OIZ3593" s="204"/>
      <c r="OJA3593" s="204"/>
      <c r="OJB3593" s="204"/>
      <c r="OJC3593" s="204"/>
      <c r="OJD3593" s="204"/>
      <c r="OJE3593" s="204"/>
      <c r="OJF3593" s="204"/>
      <c r="OJG3593" s="204"/>
      <c r="OJH3593" s="204"/>
      <c r="OJI3593" s="204"/>
      <c r="OJJ3593" s="204"/>
      <c r="OJK3593" s="204"/>
      <c r="OJL3593" s="204"/>
      <c r="OJM3593" s="204"/>
      <c r="OJN3593" s="204"/>
      <c r="OJO3593" s="204"/>
      <c r="OJP3593" s="204"/>
      <c r="OJQ3593" s="204"/>
      <c r="OJR3593" s="204"/>
      <c r="OJS3593" s="204"/>
      <c r="OJT3593" s="204"/>
      <c r="OJU3593" s="204"/>
      <c r="OJV3593" s="204"/>
      <c r="OJW3593" s="204"/>
      <c r="OJX3593" s="204"/>
      <c r="OJY3593" s="204"/>
      <c r="OJZ3593" s="204"/>
      <c r="OKA3593" s="204"/>
      <c r="OKB3593" s="204"/>
      <c r="OKC3593" s="204"/>
      <c r="OKD3593" s="204"/>
      <c r="OKE3593" s="204"/>
      <c r="OKF3593" s="204"/>
      <c r="OKG3593" s="204"/>
      <c r="OKH3593" s="204"/>
      <c r="OKI3593" s="204"/>
      <c r="OKJ3593" s="204"/>
      <c r="OKK3593" s="204"/>
      <c r="OKL3593" s="204"/>
      <c r="OKM3593" s="204"/>
      <c r="OKN3593" s="204"/>
      <c r="OKO3593" s="204"/>
      <c r="OKP3593" s="204"/>
      <c r="OKQ3593" s="204"/>
      <c r="OKR3593" s="204"/>
      <c r="OKS3593" s="204"/>
      <c r="OKT3593" s="204"/>
      <c r="OKU3593" s="204"/>
      <c r="OKV3593" s="204"/>
      <c r="OKW3593" s="204"/>
      <c r="OKX3593" s="204"/>
      <c r="OKY3593" s="204"/>
      <c r="OKZ3593" s="204"/>
      <c r="OLA3593" s="204"/>
      <c r="OLB3593" s="204"/>
      <c r="OLC3593" s="204"/>
      <c r="OLD3593" s="204"/>
      <c r="OLE3593" s="204"/>
      <c r="OLF3593" s="204"/>
      <c r="OLG3593" s="204"/>
      <c r="OLH3593" s="204"/>
      <c r="OLI3593" s="204"/>
      <c r="OLJ3593" s="204"/>
      <c r="OLK3593" s="204"/>
      <c r="OLL3593" s="204"/>
      <c r="OLM3593" s="204"/>
      <c r="OLN3593" s="204"/>
      <c r="OLO3593" s="204"/>
      <c r="OLP3593" s="204"/>
      <c r="OLQ3593" s="204"/>
      <c r="OLR3593" s="204"/>
      <c r="OLS3593" s="204"/>
      <c r="OLT3593" s="204"/>
      <c r="OLU3593" s="204"/>
      <c r="OLV3593" s="204"/>
      <c r="OLW3593" s="204"/>
      <c r="OLX3593" s="204"/>
      <c r="OLY3593" s="204"/>
      <c r="OLZ3593" s="204"/>
      <c r="OMA3593" s="204"/>
      <c r="OMB3593" s="204"/>
      <c r="OMC3593" s="204"/>
      <c r="OMD3593" s="204"/>
      <c r="OME3593" s="204"/>
      <c r="OMF3593" s="204"/>
      <c r="OMG3593" s="204"/>
      <c r="OMH3593" s="204"/>
      <c r="OMI3593" s="204"/>
      <c r="OMJ3593" s="204"/>
      <c r="OMK3593" s="204"/>
      <c r="OML3593" s="204"/>
      <c r="OMM3593" s="204"/>
      <c r="OMN3593" s="204"/>
      <c r="OMO3593" s="204"/>
      <c r="OMP3593" s="204"/>
      <c r="OMQ3593" s="204"/>
      <c r="OMR3593" s="204"/>
      <c r="OMS3593" s="204"/>
      <c r="OMT3593" s="204"/>
      <c r="OMU3593" s="204"/>
      <c r="OMV3593" s="204"/>
      <c r="OMW3593" s="204"/>
      <c r="OMX3593" s="204"/>
      <c r="OMY3593" s="204"/>
      <c r="OMZ3593" s="204"/>
      <c r="ONA3593" s="204"/>
      <c r="ONB3593" s="204"/>
      <c r="ONC3593" s="204"/>
      <c r="OND3593" s="204"/>
      <c r="ONE3593" s="204"/>
      <c r="ONF3593" s="204"/>
      <c r="ONG3593" s="204"/>
      <c r="ONH3593" s="204"/>
      <c r="ONI3593" s="204"/>
      <c r="ONJ3593" s="204"/>
      <c r="ONK3593" s="204"/>
      <c r="ONL3593" s="204"/>
      <c r="ONM3593" s="204"/>
      <c r="ONN3593" s="204"/>
      <c r="ONO3593" s="204"/>
      <c r="ONP3593" s="204"/>
      <c r="ONQ3593" s="204"/>
      <c r="ONR3593" s="204"/>
      <c r="ONS3593" s="204"/>
      <c r="ONT3593" s="204"/>
      <c r="ONU3593" s="204"/>
      <c r="ONV3593" s="204"/>
      <c r="ONW3593" s="204"/>
      <c r="ONX3593" s="204"/>
      <c r="ONY3593" s="204"/>
      <c r="ONZ3593" s="204"/>
      <c r="OOA3593" s="204"/>
      <c r="OOB3593" s="204"/>
      <c r="OOC3593" s="204"/>
      <c r="OOD3593" s="204"/>
      <c r="OOE3593" s="204"/>
      <c r="OOF3593" s="204"/>
      <c r="OOG3593" s="204"/>
      <c r="OOH3593" s="204"/>
      <c r="OOI3593" s="204"/>
      <c r="OOJ3593" s="204"/>
      <c r="OOK3593" s="204"/>
      <c r="OOL3593" s="204"/>
      <c r="OOM3593" s="204"/>
      <c r="OON3593" s="204"/>
      <c r="OOO3593" s="204"/>
      <c r="OOP3593" s="204"/>
      <c r="OOQ3593" s="204"/>
      <c r="OOR3593" s="204"/>
      <c r="OOS3593" s="204"/>
      <c r="OOT3593" s="204"/>
      <c r="OOU3593" s="204"/>
      <c r="OOV3593" s="204"/>
      <c r="OOW3593" s="204"/>
      <c r="OOX3593" s="204"/>
      <c r="OOY3593" s="204"/>
      <c r="OOZ3593" s="204"/>
      <c r="OPA3593" s="204"/>
      <c r="OPB3593" s="204"/>
      <c r="OPC3593" s="204"/>
      <c r="OPD3593" s="204"/>
      <c r="OPE3593" s="204"/>
      <c r="OPF3593" s="204"/>
      <c r="OPG3593" s="204"/>
      <c r="OPH3593" s="204"/>
      <c r="OPI3593" s="204"/>
      <c r="OPJ3593" s="204"/>
      <c r="OPK3593" s="204"/>
      <c r="OPL3593" s="204"/>
      <c r="OPM3593" s="204"/>
      <c r="OPN3593" s="204"/>
      <c r="OPO3593" s="204"/>
      <c r="OPP3593" s="204"/>
      <c r="OPQ3593" s="204"/>
      <c r="OPR3593" s="204"/>
      <c r="OPS3593" s="204"/>
      <c r="OPT3593" s="204"/>
      <c r="OPU3593" s="204"/>
      <c r="OPV3593" s="204"/>
      <c r="OPW3593" s="204"/>
      <c r="OPX3593" s="204"/>
      <c r="OPY3593" s="204"/>
      <c r="OPZ3593" s="204"/>
      <c r="OQA3593" s="204"/>
      <c r="OQB3593" s="204"/>
      <c r="OQC3593" s="204"/>
      <c r="OQD3593" s="204"/>
      <c r="OQE3593" s="204"/>
      <c r="OQF3593" s="204"/>
      <c r="OQG3593" s="204"/>
      <c r="OQH3593" s="204"/>
      <c r="OQI3593" s="204"/>
      <c r="OQJ3593" s="204"/>
      <c r="OQK3593" s="204"/>
      <c r="OQL3593" s="204"/>
      <c r="OQM3593" s="204"/>
      <c r="OQN3593" s="204"/>
      <c r="OQO3593" s="204"/>
      <c r="OQP3593" s="204"/>
      <c r="OQQ3593" s="204"/>
      <c r="OQR3593" s="204"/>
      <c r="OQS3593" s="204"/>
      <c r="OQT3593" s="204"/>
      <c r="OQU3593" s="204"/>
      <c r="OQV3593" s="204"/>
      <c r="OQW3593" s="204"/>
      <c r="OQX3593" s="204"/>
      <c r="OQY3593" s="204"/>
      <c r="OQZ3593" s="204"/>
      <c r="ORA3593" s="204"/>
      <c r="ORB3593" s="204"/>
      <c r="ORC3593" s="204"/>
      <c r="ORD3593" s="204"/>
      <c r="ORE3593" s="204"/>
      <c r="ORF3593" s="204"/>
      <c r="ORG3593" s="204"/>
      <c r="ORH3593" s="204"/>
      <c r="ORI3593" s="204"/>
      <c r="ORJ3593" s="204"/>
      <c r="ORK3593" s="204"/>
      <c r="ORL3593" s="204"/>
      <c r="ORM3593" s="204"/>
      <c r="ORN3593" s="204"/>
      <c r="ORO3593" s="204"/>
      <c r="ORP3593" s="204"/>
      <c r="ORQ3593" s="204"/>
      <c r="ORR3593" s="204"/>
      <c r="ORS3593" s="204"/>
      <c r="ORT3593" s="204"/>
      <c r="ORU3593" s="204"/>
      <c r="ORV3593" s="204"/>
      <c r="ORW3593" s="204"/>
      <c r="ORX3593" s="204"/>
      <c r="ORY3593" s="204"/>
      <c r="ORZ3593" s="204"/>
      <c r="OSA3593" s="204"/>
      <c r="OSB3593" s="204"/>
      <c r="OSC3593" s="204"/>
      <c r="OSD3593" s="204"/>
      <c r="OSE3593" s="204"/>
      <c r="OSF3593" s="204"/>
      <c r="OSG3593" s="204"/>
      <c r="OSH3593" s="204"/>
      <c r="OSI3593" s="204"/>
      <c r="OSJ3593" s="204"/>
      <c r="OSK3593" s="204"/>
      <c r="OSL3593" s="204"/>
      <c r="OSM3593" s="204"/>
      <c r="OSN3593" s="204"/>
      <c r="OSO3593" s="204"/>
      <c r="OSP3593" s="204"/>
      <c r="OSQ3593" s="204"/>
      <c r="OSR3593" s="204"/>
      <c r="OSS3593" s="204"/>
      <c r="OST3593" s="204"/>
      <c r="OSU3593" s="204"/>
      <c r="OSV3593" s="204"/>
      <c r="OSW3593" s="204"/>
      <c r="OSX3593" s="204"/>
      <c r="OSY3593" s="204"/>
      <c r="OSZ3593" s="204"/>
      <c r="OTA3593" s="204"/>
      <c r="OTB3593" s="204"/>
      <c r="OTC3593" s="204"/>
      <c r="OTD3593" s="204"/>
      <c r="OTE3593" s="204"/>
      <c r="OTF3593" s="204"/>
      <c r="OTG3593" s="204"/>
      <c r="OTH3593" s="204"/>
      <c r="OTI3593" s="204"/>
      <c r="OTJ3593" s="204"/>
      <c r="OTK3593" s="204"/>
      <c r="OTL3593" s="204"/>
      <c r="OTM3593" s="204"/>
      <c r="OTN3593" s="204"/>
      <c r="OTO3593" s="204"/>
      <c r="OTP3593" s="204"/>
      <c r="OTQ3593" s="204"/>
      <c r="OTR3593" s="204"/>
      <c r="OTS3593" s="204"/>
      <c r="OTT3593" s="204"/>
      <c r="OTU3593" s="204"/>
      <c r="OTV3593" s="204"/>
      <c r="OTW3593" s="204"/>
      <c r="OTX3593" s="204"/>
      <c r="OTY3593" s="204"/>
      <c r="OTZ3593" s="204"/>
      <c r="OUA3593" s="204"/>
      <c r="OUB3593" s="204"/>
      <c r="OUC3593" s="204"/>
      <c r="OUD3593" s="204"/>
      <c r="OUE3593" s="204"/>
      <c r="OUF3593" s="204"/>
      <c r="OUG3593" s="204"/>
      <c r="OUH3593" s="204"/>
      <c r="OUI3593" s="204"/>
      <c r="OUJ3593" s="204"/>
      <c r="OUK3593" s="204"/>
      <c r="OUL3593" s="204"/>
      <c r="OUM3593" s="204"/>
      <c r="OUN3593" s="204"/>
      <c r="OUO3593" s="204"/>
      <c r="OUP3593" s="204"/>
      <c r="OUQ3593" s="204"/>
      <c r="OUR3593" s="204"/>
      <c r="OUS3593" s="204"/>
      <c r="OUT3593" s="204"/>
      <c r="OUU3593" s="204"/>
      <c r="OUV3593" s="204"/>
      <c r="OUW3593" s="204"/>
      <c r="OUX3593" s="204"/>
      <c r="OUY3593" s="204"/>
      <c r="OUZ3593" s="204"/>
      <c r="OVA3593" s="204"/>
      <c r="OVB3593" s="204"/>
      <c r="OVC3593" s="204"/>
      <c r="OVD3593" s="204"/>
      <c r="OVE3593" s="204"/>
      <c r="OVF3593" s="204"/>
      <c r="OVG3593" s="204"/>
      <c r="OVH3593" s="204"/>
      <c r="OVI3593" s="204"/>
      <c r="OVJ3593" s="204"/>
      <c r="OVK3593" s="204"/>
      <c r="OVL3593" s="204"/>
      <c r="OVM3593" s="204"/>
      <c r="OVN3593" s="204"/>
      <c r="OVO3593" s="204"/>
      <c r="OVP3593" s="204"/>
      <c r="OVQ3593" s="204"/>
      <c r="OVR3593" s="204"/>
      <c r="OVS3593" s="204"/>
      <c r="OVT3593" s="204"/>
      <c r="OVU3593" s="204"/>
      <c r="OVV3593" s="204"/>
      <c r="OVW3593" s="204"/>
      <c r="OVX3593" s="204"/>
      <c r="OVY3593" s="204"/>
      <c r="OVZ3593" s="204"/>
      <c r="OWA3593" s="204"/>
      <c r="OWB3593" s="204"/>
      <c r="OWC3593" s="204"/>
      <c r="OWD3593" s="204"/>
      <c r="OWE3593" s="204"/>
      <c r="OWF3593" s="204"/>
      <c r="OWG3593" s="204"/>
      <c r="OWH3593" s="204"/>
      <c r="OWI3593" s="204"/>
      <c r="OWJ3593" s="204"/>
      <c r="OWK3593" s="204"/>
      <c r="OWL3593" s="204"/>
      <c r="OWM3593" s="204"/>
      <c r="OWN3593" s="204"/>
      <c r="OWO3593" s="204"/>
      <c r="OWP3593" s="204"/>
      <c r="OWQ3593" s="204"/>
      <c r="OWR3593" s="204"/>
      <c r="OWS3593" s="204"/>
      <c r="OWT3593" s="204"/>
      <c r="OWU3593" s="204"/>
      <c r="OWV3593" s="204"/>
      <c r="OWW3593" s="204"/>
      <c r="OWX3593" s="204"/>
      <c r="OWY3593" s="204"/>
      <c r="OWZ3593" s="204"/>
      <c r="OXA3593" s="204"/>
      <c r="OXB3593" s="204"/>
      <c r="OXC3593" s="204"/>
      <c r="OXD3593" s="204"/>
      <c r="OXE3593" s="204"/>
      <c r="OXF3593" s="204"/>
      <c r="OXG3593" s="204"/>
      <c r="OXH3593" s="204"/>
      <c r="OXI3593" s="204"/>
      <c r="OXJ3593" s="204"/>
      <c r="OXK3593" s="204"/>
      <c r="OXL3593" s="204"/>
      <c r="OXM3593" s="204"/>
      <c r="OXN3593" s="204"/>
      <c r="OXO3593" s="204"/>
      <c r="OXP3593" s="204"/>
      <c r="OXQ3593" s="204"/>
      <c r="OXR3593" s="204"/>
      <c r="OXS3593" s="204"/>
      <c r="OXT3593" s="204"/>
      <c r="OXU3593" s="204"/>
      <c r="OXV3593" s="204"/>
      <c r="OXW3593" s="204"/>
      <c r="OXX3593" s="204"/>
      <c r="OXY3593" s="204"/>
      <c r="OXZ3593" s="204"/>
      <c r="OYA3593" s="204"/>
      <c r="OYB3593" s="204"/>
      <c r="OYC3593" s="204"/>
      <c r="OYD3593" s="204"/>
      <c r="OYE3593" s="204"/>
      <c r="OYF3593" s="204"/>
      <c r="OYG3593" s="204"/>
      <c r="OYH3593" s="204"/>
      <c r="OYI3593" s="204"/>
      <c r="OYJ3593" s="204"/>
      <c r="OYK3593" s="204"/>
      <c r="OYL3593" s="204"/>
      <c r="OYM3593" s="204"/>
      <c r="OYN3593" s="204"/>
      <c r="OYO3593" s="204"/>
      <c r="OYP3593" s="204"/>
      <c r="OYQ3593" s="204"/>
      <c r="OYR3593" s="204"/>
      <c r="OYS3593" s="204"/>
      <c r="OYT3593" s="204"/>
      <c r="OYU3593" s="204"/>
      <c r="OYV3593" s="204"/>
      <c r="OYW3593" s="204"/>
      <c r="OYX3593" s="204"/>
      <c r="OYY3593" s="204"/>
      <c r="OYZ3593" s="204"/>
      <c r="OZA3593" s="204"/>
      <c r="OZB3593" s="204"/>
      <c r="OZC3593" s="204"/>
      <c r="OZD3593" s="204"/>
      <c r="OZE3593" s="204"/>
      <c r="OZF3593" s="204"/>
      <c r="OZG3593" s="204"/>
      <c r="OZH3593" s="204"/>
      <c r="OZI3593" s="204"/>
      <c r="OZJ3593" s="204"/>
      <c r="OZK3593" s="204"/>
      <c r="OZL3593" s="204"/>
      <c r="OZM3593" s="204"/>
      <c r="OZN3593" s="204"/>
      <c r="OZO3593" s="204"/>
      <c r="OZP3593" s="204"/>
      <c r="OZQ3593" s="204"/>
      <c r="OZR3593" s="204"/>
      <c r="OZS3593" s="204"/>
      <c r="OZT3593" s="204"/>
      <c r="OZU3593" s="204"/>
      <c r="OZV3593" s="204"/>
      <c r="OZW3593" s="204"/>
      <c r="OZX3593" s="204"/>
      <c r="OZY3593" s="204"/>
      <c r="OZZ3593" s="204"/>
      <c r="PAA3593" s="204"/>
      <c r="PAB3593" s="204"/>
      <c r="PAC3593" s="204"/>
      <c r="PAD3593" s="204"/>
      <c r="PAE3593" s="204"/>
      <c r="PAF3593" s="204"/>
      <c r="PAG3593" s="204"/>
      <c r="PAH3593" s="204"/>
      <c r="PAI3593" s="204"/>
      <c r="PAJ3593" s="204"/>
      <c r="PAK3593" s="204"/>
      <c r="PAL3593" s="204"/>
      <c r="PAM3593" s="204"/>
      <c r="PAN3593" s="204"/>
      <c r="PAO3593" s="204"/>
      <c r="PAP3593" s="204"/>
      <c r="PAQ3593" s="204"/>
      <c r="PAR3593" s="204"/>
      <c r="PAS3593" s="204"/>
      <c r="PAT3593" s="204"/>
      <c r="PAU3593" s="204"/>
      <c r="PAV3593" s="204"/>
      <c r="PAW3593" s="204"/>
      <c r="PAX3593" s="204"/>
      <c r="PAY3593" s="204"/>
      <c r="PAZ3593" s="204"/>
      <c r="PBA3593" s="204"/>
      <c r="PBB3593" s="204"/>
      <c r="PBC3593" s="204"/>
      <c r="PBD3593" s="204"/>
      <c r="PBE3593" s="204"/>
      <c r="PBF3593" s="204"/>
      <c r="PBG3593" s="204"/>
      <c r="PBH3593" s="204"/>
      <c r="PBI3593" s="204"/>
      <c r="PBJ3593" s="204"/>
      <c r="PBK3593" s="204"/>
      <c r="PBL3593" s="204"/>
      <c r="PBM3593" s="204"/>
      <c r="PBN3593" s="204"/>
      <c r="PBO3593" s="204"/>
      <c r="PBP3593" s="204"/>
      <c r="PBQ3593" s="204"/>
      <c r="PBR3593" s="204"/>
      <c r="PBS3593" s="204"/>
      <c r="PBT3593" s="204"/>
      <c r="PBU3593" s="204"/>
      <c r="PBV3593" s="204"/>
      <c r="PBW3593" s="204"/>
      <c r="PBX3593" s="204"/>
      <c r="PBY3593" s="204"/>
      <c r="PBZ3593" s="204"/>
      <c r="PCA3593" s="204"/>
      <c r="PCB3593" s="204"/>
      <c r="PCC3593" s="204"/>
      <c r="PCD3593" s="204"/>
      <c r="PCE3593" s="204"/>
      <c r="PCF3593" s="204"/>
      <c r="PCG3593" s="204"/>
      <c r="PCH3593" s="204"/>
      <c r="PCI3593" s="204"/>
      <c r="PCJ3593" s="204"/>
      <c r="PCK3593" s="204"/>
      <c r="PCL3593" s="204"/>
      <c r="PCM3593" s="204"/>
      <c r="PCN3593" s="204"/>
      <c r="PCO3593" s="204"/>
      <c r="PCP3593" s="204"/>
      <c r="PCQ3593" s="204"/>
      <c r="PCR3593" s="204"/>
      <c r="PCS3593" s="204"/>
      <c r="PCT3593" s="204"/>
      <c r="PCU3593" s="204"/>
      <c r="PCV3593" s="204"/>
      <c r="PCW3593" s="204"/>
      <c r="PCX3593" s="204"/>
      <c r="PCY3593" s="204"/>
      <c r="PCZ3593" s="204"/>
      <c r="PDA3593" s="204"/>
      <c r="PDB3593" s="204"/>
      <c r="PDC3593" s="204"/>
      <c r="PDD3593" s="204"/>
      <c r="PDE3593" s="204"/>
      <c r="PDF3593" s="204"/>
      <c r="PDG3593" s="204"/>
      <c r="PDH3593" s="204"/>
      <c r="PDI3593" s="204"/>
      <c r="PDJ3593" s="204"/>
      <c r="PDK3593" s="204"/>
      <c r="PDL3593" s="204"/>
      <c r="PDM3593" s="204"/>
      <c r="PDN3593" s="204"/>
      <c r="PDO3593" s="204"/>
      <c r="PDP3593" s="204"/>
      <c r="PDQ3593" s="204"/>
      <c r="PDR3593" s="204"/>
      <c r="PDS3593" s="204"/>
      <c r="PDT3593" s="204"/>
      <c r="PDU3593" s="204"/>
      <c r="PDV3593" s="204"/>
      <c r="PDW3593" s="204"/>
      <c r="PDX3593" s="204"/>
      <c r="PDY3593" s="204"/>
      <c r="PDZ3593" s="204"/>
      <c r="PEA3593" s="204"/>
      <c r="PEB3593" s="204"/>
      <c r="PEC3593" s="204"/>
      <c r="PED3593" s="204"/>
      <c r="PEE3593" s="204"/>
      <c r="PEF3593" s="204"/>
      <c r="PEG3593" s="204"/>
      <c r="PEH3593" s="204"/>
      <c r="PEI3593" s="204"/>
      <c r="PEJ3593" s="204"/>
      <c r="PEK3593" s="204"/>
      <c r="PEL3593" s="204"/>
      <c r="PEM3593" s="204"/>
      <c r="PEN3593" s="204"/>
      <c r="PEO3593" s="204"/>
      <c r="PEP3593" s="204"/>
      <c r="PEQ3593" s="204"/>
      <c r="PER3593" s="204"/>
      <c r="PES3593" s="204"/>
      <c r="PET3593" s="204"/>
      <c r="PEU3593" s="204"/>
      <c r="PEV3593" s="204"/>
      <c r="PEW3593" s="204"/>
      <c r="PEX3593" s="204"/>
      <c r="PEY3593" s="204"/>
      <c r="PEZ3593" s="204"/>
      <c r="PFA3593" s="204"/>
      <c r="PFB3593" s="204"/>
      <c r="PFC3593" s="204"/>
      <c r="PFD3593" s="204"/>
      <c r="PFE3593" s="204"/>
      <c r="PFF3593" s="204"/>
      <c r="PFG3593" s="204"/>
      <c r="PFH3593" s="204"/>
      <c r="PFI3593" s="204"/>
      <c r="PFJ3593" s="204"/>
      <c r="PFK3593" s="204"/>
      <c r="PFL3593" s="204"/>
      <c r="PFM3593" s="204"/>
      <c r="PFN3593" s="204"/>
      <c r="PFO3593" s="204"/>
      <c r="PFP3593" s="204"/>
      <c r="PFQ3593" s="204"/>
      <c r="PFR3593" s="204"/>
      <c r="PFS3593" s="204"/>
      <c r="PFT3593" s="204"/>
      <c r="PFU3593" s="204"/>
      <c r="PFV3593" s="204"/>
      <c r="PFW3593" s="204"/>
      <c r="PFX3593" s="204"/>
      <c r="PFY3593" s="204"/>
      <c r="PFZ3593" s="204"/>
      <c r="PGA3593" s="204"/>
      <c r="PGB3593" s="204"/>
      <c r="PGC3593" s="204"/>
      <c r="PGD3593" s="204"/>
      <c r="PGE3593" s="204"/>
      <c r="PGF3593" s="204"/>
      <c r="PGG3593" s="204"/>
      <c r="PGH3593" s="204"/>
      <c r="PGI3593" s="204"/>
      <c r="PGJ3593" s="204"/>
      <c r="PGK3593" s="204"/>
      <c r="PGL3593" s="204"/>
      <c r="PGM3593" s="204"/>
      <c r="PGN3593" s="204"/>
      <c r="PGO3593" s="204"/>
      <c r="PGP3593" s="204"/>
      <c r="PGQ3593" s="204"/>
      <c r="PGR3593" s="204"/>
      <c r="PGS3593" s="204"/>
      <c r="PGT3593" s="204"/>
      <c r="PGU3593" s="204"/>
      <c r="PGV3593" s="204"/>
      <c r="PGW3593" s="204"/>
      <c r="PGX3593" s="204"/>
      <c r="PGY3593" s="204"/>
      <c r="PGZ3593" s="204"/>
      <c r="PHA3593" s="204"/>
      <c r="PHB3593" s="204"/>
      <c r="PHC3593" s="204"/>
      <c r="PHD3593" s="204"/>
      <c r="PHE3593" s="204"/>
      <c r="PHF3593" s="204"/>
      <c r="PHG3593" s="204"/>
      <c r="PHH3593" s="204"/>
      <c r="PHI3593" s="204"/>
      <c r="PHJ3593" s="204"/>
      <c r="PHK3593" s="204"/>
      <c r="PHL3593" s="204"/>
      <c r="PHM3593" s="204"/>
      <c r="PHN3593" s="204"/>
      <c r="PHO3593" s="204"/>
      <c r="PHP3593" s="204"/>
      <c r="PHQ3593" s="204"/>
      <c r="PHR3593" s="204"/>
      <c r="PHS3593" s="204"/>
      <c r="PHT3593" s="204"/>
      <c r="PHU3593" s="204"/>
      <c r="PHV3593" s="204"/>
      <c r="PHW3593" s="204"/>
      <c r="PHX3593" s="204"/>
      <c r="PHY3593" s="204"/>
      <c r="PHZ3593" s="204"/>
      <c r="PIA3593" s="204"/>
      <c r="PIB3593" s="204"/>
      <c r="PIC3593" s="204"/>
      <c r="PID3593" s="204"/>
      <c r="PIE3593" s="204"/>
      <c r="PIF3593" s="204"/>
      <c r="PIG3593" s="204"/>
      <c r="PIH3593" s="204"/>
      <c r="PII3593" s="204"/>
      <c r="PIJ3593" s="204"/>
      <c r="PIK3593" s="204"/>
      <c r="PIL3593" s="204"/>
      <c r="PIM3593" s="204"/>
      <c r="PIN3593" s="204"/>
      <c r="PIO3593" s="204"/>
      <c r="PIP3593" s="204"/>
      <c r="PIQ3593" s="204"/>
      <c r="PIR3593" s="204"/>
      <c r="PIS3593" s="204"/>
      <c r="PIT3593" s="204"/>
      <c r="PIU3593" s="204"/>
      <c r="PIV3593" s="204"/>
      <c r="PIW3593" s="204"/>
      <c r="PIX3593" s="204"/>
      <c r="PIY3593" s="204"/>
      <c r="PIZ3593" s="204"/>
      <c r="PJA3593" s="204"/>
      <c r="PJB3593" s="204"/>
      <c r="PJC3593" s="204"/>
      <c r="PJD3593" s="204"/>
      <c r="PJE3593" s="204"/>
      <c r="PJF3593" s="204"/>
      <c r="PJG3593" s="204"/>
      <c r="PJH3593" s="204"/>
      <c r="PJI3593" s="204"/>
      <c r="PJJ3593" s="204"/>
      <c r="PJK3593" s="204"/>
      <c r="PJL3593" s="204"/>
      <c r="PJM3593" s="204"/>
      <c r="PJN3593" s="204"/>
      <c r="PJO3593" s="204"/>
      <c r="PJP3593" s="204"/>
      <c r="PJQ3593" s="204"/>
      <c r="PJR3593" s="204"/>
      <c r="PJS3593" s="204"/>
      <c r="PJT3593" s="204"/>
      <c r="PJU3593" s="204"/>
      <c r="PJV3593" s="204"/>
      <c r="PJW3593" s="204"/>
      <c r="PJX3593" s="204"/>
      <c r="PJY3593" s="204"/>
      <c r="PJZ3593" s="204"/>
      <c r="PKA3593" s="204"/>
      <c r="PKB3593" s="204"/>
      <c r="PKC3593" s="204"/>
      <c r="PKD3593" s="204"/>
      <c r="PKE3593" s="204"/>
      <c r="PKF3593" s="204"/>
      <c r="PKG3593" s="204"/>
      <c r="PKH3593" s="204"/>
      <c r="PKI3593" s="204"/>
      <c r="PKJ3593" s="204"/>
      <c r="PKK3593" s="204"/>
      <c r="PKL3593" s="204"/>
      <c r="PKM3593" s="204"/>
      <c r="PKN3593" s="204"/>
      <c r="PKO3593" s="204"/>
      <c r="PKP3593" s="204"/>
      <c r="PKQ3593" s="204"/>
      <c r="PKR3593" s="204"/>
      <c r="PKS3593" s="204"/>
      <c r="PKT3593" s="204"/>
      <c r="PKU3593" s="204"/>
      <c r="PKV3593" s="204"/>
      <c r="PKW3593" s="204"/>
      <c r="PKX3593" s="204"/>
      <c r="PKY3593" s="204"/>
      <c r="PKZ3593" s="204"/>
      <c r="PLA3593" s="204"/>
      <c r="PLB3593" s="204"/>
      <c r="PLC3593" s="204"/>
      <c r="PLD3593" s="204"/>
      <c r="PLE3593" s="204"/>
      <c r="PLF3593" s="204"/>
      <c r="PLG3593" s="204"/>
      <c r="PLH3593" s="204"/>
      <c r="PLI3593" s="204"/>
      <c r="PLJ3593" s="204"/>
      <c r="PLK3593" s="204"/>
      <c r="PLL3593" s="204"/>
      <c r="PLM3593" s="204"/>
      <c r="PLN3593" s="204"/>
      <c r="PLO3593" s="204"/>
      <c r="PLP3593" s="204"/>
      <c r="PLQ3593" s="204"/>
      <c r="PLR3593" s="204"/>
      <c r="PLS3593" s="204"/>
      <c r="PLT3593" s="204"/>
      <c r="PLU3593" s="204"/>
      <c r="PLV3593" s="204"/>
      <c r="PLW3593" s="204"/>
      <c r="PLX3593" s="204"/>
      <c r="PLY3593" s="204"/>
      <c r="PLZ3593" s="204"/>
      <c r="PMA3593" s="204"/>
      <c r="PMB3593" s="204"/>
      <c r="PMC3593" s="204"/>
      <c r="PMD3593" s="204"/>
      <c r="PME3593" s="204"/>
      <c r="PMF3593" s="204"/>
      <c r="PMG3593" s="204"/>
      <c r="PMH3593" s="204"/>
      <c r="PMI3593" s="204"/>
      <c r="PMJ3593" s="204"/>
      <c r="PMK3593" s="204"/>
      <c r="PML3593" s="204"/>
      <c r="PMM3593" s="204"/>
      <c r="PMN3593" s="204"/>
      <c r="PMO3593" s="204"/>
      <c r="PMP3593" s="204"/>
      <c r="PMQ3593" s="204"/>
      <c r="PMR3593" s="204"/>
      <c r="PMS3593" s="204"/>
      <c r="PMT3593" s="204"/>
      <c r="PMU3593" s="204"/>
      <c r="PMV3593" s="204"/>
      <c r="PMW3593" s="204"/>
      <c r="PMX3593" s="204"/>
      <c r="PMY3593" s="204"/>
      <c r="PMZ3593" s="204"/>
      <c r="PNA3593" s="204"/>
      <c r="PNB3593" s="204"/>
      <c r="PNC3593" s="204"/>
      <c r="PND3593" s="204"/>
      <c r="PNE3593" s="204"/>
      <c r="PNF3593" s="204"/>
      <c r="PNG3593" s="204"/>
      <c r="PNH3593" s="204"/>
      <c r="PNI3593" s="204"/>
      <c r="PNJ3593" s="204"/>
      <c r="PNK3593" s="204"/>
      <c r="PNL3593" s="204"/>
      <c r="PNM3593" s="204"/>
      <c r="PNN3593" s="204"/>
      <c r="PNO3593" s="204"/>
      <c r="PNP3593" s="204"/>
      <c r="PNQ3593" s="204"/>
      <c r="PNR3593" s="204"/>
      <c r="PNS3593" s="204"/>
      <c r="PNT3593" s="204"/>
      <c r="PNU3593" s="204"/>
      <c r="PNV3593" s="204"/>
      <c r="PNW3593" s="204"/>
      <c r="PNX3593" s="204"/>
      <c r="PNY3593" s="204"/>
      <c r="PNZ3593" s="204"/>
      <c r="POA3593" s="204"/>
      <c r="POB3593" s="204"/>
      <c r="POC3593" s="204"/>
      <c r="POD3593" s="204"/>
      <c r="POE3593" s="204"/>
      <c r="POF3593" s="204"/>
      <c r="POG3593" s="204"/>
      <c r="POH3593" s="204"/>
      <c r="POI3593" s="204"/>
      <c r="POJ3593" s="204"/>
      <c r="POK3593" s="204"/>
      <c r="POL3593" s="204"/>
      <c r="POM3593" s="204"/>
      <c r="PON3593" s="204"/>
      <c r="POO3593" s="204"/>
      <c r="POP3593" s="204"/>
      <c r="POQ3593" s="204"/>
      <c r="POR3593" s="204"/>
      <c r="POS3593" s="204"/>
      <c r="POT3593" s="204"/>
      <c r="POU3593" s="204"/>
      <c r="POV3593" s="204"/>
      <c r="POW3593" s="204"/>
      <c r="POX3593" s="204"/>
      <c r="POY3593" s="204"/>
      <c r="POZ3593" s="204"/>
      <c r="PPA3593" s="204"/>
      <c r="PPB3593" s="204"/>
      <c r="PPC3593" s="204"/>
      <c r="PPD3593" s="204"/>
      <c r="PPE3593" s="204"/>
      <c r="PPF3593" s="204"/>
      <c r="PPG3593" s="204"/>
      <c r="PPH3593" s="204"/>
      <c r="PPI3593" s="204"/>
      <c r="PPJ3593" s="204"/>
      <c r="PPK3593" s="204"/>
      <c r="PPL3593" s="204"/>
      <c r="PPM3593" s="204"/>
      <c r="PPN3593" s="204"/>
      <c r="PPO3593" s="204"/>
      <c r="PPP3593" s="204"/>
      <c r="PPQ3593" s="204"/>
      <c r="PPR3593" s="204"/>
      <c r="PPS3593" s="204"/>
      <c r="PPT3593" s="204"/>
      <c r="PPU3593" s="204"/>
      <c r="PPV3593" s="204"/>
      <c r="PPW3593" s="204"/>
      <c r="PPX3593" s="204"/>
      <c r="PPY3593" s="204"/>
      <c r="PPZ3593" s="204"/>
      <c r="PQA3593" s="204"/>
      <c r="PQB3593" s="204"/>
      <c r="PQC3593" s="204"/>
      <c r="PQD3593" s="204"/>
      <c r="PQE3593" s="204"/>
      <c r="PQF3593" s="204"/>
      <c r="PQG3593" s="204"/>
      <c r="PQH3593" s="204"/>
      <c r="PQI3593" s="204"/>
      <c r="PQJ3593" s="204"/>
      <c r="PQK3593" s="204"/>
      <c r="PQL3593" s="204"/>
      <c r="PQM3593" s="204"/>
      <c r="PQN3593" s="204"/>
      <c r="PQO3593" s="204"/>
      <c r="PQP3593" s="204"/>
      <c r="PQQ3593" s="204"/>
      <c r="PQR3593" s="204"/>
      <c r="PQS3593" s="204"/>
      <c r="PQT3593" s="204"/>
      <c r="PQU3593" s="204"/>
      <c r="PQV3593" s="204"/>
      <c r="PQW3593" s="204"/>
      <c r="PQX3593" s="204"/>
      <c r="PQY3593" s="204"/>
      <c r="PQZ3593" s="204"/>
      <c r="PRA3593" s="204"/>
      <c r="PRB3593" s="204"/>
      <c r="PRC3593" s="204"/>
      <c r="PRD3593" s="204"/>
      <c r="PRE3593" s="204"/>
      <c r="PRF3593" s="204"/>
      <c r="PRG3593" s="204"/>
      <c r="PRH3593" s="204"/>
      <c r="PRI3593" s="204"/>
      <c r="PRJ3593" s="204"/>
      <c r="PRK3593" s="204"/>
      <c r="PRL3593" s="204"/>
      <c r="PRM3593" s="204"/>
      <c r="PRN3593" s="204"/>
      <c r="PRO3593" s="204"/>
      <c r="PRP3593" s="204"/>
      <c r="PRQ3593" s="204"/>
      <c r="PRR3593" s="204"/>
      <c r="PRS3593" s="204"/>
      <c r="PRT3593" s="204"/>
      <c r="PRU3593" s="204"/>
      <c r="PRV3593" s="204"/>
      <c r="PRW3593" s="204"/>
      <c r="PRX3593" s="204"/>
      <c r="PRY3593" s="204"/>
      <c r="PRZ3593" s="204"/>
      <c r="PSA3593" s="204"/>
      <c r="PSB3593" s="204"/>
      <c r="PSC3593" s="204"/>
      <c r="PSD3593" s="204"/>
      <c r="PSE3593" s="204"/>
      <c r="PSF3593" s="204"/>
      <c r="PSG3593" s="204"/>
      <c r="PSH3593" s="204"/>
      <c r="PSI3593" s="204"/>
      <c r="PSJ3593" s="204"/>
      <c r="PSK3593" s="204"/>
      <c r="PSL3593" s="204"/>
      <c r="PSM3593" s="204"/>
      <c r="PSN3593" s="204"/>
      <c r="PSO3593" s="204"/>
      <c r="PSP3593" s="204"/>
      <c r="PSQ3593" s="204"/>
      <c r="PSR3593" s="204"/>
      <c r="PSS3593" s="204"/>
      <c r="PST3593" s="204"/>
      <c r="PSU3593" s="204"/>
      <c r="PSV3593" s="204"/>
      <c r="PSW3593" s="204"/>
      <c r="PSX3593" s="204"/>
      <c r="PSY3593" s="204"/>
      <c r="PSZ3593" s="204"/>
      <c r="PTA3593" s="204"/>
      <c r="PTB3593" s="204"/>
      <c r="PTC3593" s="204"/>
      <c r="PTD3593" s="204"/>
      <c r="PTE3593" s="204"/>
      <c r="PTF3593" s="204"/>
      <c r="PTG3593" s="204"/>
      <c r="PTH3593" s="204"/>
      <c r="PTI3593" s="204"/>
      <c r="PTJ3593" s="204"/>
      <c r="PTK3593" s="204"/>
      <c r="PTL3593" s="204"/>
      <c r="PTM3593" s="204"/>
      <c r="PTN3593" s="204"/>
      <c r="PTO3593" s="204"/>
      <c r="PTP3593" s="204"/>
      <c r="PTQ3593" s="204"/>
      <c r="PTR3593" s="204"/>
      <c r="PTS3593" s="204"/>
      <c r="PTT3593" s="204"/>
      <c r="PTU3593" s="204"/>
      <c r="PTV3593" s="204"/>
      <c r="PTW3593" s="204"/>
      <c r="PTX3593" s="204"/>
      <c r="PTY3593" s="204"/>
      <c r="PTZ3593" s="204"/>
      <c r="PUA3593" s="204"/>
      <c r="PUB3593" s="204"/>
      <c r="PUC3593" s="204"/>
      <c r="PUD3593" s="204"/>
      <c r="PUE3593" s="204"/>
      <c r="PUF3593" s="204"/>
      <c r="PUG3593" s="204"/>
      <c r="PUH3593" s="204"/>
      <c r="PUI3593" s="204"/>
      <c r="PUJ3593" s="204"/>
      <c r="PUK3593" s="204"/>
      <c r="PUL3593" s="204"/>
      <c r="PUM3593" s="204"/>
      <c r="PUN3593" s="204"/>
      <c r="PUO3593" s="204"/>
      <c r="PUP3593" s="204"/>
      <c r="PUQ3593" s="204"/>
      <c r="PUR3593" s="204"/>
      <c r="PUS3593" s="204"/>
      <c r="PUT3593" s="204"/>
      <c r="PUU3593" s="204"/>
      <c r="PUV3593" s="204"/>
      <c r="PUW3593" s="204"/>
      <c r="PUX3593" s="204"/>
      <c r="PUY3593" s="204"/>
      <c r="PUZ3593" s="204"/>
      <c r="PVA3593" s="204"/>
      <c r="PVB3593" s="204"/>
      <c r="PVC3593" s="204"/>
      <c r="PVD3593" s="204"/>
      <c r="PVE3593" s="204"/>
      <c r="PVF3593" s="204"/>
      <c r="PVG3593" s="204"/>
      <c r="PVH3593" s="204"/>
      <c r="PVI3593" s="204"/>
      <c r="PVJ3593" s="204"/>
      <c r="PVK3593" s="204"/>
      <c r="PVL3593" s="204"/>
      <c r="PVM3593" s="204"/>
      <c r="PVN3593" s="204"/>
      <c r="PVO3593" s="204"/>
      <c r="PVP3593" s="204"/>
      <c r="PVQ3593" s="204"/>
      <c r="PVR3593" s="204"/>
      <c r="PVS3593" s="204"/>
      <c r="PVT3593" s="204"/>
      <c r="PVU3593" s="204"/>
      <c r="PVV3593" s="204"/>
      <c r="PVW3593" s="204"/>
      <c r="PVX3593" s="204"/>
      <c r="PVY3593" s="204"/>
      <c r="PVZ3593" s="204"/>
      <c r="PWA3593" s="204"/>
      <c r="PWB3593" s="204"/>
      <c r="PWC3593" s="204"/>
      <c r="PWD3593" s="204"/>
      <c r="PWE3593" s="204"/>
      <c r="PWF3593" s="204"/>
      <c r="PWG3593" s="204"/>
      <c r="PWH3593" s="204"/>
      <c r="PWI3593" s="204"/>
      <c r="PWJ3593" s="204"/>
      <c r="PWK3593" s="204"/>
      <c r="PWL3593" s="204"/>
      <c r="PWM3593" s="204"/>
      <c r="PWN3593" s="204"/>
      <c r="PWO3593" s="204"/>
      <c r="PWP3593" s="204"/>
      <c r="PWQ3593" s="204"/>
      <c r="PWR3593" s="204"/>
      <c r="PWS3593" s="204"/>
      <c r="PWT3593" s="204"/>
      <c r="PWU3593" s="204"/>
      <c r="PWV3593" s="204"/>
      <c r="PWW3593" s="204"/>
      <c r="PWX3593" s="204"/>
      <c r="PWY3593" s="204"/>
      <c r="PWZ3593" s="204"/>
      <c r="PXA3593" s="204"/>
      <c r="PXB3593" s="204"/>
      <c r="PXC3593" s="204"/>
      <c r="PXD3593" s="204"/>
      <c r="PXE3593" s="204"/>
      <c r="PXF3593" s="204"/>
      <c r="PXG3593" s="204"/>
      <c r="PXH3593" s="204"/>
      <c r="PXI3593" s="204"/>
      <c r="PXJ3593" s="204"/>
      <c r="PXK3593" s="204"/>
      <c r="PXL3593" s="204"/>
      <c r="PXM3593" s="204"/>
      <c r="PXN3593" s="204"/>
      <c r="PXO3593" s="204"/>
      <c r="PXP3593" s="204"/>
      <c r="PXQ3593" s="204"/>
      <c r="PXR3593" s="204"/>
      <c r="PXS3593" s="204"/>
      <c r="PXT3593" s="204"/>
      <c r="PXU3593" s="204"/>
      <c r="PXV3593" s="204"/>
      <c r="PXW3593" s="204"/>
      <c r="PXX3593" s="204"/>
      <c r="PXY3593" s="204"/>
      <c r="PXZ3593" s="204"/>
      <c r="PYA3593" s="204"/>
      <c r="PYB3593" s="204"/>
      <c r="PYC3593" s="204"/>
      <c r="PYD3593" s="204"/>
      <c r="PYE3593" s="204"/>
      <c r="PYF3593" s="204"/>
      <c r="PYG3593" s="204"/>
      <c r="PYH3593" s="204"/>
      <c r="PYI3593" s="204"/>
      <c r="PYJ3593" s="204"/>
      <c r="PYK3593" s="204"/>
      <c r="PYL3593" s="204"/>
      <c r="PYM3593" s="204"/>
      <c r="PYN3593" s="204"/>
      <c r="PYO3593" s="204"/>
      <c r="PYP3593" s="204"/>
      <c r="PYQ3593" s="204"/>
      <c r="PYR3593" s="204"/>
      <c r="PYS3593" s="204"/>
      <c r="PYT3593" s="204"/>
      <c r="PYU3593" s="204"/>
      <c r="PYV3593" s="204"/>
      <c r="PYW3593" s="204"/>
      <c r="PYX3593" s="204"/>
      <c r="PYY3593" s="204"/>
      <c r="PYZ3593" s="204"/>
      <c r="PZA3593" s="204"/>
      <c r="PZB3593" s="204"/>
      <c r="PZC3593" s="204"/>
      <c r="PZD3593" s="204"/>
      <c r="PZE3593" s="204"/>
      <c r="PZF3593" s="204"/>
      <c r="PZG3593" s="204"/>
      <c r="PZH3593" s="204"/>
      <c r="PZI3593" s="204"/>
      <c r="PZJ3593" s="204"/>
      <c r="PZK3593" s="204"/>
      <c r="PZL3593" s="204"/>
      <c r="PZM3593" s="204"/>
      <c r="PZN3593" s="204"/>
      <c r="PZO3593" s="204"/>
      <c r="PZP3593" s="204"/>
      <c r="PZQ3593" s="204"/>
      <c r="PZR3593" s="204"/>
      <c r="PZS3593" s="204"/>
      <c r="PZT3593" s="204"/>
      <c r="PZU3593" s="204"/>
      <c r="PZV3593" s="204"/>
      <c r="PZW3593" s="204"/>
      <c r="PZX3593" s="204"/>
      <c r="PZY3593" s="204"/>
      <c r="PZZ3593" s="204"/>
      <c r="QAA3593" s="204"/>
      <c r="QAB3593" s="204"/>
      <c r="QAC3593" s="204"/>
      <c r="QAD3593" s="204"/>
      <c r="QAE3593" s="204"/>
      <c r="QAF3593" s="204"/>
      <c r="QAG3593" s="204"/>
      <c r="QAH3593" s="204"/>
      <c r="QAI3593" s="204"/>
      <c r="QAJ3593" s="204"/>
      <c r="QAK3593" s="204"/>
      <c r="QAL3593" s="204"/>
      <c r="QAM3593" s="204"/>
      <c r="QAN3593" s="204"/>
      <c r="QAO3593" s="204"/>
      <c r="QAP3593" s="204"/>
      <c r="QAQ3593" s="204"/>
      <c r="QAR3593" s="204"/>
      <c r="QAS3593" s="204"/>
      <c r="QAT3593" s="204"/>
      <c r="QAU3593" s="204"/>
      <c r="QAV3593" s="204"/>
      <c r="QAW3593" s="204"/>
      <c r="QAX3593" s="204"/>
      <c r="QAY3593" s="204"/>
      <c r="QAZ3593" s="204"/>
      <c r="QBA3593" s="204"/>
      <c r="QBB3593" s="204"/>
      <c r="QBC3593" s="204"/>
      <c r="QBD3593" s="204"/>
      <c r="QBE3593" s="204"/>
      <c r="QBF3593" s="204"/>
      <c r="QBG3593" s="204"/>
      <c r="QBH3593" s="204"/>
      <c r="QBI3593" s="204"/>
      <c r="QBJ3593" s="204"/>
      <c r="QBK3593" s="204"/>
      <c r="QBL3593" s="204"/>
      <c r="QBM3593" s="204"/>
      <c r="QBN3593" s="204"/>
      <c r="QBO3593" s="204"/>
      <c r="QBP3593" s="204"/>
      <c r="QBQ3593" s="204"/>
      <c r="QBR3593" s="204"/>
      <c r="QBS3593" s="204"/>
      <c r="QBT3593" s="204"/>
      <c r="QBU3593" s="204"/>
      <c r="QBV3593" s="204"/>
      <c r="QBW3593" s="204"/>
      <c r="QBX3593" s="204"/>
      <c r="QBY3593" s="204"/>
      <c r="QBZ3593" s="204"/>
      <c r="QCA3593" s="204"/>
      <c r="QCB3593" s="204"/>
      <c r="QCC3593" s="204"/>
      <c r="QCD3593" s="204"/>
      <c r="QCE3593" s="204"/>
      <c r="QCF3593" s="204"/>
      <c r="QCG3593" s="204"/>
      <c r="QCH3593" s="204"/>
      <c r="QCI3593" s="204"/>
      <c r="QCJ3593" s="204"/>
      <c r="QCK3593" s="204"/>
      <c r="QCL3593" s="204"/>
      <c r="QCM3593" s="204"/>
      <c r="QCN3593" s="204"/>
      <c r="QCO3593" s="204"/>
      <c r="QCP3593" s="204"/>
      <c r="QCQ3593" s="204"/>
      <c r="QCR3593" s="204"/>
      <c r="QCS3593" s="204"/>
      <c r="QCT3593" s="204"/>
      <c r="QCU3593" s="204"/>
      <c r="QCV3593" s="204"/>
      <c r="QCW3593" s="204"/>
      <c r="QCX3593" s="204"/>
      <c r="QCY3593" s="204"/>
      <c r="QCZ3593" s="204"/>
      <c r="QDA3593" s="204"/>
      <c r="QDB3593" s="204"/>
      <c r="QDC3593" s="204"/>
      <c r="QDD3593" s="204"/>
      <c r="QDE3593" s="204"/>
      <c r="QDF3593" s="204"/>
      <c r="QDG3593" s="204"/>
      <c r="QDH3593" s="204"/>
      <c r="QDI3593" s="204"/>
      <c r="QDJ3593" s="204"/>
      <c r="QDK3593" s="204"/>
      <c r="QDL3593" s="204"/>
      <c r="QDM3593" s="204"/>
      <c r="QDN3593" s="204"/>
      <c r="QDO3593" s="204"/>
      <c r="QDP3593" s="204"/>
      <c r="QDQ3593" s="204"/>
      <c r="QDR3593" s="204"/>
      <c r="QDS3593" s="204"/>
      <c r="QDT3593" s="204"/>
      <c r="QDU3593" s="204"/>
      <c r="QDV3593" s="204"/>
      <c r="QDW3593" s="204"/>
      <c r="QDX3593" s="204"/>
      <c r="QDY3593" s="204"/>
      <c r="QDZ3593" s="204"/>
      <c r="QEA3593" s="204"/>
      <c r="QEB3593" s="204"/>
      <c r="QEC3593" s="204"/>
      <c r="QED3593" s="204"/>
      <c r="QEE3593" s="204"/>
      <c r="QEF3593" s="204"/>
      <c r="QEG3593" s="204"/>
      <c r="QEH3593" s="204"/>
      <c r="QEI3593" s="204"/>
      <c r="QEJ3593" s="204"/>
      <c r="QEK3593" s="204"/>
      <c r="QEL3593" s="204"/>
      <c r="QEM3593" s="204"/>
      <c r="QEN3593" s="204"/>
      <c r="QEO3593" s="204"/>
      <c r="QEP3593" s="204"/>
      <c r="QEQ3593" s="204"/>
      <c r="QER3593" s="204"/>
      <c r="QES3593" s="204"/>
      <c r="QET3593" s="204"/>
      <c r="QEU3593" s="204"/>
      <c r="QEV3593" s="204"/>
      <c r="QEW3593" s="204"/>
      <c r="QEX3593" s="204"/>
      <c r="QEY3593" s="204"/>
      <c r="QEZ3593" s="204"/>
      <c r="QFA3593" s="204"/>
      <c r="QFB3593" s="204"/>
      <c r="QFC3593" s="204"/>
      <c r="QFD3593" s="204"/>
      <c r="QFE3593" s="204"/>
      <c r="QFF3593" s="204"/>
      <c r="QFG3593" s="204"/>
      <c r="QFH3593" s="204"/>
      <c r="QFI3593" s="204"/>
      <c r="QFJ3593" s="204"/>
      <c r="QFK3593" s="204"/>
      <c r="QFL3593" s="204"/>
      <c r="QFM3593" s="204"/>
      <c r="QFN3593" s="204"/>
      <c r="QFO3593" s="204"/>
      <c r="QFP3593" s="204"/>
      <c r="QFQ3593" s="204"/>
      <c r="QFR3593" s="204"/>
      <c r="QFS3593" s="204"/>
      <c r="QFT3593" s="204"/>
      <c r="QFU3593" s="204"/>
      <c r="QFV3593" s="204"/>
      <c r="QFW3593" s="204"/>
      <c r="QFX3593" s="204"/>
      <c r="QFY3593" s="204"/>
      <c r="QFZ3593" s="204"/>
      <c r="QGA3593" s="204"/>
      <c r="QGB3593" s="204"/>
      <c r="QGC3593" s="204"/>
      <c r="QGD3593" s="204"/>
      <c r="QGE3593" s="204"/>
      <c r="QGF3593" s="204"/>
      <c r="QGG3593" s="204"/>
      <c r="QGH3593" s="204"/>
      <c r="QGI3593" s="204"/>
      <c r="QGJ3593" s="204"/>
      <c r="QGK3593" s="204"/>
      <c r="QGL3593" s="204"/>
      <c r="QGM3593" s="204"/>
      <c r="QGN3593" s="204"/>
      <c r="QGO3593" s="204"/>
      <c r="QGP3593" s="204"/>
      <c r="QGQ3593" s="204"/>
      <c r="QGR3593" s="204"/>
      <c r="QGS3593" s="204"/>
      <c r="QGT3593" s="204"/>
      <c r="QGU3593" s="204"/>
      <c r="QGV3593" s="204"/>
      <c r="QGW3593" s="204"/>
      <c r="QGX3593" s="204"/>
      <c r="QGY3593" s="204"/>
      <c r="QGZ3593" s="204"/>
      <c r="QHA3593" s="204"/>
      <c r="QHB3593" s="204"/>
      <c r="QHC3593" s="204"/>
      <c r="QHD3593" s="204"/>
      <c r="QHE3593" s="204"/>
      <c r="QHF3593" s="204"/>
      <c r="QHG3593" s="204"/>
      <c r="QHH3593" s="204"/>
      <c r="QHI3593" s="204"/>
      <c r="QHJ3593" s="204"/>
      <c r="QHK3593" s="204"/>
      <c r="QHL3593" s="204"/>
      <c r="QHM3593" s="204"/>
      <c r="QHN3593" s="204"/>
      <c r="QHO3593" s="204"/>
      <c r="QHP3593" s="204"/>
      <c r="QHQ3593" s="204"/>
      <c r="QHR3593" s="204"/>
      <c r="QHS3593" s="204"/>
      <c r="QHT3593" s="204"/>
      <c r="QHU3593" s="204"/>
      <c r="QHV3593" s="204"/>
      <c r="QHW3593" s="204"/>
      <c r="QHX3593" s="204"/>
      <c r="QHY3593" s="204"/>
      <c r="QHZ3593" s="204"/>
      <c r="QIA3593" s="204"/>
      <c r="QIB3593" s="204"/>
      <c r="QIC3593" s="204"/>
      <c r="QID3593" s="204"/>
      <c r="QIE3593" s="204"/>
      <c r="QIF3593" s="204"/>
      <c r="QIG3593" s="204"/>
      <c r="QIH3593" s="204"/>
      <c r="QII3593" s="204"/>
      <c r="QIJ3593" s="204"/>
      <c r="QIK3593" s="204"/>
      <c r="QIL3593" s="204"/>
      <c r="QIM3593" s="204"/>
      <c r="QIN3593" s="204"/>
      <c r="QIO3593" s="204"/>
      <c r="QIP3593" s="204"/>
      <c r="QIQ3593" s="204"/>
      <c r="QIR3593" s="204"/>
      <c r="QIS3593" s="204"/>
      <c r="QIT3593" s="204"/>
      <c r="QIU3593" s="204"/>
      <c r="QIV3593" s="204"/>
      <c r="QIW3593" s="204"/>
      <c r="QIX3593" s="204"/>
      <c r="QIY3593" s="204"/>
      <c r="QIZ3593" s="204"/>
      <c r="QJA3593" s="204"/>
      <c r="QJB3593" s="204"/>
      <c r="QJC3593" s="204"/>
      <c r="QJD3593" s="204"/>
      <c r="QJE3593" s="204"/>
      <c r="QJF3593" s="204"/>
      <c r="QJG3593" s="204"/>
      <c r="QJH3593" s="204"/>
      <c r="QJI3593" s="204"/>
      <c r="QJJ3593" s="204"/>
      <c r="QJK3593" s="204"/>
      <c r="QJL3593" s="204"/>
      <c r="QJM3593" s="204"/>
      <c r="QJN3593" s="204"/>
      <c r="QJO3593" s="204"/>
      <c r="QJP3593" s="204"/>
      <c r="QJQ3593" s="204"/>
      <c r="QJR3593" s="204"/>
      <c r="QJS3593" s="204"/>
      <c r="QJT3593" s="204"/>
      <c r="QJU3593" s="204"/>
      <c r="QJV3593" s="204"/>
      <c r="QJW3593" s="204"/>
      <c r="QJX3593" s="204"/>
      <c r="QJY3593" s="204"/>
      <c r="QJZ3593" s="204"/>
      <c r="QKA3593" s="204"/>
      <c r="QKB3593" s="204"/>
      <c r="QKC3593" s="204"/>
      <c r="QKD3593" s="204"/>
      <c r="QKE3593" s="204"/>
      <c r="QKF3593" s="204"/>
      <c r="QKG3593" s="204"/>
      <c r="QKH3593" s="204"/>
      <c r="QKI3593" s="204"/>
      <c r="QKJ3593" s="204"/>
      <c r="QKK3593" s="204"/>
      <c r="QKL3593" s="204"/>
      <c r="QKM3593" s="204"/>
      <c r="QKN3593" s="204"/>
      <c r="QKO3593" s="204"/>
      <c r="QKP3593" s="204"/>
      <c r="QKQ3593" s="204"/>
      <c r="QKR3593" s="204"/>
      <c r="QKS3593" s="204"/>
      <c r="QKT3593" s="204"/>
      <c r="QKU3593" s="204"/>
      <c r="QKV3593" s="204"/>
      <c r="QKW3593" s="204"/>
      <c r="QKX3593" s="204"/>
      <c r="QKY3593" s="204"/>
      <c r="QKZ3593" s="204"/>
      <c r="QLA3593" s="204"/>
      <c r="QLB3593" s="204"/>
      <c r="QLC3593" s="204"/>
      <c r="QLD3593" s="204"/>
      <c r="QLE3593" s="204"/>
      <c r="QLF3593" s="204"/>
      <c r="QLG3593" s="204"/>
      <c r="QLH3593" s="204"/>
      <c r="QLI3593" s="204"/>
      <c r="QLJ3593" s="204"/>
      <c r="QLK3593" s="204"/>
      <c r="QLL3593" s="204"/>
      <c r="QLM3593" s="204"/>
      <c r="QLN3593" s="204"/>
      <c r="QLO3593" s="204"/>
      <c r="QLP3593" s="204"/>
      <c r="QLQ3593" s="204"/>
      <c r="QLR3593" s="204"/>
      <c r="QLS3593" s="204"/>
      <c r="QLT3593" s="204"/>
      <c r="QLU3593" s="204"/>
      <c r="QLV3593" s="204"/>
      <c r="QLW3593" s="204"/>
      <c r="QLX3593" s="204"/>
      <c r="QLY3593" s="204"/>
      <c r="QLZ3593" s="204"/>
      <c r="QMA3593" s="204"/>
      <c r="QMB3593" s="204"/>
      <c r="QMC3593" s="204"/>
      <c r="QMD3593" s="204"/>
      <c r="QME3593" s="204"/>
      <c r="QMF3593" s="204"/>
      <c r="QMG3593" s="204"/>
      <c r="QMH3593" s="204"/>
      <c r="QMI3593" s="204"/>
      <c r="QMJ3593" s="204"/>
      <c r="QMK3593" s="204"/>
      <c r="QML3593" s="204"/>
      <c r="QMM3593" s="204"/>
      <c r="QMN3593" s="204"/>
      <c r="QMO3593" s="204"/>
      <c r="QMP3593" s="204"/>
      <c r="QMQ3593" s="204"/>
      <c r="QMR3593" s="204"/>
      <c r="QMS3593" s="204"/>
      <c r="QMT3593" s="204"/>
      <c r="QMU3593" s="204"/>
      <c r="QMV3593" s="204"/>
      <c r="QMW3593" s="204"/>
      <c r="QMX3593" s="204"/>
      <c r="QMY3593" s="204"/>
      <c r="QMZ3593" s="204"/>
      <c r="QNA3593" s="204"/>
      <c r="QNB3593" s="204"/>
      <c r="QNC3593" s="204"/>
      <c r="QND3593" s="204"/>
      <c r="QNE3593" s="204"/>
      <c r="QNF3593" s="204"/>
      <c r="QNG3593" s="204"/>
      <c r="QNH3593" s="204"/>
      <c r="QNI3593" s="204"/>
      <c r="QNJ3593" s="204"/>
      <c r="QNK3593" s="204"/>
      <c r="QNL3593" s="204"/>
      <c r="QNM3593" s="204"/>
      <c r="QNN3593" s="204"/>
      <c r="QNO3593" s="204"/>
      <c r="QNP3593" s="204"/>
      <c r="QNQ3593" s="204"/>
      <c r="QNR3593" s="204"/>
      <c r="QNS3593" s="204"/>
      <c r="QNT3593" s="204"/>
      <c r="QNU3593" s="204"/>
      <c r="QNV3593" s="204"/>
      <c r="QNW3593" s="204"/>
      <c r="QNX3593" s="204"/>
      <c r="QNY3593" s="204"/>
      <c r="QNZ3593" s="204"/>
      <c r="QOA3593" s="204"/>
      <c r="QOB3593" s="204"/>
      <c r="QOC3593" s="204"/>
      <c r="QOD3593" s="204"/>
      <c r="QOE3593" s="204"/>
      <c r="QOF3593" s="204"/>
      <c r="QOG3593" s="204"/>
      <c r="QOH3593" s="204"/>
      <c r="QOI3593" s="204"/>
      <c r="QOJ3593" s="204"/>
      <c r="QOK3593" s="204"/>
      <c r="QOL3593" s="204"/>
      <c r="QOM3593" s="204"/>
      <c r="QON3593" s="204"/>
      <c r="QOO3593" s="204"/>
      <c r="QOP3593" s="204"/>
      <c r="QOQ3593" s="204"/>
      <c r="QOR3593" s="204"/>
      <c r="QOS3593" s="204"/>
      <c r="QOT3593" s="204"/>
      <c r="QOU3593" s="204"/>
      <c r="QOV3593" s="204"/>
      <c r="QOW3593" s="204"/>
      <c r="QOX3593" s="204"/>
      <c r="QOY3593" s="204"/>
      <c r="QOZ3593" s="204"/>
      <c r="QPA3593" s="204"/>
      <c r="QPB3593" s="204"/>
      <c r="QPC3593" s="204"/>
      <c r="QPD3593" s="204"/>
      <c r="QPE3593" s="204"/>
      <c r="QPF3593" s="204"/>
      <c r="QPG3593" s="204"/>
      <c r="QPH3593" s="204"/>
      <c r="QPI3593" s="204"/>
      <c r="QPJ3593" s="204"/>
      <c r="QPK3593" s="204"/>
      <c r="QPL3593" s="204"/>
      <c r="QPM3593" s="204"/>
      <c r="QPN3593" s="204"/>
      <c r="QPO3593" s="204"/>
      <c r="QPP3593" s="204"/>
      <c r="QPQ3593" s="204"/>
      <c r="QPR3593" s="204"/>
      <c r="QPS3593" s="204"/>
      <c r="QPT3593" s="204"/>
      <c r="QPU3593" s="204"/>
      <c r="QPV3593" s="204"/>
      <c r="QPW3593" s="204"/>
      <c r="QPX3593" s="204"/>
      <c r="QPY3593" s="204"/>
      <c r="QPZ3593" s="204"/>
      <c r="QQA3593" s="204"/>
      <c r="QQB3593" s="204"/>
      <c r="QQC3593" s="204"/>
      <c r="QQD3593" s="204"/>
      <c r="QQE3593" s="204"/>
      <c r="QQF3593" s="204"/>
      <c r="QQG3593" s="204"/>
      <c r="QQH3593" s="204"/>
      <c r="QQI3593" s="204"/>
      <c r="QQJ3593" s="204"/>
      <c r="QQK3593" s="204"/>
      <c r="QQL3593" s="204"/>
      <c r="QQM3593" s="204"/>
      <c r="QQN3593" s="204"/>
      <c r="QQO3593" s="204"/>
      <c r="QQP3593" s="204"/>
      <c r="QQQ3593" s="204"/>
      <c r="QQR3593" s="204"/>
      <c r="QQS3593" s="204"/>
      <c r="QQT3593" s="204"/>
      <c r="QQU3593" s="204"/>
      <c r="QQV3593" s="204"/>
      <c r="QQW3593" s="204"/>
      <c r="QQX3593" s="204"/>
      <c r="QQY3593" s="204"/>
      <c r="QQZ3593" s="204"/>
      <c r="QRA3593" s="204"/>
      <c r="QRB3593" s="204"/>
      <c r="QRC3593" s="204"/>
      <c r="QRD3593" s="204"/>
      <c r="QRE3593" s="204"/>
      <c r="QRF3593" s="204"/>
      <c r="QRG3593" s="204"/>
      <c r="QRH3593" s="204"/>
      <c r="QRI3593" s="204"/>
      <c r="QRJ3593" s="204"/>
      <c r="QRK3593" s="204"/>
      <c r="QRL3593" s="204"/>
      <c r="QRM3593" s="204"/>
      <c r="QRN3593" s="204"/>
      <c r="QRO3593" s="204"/>
      <c r="QRP3593" s="204"/>
      <c r="QRQ3593" s="204"/>
      <c r="QRR3593" s="204"/>
      <c r="QRS3593" s="204"/>
      <c r="QRT3593" s="204"/>
      <c r="QRU3593" s="204"/>
      <c r="QRV3593" s="204"/>
      <c r="QRW3593" s="204"/>
      <c r="QRX3593" s="204"/>
      <c r="QRY3593" s="204"/>
      <c r="QRZ3593" s="204"/>
      <c r="QSA3593" s="204"/>
      <c r="QSB3593" s="204"/>
      <c r="QSC3593" s="204"/>
      <c r="QSD3593" s="204"/>
      <c r="QSE3593" s="204"/>
      <c r="QSF3593" s="204"/>
      <c r="QSG3593" s="204"/>
      <c r="QSH3593" s="204"/>
      <c r="QSI3593" s="204"/>
      <c r="QSJ3593" s="204"/>
      <c r="QSK3593" s="204"/>
      <c r="QSL3593" s="204"/>
      <c r="QSM3593" s="204"/>
      <c r="QSN3593" s="204"/>
      <c r="QSO3593" s="204"/>
      <c r="QSP3593" s="204"/>
      <c r="QSQ3593" s="204"/>
      <c r="QSR3593" s="204"/>
      <c r="QSS3593" s="204"/>
      <c r="QST3593" s="204"/>
      <c r="QSU3593" s="204"/>
      <c r="QSV3593" s="204"/>
      <c r="QSW3593" s="204"/>
      <c r="QSX3593" s="204"/>
      <c r="QSY3593" s="204"/>
      <c r="QSZ3593" s="204"/>
      <c r="QTA3593" s="204"/>
      <c r="QTB3593" s="204"/>
      <c r="QTC3593" s="204"/>
      <c r="QTD3593" s="204"/>
      <c r="QTE3593" s="204"/>
      <c r="QTF3593" s="204"/>
      <c r="QTG3593" s="204"/>
      <c r="QTH3593" s="204"/>
      <c r="QTI3593" s="204"/>
      <c r="QTJ3593" s="204"/>
      <c r="QTK3593" s="204"/>
      <c r="QTL3593" s="204"/>
      <c r="QTM3593" s="204"/>
      <c r="QTN3593" s="204"/>
      <c r="QTO3593" s="204"/>
      <c r="QTP3593" s="204"/>
      <c r="QTQ3593" s="204"/>
      <c r="QTR3593" s="204"/>
      <c r="QTS3593" s="204"/>
      <c r="QTT3593" s="204"/>
      <c r="QTU3593" s="204"/>
      <c r="QTV3593" s="204"/>
      <c r="QTW3593" s="204"/>
      <c r="QTX3593" s="204"/>
      <c r="QTY3593" s="204"/>
      <c r="QTZ3593" s="204"/>
      <c r="QUA3593" s="204"/>
      <c r="QUB3593" s="204"/>
      <c r="QUC3593" s="204"/>
      <c r="QUD3593" s="204"/>
      <c r="QUE3593" s="204"/>
      <c r="QUF3593" s="204"/>
      <c r="QUG3593" s="204"/>
      <c r="QUH3593" s="204"/>
      <c r="QUI3593" s="204"/>
      <c r="QUJ3593" s="204"/>
      <c r="QUK3593" s="204"/>
      <c r="QUL3593" s="204"/>
      <c r="QUM3593" s="204"/>
      <c r="QUN3593" s="204"/>
      <c r="QUO3593" s="204"/>
      <c r="QUP3593" s="204"/>
      <c r="QUQ3593" s="204"/>
      <c r="QUR3593" s="204"/>
      <c r="QUS3593" s="204"/>
      <c r="QUT3593" s="204"/>
      <c r="QUU3593" s="204"/>
      <c r="QUV3593" s="204"/>
      <c r="QUW3593" s="204"/>
      <c r="QUX3593" s="204"/>
      <c r="QUY3593" s="204"/>
      <c r="QUZ3593" s="204"/>
      <c r="QVA3593" s="204"/>
      <c r="QVB3593" s="204"/>
      <c r="QVC3593" s="204"/>
      <c r="QVD3593" s="204"/>
      <c r="QVE3593" s="204"/>
      <c r="QVF3593" s="204"/>
      <c r="QVG3593" s="204"/>
      <c r="QVH3593" s="204"/>
      <c r="QVI3593" s="204"/>
      <c r="QVJ3593" s="204"/>
      <c r="QVK3593" s="204"/>
      <c r="QVL3593" s="204"/>
      <c r="QVM3593" s="204"/>
      <c r="QVN3593" s="204"/>
      <c r="QVO3593" s="204"/>
      <c r="QVP3593" s="204"/>
      <c r="QVQ3593" s="204"/>
      <c r="QVR3593" s="204"/>
      <c r="QVS3593" s="204"/>
      <c r="QVT3593" s="204"/>
      <c r="QVU3593" s="204"/>
      <c r="QVV3593" s="204"/>
      <c r="QVW3593" s="204"/>
      <c r="QVX3593" s="204"/>
      <c r="QVY3593" s="204"/>
      <c r="QVZ3593" s="204"/>
      <c r="QWA3593" s="204"/>
      <c r="QWB3593" s="204"/>
      <c r="QWC3593" s="204"/>
      <c r="QWD3593" s="204"/>
      <c r="QWE3593" s="204"/>
      <c r="QWF3593" s="204"/>
      <c r="QWG3593" s="204"/>
      <c r="QWH3593" s="204"/>
      <c r="QWI3593" s="204"/>
      <c r="QWJ3593" s="204"/>
      <c r="QWK3593" s="204"/>
      <c r="QWL3593" s="204"/>
      <c r="QWM3593" s="204"/>
      <c r="QWN3593" s="204"/>
      <c r="QWO3593" s="204"/>
      <c r="QWP3593" s="204"/>
      <c r="QWQ3593" s="204"/>
      <c r="QWR3593" s="204"/>
      <c r="QWS3593" s="204"/>
      <c r="QWT3593" s="204"/>
      <c r="QWU3593" s="204"/>
      <c r="QWV3593" s="204"/>
      <c r="QWW3593" s="204"/>
      <c r="QWX3593" s="204"/>
      <c r="QWY3593" s="204"/>
      <c r="QWZ3593" s="204"/>
      <c r="QXA3593" s="204"/>
      <c r="QXB3593" s="204"/>
      <c r="QXC3593" s="204"/>
      <c r="QXD3593" s="204"/>
      <c r="QXE3593" s="204"/>
      <c r="QXF3593" s="204"/>
      <c r="QXG3593" s="204"/>
      <c r="QXH3593" s="204"/>
      <c r="QXI3593" s="204"/>
      <c r="QXJ3593" s="204"/>
      <c r="QXK3593" s="204"/>
      <c r="QXL3593" s="204"/>
      <c r="QXM3593" s="204"/>
      <c r="QXN3593" s="204"/>
      <c r="QXO3593" s="204"/>
      <c r="QXP3593" s="204"/>
      <c r="QXQ3593" s="204"/>
      <c r="QXR3593" s="204"/>
      <c r="QXS3593" s="204"/>
      <c r="QXT3593" s="204"/>
      <c r="QXU3593" s="204"/>
      <c r="QXV3593" s="204"/>
      <c r="QXW3593" s="204"/>
      <c r="QXX3593" s="204"/>
      <c r="QXY3593" s="204"/>
      <c r="QXZ3593" s="204"/>
      <c r="QYA3593" s="204"/>
      <c r="QYB3593" s="204"/>
      <c r="QYC3593" s="204"/>
      <c r="QYD3593" s="204"/>
      <c r="QYE3593" s="204"/>
      <c r="QYF3593" s="204"/>
      <c r="QYG3593" s="204"/>
      <c r="QYH3593" s="204"/>
      <c r="QYI3593" s="204"/>
      <c r="QYJ3593" s="204"/>
      <c r="QYK3593" s="204"/>
      <c r="QYL3593" s="204"/>
      <c r="QYM3593" s="204"/>
      <c r="QYN3593" s="204"/>
      <c r="QYO3593" s="204"/>
      <c r="QYP3593" s="204"/>
      <c r="QYQ3593" s="204"/>
      <c r="QYR3593" s="204"/>
      <c r="QYS3593" s="204"/>
      <c r="QYT3593" s="204"/>
      <c r="QYU3593" s="204"/>
      <c r="QYV3593" s="204"/>
      <c r="QYW3593" s="204"/>
      <c r="QYX3593" s="204"/>
      <c r="QYY3593" s="204"/>
      <c r="QYZ3593" s="204"/>
      <c r="QZA3593" s="204"/>
      <c r="QZB3593" s="204"/>
      <c r="QZC3593" s="204"/>
      <c r="QZD3593" s="204"/>
      <c r="QZE3593" s="204"/>
      <c r="QZF3593" s="204"/>
      <c r="QZG3593" s="204"/>
      <c r="QZH3593" s="204"/>
      <c r="QZI3593" s="204"/>
      <c r="QZJ3593" s="204"/>
      <c r="QZK3593" s="204"/>
      <c r="QZL3593" s="204"/>
      <c r="QZM3593" s="204"/>
      <c r="QZN3593" s="204"/>
      <c r="QZO3593" s="204"/>
      <c r="QZP3593" s="204"/>
      <c r="QZQ3593" s="204"/>
      <c r="QZR3593" s="204"/>
      <c r="QZS3593" s="204"/>
      <c r="QZT3593" s="204"/>
      <c r="QZU3593" s="204"/>
      <c r="QZV3593" s="204"/>
      <c r="QZW3593" s="204"/>
      <c r="QZX3593" s="204"/>
      <c r="QZY3593" s="204"/>
      <c r="QZZ3593" s="204"/>
      <c r="RAA3593" s="204"/>
      <c r="RAB3593" s="204"/>
      <c r="RAC3593" s="204"/>
      <c r="RAD3593" s="204"/>
      <c r="RAE3593" s="204"/>
      <c r="RAF3593" s="204"/>
      <c r="RAG3593" s="204"/>
      <c r="RAH3593" s="204"/>
      <c r="RAI3593" s="204"/>
      <c r="RAJ3593" s="204"/>
      <c r="RAK3593" s="204"/>
      <c r="RAL3593" s="204"/>
      <c r="RAM3593" s="204"/>
      <c r="RAN3593" s="204"/>
      <c r="RAO3593" s="204"/>
      <c r="RAP3593" s="204"/>
      <c r="RAQ3593" s="204"/>
      <c r="RAR3593" s="204"/>
      <c r="RAS3593" s="204"/>
      <c r="RAT3593" s="204"/>
      <c r="RAU3593" s="204"/>
      <c r="RAV3593" s="204"/>
      <c r="RAW3593" s="204"/>
      <c r="RAX3593" s="204"/>
      <c r="RAY3593" s="204"/>
      <c r="RAZ3593" s="204"/>
      <c r="RBA3593" s="204"/>
      <c r="RBB3593" s="204"/>
      <c r="RBC3593" s="204"/>
      <c r="RBD3593" s="204"/>
      <c r="RBE3593" s="204"/>
      <c r="RBF3593" s="204"/>
      <c r="RBG3593" s="204"/>
      <c r="RBH3593" s="204"/>
      <c r="RBI3593" s="204"/>
      <c r="RBJ3593" s="204"/>
      <c r="RBK3593" s="204"/>
      <c r="RBL3593" s="204"/>
      <c r="RBM3593" s="204"/>
      <c r="RBN3593" s="204"/>
      <c r="RBO3593" s="204"/>
      <c r="RBP3593" s="204"/>
      <c r="RBQ3593" s="204"/>
      <c r="RBR3593" s="204"/>
      <c r="RBS3593" s="204"/>
      <c r="RBT3593" s="204"/>
      <c r="RBU3593" s="204"/>
      <c r="RBV3593" s="204"/>
      <c r="RBW3593" s="204"/>
      <c r="RBX3593" s="204"/>
      <c r="RBY3593" s="204"/>
      <c r="RBZ3593" s="204"/>
      <c r="RCA3593" s="204"/>
      <c r="RCB3593" s="204"/>
      <c r="RCC3593" s="204"/>
      <c r="RCD3593" s="204"/>
      <c r="RCE3593" s="204"/>
      <c r="RCF3593" s="204"/>
      <c r="RCG3593" s="204"/>
      <c r="RCH3593" s="204"/>
      <c r="RCI3593" s="204"/>
      <c r="RCJ3593" s="204"/>
      <c r="RCK3593" s="204"/>
      <c r="RCL3593" s="204"/>
      <c r="RCM3593" s="204"/>
      <c r="RCN3593" s="204"/>
      <c r="RCO3593" s="204"/>
      <c r="RCP3593" s="204"/>
      <c r="RCQ3593" s="204"/>
      <c r="RCR3593" s="204"/>
      <c r="RCS3593" s="204"/>
      <c r="RCT3593" s="204"/>
      <c r="RCU3593" s="204"/>
      <c r="RCV3593" s="204"/>
      <c r="RCW3593" s="204"/>
      <c r="RCX3593" s="204"/>
      <c r="RCY3593" s="204"/>
      <c r="RCZ3593" s="204"/>
      <c r="RDA3593" s="204"/>
      <c r="RDB3593" s="204"/>
      <c r="RDC3593" s="204"/>
      <c r="RDD3593" s="204"/>
      <c r="RDE3593" s="204"/>
      <c r="RDF3593" s="204"/>
      <c r="RDG3593" s="204"/>
      <c r="RDH3593" s="204"/>
      <c r="RDI3593" s="204"/>
      <c r="RDJ3593" s="204"/>
      <c r="RDK3593" s="204"/>
      <c r="RDL3593" s="204"/>
      <c r="RDM3593" s="204"/>
      <c r="RDN3593" s="204"/>
      <c r="RDO3593" s="204"/>
      <c r="RDP3593" s="204"/>
      <c r="RDQ3593" s="204"/>
      <c r="RDR3593" s="204"/>
      <c r="RDS3593" s="204"/>
      <c r="RDT3593" s="204"/>
      <c r="RDU3593" s="204"/>
      <c r="RDV3593" s="204"/>
      <c r="RDW3593" s="204"/>
      <c r="RDX3593" s="204"/>
      <c r="RDY3593" s="204"/>
      <c r="RDZ3593" s="204"/>
      <c r="REA3593" s="204"/>
      <c r="REB3593" s="204"/>
      <c r="REC3593" s="204"/>
      <c r="RED3593" s="204"/>
      <c r="REE3593" s="204"/>
      <c r="REF3593" s="204"/>
      <c r="REG3593" s="204"/>
      <c r="REH3593" s="204"/>
      <c r="REI3593" s="204"/>
      <c r="REJ3593" s="204"/>
      <c r="REK3593" s="204"/>
      <c r="REL3593" s="204"/>
      <c r="REM3593" s="204"/>
      <c r="REN3593" s="204"/>
      <c r="REO3593" s="204"/>
      <c r="REP3593" s="204"/>
      <c r="REQ3593" s="204"/>
      <c r="RER3593" s="204"/>
      <c r="RES3593" s="204"/>
      <c r="RET3593" s="204"/>
      <c r="REU3593" s="204"/>
      <c r="REV3593" s="204"/>
      <c r="REW3593" s="204"/>
      <c r="REX3593" s="204"/>
      <c r="REY3593" s="204"/>
      <c r="REZ3593" s="204"/>
      <c r="RFA3593" s="204"/>
      <c r="RFB3593" s="204"/>
      <c r="RFC3593" s="204"/>
      <c r="RFD3593" s="204"/>
      <c r="RFE3593" s="204"/>
      <c r="RFF3593" s="204"/>
      <c r="RFG3593" s="204"/>
      <c r="RFH3593" s="204"/>
      <c r="RFI3593" s="204"/>
      <c r="RFJ3593" s="204"/>
      <c r="RFK3593" s="204"/>
      <c r="RFL3593" s="204"/>
      <c r="RFM3593" s="204"/>
      <c r="RFN3593" s="204"/>
      <c r="RFO3593" s="204"/>
      <c r="RFP3593" s="204"/>
      <c r="RFQ3593" s="204"/>
      <c r="RFR3593" s="204"/>
      <c r="RFS3593" s="204"/>
      <c r="RFT3593" s="204"/>
      <c r="RFU3593" s="204"/>
      <c r="RFV3593" s="204"/>
      <c r="RFW3593" s="204"/>
      <c r="RFX3593" s="204"/>
      <c r="RFY3593" s="204"/>
      <c r="RFZ3593" s="204"/>
      <c r="RGA3593" s="204"/>
      <c r="RGB3593" s="204"/>
      <c r="RGC3593" s="204"/>
      <c r="RGD3593" s="204"/>
      <c r="RGE3593" s="204"/>
      <c r="RGF3593" s="204"/>
      <c r="RGG3593" s="204"/>
      <c r="RGH3593" s="204"/>
      <c r="RGI3593" s="204"/>
      <c r="RGJ3593" s="204"/>
      <c r="RGK3593" s="204"/>
      <c r="RGL3593" s="204"/>
      <c r="RGM3593" s="204"/>
      <c r="RGN3593" s="204"/>
      <c r="RGO3593" s="204"/>
      <c r="RGP3593" s="204"/>
      <c r="RGQ3593" s="204"/>
      <c r="RGR3593" s="204"/>
      <c r="RGS3593" s="204"/>
      <c r="RGT3593" s="204"/>
      <c r="RGU3593" s="204"/>
      <c r="RGV3593" s="204"/>
      <c r="RGW3593" s="204"/>
      <c r="RGX3593" s="204"/>
      <c r="RGY3593" s="204"/>
      <c r="RGZ3593" s="204"/>
      <c r="RHA3593" s="204"/>
      <c r="RHB3593" s="204"/>
      <c r="RHC3593" s="204"/>
      <c r="RHD3593" s="204"/>
      <c r="RHE3593" s="204"/>
      <c r="RHF3593" s="204"/>
      <c r="RHG3593" s="204"/>
      <c r="RHH3593" s="204"/>
      <c r="RHI3593" s="204"/>
      <c r="RHJ3593" s="204"/>
      <c r="RHK3593" s="204"/>
      <c r="RHL3593" s="204"/>
      <c r="RHM3593" s="204"/>
      <c r="RHN3593" s="204"/>
      <c r="RHO3593" s="204"/>
      <c r="RHP3593" s="204"/>
      <c r="RHQ3593" s="204"/>
      <c r="RHR3593" s="204"/>
      <c r="RHS3593" s="204"/>
      <c r="RHT3593" s="204"/>
      <c r="RHU3593" s="204"/>
      <c r="RHV3593" s="204"/>
      <c r="RHW3593" s="204"/>
      <c r="RHX3593" s="204"/>
      <c r="RHY3593" s="204"/>
      <c r="RHZ3593" s="204"/>
      <c r="RIA3593" s="204"/>
      <c r="RIB3593" s="204"/>
      <c r="RIC3593" s="204"/>
      <c r="RID3593" s="204"/>
      <c r="RIE3593" s="204"/>
      <c r="RIF3593" s="204"/>
      <c r="RIG3593" s="204"/>
      <c r="RIH3593" s="204"/>
      <c r="RII3593" s="204"/>
      <c r="RIJ3593" s="204"/>
      <c r="RIK3593" s="204"/>
      <c r="RIL3593" s="204"/>
      <c r="RIM3593" s="204"/>
      <c r="RIN3593" s="204"/>
      <c r="RIO3593" s="204"/>
      <c r="RIP3593" s="204"/>
      <c r="RIQ3593" s="204"/>
      <c r="RIR3593" s="204"/>
      <c r="RIS3593" s="204"/>
      <c r="RIT3593" s="204"/>
      <c r="RIU3593" s="204"/>
      <c r="RIV3593" s="204"/>
      <c r="RIW3593" s="204"/>
      <c r="RIX3593" s="204"/>
      <c r="RIY3593" s="204"/>
      <c r="RIZ3593" s="204"/>
      <c r="RJA3593" s="204"/>
      <c r="RJB3593" s="204"/>
      <c r="RJC3593" s="204"/>
      <c r="RJD3593" s="204"/>
      <c r="RJE3593" s="204"/>
      <c r="RJF3593" s="204"/>
      <c r="RJG3593" s="204"/>
      <c r="RJH3593" s="204"/>
      <c r="RJI3593" s="204"/>
      <c r="RJJ3593" s="204"/>
      <c r="RJK3593" s="204"/>
      <c r="RJL3593" s="204"/>
      <c r="RJM3593" s="204"/>
      <c r="RJN3593" s="204"/>
      <c r="RJO3593" s="204"/>
      <c r="RJP3593" s="204"/>
      <c r="RJQ3593" s="204"/>
      <c r="RJR3593" s="204"/>
      <c r="RJS3593" s="204"/>
      <c r="RJT3593" s="204"/>
      <c r="RJU3593" s="204"/>
      <c r="RJV3593" s="204"/>
      <c r="RJW3593" s="204"/>
      <c r="RJX3593" s="204"/>
      <c r="RJY3593" s="204"/>
      <c r="RJZ3593" s="204"/>
      <c r="RKA3593" s="204"/>
      <c r="RKB3593" s="204"/>
      <c r="RKC3593" s="204"/>
      <c r="RKD3593" s="204"/>
      <c r="RKE3593" s="204"/>
      <c r="RKF3593" s="204"/>
      <c r="RKG3593" s="204"/>
      <c r="RKH3593" s="204"/>
      <c r="RKI3593" s="204"/>
      <c r="RKJ3593" s="204"/>
      <c r="RKK3593" s="204"/>
      <c r="RKL3593" s="204"/>
      <c r="RKM3593" s="204"/>
      <c r="RKN3593" s="204"/>
      <c r="RKO3593" s="204"/>
      <c r="RKP3593" s="204"/>
      <c r="RKQ3593" s="204"/>
      <c r="RKR3593" s="204"/>
      <c r="RKS3593" s="204"/>
      <c r="RKT3593" s="204"/>
      <c r="RKU3593" s="204"/>
      <c r="RKV3593" s="204"/>
      <c r="RKW3593" s="204"/>
      <c r="RKX3593" s="204"/>
      <c r="RKY3593" s="204"/>
      <c r="RKZ3593" s="204"/>
      <c r="RLA3593" s="204"/>
      <c r="RLB3593" s="204"/>
      <c r="RLC3593" s="204"/>
      <c r="RLD3593" s="204"/>
      <c r="RLE3593" s="204"/>
      <c r="RLF3593" s="204"/>
      <c r="RLG3593" s="204"/>
      <c r="RLH3593" s="204"/>
      <c r="RLI3593" s="204"/>
      <c r="RLJ3593" s="204"/>
      <c r="RLK3593" s="204"/>
      <c r="RLL3593" s="204"/>
      <c r="RLM3593" s="204"/>
      <c r="RLN3593" s="204"/>
      <c r="RLO3593" s="204"/>
      <c r="RLP3593" s="204"/>
      <c r="RLQ3593" s="204"/>
      <c r="RLR3593" s="204"/>
      <c r="RLS3593" s="204"/>
      <c r="RLT3593" s="204"/>
      <c r="RLU3593" s="204"/>
      <c r="RLV3593" s="204"/>
      <c r="RLW3593" s="204"/>
      <c r="RLX3593" s="204"/>
      <c r="RLY3593" s="204"/>
      <c r="RLZ3593" s="204"/>
      <c r="RMA3593" s="204"/>
      <c r="RMB3593" s="204"/>
      <c r="RMC3593" s="204"/>
      <c r="RMD3593" s="204"/>
      <c r="RME3593" s="204"/>
      <c r="RMF3593" s="204"/>
      <c r="RMG3593" s="204"/>
      <c r="RMH3593" s="204"/>
      <c r="RMI3593" s="204"/>
      <c r="RMJ3593" s="204"/>
      <c r="RMK3593" s="204"/>
      <c r="RML3593" s="204"/>
      <c r="RMM3593" s="204"/>
      <c r="RMN3593" s="204"/>
      <c r="RMO3593" s="204"/>
      <c r="RMP3593" s="204"/>
      <c r="RMQ3593" s="204"/>
      <c r="RMR3593" s="204"/>
      <c r="RMS3593" s="204"/>
      <c r="RMT3593" s="204"/>
      <c r="RMU3593" s="204"/>
      <c r="RMV3593" s="204"/>
      <c r="RMW3593" s="204"/>
      <c r="RMX3593" s="204"/>
      <c r="RMY3593" s="204"/>
      <c r="RMZ3593" s="204"/>
      <c r="RNA3593" s="204"/>
      <c r="RNB3593" s="204"/>
      <c r="RNC3593" s="204"/>
      <c r="RND3593" s="204"/>
      <c r="RNE3593" s="204"/>
      <c r="RNF3593" s="204"/>
      <c r="RNG3593" s="204"/>
      <c r="RNH3593" s="204"/>
      <c r="RNI3593" s="204"/>
      <c r="RNJ3593" s="204"/>
      <c r="RNK3593" s="204"/>
      <c r="RNL3593" s="204"/>
      <c r="RNM3593" s="204"/>
      <c r="RNN3593" s="204"/>
      <c r="RNO3593" s="204"/>
      <c r="RNP3593" s="204"/>
      <c r="RNQ3593" s="204"/>
      <c r="RNR3593" s="204"/>
      <c r="RNS3593" s="204"/>
      <c r="RNT3593" s="204"/>
      <c r="RNU3593" s="204"/>
      <c r="RNV3593" s="204"/>
      <c r="RNW3593" s="204"/>
      <c r="RNX3593" s="204"/>
      <c r="RNY3593" s="204"/>
      <c r="RNZ3593" s="204"/>
      <c r="ROA3593" s="204"/>
      <c r="ROB3593" s="204"/>
      <c r="ROC3593" s="204"/>
      <c r="ROD3593" s="204"/>
      <c r="ROE3593" s="204"/>
      <c r="ROF3593" s="204"/>
      <c r="ROG3593" s="204"/>
      <c r="ROH3593" s="204"/>
      <c r="ROI3593" s="204"/>
      <c r="ROJ3593" s="204"/>
      <c r="ROK3593" s="204"/>
      <c r="ROL3593" s="204"/>
      <c r="ROM3593" s="204"/>
      <c r="RON3593" s="204"/>
      <c r="ROO3593" s="204"/>
      <c r="ROP3593" s="204"/>
      <c r="ROQ3593" s="204"/>
      <c r="ROR3593" s="204"/>
      <c r="ROS3593" s="204"/>
      <c r="ROT3593" s="204"/>
      <c r="ROU3593" s="204"/>
      <c r="ROV3593" s="204"/>
      <c r="ROW3593" s="204"/>
      <c r="ROX3593" s="204"/>
      <c r="ROY3593" s="204"/>
      <c r="ROZ3593" s="204"/>
      <c r="RPA3593" s="204"/>
      <c r="RPB3593" s="204"/>
      <c r="RPC3593" s="204"/>
      <c r="RPD3593" s="204"/>
      <c r="RPE3593" s="204"/>
      <c r="RPF3593" s="204"/>
      <c r="RPG3593" s="204"/>
      <c r="RPH3593" s="204"/>
      <c r="RPI3593" s="204"/>
      <c r="RPJ3593" s="204"/>
      <c r="RPK3593" s="204"/>
      <c r="RPL3593" s="204"/>
      <c r="RPM3593" s="204"/>
      <c r="RPN3593" s="204"/>
      <c r="RPO3593" s="204"/>
      <c r="RPP3593" s="204"/>
      <c r="RPQ3593" s="204"/>
      <c r="RPR3593" s="204"/>
      <c r="RPS3593" s="204"/>
      <c r="RPT3593" s="204"/>
      <c r="RPU3593" s="204"/>
      <c r="RPV3593" s="204"/>
      <c r="RPW3593" s="204"/>
      <c r="RPX3593" s="204"/>
      <c r="RPY3593" s="204"/>
      <c r="RPZ3593" s="204"/>
      <c r="RQA3593" s="204"/>
      <c r="RQB3593" s="204"/>
      <c r="RQC3593" s="204"/>
      <c r="RQD3593" s="204"/>
      <c r="RQE3593" s="204"/>
      <c r="RQF3593" s="204"/>
      <c r="RQG3593" s="204"/>
      <c r="RQH3593" s="204"/>
      <c r="RQI3593" s="204"/>
      <c r="RQJ3593" s="204"/>
      <c r="RQK3593" s="204"/>
      <c r="RQL3593" s="204"/>
      <c r="RQM3593" s="204"/>
      <c r="RQN3593" s="204"/>
      <c r="RQO3593" s="204"/>
      <c r="RQP3593" s="204"/>
      <c r="RQQ3593" s="204"/>
      <c r="RQR3593" s="204"/>
      <c r="RQS3593" s="204"/>
      <c r="RQT3593" s="204"/>
      <c r="RQU3593" s="204"/>
      <c r="RQV3593" s="204"/>
      <c r="RQW3593" s="204"/>
      <c r="RQX3593" s="204"/>
      <c r="RQY3593" s="204"/>
      <c r="RQZ3593" s="204"/>
      <c r="RRA3593" s="204"/>
      <c r="RRB3593" s="204"/>
      <c r="RRC3593" s="204"/>
      <c r="RRD3593" s="204"/>
      <c r="RRE3593" s="204"/>
      <c r="RRF3593" s="204"/>
      <c r="RRG3593" s="204"/>
      <c r="RRH3593" s="204"/>
      <c r="RRI3593" s="204"/>
      <c r="RRJ3593" s="204"/>
      <c r="RRK3593" s="204"/>
      <c r="RRL3593" s="204"/>
      <c r="RRM3593" s="204"/>
      <c r="RRN3593" s="204"/>
      <c r="RRO3593" s="204"/>
      <c r="RRP3593" s="204"/>
      <c r="RRQ3593" s="204"/>
      <c r="RRR3593" s="204"/>
      <c r="RRS3593" s="204"/>
      <c r="RRT3593" s="204"/>
      <c r="RRU3593" s="204"/>
      <c r="RRV3593" s="204"/>
      <c r="RRW3593" s="204"/>
      <c r="RRX3593" s="204"/>
      <c r="RRY3593" s="204"/>
      <c r="RRZ3593" s="204"/>
      <c r="RSA3593" s="204"/>
      <c r="RSB3593" s="204"/>
      <c r="RSC3593" s="204"/>
      <c r="RSD3593" s="204"/>
      <c r="RSE3593" s="204"/>
      <c r="RSF3593" s="204"/>
      <c r="RSG3593" s="204"/>
      <c r="RSH3593" s="204"/>
      <c r="RSI3593" s="204"/>
      <c r="RSJ3593" s="204"/>
      <c r="RSK3593" s="204"/>
      <c r="RSL3593" s="204"/>
      <c r="RSM3593" s="204"/>
      <c r="RSN3593" s="204"/>
      <c r="RSO3593" s="204"/>
      <c r="RSP3593" s="204"/>
      <c r="RSQ3593" s="204"/>
      <c r="RSR3593" s="204"/>
      <c r="RSS3593" s="204"/>
      <c r="RST3593" s="204"/>
      <c r="RSU3593" s="204"/>
      <c r="RSV3593" s="204"/>
      <c r="RSW3593" s="204"/>
      <c r="RSX3593" s="204"/>
      <c r="RSY3593" s="204"/>
      <c r="RSZ3593" s="204"/>
      <c r="RTA3593" s="204"/>
      <c r="RTB3593" s="204"/>
      <c r="RTC3593" s="204"/>
      <c r="RTD3593" s="204"/>
      <c r="RTE3593" s="204"/>
      <c r="RTF3593" s="204"/>
      <c r="RTG3593" s="204"/>
      <c r="RTH3593" s="204"/>
      <c r="RTI3593" s="204"/>
      <c r="RTJ3593" s="204"/>
      <c r="RTK3593" s="204"/>
      <c r="RTL3593" s="204"/>
      <c r="RTM3593" s="204"/>
      <c r="RTN3593" s="204"/>
      <c r="RTO3593" s="204"/>
      <c r="RTP3593" s="204"/>
      <c r="RTQ3593" s="204"/>
      <c r="RTR3593" s="204"/>
      <c r="RTS3593" s="204"/>
      <c r="RTT3593" s="204"/>
      <c r="RTU3593" s="204"/>
      <c r="RTV3593" s="204"/>
      <c r="RTW3593" s="204"/>
      <c r="RTX3593" s="204"/>
      <c r="RTY3593" s="204"/>
      <c r="RTZ3593" s="204"/>
      <c r="RUA3593" s="204"/>
      <c r="RUB3593" s="204"/>
      <c r="RUC3593" s="204"/>
      <c r="RUD3593" s="204"/>
      <c r="RUE3593" s="204"/>
      <c r="RUF3593" s="204"/>
      <c r="RUG3593" s="204"/>
      <c r="RUH3593" s="204"/>
      <c r="RUI3593" s="204"/>
      <c r="RUJ3593" s="204"/>
      <c r="RUK3593" s="204"/>
      <c r="RUL3593" s="204"/>
      <c r="RUM3593" s="204"/>
      <c r="RUN3593" s="204"/>
      <c r="RUO3593" s="204"/>
      <c r="RUP3593" s="204"/>
      <c r="RUQ3593" s="204"/>
      <c r="RUR3593" s="204"/>
      <c r="RUS3593" s="204"/>
      <c r="RUT3593" s="204"/>
      <c r="RUU3593" s="204"/>
      <c r="RUV3593" s="204"/>
      <c r="RUW3593" s="204"/>
      <c r="RUX3593" s="204"/>
      <c r="RUY3593" s="204"/>
      <c r="RUZ3593" s="204"/>
      <c r="RVA3593" s="204"/>
      <c r="RVB3593" s="204"/>
      <c r="RVC3593" s="204"/>
      <c r="RVD3593" s="204"/>
      <c r="RVE3593" s="204"/>
      <c r="RVF3593" s="204"/>
      <c r="RVG3593" s="204"/>
      <c r="RVH3593" s="204"/>
      <c r="RVI3593" s="204"/>
      <c r="RVJ3593" s="204"/>
      <c r="RVK3593" s="204"/>
      <c r="RVL3593" s="204"/>
      <c r="RVM3593" s="204"/>
      <c r="RVN3593" s="204"/>
      <c r="RVO3593" s="204"/>
      <c r="RVP3593" s="204"/>
      <c r="RVQ3593" s="204"/>
      <c r="RVR3593" s="204"/>
      <c r="RVS3593" s="204"/>
      <c r="RVT3593" s="204"/>
      <c r="RVU3593" s="204"/>
      <c r="RVV3593" s="204"/>
      <c r="RVW3593" s="204"/>
      <c r="RVX3593" s="204"/>
      <c r="RVY3593" s="204"/>
      <c r="RVZ3593" s="204"/>
      <c r="RWA3593" s="204"/>
      <c r="RWB3593" s="204"/>
      <c r="RWC3593" s="204"/>
      <c r="RWD3593" s="204"/>
      <c r="RWE3593" s="204"/>
      <c r="RWF3593" s="204"/>
      <c r="RWG3593" s="204"/>
      <c r="RWH3593" s="204"/>
      <c r="RWI3593" s="204"/>
      <c r="RWJ3593" s="204"/>
      <c r="RWK3593" s="204"/>
      <c r="RWL3593" s="204"/>
      <c r="RWM3593" s="204"/>
      <c r="RWN3593" s="204"/>
      <c r="RWO3593" s="204"/>
      <c r="RWP3593" s="204"/>
      <c r="RWQ3593" s="204"/>
      <c r="RWR3593" s="204"/>
      <c r="RWS3593" s="204"/>
      <c r="RWT3593" s="204"/>
      <c r="RWU3593" s="204"/>
      <c r="RWV3593" s="204"/>
      <c r="RWW3593" s="204"/>
      <c r="RWX3593" s="204"/>
      <c r="RWY3593" s="204"/>
      <c r="RWZ3593" s="204"/>
      <c r="RXA3593" s="204"/>
      <c r="RXB3593" s="204"/>
      <c r="RXC3593" s="204"/>
      <c r="RXD3593" s="204"/>
      <c r="RXE3593" s="204"/>
      <c r="RXF3593" s="204"/>
      <c r="RXG3593" s="204"/>
      <c r="RXH3593" s="204"/>
      <c r="RXI3593" s="204"/>
      <c r="RXJ3593" s="204"/>
      <c r="RXK3593" s="204"/>
      <c r="RXL3593" s="204"/>
      <c r="RXM3593" s="204"/>
      <c r="RXN3593" s="204"/>
      <c r="RXO3593" s="204"/>
      <c r="RXP3593" s="204"/>
      <c r="RXQ3593" s="204"/>
      <c r="RXR3593" s="204"/>
      <c r="RXS3593" s="204"/>
      <c r="RXT3593" s="204"/>
      <c r="RXU3593" s="204"/>
      <c r="RXV3593" s="204"/>
      <c r="RXW3593" s="204"/>
      <c r="RXX3593" s="204"/>
      <c r="RXY3593" s="204"/>
      <c r="RXZ3593" s="204"/>
      <c r="RYA3593" s="204"/>
      <c r="RYB3593" s="204"/>
      <c r="RYC3593" s="204"/>
      <c r="RYD3593" s="204"/>
      <c r="RYE3593" s="204"/>
      <c r="RYF3593" s="204"/>
      <c r="RYG3593" s="204"/>
      <c r="RYH3593" s="204"/>
      <c r="RYI3593" s="204"/>
      <c r="RYJ3593" s="204"/>
      <c r="RYK3593" s="204"/>
      <c r="RYL3593" s="204"/>
      <c r="RYM3593" s="204"/>
      <c r="RYN3593" s="204"/>
      <c r="RYO3593" s="204"/>
      <c r="RYP3593" s="204"/>
      <c r="RYQ3593" s="204"/>
      <c r="RYR3593" s="204"/>
      <c r="RYS3593" s="204"/>
      <c r="RYT3593" s="204"/>
      <c r="RYU3593" s="204"/>
      <c r="RYV3593" s="204"/>
      <c r="RYW3593" s="204"/>
      <c r="RYX3593" s="204"/>
      <c r="RYY3593" s="204"/>
      <c r="RYZ3593" s="204"/>
      <c r="RZA3593" s="204"/>
      <c r="RZB3593" s="204"/>
      <c r="RZC3593" s="204"/>
      <c r="RZD3593" s="204"/>
      <c r="RZE3593" s="204"/>
      <c r="RZF3593" s="204"/>
      <c r="RZG3593" s="204"/>
      <c r="RZH3593" s="204"/>
      <c r="RZI3593" s="204"/>
      <c r="RZJ3593" s="204"/>
      <c r="RZK3593" s="204"/>
      <c r="RZL3593" s="204"/>
      <c r="RZM3593" s="204"/>
      <c r="RZN3593" s="204"/>
      <c r="RZO3593" s="204"/>
      <c r="RZP3593" s="204"/>
      <c r="RZQ3593" s="204"/>
      <c r="RZR3593" s="204"/>
      <c r="RZS3593" s="204"/>
      <c r="RZT3593" s="204"/>
      <c r="RZU3593" s="204"/>
      <c r="RZV3593" s="204"/>
      <c r="RZW3593" s="204"/>
      <c r="RZX3593" s="204"/>
      <c r="RZY3593" s="204"/>
      <c r="RZZ3593" s="204"/>
      <c r="SAA3593" s="204"/>
      <c r="SAB3593" s="204"/>
      <c r="SAC3593" s="204"/>
      <c r="SAD3593" s="204"/>
      <c r="SAE3593" s="204"/>
      <c r="SAF3593" s="204"/>
      <c r="SAG3593" s="204"/>
      <c r="SAH3593" s="204"/>
      <c r="SAI3593" s="204"/>
      <c r="SAJ3593" s="204"/>
      <c r="SAK3593" s="204"/>
      <c r="SAL3593" s="204"/>
      <c r="SAM3593" s="204"/>
      <c r="SAN3593" s="204"/>
      <c r="SAO3593" s="204"/>
      <c r="SAP3593" s="204"/>
      <c r="SAQ3593" s="204"/>
      <c r="SAR3593" s="204"/>
      <c r="SAS3593" s="204"/>
      <c r="SAT3593" s="204"/>
      <c r="SAU3593" s="204"/>
      <c r="SAV3593" s="204"/>
      <c r="SAW3593" s="204"/>
      <c r="SAX3593" s="204"/>
      <c r="SAY3593" s="204"/>
      <c r="SAZ3593" s="204"/>
      <c r="SBA3593" s="204"/>
      <c r="SBB3593" s="204"/>
      <c r="SBC3593" s="204"/>
      <c r="SBD3593" s="204"/>
      <c r="SBE3593" s="204"/>
      <c r="SBF3593" s="204"/>
      <c r="SBG3593" s="204"/>
      <c r="SBH3593" s="204"/>
      <c r="SBI3593" s="204"/>
      <c r="SBJ3593" s="204"/>
      <c r="SBK3593" s="204"/>
      <c r="SBL3593" s="204"/>
      <c r="SBM3593" s="204"/>
      <c r="SBN3593" s="204"/>
      <c r="SBO3593" s="204"/>
      <c r="SBP3593" s="204"/>
      <c r="SBQ3593" s="204"/>
      <c r="SBR3593" s="204"/>
      <c r="SBS3593" s="204"/>
      <c r="SBT3593" s="204"/>
      <c r="SBU3593" s="204"/>
      <c r="SBV3593" s="204"/>
      <c r="SBW3593" s="204"/>
      <c r="SBX3593" s="204"/>
      <c r="SBY3593" s="204"/>
      <c r="SBZ3593" s="204"/>
      <c r="SCA3593" s="204"/>
      <c r="SCB3593" s="204"/>
      <c r="SCC3593" s="204"/>
      <c r="SCD3593" s="204"/>
      <c r="SCE3593" s="204"/>
      <c r="SCF3593" s="204"/>
      <c r="SCG3593" s="204"/>
      <c r="SCH3593" s="204"/>
      <c r="SCI3593" s="204"/>
      <c r="SCJ3593" s="204"/>
      <c r="SCK3593" s="204"/>
      <c r="SCL3593" s="204"/>
      <c r="SCM3593" s="204"/>
      <c r="SCN3593" s="204"/>
      <c r="SCO3593" s="204"/>
      <c r="SCP3593" s="204"/>
      <c r="SCQ3593" s="204"/>
      <c r="SCR3593" s="204"/>
      <c r="SCS3593" s="204"/>
      <c r="SCT3593" s="204"/>
      <c r="SCU3593" s="204"/>
      <c r="SCV3593" s="204"/>
      <c r="SCW3593" s="204"/>
      <c r="SCX3593" s="204"/>
      <c r="SCY3593" s="204"/>
      <c r="SCZ3593" s="204"/>
      <c r="SDA3593" s="204"/>
      <c r="SDB3593" s="204"/>
      <c r="SDC3593" s="204"/>
      <c r="SDD3593" s="204"/>
      <c r="SDE3593" s="204"/>
      <c r="SDF3593" s="204"/>
      <c r="SDG3593" s="204"/>
      <c r="SDH3593" s="204"/>
      <c r="SDI3593" s="204"/>
      <c r="SDJ3593" s="204"/>
      <c r="SDK3593" s="204"/>
      <c r="SDL3593" s="204"/>
      <c r="SDM3593" s="204"/>
      <c r="SDN3593" s="204"/>
      <c r="SDO3593" s="204"/>
      <c r="SDP3593" s="204"/>
      <c r="SDQ3593" s="204"/>
      <c r="SDR3593" s="204"/>
      <c r="SDS3593" s="204"/>
      <c r="SDT3593" s="204"/>
      <c r="SDU3593" s="204"/>
      <c r="SDV3593" s="204"/>
      <c r="SDW3593" s="204"/>
      <c r="SDX3593" s="204"/>
      <c r="SDY3593" s="204"/>
      <c r="SDZ3593" s="204"/>
      <c r="SEA3593" s="204"/>
      <c r="SEB3593" s="204"/>
      <c r="SEC3593" s="204"/>
      <c r="SED3593" s="204"/>
      <c r="SEE3593" s="204"/>
      <c r="SEF3593" s="204"/>
      <c r="SEG3593" s="204"/>
      <c r="SEH3593" s="204"/>
      <c r="SEI3593" s="204"/>
      <c r="SEJ3593" s="204"/>
      <c r="SEK3593" s="204"/>
      <c r="SEL3593" s="204"/>
      <c r="SEM3593" s="204"/>
      <c r="SEN3593" s="204"/>
      <c r="SEO3593" s="204"/>
      <c r="SEP3593" s="204"/>
      <c r="SEQ3593" s="204"/>
      <c r="SER3593" s="204"/>
      <c r="SES3593" s="204"/>
      <c r="SET3593" s="204"/>
      <c r="SEU3593" s="204"/>
      <c r="SEV3593" s="204"/>
      <c r="SEW3593" s="204"/>
      <c r="SEX3593" s="204"/>
      <c r="SEY3593" s="204"/>
      <c r="SEZ3593" s="204"/>
      <c r="SFA3593" s="204"/>
      <c r="SFB3593" s="204"/>
      <c r="SFC3593" s="204"/>
      <c r="SFD3593" s="204"/>
      <c r="SFE3593" s="204"/>
      <c r="SFF3593" s="204"/>
      <c r="SFG3593" s="204"/>
      <c r="SFH3593" s="204"/>
      <c r="SFI3593" s="204"/>
      <c r="SFJ3593" s="204"/>
      <c r="SFK3593" s="204"/>
      <c r="SFL3593" s="204"/>
      <c r="SFM3593" s="204"/>
      <c r="SFN3593" s="204"/>
      <c r="SFO3593" s="204"/>
      <c r="SFP3593" s="204"/>
      <c r="SFQ3593" s="204"/>
      <c r="SFR3593" s="204"/>
      <c r="SFS3593" s="204"/>
      <c r="SFT3593" s="204"/>
      <c r="SFU3593" s="204"/>
      <c r="SFV3593" s="204"/>
      <c r="SFW3593" s="204"/>
      <c r="SFX3593" s="204"/>
      <c r="SFY3593" s="204"/>
      <c r="SFZ3593" s="204"/>
      <c r="SGA3593" s="204"/>
      <c r="SGB3593" s="204"/>
      <c r="SGC3593" s="204"/>
      <c r="SGD3593" s="204"/>
      <c r="SGE3593" s="204"/>
      <c r="SGF3593" s="204"/>
      <c r="SGG3593" s="204"/>
      <c r="SGH3593" s="204"/>
      <c r="SGI3593" s="204"/>
      <c r="SGJ3593" s="204"/>
      <c r="SGK3593" s="204"/>
      <c r="SGL3593" s="204"/>
      <c r="SGM3593" s="204"/>
      <c r="SGN3593" s="204"/>
      <c r="SGO3593" s="204"/>
      <c r="SGP3593" s="204"/>
      <c r="SGQ3593" s="204"/>
      <c r="SGR3593" s="204"/>
      <c r="SGS3593" s="204"/>
      <c r="SGT3593" s="204"/>
      <c r="SGU3593" s="204"/>
      <c r="SGV3593" s="204"/>
      <c r="SGW3593" s="204"/>
      <c r="SGX3593" s="204"/>
      <c r="SGY3593" s="204"/>
      <c r="SGZ3593" s="204"/>
      <c r="SHA3593" s="204"/>
      <c r="SHB3593" s="204"/>
      <c r="SHC3593" s="204"/>
      <c r="SHD3593" s="204"/>
      <c r="SHE3593" s="204"/>
      <c r="SHF3593" s="204"/>
      <c r="SHG3593" s="204"/>
      <c r="SHH3593" s="204"/>
      <c r="SHI3593" s="204"/>
      <c r="SHJ3593" s="204"/>
      <c r="SHK3593" s="204"/>
      <c r="SHL3593" s="204"/>
      <c r="SHM3593" s="204"/>
      <c r="SHN3593" s="204"/>
      <c r="SHO3593" s="204"/>
      <c r="SHP3593" s="204"/>
      <c r="SHQ3593" s="204"/>
      <c r="SHR3593" s="204"/>
      <c r="SHS3593" s="204"/>
      <c r="SHT3593" s="204"/>
      <c r="SHU3593" s="204"/>
      <c r="SHV3593" s="204"/>
      <c r="SHW3593" s="204"/>
      <c r="SHX3593" s="204"/>
      <c r="SHY3593" s="204"/>
      <c r="SHZ3593" s="204"/>
      <c r="SIA3593" s="204"/>
      <c r="SIB3593" s="204"/>
      <c r="SIC3593" s="204"/>
      <c r="SID3593" s="204"/>
      <c r="SIE3593" s="204"/>
      <c r="SIF3593" s="204"/>
      <c r="SIG3593" s="204"/>
      <c r="SIH3593" s="204"/>
      <c r="SII3593" s="204"/>
      <c r="SIJ3593" s="204"/>
      <c r="SIK3593" s="204"/>
      <c r="SIL3593" s="204"/>
      <c r="SIM3593" s="204"/>
      <c r="SIN3593" s="204"/>
      <c r="SIO3593" s="204"/>
      <c r="SIP3593" s="204"/>
      <c r="SIQ3593" s="204"/>
      <c r="SIR3593" s="204"/>
      <c r="SIS3593" s="204"/>
      <c r="SIT3593" s="204"/>
      <c r="SIU3593" s="204"/>
      <c r="SIV3593" s="204"/>
      <c r="SIW3593" s="204"/>
      <c r="SIX3593" s="204"/>
      <c r="SIY3593" s="204"/>
      <c r="SIZ3593" s="204"/>
      <c r="SJA3593" s="204"/>
      <c r="SJB3593" s="204"/>
      <c r="SJC3593" s="204"/>
      <c r="SJD3593" s="204"/>
      <c r="SJE3593" s="204"/>
      <c r="SJF3593" s="204"/>
      <c r="SJG3593" s="204"/>
      <c r="SJH3593" s="204"/>
      <c r="SJI3593" s="204"/>
      <c r="SJJ3593" s="204"/>
      <c r="SJK3593" s="204"/>
      <c r="SJL3593" s="204"/>
      <c r="SJM3593" s="204"/>
      <c r="SJN3593" s="204"/>
      <c r="SJO3593" s="204"/>
      <c r="SJP3593" s="204"/>
      <c r="SJQ3593" s="204"/>
      <c r="SJR3593" s="204"/>
      <c r="SJS3593" s="204"/>
      <c r="SJT3593" s="204"/>
      <c r="SJU3593" s="204"/>
      <c r="SJV3593" s="204"/>
      <c r="SJW3593" s="204"/>
      <c r="SJX3593" s="204"/>
      <c r="SJY3593" s="204"/>
      <c r="SJZ3593" s="204"/>
      <c r="SKA3593" s="204"/>
      <c r="SKB3593" s="204"/>
      <c r="SKC3593" s="204"/>
      <c r="SKD3593" s="204"/>
      <c r="SKE3593" s="204"/>
      <c r="SKF3593" s="204"/>
      <c r="SKG3593" s="204"/>
      <c r="SKH3593" s="204"/>
      <c r="SKI3593" s="204"/>
      <c r="SKJ3593" s="204"/>
      <c r="SKK3593" s="204"/>
      <c r="SKL3593" s="204"/>
      <c r="SKM3593" s="204"/>
      <c r="SKN3593" s="204"/>
      <c r="SKO3593" s="204"/>
      <c r="SKP3593" s="204"/>
      <c r="SKQ3593" s="204"/>
      <c r="SKR3593" s="204"/>
      <c r="SKS3593" s="204"/>
      <c r="SKT3593" s="204"/>
      <c r="SKU3593" s="204"/>
      <c r="SKV3593" s="204"/>
      <c r="SKW3593" s="204"/>
      <c r="SKX3593" s="204"/>
      <c r="SKY3593" s="204"/>
      <c r="SKZ3593" s="204"/>
      <c r="SLA3593" s="204"/>
      <c r="SLB3593" s="204"/>
      <c r="SLC3593" s="204"/>
      <c r="SLD3593" s="204"/>
      <c r="SLE3593" s="204"/>
      <c r="SLF3593" s="204"/>
      <c r="SLG3593" s="204"/>
      <c r="SLH3593" s="204"/>
      <c r="SLI3593" s="204"/>
      <c r="SLJ3593" s="204"/>
      <c r="SLK3593" s="204"/>
      <c r="SLL3593" s="204"/>
      <c r="SLM3593" s="204"/>
      <c r="SLN3593" s="204"/>
      <c r="SLO3593" s="204"/>
      <c r="SLP3593" s="204"/>
      <c r="SLQ3593" s="204"/>
      <c r="SLR3593" s="204"/>
      <c r="SLS3593" s="204"/>
      <c r="SLT3593" s="204"/>
      <c r="SLU3593" s="204"/>
      <c r="SLV3593" s="204"/>
      <c r="SLW3593" s="204"/>
      <c r="SLX3593" s="204"/>
      <c r="SLY3593" s="204"/>
      <c r="SLZ3593" s="204"/>
      <c r="SMA3593" s="204"/>
      <c r="SMB3593" s="204"/>
      <c r="SMC3593" s="204"/>
      <c r="SMD3593" s="204"/>
      <c r="SME3593" s="204"/>
      <c r="SMF3593" s="204"/>
      <c r="SMG3593" s="204"/>
      <c r="SMH3593" s="204"/>
      <c r="SMI3593" s="204"/>
      <c r="SMJ3593" s="204"/>
      <c r="SMK3593" s="204"/>
      <c r="SML3593" s="204"/>
      <c r="SMM3593" s="204"/>
      <c r="SMN3593" s="204"/>
      <c r="SMO3593" s="204"/>
      <c r="SMP3593" s="204"/>
      <c r="SMQ3593" s="204"/>
      <c r="SMR3593" s="204"/>
      <c r="SMS3593" s="204"/>
      <c r="SMT3593" s="204"/>
      <c r="SMU3593" s="204"/>
      <c r="SMV3593" s="204"/>
      <c r="SMW3593" s="204"/>
      <c r="SMX3593" s="204"/>
      <c r="SMY3593" s="204"/>
      <c r="SMZ3593" s="204"/>
      <c r="SNA3593" s="204"/>
      <c r="SNB3593" s="204"/>
      <c r="SNC3593" s="204"/>
      <c r="SND3593" s="204"/>
      <c r="SNE3593" s="204"/>
      <c r="SNF3593" s="204"/>
      <c r="SNG3593" s="204"/>
      <c r="SNH3593" s="204"/>
      <c r="SNI3593" s="204"/>
      <c r="SNJ3593" s="204"/>
      <c r="SNK3593" s="204"/>
      <c r="SNL3593" s="204"/>
      <c r="SNM3593" s="204"/>
      <c r="SNN3593" s="204"/>
      <c r="SNO3593" s="204"/>
      <c r="SNP3593" s="204"/>
      <c r="SNQ3593" s="204"/>
      <c r="SNR3593" s="204"/>
      <c r="SNS3593" s="204"/>
      <c r="SNT3593" s="204"/>
      <c r="SNU3593" s="204"/>
      <c r="SNV3593" s="204"/>
      <c r="SNW3593" s="204"/>
      <c r="SNX3593" s="204"/>
      <c r="SNY3593" s="204"/>
      <c r="SNZ3593" s="204"/>
      <c r="SOA3593" s="204"/>
      <c r="SOB3593" s="204"/>
      <c r="SOC3593" s="204"/>
      <c r="SOD3593" s="204"/>
      <c r="SOE3593" s="204"/>
      <c r="SOF3593" s="204"/>
      <c r="SOG3593" s="204"/>
      <c r="SOH3593" s="204"/>
      <c r="SOI3593" s="204"/>
      <c r="SOJ3593" s="204"/>
      <c r="SOK3593" s="204"/>
      <c r="SOL3593" s="204"/>
      <c r="SOM3593" s="204"/>
      <c r="SON3593" s="204"/>
      <c r="SOO3593" s="204"/>
      <c r="SOP3593" s="204"/>
      <c r="SOQ3593" s="204"/>
      <c r="SOR3593" s="204"/>
      <c r="SOS3593" s="204"/>
      <c r="SOT3593" s="204"/>
      <c r="SOU3593" s="204"/>
      <c r="SOV3593" s="204"/>
      <c r="SOW3593" s="204"/>
      <c r="SOX3593" s="204"/>
      <c r="SOY3593" s="204"/>
      <c r="SOZ3593" s="204"/>
      <c r="SPA3593" s="204"/>
      <c r="SPB3593" s="204"/>
      <c r="SPC3593" s="204"/>
      <c r="SPD3593" s="204"/>
      <c r="SPE3593" s="204"/>
      <c r="SPF3593" s="204"/>
      <c r="SPG3593" s="204"/>
      <c r="SPH3593" s="204"/>
      <c r="SPI3593" s="204"/>
      <c r="SPJ3593" s="204"/>
      <c r="SPK3593" s="204"/>
      <c r="SPL3593" s="204"/>
      <c r="SPM3593" s="204"/>
      <c r="SPN3593" s="204"/>
      <c r="SPO3593" s="204"/>
      <c r="SPP3593" s="204"/>
      <c r="SPQ3593" s="204"/>
      <c r="SPR3593" s="204"/>
      <c r="SPS3593" s="204"/>
      <c r="SPT3593" s="204"/>
      <c r="SPU3593" s="204"/>
      <c r="SPV3593" s="204"/>
      <c r="SPW3593" s="204"/>
      <c r="SPX3593" s="204"/>
      <c r="SPY3593" s="204"/>
      <c r="SPZ3593" s="204"/>
      <c r="SQA3593" s="204"/>
      <c r="SQB3593" s="204"/>
      <c r="SQC3593" s="204"/>
      <c r="SQD3593" s="204"/>
      <c r="SQE3593" s="204"/>
      <c r="SQF3593" s="204"/>
      <c r="SQG3593" s="204"/>
      <c r="SQH3593" s="204"/>
      <c r="SQI3593" s="204"/>
      <c r="SQJ3593" s="204"/>
      <c r="SQK3593" s="204"/>
      <c r="SQL3593" s="204"/>
      <c r="SQM3593" s="204"/>
      <c r="SQN3593" s="204"/>
      <c r="SQO3593" s="204"/>
      <c r="SQP3593" s="204"/>
      <c r="SQQ3593" s="204"/>
      <c r="SQR3593" s="204"/>
      <c r="SQS3593" s="204"/>
      <c r="SQT3593" s="204"/>
      <c r="SQU3593" s="204"/>
      <c r="SQV3593" s="204"/>
      <c r="SQW3593" s="204"/>
      <c r="SQX3593" s="204"/>
      <c r="SQY3593" s="204"/>
      <c r="SQZ3593" s="204"/>
      <c r="SRA3593" s="204"/>
      <c r="SRB3593" s="204"/>
      <c r="SRC3593" s="204"/>
      <c r="SRD3593" s="204"/>
      <c r="SRE3593" s="204"/>
      <c r="SRF3593" s="204"/>
      <c r="SRG3593" s="204"/>
      <c r="SRH3593" s="204"/>
      <c r="SRI3593" s="204"/>
      <c r="SRJ3593" s="204"/>
      <c r="SRK3593" s="204"/>
      <c r="SRL3593" s="204"/>
      <c r="SRM3593" s="204"/>
      <c r="SRN3593" s="204"/>
      <c r="SRO3593" s="204"/>
      <c r="SRP3593" s="204"/>
      <c r="SRQ3593" s="204"/>
      <c r="SRR3593" s="204"/>
      <c r="SRS3593" s="204"/>
      <c r="SRT3593" s="204"/>
      <c r="SRU3593" s="204"/>
      <c r="SRV3593" s="204"/>
      <c r="SRW3593" s="204"/>
      <c r="SRX3593" s="204"/>
      <c r="SRY3593" s="204"/>
      <c r="SRZ3593" s="204"/>
      <c r="SSA3593" s="204"/>
      <c r="SSB3593" s="204"/>
      <c r="SSC3593" s="204"/>
      <c r="SSD3593" s="204"/>
      <c r="SSE3593" s="204"/>
      <c r="SSF3593" s="204"/>
      <c r="SSG3593" s="204"/>
      <c r="SSH3593" s="204"/>
      <c r="SSI3593" s="204"/>
      <c r="SSJ3593" s="204"/>
      <c r="SSK3593" s="204"/>
      <c r="SSL3593" s="204"/>
      <c r="SSM3593" s="204"/>
      <c r="SSN3593" s="204"/>
      <c r="SSO3593" s="204"/>
      <c r="SSP3593" s="204"/>
      <c r="SSQ3593" s="204"/>
      <c r="SSR3593" s="204"/>
      <c r="SSS3593" s="204"/>
      <c r="SST3593" s="204"/>
      <c r="SSU3593" s="204"/>
      <c r="SSV3593" s="204"/>
      <c r="SSW3593" s="204"/>
      <c r="SSX3593" s="204"/>
      <c r="SSY3593" s="204"/>
      <c r="SSZ3593" s="204"/>
      <c r="STA3593" s="204"/>
      <c r="STB3593" s="204"/>
      <c r="STC3593" s="204"/>
      <c r="STD3593" s="204"/>
      <c r="STE3593" s="204"/>
      <c r="STF3593" s="204"/>
      <c r="STG3593" s="204"/>
      <c r="STH3593" s="204"/>
      <c r="STI3593" s="204"/>
      <c r="STJ3593" s="204"/>
      <c r="STK3593" s="204"/>
      <c r="STL3593" s="204"/>
      <c r="STM3593" s="204"/>
      <c r="STN3593" s="204"/>
      <c r="STO3593" s="204"/>
      <c r="STP3593" s="204"/>
      <c r="STQ3593" s="204"/>
      <c r="STR3593" s="204"/>
      <c r="STS3593" s="204"/>
      <c r="STT3593" s="204"/>
      <c r="STU3593" s="204"/>
      <c r="STV3593" s="204"/>
      <c r="STW3593" s="204"/>
      <c r="STX3593" s="204"/>
      <c r="STY3593" s="204"/>
      <c r="STZ3593" s="204"/>
      <c r="SUA3593" s="204"/>
      <c r="SUB3593" s="204"/>
      <c r="SUC3593" s="204"/>
      <c r="SUD3593" s="204"/>
      <c r="SUE3593" s="204"/>
      <c r="SUF3593" s="204"/>
      <c r="SUG3593" s="204"/>
      <c r="SUH3593" s="204"/>
      <c r="SUI3593" s="204"/>
      <c r="SUJ3593" s="204"/>
      <c r="SUK3593" s="204"/>
      <c r="SUL3593" s="204"/>
      <c r="SUM3593" s="204"/>
      <c r="SUN3593" s="204"/>
      <c r="SUO3593" s="204"/>
      <c r="SUP3593" s="204"/>
      <c r="SUQ3593" s="204"/>
      <c r="SUR3593" s="204"/>
      <c r="SUS3593" s="204"/>
      <c r="SUT3593" s="204"/>
      <c r="SUU3593" s="204"/>
      <c r="SUV3593" s="204"/>
      <c r="SUW3593" s="204"/>
      <c r="SUX3593" s="204"/>
      <c r="SUY3593" s="204"/>
      <c r="SUZ3593" s="204"/>
      <c r="SVA3593" s="204"/>
      <c r="SVB3593" s="204"/>
      <c r="SVC3593" s="204"/>
      <c r="SVD3593" s="204"/>
      <c r="SVE3593" s="204"/>
      <c r="SVF3593" s="204"/>
      <c r="SVG3593" s="204"/>
      <c r="SVH3593" s="204"/>
      <c r="SVI3593" s="204"/>
      <c r="SVJ3593" s="204"/>
      <c r="SVK3593" s="204"/>
      <c r="SVL3593" s="204"/>
      <c r="SVM3593" s="204"/>
      <c r="SVN3593" s="204"/>
      <c r="SVO3593" s="204"/>
      <c r="SVP3593" s="204"/>
      <c r="SVQ3593" s="204"/>
      <c r="SVR3593" s="204"/>
      <c r="SVS3593" s="204"/>
      <c r="SVT3593" s="204"/>
      <c r="SVU3593" s="204"/>
      <c r="SVV3593" s="204"/>
      <c r="SVW3593" s="204"/>
      <c r="SVX3593" s="204"/>
      <c r="SVY3593" s="204"/>
      <c r="SVZ3593" s="204"/>
      <c r="SWA3593" s="204"/>
      <c r="SWB3593" s="204"/>
      <c r="SWC3593" s="204"/>
      <c r="SWD3593" s="204"/>
      <c r="SWE3593" s="204"/>
      <c r="SWF3593" s="204"/>
      <c r="SWG3593" s="204"/>
      <c r="SWH3593" s="204"/>
      <c r="SWI3593" s="204"/>
      <c r="SWJ3593" s="204"/>
      <c r="SWK3593" s="204"/>
      <c r="SWL3593" s="204"/>
      <c r="SWM3593" s="204"/>
      <c r="SWN3593" s="204"/>
      <c r="SWO3593" s="204"/>
      <c r="SWP3593" s="204"/>
      <c r="SWQ3593" s="204"/>
      <c r="SWR3593" s="204"/>
      <c r="SWS3593" s="204"/>
      <c r="SWT3593" s="204"/>
      <c r="SWU3593" s="204"/>
      <c r="SWV3593" s="204"/>
      <c r="SWW3593" s="204"/>
      <c r="SWX3593" s="204"/>
      <c r="SWY3593" s="204"/>
      <c r="SWZ3593" s="204"/>
      <c r="SXA3593" s="204"/>
      <c r="SXB3593" s="204"/>
      <c r="SXC3593" s="204"/>
      <c r="SXD3593" s="204"/>
      <c r="SXE3593" s="204"/>
      <c r="SXF3593" s="204"/>
      <c r="SXG3593" s="204"/>
      <c r="SXH3593" s="204"/>
      <c r="SXI3593" s="204"/>
      <c r="SXJ3593" s="204"/>
      <c r="SXK3593" s="204"/>
      <c r="SXL3593" s="204"/>
      <c r="SXM3593" s="204"/>
      <c r="SXN3593" s="204"/>
      <c r="SXO3593" s="204"/>
      <c r="SXP3593" s="204"/>
      <c r="SXQ3593" s="204"/>
      <c r="SXR3593" s="204"/>
      <c r="SXS3593" s="204"/>
      <c r="SXT3593" s="204"/>
      <c r="SXU3593" s="204"/>
      <c r="SXV3593" s="204"/>
      <c r="SXW3593" s="204"/>
      <c r="SXX3593" s="204"/>
      <c r="SXY3593" s="204"/>
      <c r="SXZ3593" s="204"/>
      <c r="SYA3593" s="204"/>
      <c r="SYB3593" s="204"/>
      <c r="SYC3593" s="204"/>
      <c r="SYD3593" s="204"/>
      <c r="SYE3593" s="204"/>
      <c r="SYF3593" s="204"/>
      <c r="SYG3593" s="204"/>
      <c r="SYH3593" s="204"/>
      <c r="SYI3593" s="204"/>
      <c r="SYJ3593" s="204"/>
      <c r="SYK3593" s="204"/>
      <c r="SYL3593" s="204"/>
      <c r="SYM3593" s="204"/>
      <c r="SYN3593" s="204"/>
      <c r="SYO3593" s="204"/>
      <c r="SYP3593" s="204"/>
      <c r="SYQ3593" s="204"/>
      <c r="SYR3593" s="204"/>
      <c r="SYS3593" s="204"/>
      <c r="SYT3593" s="204"/>
      <c r="SYU3593" s="204"/>
      <c r="SYV3593" s="204"/>
      <c r="SYW3593" s="204"/>
      <c r="SYX3593" s="204"/>
      <c r="SYY3593" s="204"/>
      <c r="SYZ3593" s="204"/>
      <c r="SZA3593" s="204"/>
      <c r="SZB3593" s="204"/>
      <c r="SZC3593" s="204"/>
      <c r="SZD3593" s="204"/>
      <c r="SZE3593" s="204"/>
      <c r="SZF3593" s="204"/>
      <c r="SZG3593" s="204"/>
      <c r="SZH3593" s="204"/>
      <c r="SZI3593" s="204"/>
      <c r="SZJ3593" s="204"/>
      <c r="SZK3593" s="204"/>
      <c r="SZL3593" s="204"/>
      <c r="SZM3593" s="204"/>
      <c r="SZN3593" s="204"/>
      <c r="SZO3593" s="204"/>
      <c r="SZP3593" s="204"/>
      <c r="SZQ3593" s="204"/>
      <c r="SZR3593" s="204"/>
      <c r="SZS3593" s="204"/>
      <c r="SZT3593" s="204"/>
      <c r="SZU3593" s="204"/>
      <c r="SZV3593" s="204"/>
      <c r="SZW3593" s="204"/>
      <c r="SZX3593" s="204"/>
      <c r="SZY3593" s="204"/>
      <c r="SZZ3593" s="204"/>
      <c r="TAA3593" s="204"/>
      <c r="TAB3593" s="204"/>
      <c r="TAC3593" s="204"/>
      <c r="TAD3593" s="204"/>
      <c r="TAE3593" s="204"/>
      <c r="TAF3593" s="204"/>
      <c r="TAG3593" s="204"/>
      <c r="TAH3593" s="204"/>
      <c r="TAI3593" s="204"/>
      <c r="TAJ3593" s="204"/>
      <c r="TAK3593" s="204"/>
      <c r="TAL3593" s="204"/>
      <c r="TAM3593" s="204"/>
      <c r="TAN3593" s="204"/>
      <c r="TAO3593" s="204"/>
      <c r="TAP3593" s="204"/>
      <c r="TAQ3593" s="204"/>
      <c r="TAR3593" s="204"/>
      <c r="TAS3593" s="204"/>
      <c r="TAT3593" s="204"/>
      <c r="TAU3593" s="204"/>
      <c r="TAV3593" s="204"/>
      <c r="TAW3593" s="204"/>
      <c r="TAX3593" s="204"/>
      <c r="TAY3593" s="204"/>
      <c r="TAZ3593" s="204"/>
      <c r="TBA3593" s="204"/>
      <c r="TBB3593" s="204"/>
      <c r="TBC3593" s="204"/>
      <c r="TBD3593" s="204"/>
      <c r="TBE3593" s="204"/>
      <c r="TBF3593" s="204"/>
      <c r="TBG3593" s="204"/>
      <c r="TBH3593" s="204"/>
      <c r="TBI3593" s="204"/>
      <c r="TBJ3593" s="204"/>
      <c r="TBK3593" s="204"/>
      <c r="TBL3593" s="204"/>
      <c r="TBM3593" s="204"/>
      <c r="TBN3593" s="204"/>
      <c r="TBO3593" s="204"/>
      <c r="TBP3593" s="204"/>
      <c r="TBQ3593" s="204"/>
      <c r="TBR3593" s="204"/>
      <c r="TBS3593" s="204"/>
      <c r="TBT3593" s="204"/>
      <c r="TBU3593" s="204"/>
      <c r="TBV3593" s="204"/>
      <c r="TBW3593" s="204"/>
      <c r="TBX3593" s="204"/>
      <c r="TBY3593" s="204"/>
      <c r="TBZ3593" s="204"/>
      <c r="TCA3593" s="204"/>
      <c r="TCB3593" s="204"/>
      <c r="TCC3593" s="204"/>
      <c r="TCD3593" s="204"/>
      <c r="TCE3593" s="204"/>
      <c r="TCF3593" s="204"/>
      <c r="TCG3593" s="204"/>
      <c r="TCH3593" s="204"/>
      <c r="TCI3593" s="204"/>
      <c r="TCJ3593" s="204"/>
      <c r="TCK3593" s="204"/>
      <c r="TCL3593" s="204"/>
      <c r="TCM3593" s="204"/>
      <c r="TCN3593" s="204"/>
      <c r="TCO3593" s="204"/>
      <c r="TCP3593" s="204"/>
      <c r="TCQ3593" s="204"/>
      <c r="TCR3593" s="204"/>
      <c r="TCS3593" s="204"/>
      <c r="TCT3593" s="204"/>
      <c r="TCU3593" s="204"/>
      <c r="TCV3593" s="204"/>
      <c r="TCW3593" s="204"/>
      <c r="TCX3593" s="204"/>
      <c r="TCY3593" s="204"/>
      <c r="TCZ3593" s="204"/>
      <c r="TDA3593" s="204"/>
      <c r="TDB3593" s="204"/>
      <c r="TDC3593" s="204"/>
      <c r="TDD3593" s="204"/>
      <c r="TDE3593" s="204"/>
      <c r="TDF3593" s="204"/>
      <c r="TDG3593" s="204"/>
      <c r="TDH3593" s="204"/>
      <c r="TDI3593" s="204"/>
      <c r="TDJ3593" s="204"/>
      <c r="TDK3593" s="204"/>
      <c r="TDL3593" s="204"/>
      <c r="TDM3593" s="204"/>
      <c r="TDN3593" s="204"/>
      <c r="TDO3593" s="204"/>
      <c r="TDP3593" s="204"/>
      <c r="TDQ3593" s="204"/>
      <c r="TDR3593" s="204"/>
      <c r="TDS3593" s="204"/>
      <c r="TDT3593" s="204"/>
      <c r="TDU3593" s="204"/>
      <c r="TDV3593" s="204"/>
      <c r="TDW3593" s="204"/>
      <c r="TDX3593" s="204"/>
      <c r="TDY3593" s="204"/>
      <c r="TDZ3593" s="204"/>
      <c r="TEA3593" s="204"/>
      <c r="TEB3593" s="204"/>
      <c r="TEC3593" s="204"/>
      <c r="TED3593" s="204"/>
      <c r="TEE3593" s="204"/>
      <c r="TEF3593" s="204"/>
      <c r="TEG3593" s="204"/>
      <c r="TEH3593" s="204"/>
      <c r="TEI3593" s="204"/>
      <c r="TEJ3593" s="204"/>
      <c r="TEK3593" s="204"/>
      <c r="TEL3593" s="204"/>
      <c r="TEM3593" s="204"/>
      <c r="TEN3593" s="204"/>
      <c r="TEO3593" s="204"/>
      <c r="TEP3593" s="204"/>
      <c r="TEQ3593" s="204"/>
      <c r="TER3593" s="204"/>
      <c r="TES3593" s="204"/>
      <c r="TET3593" s="204"/>
      <c r="TEU3593" s="204"/>
      <c r="TEV3593" s="204"/>
      <c r="TEW3593" s="204"/>
      <c r="TEX3593" s="204"/>
      <c r="TEY3593" s="204"/>
      <c r="TEZ3593" s="204"/>
      <c r="TFA3593" s="204"/>
      <c r="TFB3593" s="204"/>
      <c r="TFC3593" s="204"/>
      <c r="TFD3593" s="204"/>
      <c r="TFE3593" s="204"/>
      <c r="TFF3593" s="204"/>
      <c r="TFG3593" s="204"/>
      <c r="TFH3593" s="204"/>
      <c r="TFI3593" s="204"/>
      <c r="TFJ3593" s="204"/>
      <c r="TFK3593" s="204"/>
      <c r="TFL3593" s="204"/>
      <c r="TFM3593" s="204"/>
      <c r="TFN3593" s="204"/>
      <c r="TFO3593" s="204"/>
      <c r="TFP3593" s="204"/>
      <c r="TFQ3593" s="204"/>
      <c r="TFR3593" s="204"/>
      <c r="TFS3593" s="204"/>
      <c r="TFT3593" s="204"/>
      <c r="TFU3593" s="204"/>
      <c r="TFV3593" s="204"/>
      <c r="TFW3593" s="204"/>
      <c r="TFX3593" s="204"/>
      <c r="TFY3593" s="204"/>
      <c r="TFZ3593" s="204"/>
      <c r="TGA3593" s="204"/>
      <c r="TGB3593" s="204"/>
      <c r="TGC3593" s="204"/>
      <c r="TGD3593" s="204"/>
      <c r="TGE3593" s="204"/>
      <c r="TGF3593" s="204"/>
      <c r="TGG3593" s="204"/>
      <c r="TGH3593" s="204"/>
      <c r="TGI3593" s="204"/>
      <c r="TGJ3593" s="204"/>
      <c r="TGK3593" s="204"/>
      <c r="TGL3593" s="204"/>
      <c r="TGM3593" s="204"/>
      <c r="TGN3593" s="204"/>
      <c r="TGO3593" s="204"/>
      <c r="TGP3593" s="204"/>
      <c r="TGQ3593" s="204"/>
      <c r="TGR3593" s="204"/>
      <c r="TGS3593" s="204"/>
      <c r="TGT3593" s="204"/>
      <c r="TGU3593" s="204"/>
      <c r="TGV3593" s="204"/>
      <c r="TGW3593" s="204"/>
      <c r="TGX3593" s="204"/>
      <c r="TGY3593" s="204"/>
      <c r="TGZ3593" s="204"/>
      <c r="THA3593" s="204"/>
      <c r="THB3593" s="204"/>
      <c r="THC3593" s="204"/>
      <c r="THD3593" s="204"/>
      <c r="THE3593" s="204"/>
      <c r="THF3593" s="204"/>
      <c r="THG3593" s="204"/>
      <c r="THH3593" s="204"/>
      <c r="THI3593" s="204"/>
      <c r="THJ3593" s="204"/>
      <c r="THK3593" s="204"/>
      <c r="THL3593" s="204"/>
      <c r="THM3593" s="204"/>
      <c r="THN3593" s="204"/>
      <c r="THO3593" s="204"/>
      <c r="THP3593" s="204"/>
      <c r="THQ3593" s="204"/>
      <c r="THR3593" s="204"/>
      <c r="THS3593" s="204"/>
      <c r="THT3593" s="204"/>
      <c r="THU3593" s="204"/>
      <c r="THV3593" s="204"/>
      <c r="THW3593" s="204"/>
      <c r="THX3593" s="204"/>
      <c r="THY3593" s="204"/>
      <c r="THZ3593" s="204"/>
      <c r="TIA3593" s="204"/>
      <c r="TIB3593" s="204"/>
      <c r="TIC3593" s="204"/>
      <c r="TID3593" s="204"/>
      <c r="TIE3593" s="204"/>
      <c r="TIF3593" s="204"/>
      <c r="TIG3593" s="204"/>
      <c r="TIH3593" s="204"/>
      <c r="TII3593" s="204"/>
      <c r="TIJ3593" s="204"/>
      <c r="TIK3593" s="204"/>
      <c r="TIL3593" s="204"/>
      <c r="TIM3593" s="204"/>
      <c r="TIN3593" s="204"/>
      <c r="TIO3593" s="204"/>
      <c r="TIP3593" s="204"/>
      <c r="TIQ3593" s="204"/>
      <c r="TIR3593" s="204"/>
      <c r="TIS3593" s="204"/>
      <c r="TIT3593" s="204"/>
      <c r="TIU3593" s="204"/>
      <c r="TIV3593" s="204"/>
      <c r="TIW3593" s="204"/>
      <c r="TIX3593" s="204"/>
      <c r="TIY3593" s="204"/>
      <c r="TIZ3593" s="204"/>
      <c r="TJA3593" s="204"/>
      <c r="TJB3593" s="204"/>
      <c r="TJC3593" s="204"/>
      <c r="TJD3593" s="204"/>
      <c r="TJE3593" s="204"/>
      <c r="TJF3593" s="204"/>
      <c r="TJG3593" s="204"/>
      <c r="TJH3593" s="204"/>
      <c r="TJI3593" s="204"/>
      <c r="TJJ3593" s="204"/>
      <c r="TJK3593" s="204"/>
      <c r="TJL3593" s="204"/>
      <c r="TJM3593" s="204"/>
      <c r="TJN3593" s="204"/>
      <c r="TJO3593" s="204"/>
      <c r="TJP3593" s="204"/>
      <c r="TJQ3593" s="204"/>
      <c r="TJR3593" s="204"/>
      <c r="TJS3593" s="204"/>
      <c r="TJT3593" s="204"/>
      <c r="TJU3593" s="204"/>
      <c r="TJV3593" s="204"/>
      <c r="TJW3593" s="204"/>
      <c r="TJX3593" s="204"/>
      <c r="TJY3593" s="204"/>
      <c r="TJZ3593" s="204"/>
      <c r="TKA3593" s="204"/>
      <c r="TKB3593" s="204"/>
      <c r="TKC3593" s="204"/>
      <c r="TKD3593" s="204"/>
      <c r="TKE3593" s="204"/>
      <c r="TKF3593" s="204"/>
      <c r="TKG3593" s="204"/>
      <c r="TKH3593" s="204"/>
      <c r="TKI3593" s="204"/>
      <c r="TKJ3593" s="204"/>
      <c r="TKK3593" s="204"/>
      <c r="TKL3593" s="204"/>
      <c r="TKM3593" s="204"/>
      <c r="TKN3593" s="204"/>
      <c r="TKO3593" s="204"/>
      <c r="TKP3593" s="204"/>
      <c r="TKQ3593" s="204"/>
      <c r="TKR3593" s="204"/>
      <c r="TKS3593" s="204"/>
      <c r="TKT3593" s="204"/>
      <c r="TKU3593" s="204"/>
      <c r="TKV3593" s="204"/>
      <c r="TKW3593" s="204"/>
      <c r="TKX3593" s="204"/>
      <c r="TKY3593" s="204"/>
      <c r="TKZ3593" s="204"/>
      <c r="TLA3593" s="204"/>
      <c r="TLB3593" s="204"/>
      <c r="TLC3593" s="204"/>
      <c r="TLD3593" s="204"/>
      <c r="TLE3593" s="204"/>
      <c r="TLF3593" s="204"/>
      <c r="TLG3593" s="204"/>
      <c r="TLH3593" s="204"/>
      <c r="TLI3593" s="204"/>
      <c r="TLJ3593" s="204"/>
      <c r="TLK3593" s="204"/>
      <c r="TLL3593" s="204"/>
      <c r="TLM3593" s="204"/>
      <c r="TLN3593" s="204"/>
      <c r="TLO3593" s="204"/>
      <c r="TLP3593" s="204"/>
      <c r="TLQ3593" s="204"/>
      <c r="TLR3593" s="204"/>
      <c r="TLS3593" s="204"/>
      <c r="TLT3593" s="204"/>
      <c r="TLU3593" s="204"/>
      <c r="TLV3593" s="204"/>
      <c r="TLW3593" s="204"/>
      <c r="TLX3593" s="204"/>
      <c r="TLY3593" s="204"/>
      <c r="TLZ3593" s="204"/>
      <c r="TMA3593" s="204"/>
      <c r="TMB3593" s="204"/>
      <c r="TMC3593" s="204"/>
      <c r="TMD3593" s="204"/>
      <c r="TME3593" s="204"/>
      <c r="TMF3593" s="204"/>
      <c r="TMG3593" s="204"/>
      <c r="TMH3593" s="204"/>
      <c r="TMI3593" s="204"/>
      <c r="TMJ3593" s="204"/>
      <c r="TMK3593" s="204"/>
      <c r="TML3593" s="204"/>
      <c r="TMM3593" s="204"/>
      <c r="TMN3593" s="204"/>
      <c r="TMO3593" s="204"/>
      <c r="TMP3593" s="204"/>
      <c r="TMQ3593" s="204"/>
      <c r="TMR3593" s="204"/>
      <c r="TMS3593" s="204"/>
      <c r="TMT3593" s="204"/>
      <c r="TMU3593" s="204"/>
      <c r="TMV3593" s="204"/>
      <c r="TMW3593" s="204"/>
      <c r="TMX3593" s="204"/>
      <c r="TMY3593" s="204"/>
      <c r="TMZ3593" s="204"/>
      <c r="TNA3593" s="204"/>
      <c r="TNB3593" s="204"/>
      <c r="TNC3593" s="204"/>
      <c r="TND3593" s="204"/>
      <c r="TNE3593" s="204"/>
      <c r="TNF3593" s="204"/>
      <c r="TNG3593" s="204"/>
      <c r="TNH3593" s="204"/>
      <c r="TNI3593" s="204"/>
      <c r="TNJ3593" s="204"/>
      <c r="TNK3593" s="204"/>
      <c r="TNL3593" s="204"/>
      <c r="TNM3593" s="204"/>
      <c r="TNN3593" s="204"/>
      <c r="TNO3593" s="204"/>
      <c r="TNP3593" s="204"/>
      <c r="TNQ3593" s="204"/>
      <c r="TNR3593" s="204"/>
      <c r="TNS3593" s="204"/>
      <c r="TNT3593" s="204"/>
      <c r="TNU3593" s="204"/>
      <c r="TNV3593" s="204"/>
      <c r="TNW3593" s="204"/>
      <c r="TNX3593" s="204"/>
      <c r="TNY3593" s="204"/>
      <c r="TNZ3593" s="204"/>
      <c r="TOA3593" s="204"/>
      <c r="TOB3593" s="204"/>
      <c r="TOC3593" s="204"/>
      <c r="TOD3593" s="204"/>
      <c r="TOE3593" s="204"/>
      <c r="TOF3593" s="204"/>
      <c r="TOG3593" s="204"/>
      <c r="TOH3593" s="204"/>
      <c r="TOI3593" s="204"/>
      <c r="TOJ3593" s="204"/>
      <c r="TOK3593" s="204"/>
      <c r="TOL3593" s="204"/>
      <c r="TOM3593" s="204"/>
      <c r="TON3593" s="204"/>
      <c r="TOO3593" s="204"/>
      <c r="TOP3593" s="204"/>
      <c r="TOQ3593" s="204"/>
      <c r="TOR3593" s="204"/>
      <c r="TOS3593" s="204"/>
      <c r="TOT3593" s="204"/>
      <c r="TOU3593" s="204"/>
      <c r="TOV3593" s="204"/>
      <c r="TOW3593" s="204"/>
      <c r="TOX3593" s="204"/>
      <c r="TOY3593" s="204"/>
      <c r="TOZ3593" s="204"/>
      <c r="TPA3593" s="204"/>
      <c r="TPB3593" s="204"/>
      <c r="TPC3593" s="204"/>
      <c r="TPD3593" s="204"/>
      <c r="TPE3593" s="204"/>
      <c r="TPF3593" s="204"/>
      <c r="TPG3593" s="204"/>
      <c r="TPH3593" s="204"/>
      <c r="TPI3593" s="204"/>
      <c r="TPJ3593" s="204"/>
      <c r="TPK3593" s="204"/>
      <c r="TPL3593" s="204"/>
      <c r="TPM3593" s="204"/>
      <c r="TPN3593" s="204"/>
      <c r="TPO3593" s="204"/>
      <c r="TPP3593" s="204"/>
      <c r="TPQ3593" s="204"/>
      <c r="TPR3593" s="204"/>
      <c r="TPS3593" s="204"/>
      <c r="TPT3593" s="204"/>
      <c r="TPU3593" s="204"/>
      <c r="TPV3593" s="204"/>
      <c r="TPW3593" s="204"/>
      <c r="TPX3593" s="204"/>
      <c r="TPY3593" s="204"/>
      <c r="TPZ3593" s="204"/>
      <c r="TQA3593" s="204"/>
      <c r="TQB3593" s="204"/>
      <c r="TQC3593" s="204"/>
      <c r="TQD3593" s="204"/>
      <c r="TQE3593" s="204"/>
      <c r="TQF3593" s="204"/>
      <c r="TQG3593" s="204"/>
      <c r="TQH3593" s="204"/>
      <c r="TQI3593" s="204"/>
      <c r="TQJ3593" s="204"/>
      <c r="TQK3593" s="204"/>
      <c r="TQL3593" s="204"/>
      <c r="TQM3593" s="204"/>
      <c r="TQN3593" s="204"/>
      <c r="TQO3593" s="204"/>
      <c r="TQP3593" s="204"/>
      <c r="TQQ3593" s="204"/>
      <c r="TQR3593" s="204"/>
      <c r="TQS3593" s="204"/>
      <c r="TQT3593" s="204"/>
      <c r="TQU3593" s="204"/>
      <c r="TQV3593" s="204"/>
      <c r="TQW3593" s="204"/>
      <c r="TQX3593" s="204"/>
      <c r="TQY3593" s="204"/>
      <c r="TQZ3593" s="204"/>
      <c r="TRA3593" s="204"/>
      <c r="TRB3593" s="204"/>
      <c r="TRC3593" s="204"/>
      <c r="TRD3593" s="204"/>
      <c r="TRE3593" s="204"/>
      <c r="TRF3593" s="204"/>
      <c r="TRG3593" s="204"/>
      <c r="TRH3593" s="204"/>
      <c r="TRI3593" s="204"/>
      <c r="TRJ3593" s="204"/>
      <c r="TRK3593" s="204"/>
      <c r="TRL3593" s="204"/>
      <c r="TRM3593" s="204"/>
      <c r="TRN3593" s="204"/>
      <c r="TRO3593" s="204"/>
      <c r="TRP3593" s="204"/>
      <c r="TRQ3593" s="204"/>
      <c r="TRR3593" s="204"/>
      <c r="TRS3593" s="204"/>
      <c r="TRT3593" s="204"/>
      <c r="TRU3593" s="204"/>
      <c r="TRV3593" s="204"/>
      <c r="TRW3593" s="204"/>
      <c r="TRX3593" s="204"/>
      <c r="TRY3593" s="204"/>
      <c r="TRZ3593" s="204"/>
      <c r="TSA3593" s="204"/>
      <c r="TSB3593" s="204"/>
      <c r="TSC3593" s="204"/>
      <c r="TSD3593" s="204"/>
      <c r="TSE3593" s="204"/>
      <c r="TSF3593" s="204"/>
      <c r="TSG3593" s="204"/>
      <c r="TSH3593" s="204"/>
      <c r="TSI3593" s="204"/>
      <c r="TSJ3593" s="204"/>
      <c r="TSK3593" s="204"/>
      <c r="TSL3593" s="204"/>
      <c r="TSM3593" s="204"/>
      <c r="TSN3593" s="204"/>
      <c r="TSO3593" s="204"/>
      <c r="TSP3593" s="204"/>
      <c r="TSQ3593" s="204"/>
      <c r="TSR3593" s="204"/>
      <c r="TSS3593" s="204"/>
      <c r="TST3593" s="204"/>
      <c r="TSU3593" s="204"/>
      <c r="TSV3593" s="204"/>
      <c r="TSW3593" s="204"/>
      <c r="TSX3593" s="204"/>
      <c r="TSY3593" s="204"/>
      <c r="TSZ3593" s="204"/>
      <c r="TTA3593" s="204"/>
      <c r="TTB3593" s="204"/>
      <c r="TTC3593" s="204"/>
      <c r="TTD3593" s="204"/>
      <c r="TTE3593" s="204"/>
      <c r="TTF3593" s="204"/>
      <c r="TTG3593" s="204"/>
      <c r="TTH3593" s="204"/>
      <c r="TTI3593" s="204"/>
      <c r="TTJ3593" s="204"/>
      <c r="TTK3593" s="204"/>
      <c r="TTL3593" s="204"/>
      <c r="TTM3593" s="204"/>
      <c r="TTN3593" s="204"/>
      <c r="TTO3593" s="204"/>
      <c r="TTP3593" s="204"/>
      <c r="TTQ3593" s="204"/>
      <c r="TTR3593" s="204"/>
      <c r="TTS3593" s="204"/>
      <c r="TTT3593" s="204"/>
      <c r="TTU3593" s="204"/>
      <c r="TTV3593" s="204"/>
      <c r="TTW3593" s="204"/>
      <c r="TTX3593" s="204"/>
      <c r="TTY3593" s="204"/>
      <c r="TTZ3593" s="204"/>
      <c r="TUA3593" s="204"/>
      <c r="TUB3593" s="204"/>
      <c r="TUC3593" s="204"/>
      <c r="TUD3593" s="204"/>
      <c r="TUE3593" s="204"/>
      <c r="TUF3593" s="204"/>
      <c r="TUG3593" s="204"/>
      <c r="TUH3593" s="204"/>
      <c r="TUI3593" s="204"/>
      <c r="TUJ3593" s="204"/>
      <c r="TUK3593" s="204"/>
      <c r="TUL3593" s="204"/>
      <c r="TUM3593" s="204"/>
      <c r="TUN3593" s="204"/>
      <c r="TUO3593" s="204"/>
      <c r="TUP3593" s="204"/>
      <c r="TUQ3593" s="204"/>
      <c r="TUR3593" s="204"/>
      <c r="TUS3593" s="204"/>
      <c r="TUT3593" s="204"/>
      <c r="TUU3593" s="204"/>
      <c r="TUV3593" s="204"/>
      <c r="TUW3593" s="204"/>
      <c r="TUX3593" s="204"/>
      <c r="TUY3593" s="204"/>
      <c r="TUZ3593" s="204"/>
      <c r="TVA3593" s="204"/>
      <c r="TVB3593" s="204"/>
      <c r="TVC3593" s="204"/>
      <c r="TVD3593" s="204"/>
      <c r="TVE3593" s="204"/>
      <c r="TVF3593" s="204"/>
      <c r="TVG3593" s="204"/>
      <c r="TVH3593" s="204"/>
      <c r="TVI3593" s="204"/>
      <c r="TVJ3593" s="204"/>
      <c r="TVK3593" s="204"/>
      <c r="TVL3593" s="204"/>
      <c r="TVM3593" s="204"/>
      <c r="TVN3593" s="204"/>
      <c r="TVO3593" s="204"/>
      <c r="TVP3593" s="204"/>
      <c r="TVQ3593" s="204"/>
      <c r="TVR3593" s="204"/>
      <c r="TVS3593" s="204"/>
      <c r="TVT3593" s="204"/>
      <c r="TVU3593" s="204"/>
      <c r="TVV3593" s="204"/>
      <c r="TVW3593" s="204"/>
      <c r="TVX3593" s="204"/>
      <c r="TVY3593" s="204"/>
      <c r="TVZ3593" s="204"/>
      <c r="TWA3593" s="204"/>
      <c r="TWB3593" s="204"/>
      <c r="TWC3593" s="204"/>
      <c r="TWD3593" s="204"/>
      <c r="TWE3593" s="204"/>
      <c r="TWF3593" s="204"/>
      <c r="TWG3593" s="204"/>
      <c r="TWH3593" s="204"/>
      <c r="TWI3593" s="204"/>
      <c r="TWJ3593" s="204"/>
      <c r="TWK3593" s="204"/>
      <c r="TWL3593" s="204"/>
      <c r="TWM3593" s="204"/>
      <c r="TWN3593" s="204"/>
      <c r="TWO3593" s="204"/>
      <c r="TWP3593" s="204"/>
      <c r="TWQ3593" s="204"/>
      <c r="TWR3593" s="204"/>
      <c r="TWS3593" s="204"/>
      <c r="TWT3593" s="204"/>
      <c r="TWU3593" s="204"/>
      <c r="TWV3593" s="204"/>
      <c r="TWW3593" s="204"/>
      <c r="TWX3593" s="204"/>
      <c r="TWY3593" s="204"/>
      <c r="TWZ3593" s="204"/>
      <c r="TXA3593" s="204"/>
      <c r="TXB3593" s="204"/>
      <c r="TXC3593" s="204"/>
      <c r="TXD3593" s="204"/>
      <c r="TXE3593" s="204"/>
      <c r="TXF3593" s="204"/>
      <c r="TXG3593" s="204"/>
      <c r="TXH3593" s="204"/>
      <c r="TXI3593" s="204"/>
      <c r="TXJ3593" s="204"/>
      <c r="TXK3593" s="204"/>
      <c r="TXL3593" s="204"/>
      <c r="TXM3593" s="204"/>
      <c r="TXN3593" s="204"/>
      <c r="TXO3593" s="204"/>
      <c r="TXP3593" s="204"/>
      <c r="TXQ3593" s="204"/>
      <c r="TXR3593" s="204"/>
      <c r="TXS3593" s="204"/>
      <c r="TXT3593" s="204"/>
      <c r="TXU3593" s="204"/>
      <c r="TXV3593" s="204"/>
      <c r="TXW3593" s="204"/>
      <c r="TXX3593" s="204"/>
      <c r="TXY3593" s="204"/>
      <c r="TXZ3593" s="204"/>
      <c r="TYA3593" s="204"/>
      <c r="TYB3593" s="204"/>
      <c r="TYC3593" s="204"/>
      <c r="TYD3593" s="204"/>
      <c r="TYE3593" s="204"/>
      <c r="TYF3593" s="204"/>
      <c r="TYG3593" s="204"/>
      <c r="TYH3593" s="204"/>
      <c r="TYI3593" s="204"/>
      <c r="TYJ3593" s="204"/>
      <c r="TYK3593" s="204"/>
      <c r="TYL3593" s="204"/>
      <c r="TYM3593" s="204"/>
      <c r="TYN3593" s="204"/>
      <c r="TYO3593" s="204"/>
      <c r="TYP3593" s="204"/>
      <c r="TYQ3593" s="204"/>
      <c r="TYR3593" s="204"/>
      <c r="TYS3593" s="204"/>
      <c r="TYT3593" s="204"/>
      <c r="TYU3593" s="204"/>
      <c r="TYV3593" s="204"/>
      <c r="TYW3593" s="204"/>
      <c r="TYX3593" s="204"/>
      <c r="TYY3593" s="204"/>
      <c r="TYZ3593" s="204"/>
      <c r="TZA3593" s="204"/>
      <c r="TZB3593" s="204"/>
      <c r="TZC3593" s="204"/>
      <c r="TZD3593" s="204"/>
      <c r="TZE3593" s="204"/>
      <c r="TZF3593" s="204"/>
      <c r="TZG3593" s="204"/>
      <c r="TZH3593" s="204"/>
      <c r="TZI3593" s="204"/>
      <c r="TZJ3593" s="204"/>
      <c r="TZK3593" s="204"/>
      <c r="TZL3593" s="204"/>
      <c r="TZM3593" s="204"/>
      <c r="TZN3593" s="204"/>
      <c r="TZO3593" s="204"/>
      <c r="TZP3593" s="204"/>
      <c r="TZQ3593" s="204"/>
      <c r="TZR3593" s="204"/>
      <c r="TZS3593" s="204"/>
      <c r="TZT3593" s="204"/>
      <c r="TZU3593" s="204"/>
      <c r="TZV3593" s="204"/>
      <c r="TZW3593" s="204"/>
      <c r="TZX3593" s="204"/>
      <c r="TZY3593" s="204"/>
      <c r="TZZ3593" s="204"/>
      <c r="UAA3593" s="204"/>
      <c r="UAB3593" s="204"/>
      <c r="UAC3593" s="204"/>
      <c r="UAD3593" s="204"/>
      <c r="UAE3593" s="204"/>
      <c r="UAF3593" s="204"/>
      <c r="UAG3593" s="204"/>
      <c r="UAH3593" s="204"/>
      <c r="UAI3593" s="204"/>
      <c r="UAJ3593" s="204"/>
      <c r="UAK3593" s="204"/>
      <c r="UAL3593" s="204"/>
      <c r="UAM3593" s="204"/>
      <c r="UAN3593" s="204"/>
      <c r="UAO3593" s="204"/>
      <c r="UAP3593" s="204"/>
      <c r="UAQ3593" s="204"/>
      <c r="UAR3593" s="204"/>
      <c r="UAS3593" s="204"/>
      <c r="UAT3593" s="204"/>
      <c r="UAU3593" s="204"/>
      <c r="UAV3593" s="204"/>
      <c r="UAW3593" s="204"/>
      <c r="UAX3593" s="204"/>
      <c r="UAY3593" s="204"/>
      <c r="UAZ3593" s="204"/>
      <c r="UBA3593" s="204"/>
      <c r="UBB3593" s="204"/>
      <c r="UBC3593" s="204"/>
      <c r="UBD3593" s="204"/>
      <c r="UBE3593" s="204"/>
      <c r="UBF3593" s="204"/>
      <c r="UBG3593" s="204"/>
      <c r="UBH3593" s="204"/>
      <c r="UBI3593" s="204"/>
      <c r="UBJ3593" s="204"/>
      <c r="UBK3593" s="204"/>
      <c r="UBL3593" s="204"/>
      <c r="UBM3593" s="204"/>
      <c r="UBN3593" s="204"/>
      <c r="UBO3593" s="204"/>
      <c r="UBP3593" s="204"/>
      <c r="UBQ3593" s="204"/>
      <c r="UBR3593" s="204"/>
      <c r="UBS3593" s="204"/>
      <c r="UBT3593" s="204"/>
      <c r="UBU3593" s="204"/>
      <c r="UBV3593" s="204"/>
      <c r="UBW3593" s="204"/>
      <c r="UBX3593" s="204"/>
      <c r="UBY3593" s="204"/>
      <c r="UBZ3593" s="204"/>
      <c r="UCA3593" s="204"/>
      <c r="UCB3593" s="204"/>
      <c r="UCC3593" s="204"/>
      <c r="UCD3593" s="204"/>
      <c r="UCE3593" s="204"/>
      <c r="UCF3593" s="204"/>
      <c r="UCG3593" s="204"/>
      <c r="UCH3593" s="204"/>
      <c r="UCI3593" s="204"/>
      <c r="UCJ3593" s="204"/>
      <c r="UCK3593" s="204"/>
      <c r="UCL3593" s="204"/>
      <c r="UCM3593" s="204"/>
      <c r="UCN3593" s="204"/>
      <c r="UCO3593" s="204"/>
      <c r="UCP3593" s="204"/>
      <c r="UCQ3593" s="204"/>
      <c r="UCR3593" s="204"/>
      <c r="UCS3593" s="204"/>
      <c r="UCT3593" s="204"/>
      <c r="UCU3593" s="204"/>
      <c r="UCV3593" s="204"/>
      <c r="UCW3593" s="204"/>
      <c r="UCX3593" s="204"/>
      <c r="UCY3593" s="204"/>
      <c r="UCZ3593" s="204"/>
      <c r="UDA3593" s="204"/>
      <c r="UDB3593" s="204"/>
      <c r="UDC3593" s="204"/>
      <c r="UDD3593" s="204"/>
      <c r="UDE3593" s="204"/>
      <c r="UDF3593" s="204"/>
      <c r="UDG3593" s="204"/>
      <c r="UDH3593" s="204"/>
      <c r="UDI3593" s="204"/>
      <c r="UDJ3593" s="204"/>
      <c r="UDK3593" s="204"/>
      <c r="UDL3593" s="204"/>
      <c r="UDM3593" s="204"/>
      <c r="UDN3593" s="204"/>
      <c r="UDO3593" s="204"/>
      <c r="UDP3593" s="204"/>
      <c r="UDQ3593" s="204"/>
      <c r="UDR3593" s="204"/>
      <c r="UDS3593" s="204"/>
      <c r="UDT3593" s="204"/>
      <c r="UDU3593" s="204"/>
      <c r="UDV3593" s="204"/>
      <c r="UDW3593" s="204"/>
      <c r="UDX3593" s="204"/>
      <c r="UDY3593" s="204"/>
      <c r="UDZ3593" s="204"/>
      <c r="UEA3593" s="204"/>
      <c r="UEB3593" s="204"/>
      <c r="UEC3593" s="204"/>
      <c r="UED3593" s="204"/>
      <c r="UEE3593" s="204"/>
      <c r="UEF3593" s="204"/>
      <c r="UEG3593" s="204"/>
      <c r="UEH3593" s="204"/>
      <c r="UEI3593" s="204"/>
      <c r="UEJ3593" s="204"/>
      <c r="UEK3593" s="204"/>
      <c r="UEL3593" s="204"/>
      <c r="UEM3593" s="204"/>
      <c r="UEN3593" s="204"/>
      <c r="UEO3593" s="204"/>
      <c r="UEP3593" s="204"/>
      <c r="UEQ3593" s="204"/>
      <c r="UER3593" s="204"/>
      <c r="UES3593" s="204"/>
      <c r="UET3593" s="204"/>
      <c r="UEU3593" s="204"/>
      <c r="UEV3593" s="204"/>
      <c r="UEW3593" s="204"/>
      <c r="UEX3593" s="204"/>
      <c r="UEY3593" s="204"/>
      <c r="UEZ3593" s="204"/>
      <c r="UFA3593" s="204"/>
      <c r="UFB3593" s="204"/>
      <c r="UFC3593" s="204"/>
      <c r="UFD3593" s="204"/>
      <c r="UFE3593" s="204"/>
      <c r="UFF3593" s="204"/>
      <c r="UFG3593" s="204"/>
      <c r="UFH3593" s="204"/>
      <c r="UFI3593" s="204"/>
      <c r="UFJ3593" s="204"/>
      <c r="UFK3593" s="204"/>
      <c r="UFL3593" s="204"/>
      <c r="UFM3593" s="204"/>
      <c r="UFN3593" s="204"/>
      <c r="UFO3593" s="204"/>
      <c r="UFP3593" s="204"/>
      <c r="UFQ3593" s="204"/>
      <c r="UFR3593" s="204"/>
      <c r="UFS3593" s="204"/>
      <c r="UFT3593" s="204"/>
      <c r="UFU3593" s="204"/>
      <c r="UFV3593" s="204"/>
      <c r="UFW3593" s="204"/>
      <c r="UFX3593" s="204"/>
      <c r="UFY3593" s="204"/>
      <c r="UFZ3593" s="204"/>
      <c r="UGA3593" s="204"/>
      <c r="UGB3593" s="204"/>
      <c r="UGC3593" s="204"/>
      <c r="UGD3593" s="204"/>
      <c r="UGE3593" s="204"/>
      <c r="UGF3593" s="204"/>
      <c r="UGG3593" s="204"/>
      <c r="UGH3593" s="204"/>
      <c r="UGI3593" s="204"/>
      <c r="UGJ3593" s="204"/>
      <c r="UGK3593" s="204"/>
      <c r="UGL3593" s="204"/>
      <c r="UGM3593" s="204"/>
      <c r="UGN3593" s="204"/>
      <c r="UGO3593" s="204"/>
      <c r="UGP3593" s="204"/>
      <c r="UGQ3593" s="204"/>
      <c r="UGR3593" s="204"/>
      <c r="UGS3593" s="204"/>
      <c r="UGT3593" s="204"/>
      <c r="UGU3593" s="204"/>
      <c r="UGV3593" s="204"/>
      <c r="UGW3593" s="204"/>
      <c r="UGX3593" s="204"/>
      <c r="UGY3593" s="204"/>
      <c r="UGZ3593" s="204"/>
      <c r="UHA3593" s="204"/>
      <c r="UHB3593" s="204"/>
      <c r="UHC3593" s="204"/>
      <c r="UHD3593" s="204"/>
      <c r="UHE3593" s="204"/>
      <c r="UHF3593" s="204"/>
      <c r="UHG3593" s="204"/>
      <c r="UHH3593" s="204"/>
      <c r="UHI3593" s="204"/>
      <c r="UHJ3593" s="204"/>
      <c r="UHK3593" s="204"/>
      <c r="UHL3593" s="204"/>
      <c r="UHM3593" s="204"/>
      <c r="UHN3593" s="204"/>
      <c r="UHO3593" s="204"/>
      <c r="UHP3593" s="204"/>
      <c r="UHQ3593" s="204"/>
      <c r="UHR3593" s="204"/>
      <c r="UHS3593" s="204"/>
      <c r="UHT3593" s="204"/>
      <c r="UHU3593" s="204"/>
      <c r="UHV3593" s="204"/>
      <c r="UHW3593" s="204"/>
      <c r="UHX3593" s="204"/>
      <c r="UHY3593" s="204"/>
      <c r="UHZ3593" s="204"/>
      <c r="UIA3593" s="204"/>
      <c r="UIB3593" s="204"/>
      <c r="UIC3593" s="204"/>
      <c r="UID3593" s="204"/>
      <c r="UIE3593" s="204"/>
      <c r="UIF3593" s="204"/>
      <c r="UIG3593" s="204"/>
      <c r="UIH3593" s="204"/>
      <c r="UII3593" s="204"/>
      <c r="UIJ3593" s="204"/>
      <c r="UIK3593" s="204"/>
      <c r="UIL3593" s="204"/>
      <c r="UIM3593" s="204"/>
      <c r="UIN3593" s="204"/>
      <c r="UIO3593" s="204"/>
      <c r="UIP3593" s="204"/>
      <c r="UIQ3593" s="204"/>
      <c r="UIR3593" s="204"/>
      <c r="UIS3593" s="204"/>
      <c r="UIT3593" s="204"/>
      <c r="UIU3593" s="204"/>
      <c r="UIV3593" s="204"/>
      <c r="UIW3593" s="204"/>
      <c r="UIX3593" s="204"/>
      <c r="UIY3593" s="204"/>
      <c r="UIZ3593" s="204"/>
      <c r="UJA3593" s="204"/>
      <c r="UJB3593" s="204"/>
      <c r="UJC3593" s="204"/>
      <c r="UJD3593" s="204"/>
      <c r="UJE3593" s="204"/>
      <c r="UJF3593" s="204"/>
      <c r="UJG3593" s="204"/>
      <c r="UJH3593" s="204"/>
      <c r="UJI3593" s="204"/>
      <c r="UJJ3593" s="204"/>
      <c r="UJK3593" s="204"/>
      <c r="UJL3593" s="204"/>
      <c r="UJM3593" s="204"/>
      <c r="UJN3593" s="204"/>
      <c r="UJO3593" s="204"/>
      <c r="UJP3593" s="204"/>
      <c r="UJQ3593" s="204"/>
      <c r="UJR3593" s="204"/>
      <c r="UJS3593" s="204"/>
      <c r="UJT3593" s="204"/>
      <c r="UJU3593" s="204"/>
      <c r="UJV3593" s="204"/>
      <c r="UJW3593" s="204"/>
      <c r="UJX3593" s="204"/>
      <c r="UJY3593" s="204"/>
      <c r="UJZ3593" s="204"/>
      <c r="UKA3593" s="204"/>
      <c r="UKB3593" s="204"/>
      <c r="UKC3593" s="204"/>
      <c r="UKD3593" s="204"/>
      <c r="UKE3593" s="204"/>
      <c r="UKF3593" s="204"/>
      <c r="UKG3593" s="204"/>
      <c r="UKH3593" s="204"/>
      <c r="UKI3593" s="204"/>
      <c r="UKJ3593" s="204"/>
      <c r="UKK3593" s="204"/>
      <c r="UKL3593" s="204"/>
      <c r="UKM3593" s="204"/>
      <c r="UKN3593" s="204"/>
      <c r="UKO3593" s="204"/>
      <c r="UKP3593" s="204"/>
      <c r="UKQ3593" s="204"/>
      <c r="UKR3593" s="204"/>
      <c r="UKS3593" s="204"/>
      <c r="UKT3593" s="204"/>
      <c r="UKU3593" s="204"/>
      <c r="UKV3593" s="204"/>
      <c r="UKW3593" s="204"/>
      <c r="UKX3593" s="204"/>
      <c r="UKY3593" s="204"/>
      <c r="UKZ3593" s="204"/>
      <c r="ULA3593" s="204"/>
      <c r="ULB3593" s="204"/>
      <c r="ULC3593" s="204"/>
      <c r="ULD3593" s="204"/>
      <c r="ULE3593" s="204"/>
      <c r="ULF3593" s="204"/>
      <c r="ULG3593" s="204"/>
      <c r="ULH3593" s="204"/>
      <c r="ULI3593" s="204"/>
      <c r="ULJ3593" s="204"/>
      <c r="ULK3593" s="204"/>
      <c r="ULL3593" s="204"/>
      <c r="ULM3593" s="204"/>
      <c r="ULN3593" s="204"/>
      <c r="ULO3593" s="204"/>
      <c r="ULP3593" s="204"/>
      <c r="ULQ3593" s="204"/>
      <c r="ULR3593" s="204"/>
      <c r="ULS3593" s="204"/>
      <c r="ULT3593" s="204"/>
      <c r="ULU3593" s="204"/>
      <c r="ULV3593" s="204"/>
      <c r="ULW3593" s="204"/>
      <c r="ULX3593" s="204"/>
      <c r="ULY3593" s="204"/>
      <c r="ULZ3593" s="204"/>
      <c r="UMA3593" s="204"/>
      <c r="UMB3593" s="204"/>
      <c r="UMC3593" s="204"/>
      <c r="UMD3593" s="204"/>
      <c r="UME3593" s="204"/>
      <c r="UMF3593" s="204"/>
      <c r="UMG3593" s="204"/>
      <c r="UMH3593" s="204"/>
      <c r="UMI3593" s="204"/>
      <c r="UMJ3593" s="204"/>
      <c r="UMK3593" s="204"/>
      <c r="UML3593" s="204"/>
      <c r="UMM3593" s="204"/>
      <c r="UMN3593" s="204"/>
      <c r="UMO3593" s="204"/>
      <c r="UMP3593" s="204"/>
      <c r="UMQ3593" s="204"/>
      <c r="UMR3593" s="204"/>
      <c r="UMS3593" s="204"/>
      <c r="UMT3593" s="204"/>
      <c r="UMU3593" s="204"/>
      <c r="UMV3593" s="204"/>
      <c r="UMW3593" s="204"/>
      <c r="UMX3593" s="204"/>
      <c r="UMY3593" s="204"/>
      <c r="UMZ3593" s="204"/>
      <c r="UNA3593" s="204"/>
      <c r="UNB3593" s="204"/>
      <c r="UNC3593" s="204"/>
      <c r="UND3593" s="204"/>
      <c r="UNE3593" s="204"/>
      <c r="UNF3593" s="204"/>
      <c r="UNG3593" s="204"/>
      <c r="UNH3593" s="204"/>
      <c r="UNI3593" s="204"/>
      <c r="UNJ3593" s="204"/>
      <c r="UNK3593" s="204"/>
      <c r="UNL3593" s="204"/>
      <c r="UNM3593" s="204"/>
      <c r="UNN3593" s="204"/>
      <c r="UNO3593" s="204"/>
      <c r="UNP3593" s="204"/>
      <c r="UNQ3593" s="204"/>
      <c r="UNR3593" s="204"/>
      <c r="UNS3593" s="204"/>
      <c r="UNT3593" s="204"/>
      <c r="UNU3593" s="204"/>
      <c r="UNV3593" s="204"/>
      <c r="UNW3593" s="204"/>
      <c r="UNX3593" s="204"/>
      <c r="UNY3593" s="204"/>
      <c r="UNZ3593" s="204"/>
      <c r="UOA3593" s="204"/>
      <c r="UOB3593" s="204"/>
      <c r="UOC3593" s="204"/>
      <c r="UOD3593" s="204"/>
      <c r="UOE3593" s="204"/>
      <c r="UOF3593" s="204"/>
      <c r="UOG3593" s="204"/>
      <c r="UOH3593" s="204"/>
      <c r="UOI3593" s="204"/>
      <c r="UOJ3593" s="204"/>
      <c r="UOK3593" s="204"/>
      <c r="UOL3593" s="204"/>
      <c r="UOM3593" s="204"/>
      <c r="UON3593" s="204"/>
      <c r="UOO3593" s="204"/>
      <c r="UOP3593" s="204"/>
      <c r="UOQ3593" s="204"/>
      <c r="UOR3593" s="204"/>
      <c r="UOS3593" s="204"/>
      <c r="UOT3593" s="204"/>
      <c r="UOU3593" s="204"/>
      <c r="UOV3593" s="204"/>
      <c r="UOW3593" s="204"/>
      <c r="UOX3593" s="204"/>
      <c r="UOY3593" s="204"/>
      <c r="UOZ3593" s="204"/>
      <c r="UPA3593" s="204"/>
      <c r="UPB3593" s="204"/>
      <c r="UPC3593" s="204"/>
      <c r="UPD3593" s="204"/>
      <c r="UPE3593" s="204"/>
      <c r="UPF3593" s="204"/>
      <c r="UPG3593" s="204"/>
      <c r="UPH3593" s="204"/>
      <c r="UPI3593" s="204"/>
      <c r="UPJ3593" s="204"/>
      <c r="UPK3593" s="204"/>
      <c r="UPL3593" s="204"/>
      <c r="UPM3593" s="204"/>
      <c r="UPN3593" s="204"/>
      <c r="UPO3593" s="204"/>
      <c r="UPP3593" s="204"/>
      <c r="UPQ3593" s="204"/>
      <c r="UPR3593" s="204"/>
      <c r="UPS3593" s="204"/>
      <c r="UPT3593" s="204"/>
      <c r="UPU3593" s="204"/>
      <c r="UPV3593" s="204"/>
      <c r="UPW3593" s="204"/>
      <c r="UPX3593" s="204"/>
      <c r="UPY3593" s="204"/>
      <c r="UPZ3593" s="204"/>
      <c r="UQA3593" s="204"/>
      <c r="UQB3593" s="204"/>
      <c r="UQC3593" s="204"/>
      <c r="UQD3593" s="204"/>
      <c r="UQE3593" s="204"/>
      <c r="UQF3593" s="204"/>
      <c r="UQG3593" s="204"/>
      <c r="UQH3593" s="204"/>
      <c r="UQI3593" s="204"/>
      <c r="UQJ3593" s="204"/>
      <c r="UQK3593" s="204"/>
      <c r="UQL3593" s="204"/>
      <c r="UQM3593" s="204"/>
      <c r="UQN3593" s="204"/>
      <c r="UQO3593" s="204"/>
      <c r="UQP3593" s="204"/>
      <c r="UQQ3593" s="204"/>
      <c r="UQR3593" s="204"/>
      <c r="UQS3593" s="204"/>
      <c r="UQT3593" s="204"/>
      <c r="UQU3593" s="204"/>
      <c r="UQV3593" s="204"/>
      <c r="UQW3593" s="204"/>
      <c r="UQX3593" s="204"/>
      <c r="UQY3593" s="204"/>
      <c r="UQZ3593" s="204"/>
      <c r="URA3593" s="204"/>
      <c r="URB3593" s="204"/>
      <c r="URC3593" s="204"/>
      <c r="URD3593" s="204"/>
      <c r="URE3593" s="204"/>
      <c r="URF3593" s="204"/>
      <c r="URG3593" s="204"/>
      <c r="URH3593" s="204"/>
      <c r="URI3593" s="204"/>
      <c r="URJ3593" s="204"/>
      <c r="URK3593" s="204"/>
      <c r="URL3593" s="204"/>
      <c r="URM3593" s="204"/>
      <c r="URN3593" s="204"/>
      <c r="URO3593" s="204"/>
      <c r="URP3593" s="204"/>
      <c r="URQ3593" s="204"/>
      <c r="URR3593" s="204"/>
      <c r="URS3593" s="204"/>
      <c r="URT3593" s="204"/>
      <c r="URU3593" s="204"/>
      <c r="URV3593" s="204"/>
      <c r="URW3593" s="204"/>
      <c r="URX3593" s="204"/>
      <c r="URY3593" s="204"/>
      <c r="URZ3593" s="204"/>
      <c r="USA3593" s="204"/>
      <c r="USB3593" s="204"/>
      <c r="USC3593" s="204"/>
      <c r="USD3593" s="204"/>
      <c r="USE3593" s="204"/>
      <c r="USF3593" s="204"/>
      <c r="USG3593" s="204"/>
      <c r="USH3593" s="204"/>
      <c r="USI3593" s="204"/>
      <c r="USJ3593" s="204"/>
      <c r="USK3593" s="204"/>
      <c r="USL3593" s="204"/>
      <c r="USM3593" s="204"/>
      <c r="USN3593" s="204"/>
      <c r="USO3593" s="204"/>
      <c r="USP3593" s="204"/>
      <c r="USQ3593" s="204"/>
      <c r="USR3593" s="204"/>
      <c r="USS3593" s="204"/>
      <c r="UST3593" s="204"/>
      <c r="USU3593" s="204"/>
      <c r="USV3593" s="204"/>
      <c r="USW3593" s="204"/>
      <c r="USX3593" s="204"/>
      <c r="USY3593" s="204"/>
      <c r="USZ3593" s="204"/>
      <c r="UTA3593" s="204"/>
      <c r="UTB3593" s="204"/>
      <c r="UTC3593" s="204"/>
      <c r="UTD3593" s="204"/>
      <c r="UTE3593" s="204"/>
      <c r="UTF3593" s="204"/>
      <c r="UTG3593" s="204"/>
      <c r="UTH3593" s="204"/>
      <c r="UTI3593" s="204"/>
      <c r="UTJ3593" s="204"/>
      <c r="UTK3593" s="204"/>
      <c r="UTL3593" s="204"/>
      <c r="UTM3593" s="204"/>
      <c r="UTN3593" s="204"/>
      <c r="UTO3593" s="204"/>
      <c r="UTP3593" s="204"/>
      <c r="UTQ3593" s="204"/>
      <c r="UTR3593" s="204"/>
      <c r="UTS3593" s="204"/>
      <c r="UTT3593" s="204"/>
      <c r="UTU3593" s="204"/>
      <c r="UTV3593" s="204"/>
      <c r="UTW3593" s="204"/>
      <c r="UTX3593" s="204"/>
      <c r="UTY3593" s="204"/>
      <c r="UTZ3593" s="204"/>
      <c r="UUA3593" s="204"/>
      <c r="UUB3593" s="204"/>
      <c r="UUC3593" s="204"/>
      <c r="UUD3593" s="204"/>
      <c r="UUE3593" s="204"/>
      <c r="UUF3593" s="204"/>
      <c r="UUG3593" s="204"/>
      <c r="UUH3593" s="204"/>
      <c r="UUI3593" s="204"/>
      <c r="UUJ3593" s="204"/>
      <c r="UUK3593" s="204"/>
      <c r="UUL3593" s="204"/>
      <c r="UUM3593" s="204"/>
      <c r="UUN3593" s="204"/>
      <c r="UUO3593" s="204"/>
      <c r="UUP3593" s="204"/>
      <c r="UUQ3593" s="204"/>
      <c r="UUR3593" s="204"/>
      <c r="UUS3593" s="204"/>
      <c r="UUT3593" s="204"/>
      <c r="UUU3593" s="204"/>
      <c r="UUV3593" s="204"/>
      <c r="UUW3593" s="204"/>
      <c r="UUX3593" s="204"/>
      <c r="UUY3593" s="204"/>
      <c r="UUZ3593" s="204"/>
      <c r="UVA3593" s="204"/>
      <c r="UVB3593" s="204"/>
      <c r="UVC3593" s="204"/>
      <c r="UVD3593" s="204"/>
      <c r="UVE3593" s="204"/>
      <c r="UVF3593" s="204"/>
      <c r="UVG3593" s="204"/>
      <c r="UVH3593" s="204"/>
      <c r="UVI3593" s="204"/>
      <c r="UVJ3593" s="204"/>
      <c r="UVK3593" s="204"/>
      <c r="UVL3593" s="204"/>
      <c r="UVM3593" s="204"/>
      <c r="UVN3593" s="204"/>
      <c r="UVO3593" s="204"/>
      <c r="UVP3593" s="204"/>
      <c r="UVQ3593" s="204"/>
      <c r="UVR3593" s="204"/>
      <c r="UVS3593" s="204"/>
      <c r="UVT3593" s="204"/>
      <c r="UVU3593" s="204"/>
      <c r="UVV3593" s="204"/>
      <c r="UVW3593" s="204"/>
      <c r="UVX3593" s="204"/>
      <c r="UVY3593" s="204"/>
      <c r="UVZ3593" s="204"/>
      <c r="UWA3593" s="204"/>
      <c r="UWB3593" s="204"/>
      <c r="UWC3593" s="204"/>
      <c r="UWD3593" s="204"/>
      <c r="UWE3593" s="204"/>
      <c r="UWF3593" s="204"/>
      <c r="UWG3593" s="204"/>
      <c r="UWH3593" s="204"/>
      <c r="UWI3593" s="204"/>
      <c r="UWJ3593" s="204"/>
      <c r="UWK3593" s="204"/>
      <c r="UWL3593" s="204"/>
      <c r="UWM3593" s="204"/>
      <c r="UWN3593" s="204"/>
      <c r="UWO3593" s="204"/>
      <c r="UWP3593" s="204"/>
      <c r="UWQ3593" s="204"/>
      <c r="UWR3593" s="204"/>
      <c r="UWS3593" s="204"/>
      <c r="UWT3593" s="204"/>
      <c r="UWU3593" s="204"/>
      <c r="UWV3593" s="204"/>
      <c r="UWW3593" s="204"/>
      <c r="UWX3593" s="204"/>
      <c r="UWY3593" s="204"/>
      <c r="UWZ3593" s="204"/>
      <c r="UXA3593" s="204"/>
      <c r="UXB3593" s="204"/>
      <c r="UXC3593" s="204"/>
      <c r="UXD3593" s="204"/>
      <c r="UXE3593" s="204"/>
      <c r="UXF3593" s="204"/>
      <c r="UXG3593" s="204"/>
      <c r="UXH3593" s="204"/>
      <c r="UXI3593" s="204"/>
      <c r="UXJ3593" s="204"/>
      <c r="UXK3593" s="204"/>
      <c r="UXL3593" s="204"/>
      <c r="UXM3593" s="204"/>
      <c r="UXN3593" s="204"/>
      <c r="UXO3593" s="204"/>
      <c r="UXP3593" s="204"/>
      <c r="UXQ3593" s="204"/>
      <c r="UXR3593" s="204"/>
      <c r="UXS3593" s="204"/>
      <c r="UXT3593" s="204"/>
      <c r="UXU3593" s="204"/>
      <c r="UXV3593" s="204"/>
      <c r="UXW3593" s="204"/>
      <c r="UXX3593" s="204"/>
      <c r="UXY3593" s="204"/>
      <c r="UXZ3593" s="204"/>
      <c r="UYA3593" s="204"/>
      <c r="UYB3593" s="204"/>
      <c r="UYC3593" s="204"/>
      <c r="UYD3593" s="204"/>
      <c r="UYE3593" s="204"/>
      <c r="UYF3593" s="204"/>
      <c r="UYG3593" s="204"/>
      <c r="UYH3593" s="204"/>
      <c r="UYI3593" s="204"/>
      <c r="UYJ3593" s="204"/>
      <c r="UYK3593" s="204"/>
      <c r="UYL3593" s="204"/>
      <c r="UYM3593" s="204"/>
      <c r="UYN3593" s="204"/>
      <c r="UYO3593" s="204"/>
      <c r="UYP3593" s="204"/>
      <c r="UYQ3593" s="204"/>
      <c r="UYR3593" s="204"/>
      <c r="UYS3593" s="204"/>
      <c r="UYT3593" s="204"/>
      <c r="UYU3593" s="204"/>
      <c r="UYV3593" s="204"/>
      <c r="UYW3593" s="204"/>
      <c r="UYX3593" s="204"/>
      <c r="UYY3593" s="204"/>
      <c r="UYZ3593" s="204"/>
      <c r="UZA3593" s="204"/>
      <c r="UZB3593" s="204"/>
      <c r="UZC3593" s="204"/>
      <c r="UZD3593" s="204"/>
      <c r="UZE3593" s="204"/>
      <c r="UZF3593" s="204"/>
      <c r="UZG3593" s="204"/>
      <c r="UZH3593" s="204"/>
      <c r="UZI3593" s="204"/>
      <c r="UZJ3593" s="204"/>
      <c r="UZK3593" s="204"/>
      <c r="UZL3593" s="204"/>
      <c r="UZM3593" s="204"/>
      <c r="UZN3593" s="204"/>
      <c r="UZO3593" s="204"/>
      <c r="UZP3593" s="204"/>
      <c r="UZQ3593" s="204"/>
      <c r="UZR3593" s="204"/>
      <c r="UZS3593" s="204"/>
      <c r="UZT3593" s="204"/>
      <c r="UZU3593" s="204"/>
      <c r="UZV3593" s="204"/>
      <c r="UZW3593" s="204"/>
      <c r="UZX3593" s="204"/>
      <c r="UZY3593" s="204"/>
      <c r="UZZ3593" s="204"/>
      <c r="VAA3593" s="204"/>
      <c r="VAB3593" s="204"/>
      <c r="VAC3593" s="204"/>
      <c r="VAD3593" s="204"/>
      <c r="VAE3593" s="204"/>
      <c r="VAF3593" s="204"/>
      <c r="VAG3593" s="204"/>
      <c r="VAH3593" s="204"/>
      <c r="VAI3593" s="204"/>
      <c r="VAJ3593" s="204"/>
      <c r="VAK3593" s="204"/>
      <c r="VAL3593" s="204"/>
      <c r="VAM3593" s="204"/>
      <c r="VAN3593" s="204"/>
      <c r="VAO3593" s="204"/>
      <c r="VAP3593" s="204"/>
      <c r="VAQ3593" s="204"/>
      <c r="VAR3593" s="204"/>
      <c r="VAS3593" s="204"/>
      <c r="VAT3593" s="204"/>
      <c r="VAU3593" s="204"/>
      <c r="VAV3593" s="204"/>
      <c r="VAW3593" s="204"/>
      <c r="VAX3593" s="204"/>
      <c r="VAY3593" s="204"/>
      <c r="VAZ3593" s="204"/>
      <c r="VBA3593" s="204"/>
      <c r="VBB3593" s="204"/>
      <c r="VBC3593" s="204"/>
      <c r="VBD3593" s="204"/>
      <c r="VBE3593" s="204"/>
      <c r="VBF3593" s="204"/>
      <c r="VBG3593" s="204"/>
      <c r="VBH3593" s="204"/>
      <c r="VBI3593" s="204"/>
      <c r="VBJ3593" s="204"/>
      <c r="VBK3593" s="204"/>
      <c r="VBL3593" s="204"/>
      <c r="VBM3593" s="204"/>
      <c r="VBN3593" s="204"/>
      <c r="VBO3593" s="204"/>
      <c r="VBP3593" s="204"/>
      <c r="VBQ3593" s="204"/>
      <c r="VBR3593" s="204"/>
      <c r="VBS3593" s="204"/>
      <c r="VBT3593" s="204"/>
      <c r="VBU3593" s="204"/>
      <c r="VBV3593" s="204"/>
      <c r="VBW3593" s="204"/>
      <c r="VBX3593" s="204"/>
      <c r="VBY3593" s="204"/>
      <c r="VBZ3593" s="204"/>
      <c r="VCA3593" s="204"/>
      <c r="VCB3593" s="204"/>
      <c r="VCC3593" s="204"/>
      <c r="VCD3593" s="204"/>
      <c r="VCE3593" s="204"/>
      <c r="VCF3593" s="204"/>
      <c r="VCG3593" s="204"/>
      <c r="VCH3593" s="204"/>
      <c r="VCI3593" s="204"/>
      <c r="VCJ3593" s="204"/>
      <c r="VCK3593" s="204"/>
      <c r="VCL3593" s="204"/>
      <c r="VCM3593" s="204"/>
      <c r="VCN3593" s="204"/>
      <c r="VCO3593" s="204"/>
      <c r="VCP3593" s="204"/>
      <c r="VCQ3593" s="204"/>
      <c r="VCR3593" s="204"/>
      <c r="VCS3593" s="204"/>
      <c r="VCT3593" s="204"/>
      <c r="VCU3593" s="204"/>
      <c r="VCV3593" s="204"/>
      <c r="VCW3593" s="204"/>
      <c r="VCX3593" s="204"/>
      <c r="VCY3593" s="204"/>
      <c r="VCZ3593" s="204"/>
      <c r="VDA3593" s="204"/>
      <c r="VDB3593" s="204"/>
      <c r="VDC3593" s="204"/>
      <c r="VDD3593" s="204"/>
      <c r="VDE3593" s="204"/>
      <c r="VDF3593" s="204"/>
      <c r="VDG3593" s="204"/>
      <c r="VDH3593" s="204"/>
      <c r="VDI3593" s="204"/>
      <c r="VDJ3593" s="204"/>
      <c r="VDK3593" s="204"/>
      <c r="VDL3593" s="204"/>
      <c r="VDM3593" s="204"/>
      <c r="VDN3593" s="204"/>
      <c r="VDO3593" s="204"/>
      <c r="VDP3593" s="204"/>
      <c r="VDQ3593" s="204"/>
      <c r="VDR3593" s="204"/>
      <c r="VDS3593" s="204"/>
      <c r="VDT3593" s="204"/>
      <c r="VDU3593" s="204"/>
      <c r="VDV3593" s="204"/>
      <c r="VDW3593" s="204"/>
      <c r="VDX3593" s="204"/>
      <c r="VDY3593" s="204"/>
      <c r="VDZ3593" s="204"/>
      <c r="VEA3593" s="204"/>
      <c r="VEB3593" s="204"/>
      <c r="VEC3593" s="204"/>
      <c r="VED3593" s="204"/>
      <c r="VEE3593" s="204"/>
      <c r="VEF3593" s="204"/>
      <c r="VEG3593" s="204"/>
      <c r="VEH3593" s="204"/>
      <c r="VEI3593" s="204"/>
      <c r="VEJ3593" s="204"/>
      <c r="VEK3593" s="204"/>
      <c r="VEL3593" s="204"/>
      <c r="VEM3593" s="204"/>
      <c r="VEN3593" s="204"/>
      <c r="VEO3593" s="204"/>
      <c r="VEP3593" s="204"/>
      <c r="VEQ3593" s="204"/>
      <c r="VER3593" s="204"/>
      <c r="VES3593" s="204"/>
      <c r="VET3593" s="204"/>
      <c r="VEU3593" s="204"/>
      <c r="VEV3593" s="204"/>
      <c r="VEW3593" s="204"/>
      <c r="VEX3593" s="204"/>
      <c r="VEY3593" s="204"/>
      <c r="VEZ3593" s="204"/>
      <c r="VFA3593" s="204"/>
      <c r="VFB3593" s="204"/>
      <c r="VFC3593" s="204"/>
      <c r="VFD3593" s="204"/>
      <c r="VFE3593" s="204"/>
      <c r="VFF3593" s="204"/>
      <c r="VFG3593" s="204"/>
      <c r="VFH3593" s="204"/>
      <c r="VFI3593" s="204"/>
      <c r="VFJ3593" s="204"/>
      <c r="VFK3593" s="204"/>
      <c r="VFL3593" s="204"/>
      <c r="VFM3593" s="204"/>
      <c r="VFN3593" s="204"/>
      <c r="VFO3593" s="204"/>
      <c r="VFP3593" s="204"/>
      <c r="VFQ3593" s="204"/>
      <c r="VFR3593" s="204"/>
      <c r="VFS3593" s="204"/>
      <c r="VFT3593" s="204"/>
      <c r="VFU3593" s="204"/>
      <c r="VFV3593" s="204"/>
      <c r="VFW3593" s="204"/>
      <c r="VFX3593" s="204"/>
      <c r="VFY3593" s="204"/>
      <c r="VFZ3593" s="204"/>
      <c r="VGA3593" s="204"/>
      <c r="VGB3593" s="204"/>
      <c r="VGC3593" s="204"/>
      <c r="VGD3593" s="204"/>
      <c r="VGE3593" s="204"/>
      <c r="VGF3593" s="204"/>
      <c r="VGG3593" s="204"/>
      <c r="VGH3593" s="204"/>
      <c r="VGI3593" s="204"/>
      <c r="VGJ3593" s="204"/>
      <c r="VGK3593" s="204"/>
      <c r="VGL3593" s="204"/>
      <c r="VGM3593" s="204"/>
      <c r="VGN3593" s="204"/>
      <c r="VGO3593" s="204"/>
      <c r="VGP3593" s="204"/>
      <c r="VGQ3593" s="204"/>
      <c r="VGR3593" s="204"/>
      <c r="VGS3593" s="204"/>
      <c r="VGT3593" s="204"/>
      <c r="VGU3593" s="204"/>
      <c r="VGV3593" s="204"/>
      <c r="VGW3593" s="204"/>
      <c r="VGX3593" s="204"/>
      <c r="VGY3593" s="204"/>
      <c r="VGZ3593" s="204"/>
      <c r="VHA3593" s="204"/>
      <c r="VHB3593" s="204"/>
      <c r="VHC3593" s="204"/>
      <c r="VHD3593" s="204"/>
      <c r="VHE3593" s="204"/>
      <c r="VHF3593" s="204"/>
      <c r="VHG3593" s="204"/>
      <c r="VHH3593" s="204"/>
      <c r="VHI3593" s="204"/>
      <c r="VHJ3593" s="204"/>
      <c r="VHK3593" s="204"/>
      <c r="VHL3593" s="204"/>
      <c r="VHM3593" s="204"/>
      <c r="VHN3593" s="204"/>
      <c r="VHO3593" s="204"/>
      <c r="VHP3593" s="204"/>
      <c r="VHQ3593" s="204"/>
      <c r="VHR3593" s="204"/>
      <c r="VHS3593" s="204"/>
      <c r="VHT3593" s="204"/>
      <c r="VHU3593" s="204"/>
      <c r="VHV3593" s="204"/>
      <c r="VHW3593" s="204"/>
      <c r="VHX3593" s="204"/>
      <c r="VHY3593" s="204"/>
      <c r="VHZ3593" s="204"/>
      <c r="VIA3593" s="204"/>
      <c r="VIB3593" s="204"/>
      <c r="VIC3593" s="204"/>
      <c r="VID3593" s="204"/>
      <c r="VIE3593" s="204"/>
      <c r="VIF3593" s="204"/>
      <c r="VIG3593" s="204"/>
      <c r="VIH3593" s="204"/>
      <c r="VII3593" s="204"/>
      <c r="VIJ3593" s="204"/>
      <c r="VIK3593" s="204"/>
      <c r="VIL3593" s="204"/>
      <c r="VIM3593" s="204"/>
      <c r="VIN3593" s="204"/>
      <c r="VIO3593" s="204"/>
      <c r="VIP3593" s="204"/>
      <c r="VIQ3593" s="204"/>
      <c r="VIR3593" s="204"/>
      <c r="VIS3593" s="204"/>
      <c r="VIT3593" s="204"/>
      <c r="VIU3593" s="204"/>
      <c r="VIV3593" s="204"/>
      <c r="VIW3593" s="204"/>
      <c r="VIX3593" s="204"/>
      <c r="VIY3593" s="204"/>
      <c r="VIZ3593" s="204"/>
      <c r="VJA3593" s="204"/>
      <c r="VJB3593" s="204"/>
      <c r="VJC3593" s="204"/>
      <c r="VJD3593" s="204"/>
      <c r="VJE3593" s="204"/>
      <c r="VJF3593" s="204"/>
      <c r="VJG3593" s="204"/>
      <c r="VJH3593" s="204"/>
      <c r="VJI3593" s="204"/>
      <c r="VJJ3593" s="204"/>
      <c r="VJK3593" s="204"/>
      <c r="VJL3593" s="204"/>
      <c r="VJM3593" s="204"/>
      <c r="VJN3593" s="204"/>
      <c r="VJO3593" s="204"/>
      <c r="VJP3593" s="204"/>
      <c r="VJQ3593" s="204"/>
      <c r="VJR3593" s="204"/>
      <c r="VJS3593" s="204"/>
      <c r="VJT3593" s="204"/>
      <c r="VJU3593" s="204"/>
      <c r="VJV3593" s="204"/>
      <c r="VJW3593" s="204"/>
      <c r="VJX3593" s="204"/>
      <c r="VJY3593" s="204"/>
      <c r="VJZ3593" s="204"/>
      <c r="VKA3593" s="204"/>
      <c r="VKB3593" s="204"/>
      <c r="VKC3593" s="204"/>
      <c r="VKD3593" s="204"/>
      <c r="VKE3593" s="204"/>
      <c r="VKF3593" s="204"/>
      <c r="VKG3593" s="204"/>
      <c r="VKH3593" s="204"/>
      <c r="VKI3593" s="204"/>
      <c r="VKJ3593" s="204"/>
      <c r="VKK3593" s="204"/>
      <c r="VKL3593" s="204"/>
      <c r="VKM3593" s="204"/>
      <c r="VKN3593" s="204"/>
      <c r="VKO3593" s="204"/>
      <c r="VKP3593" s="204"/>
      <c r="VKQ3593" s="204"/>
      <c r="VKR3593" s="204"/>
      <c r="VKS3593" s="204"/>
      <c r="VKT3593" s="204"/>
      <c r="VKU3593" s="204"/>
      <c r="VKV3593" s="204"/>
      <c r="VKW3593" s="204"/>
      <c r="VKX3593" s="204"/>
      <c r="VKY3593" s="204"/>
      <c r="VKZ3593" s="204"/>
      <c r="VLA3593" s="204"/>
      <c r="VLB3593" s="204"/>
      <c r="VLC3593" s="204"/>
      <c r="VLD3593" s="204"/>
      <c r="VLE3593" s="204"/>
      <c r="VLF3593" s="204"/>
      <c r="VLG3593" s="204"/>
      <c r="VLH3593" s="204"/>
      <c r="VLI3593" s="204"/>
      <c r="VLJ3593" s="204"/>
      <c r="VLK3593" s="204"/>
      <c r="VLL3593" s="204"/>
      <c r="VLM3593" s="204"/>
      <c r="VLN3593" s="204"/>
      <c r="VLO3593" s="204"/>
      <c r="VLP3593" s="204"/>
      <c r="VLQ3593" s="204"/>
      <c r="VLR3593" s="204"/>
      <c r="VLS3593" s="204"/>
      <c r="VLT3593" s="204"/>
      <c r="VLU3593" s="204"/>
      <c r="VLV3593" s="204"/>
      <c r="VLW3593" s="204"/>
      <c r="VLX3593" s="204"/>
      <c r="VLY3593" s="204"/>
      <c r="VLZ3593" s="204"/>
      <c r="VMA3593" s="204"/>
      <c r="VMB3593" s="204"/>
      <c r="VMC3593" s="204"/>
      <c r="VMD3593" s="204"/>
      <c r="VME3593" s="204"/>
      <c r="VMF3593" s="204"/>
      <c r="VMG3593" s="204"/>
      <c r="VMH3593" s="204"/>
      <c r="VMI3593" s="204"/>
      <c r="VMJ3593" s="204"/>
      <c r="VMK3593" s="204"/>
      <c r="VML3593" s="204"/>
      <c r="VMM3593" s="204"/>
      <c r="VMN3593" s="204"/>
      <c r="VMO3593" s="204"/>
      <c r="VMP3593" s="204"/>
      <c r="VMQ3593" s="204"/>
      <c r="VMR3593" s="204"/>
      <c r="VMS3593" s="204"/>
      <c r="VMT3593" s="204"/>
      <c r="VMU3593" s="204"/>
      <c r="VMV3593" s="204"/>
      <c r="VMW3593" s="204"/>
      <c r="VMX3593" s="204"/>
      <c r="VMY3593" s="204"/>
      <c r="VMZ3593" s="204"/>
      <c r="VNA3593" s="204"/>
      <c r="VNB3593" s="204"/>
      <c r="VNC3593" s="204"/>
      <c r="VND3593" s="204"/>
      <c r="VNE3593" s="204"/>
      <c r="VNF3593" s="204"/>
      <c r="VNG3593" s="204"/>
      <c r="VNH3593" s="204"/>
      <c r="VNI3593" s="204"/>
      <c r="VNJ3593" s="204"/>
      <c r="VNK3593" s="204"/>
      <c r="VNL3593" s="204"/>
      <c r="VNM3593" s="204"/>
      <c r="VNN3593" s="204"/>
      <c r="VNO3593" s="204"/>
      <c r="VNP3593" s="204"/>
      <c r="VNQ3593" s="204"/>
      <c r="VNR3593" s="204"/>
      <c r="VNS3593" s="204"/>
      <c r="VNT3593" s="204"/>
      <c r="VNU3593" s="204"/>
      <c r="VNV3593" s="204"/>
      <c r="VNW3593" s="204"/>
      <c r="VNX3593" s="204"/>
      <c r="VNY3593" s="204"/>
      <c r="VNZ3593" s="204"/>
      <c r="VOA3593" s="204"/>
      <c r="VOB3593" s="204"/>
      <c r="VOC3593" s="204"/>
      <c r="VOD3593" s="204"/>
      <c r="VOE3593" s="204"/>
      <c r="VOF3593" s="204"/>
      <c r="VOG3593" s="204"/>
      <c r="VOH3593" s="204"/>
      <c r="VOI3593" s="204"/>
      <c r="VOJ3593" s="204"/>
      <c r="VOK3593" s="204"/>
      <c r="VOL3593" s="204"/>
      <c r="VOM3593" s="204"/>
      <c r="VON3593" s="204"/>
      <c r="VOO3593" s="204"/>
      <c r="VOP3593" s="204"/>
      <c r="VOQ3593" s="204"/>
      <c r="VOR3593" s="204"/>
      <c r="VOS3593" s="204"/>
      <c r="VOT3593" s="204"/>
      <c r="VOU3593" s="204"/>
      <c r="VOV3593" s="204"/>
      <c r="VOW3593" s="204"/>
      <c r="VOX3593" s="204"/>
      <c r="VOY3593" s="204"/>
      <c r="VOZ3593" s="204"/>
      <c r="VPA3593" s="204"/>
      <c r="VPB3593" s="204"/>
      <c r="VPC3593" s="204"/>
      <c r="VPD3593" s="204"/>
      <c r="VPE3593" s="204"/>
      <c r="VPF3593" s="204"/>
      <c r="VPG3593" s="204"/>
      <c r="VPH3593" s="204"/>
      <c r="VPI3593" s="204"/>
      <c r="VPJ3593" s="204"/>
      <c r="VPK3593" s="204"/>
      <c r="VPL3593" s="204"/>
      <c r="VPM3593" s="204"/>
      <c r="VPN3593" s="204"/>
      <c r="VPO3593" s="204"/>
      <c r="VPP3593" s="204"/>
      <c r="VPQ3593" s="204"/>
      <c r="VPR3593" s="204"/>
      <c r="VPS3593" s="204"/>
      <c r="VPT3593" s="204"/>
      <c r="VPU3593" s="204"/>
      <c r="VPV3593" s="204"/>
      <c r="VPW3593" s="204"/>
      <c r="VPX3593" s="204"/>
      <c r="VPY3593" s="204"/>
      <c r="VPZ3593" s="204"/>
      <c r="VQA3593" s="204"/>
      <c r="VQB3593" s="204"/>
      <c r="VQC3593" s="204"/>
      <c r="VQD3593" s="204"/>
      <c r="VQE3593" s="204"/>
      <c r="VQF3593" s="204"/>
      <c r="VQG3593" s="204"/>
      <c r="VQH3593" s="204"/>
      <c r="VQI3593" s="204"/>
      <c r="VQJ3593" s="204"/>
      <c r="VQK3593" s="204"/>
      <c r="VQL3593" s="204"/>
      <c r="VQM3593" s="204"/>
      <c r="VQN3593" s="204"/>
      <c r="VQO3593" s="204"/>
      <c r="VQP3593" s="204"/>
      <c r="VQQ3593" s="204"/>
      <c r="VQR3593" s="204"/>
      <c r="VQS3593" s="204"/>
      <c r="VQT3593" s="204"/>
      <c r="VQU3593" s="204"/>
      <c r="VQV3593" s="204"/>
      <c r="VQW3593" s="204"/>
      <c r="VQX3593" s="204"/>
      <c r="VQY3593" s="204"/>
      <c r="VQZ3593" s="204"/>
      <c r="VRA3593" s="204"/>
      <c r="VRB3593" s="204"/>
      <c r="VRC3593" s="204"/>
      <c r="VRD3593" s="204"/>
      <c r="VRE3593" s="204"/>
      <c r="VRF3593" s="204"/>
      <c r="VRG3593" s="204"/>
      <c r="VRH3593" s="204"/>
      <c r="VRI3593" s="204"/>
      <c r="VRJ3593" s="204"/>
      <c r="VRK3593" s="204"/>
      <c r="VRL3593" s="204"/>
      <c r="VRM3593" s="204"/>
      <c r="VRN3593" s="204"/>
      <c r="VRO3593" s="204"/>
      <c r="VRP3593" s="204"/>
      <c r="VRQ3593" s="204"/>
      <c r="VRR3593" s="204"/>
      <c r="VRS3593" s="204"/>
      <c r="VRT3593" s="204"/>
      <c r="VRU3593" s="204"/>
      <c r="VRV3593" s="204"/>
      <c r="VRW3593" s="204"/>
      <c r="VRX3593" s="204"/>
      <c r="VRY3593" s="204"/>
      <c r="VRZ3593" s="204"/>
      <c r="VSA3593" s="204"/>
      <c r="VSB3593" s="204"/>
      <c r="VSC3593" s="204"/>
      <c r="VSD3593" s="204"/>
      <c r="VSE3593" s="204"/>
      <c r="VSF3593" s="204"/>
      <c r="VSG3593" s="204"/>
      <c r="VSH3593" s="204"/>
      <c r="VSI3593" s="204"/>
      <c r="VSJ3593" s="204"/>
      <c r="VSK3593" s="204"/>
      <c r="VSL3593" s="204"/>
      <c r="VSM3593" s="204"/>
      <c r="VSN3593" s="204"/>
      <c r="VSO3593" s="204"/>
      <c r="VSP3593" s="204"/>
      <c r="VSQ3593" s="204"/>
      <c r="VSR3593" s="204"/>
      <c r="VSS3593" s="204"/>
      <c r="VST3593" s="204"/>
      <c r="VSU3593" s="204"/>
      <c r="VSV3593" s="204"/>
      <c r="VSW3593" s="204"/>
      <c r="VSX3593" s="204"/>
      <c r="VSY3593" s="204"/>
      <c r="VSZ3593" s="204"/>
      <c r="VTA3593" s="204"/>
      <c r="VTB3593" s="204"/>
      <c r="VTC3593" s="204"/>
      <c r="VTD3593" s="204"/>
      <c r="VTE3593" s="204"/>
      <c r="VTF3593" s="204"/>
      <c r="VTG3593" s="204"/>
      <c r="VTH3593" s="204"/>
      <c r="VTI3593" s="204"/>
      <c r="VTJ3593" s="204"/>
      <c r="VTK3593" s="204"/>
      <c r="VTL3593" s="204"/>
      <c r="VTM3593" s="204"/>
      <c r="VTN3593" s="204"/>
      <c r="VTO3593" s="204"/>
      <c r="VTP3593" s="204"/>
      <c r="VTQ3593" s="204"/>
      <c r="VTR3593" s="204"/>
      <c r="VTS3593" s="204"/>
      <c r="VTT3593" s="204"/>
      <c r="VTU3593" s="204"/>
      <c r="VTV3593" s="204"/>
      <c r="VTW3593" s="204"/>
      <c r="VTX3593" s="204"/>
      <c r="VTY3593" s="204"/>
      <c r="VTZ3593" s="204"/>
      <c r="VUA3593" s="204"/>
      <c r="VUB3593" s="204"/>
      <c r="VUC3593" s="204"/>
      <c r="VUD3593" s="204"/>
      <c r="VUE3593" s="204"/>
      <c r="VUF3593" s="204"/>
      <c r="VUG3593" s="204"/>
      <c r="VUH3593" s="204"/>
      <c r="VUI3593" s="204"/>
      <c r="VUJ3593" s="204"/>
      <c r="VUK3593" s="204"/>
      <c r="VUL3593" s="204"/>
      <c r="VUM3593" s="204"/>
      <c r="VUN3593" s="204"/>
      <c r="VUO3593" s="204"/>
      <c r="VUP3593" s="204"/>
      <c r="VUQ3593" s="204"/>
      <c r="VUR3593" s="204"/>
      <c r="VUS3593" s="204"/>
      <c r="VUT3593" s="204"/>
      <c r="VUU3593" s="204"/>
      <c r="VUV3593" s="204"/>
      <c r="VUW3593" s="204"/>
      <c r="VUX3593" s="204"/>
      <c r="VUY3593" s="204"/>
      <c r="VUZ3593" s="204"/>
      <c r="VVA3593" s="204"/>
      <c r="VVB3593" s="204"/>
      <c r="VVC3593" s="204"/>
      <c r="VVD3593" s="204"/>
      <c r="VVE3593" s="204"/>
      <c r="VVF3593" s="204"/>
      <c r="VVG3593" s="204"/>
      <c r="VVH3593" s="204"/>
      <c r="VVI3593" s="204"/>
      <c r="VVJ3593" s="204"/>
      <c r="VVK3593" s="204"/>
      <c r="VVL3593" s="204"/>
      <c r="VVM3593" s="204"/>
      <c r="VVN3593" s="204"/>
      <c r="VVO3593" s="204"/>
      <c r="VVP3593" s="204"/>
      <c r="VVQ3593" s="204"/>
      <c r="VVR3593" s="204"/>
      <c r="VVS3593" s="204"/>
      <c r="VVT3593" s="204"/>
      <c r="VVU3593" s="204"/>
      <c r="VVV3593" s="204"/>
      <c r="VVW3593" s="204"/>
      <c r="VVX3593" s="204"/>
      <c r="VVY3593" s="204"/>
      <c r="VVZ3593" s="204"/>
      <c r="VWA3593" s="204"/>
      <c r="VWB3593" s="204"/>
      <c r="VWC3593" s="204"/>
      <c r="VWD3593" s="204"/>
      <c r="VWE3593" s="204"/>
      <c r="VWF3593" s="204"/>
      <c r="VWG3593" s="204"/>
      <c r="VWH3593" s="204"/>
      <c r="VWI3593" s="204"/>
      <c r="VWJ3593" s="204"/>
      <c r="VWK3593" s="204"/>
      <c r="VWL3593" s="204"/>
      <c r="VWM3593" s="204"/>
      <c r="VWN3593" s="204"/>
      <c r="VWO3593" s="204"/>
      <c r="VWP3593" s="204"/>
      <c r="VWQ3593" s="204"/>
      <c r="VWR3593" s="204"/>
      <c r="VWS3593" s="204"/>
      <c r="VWT3593" s="204"/>
      <c r="VWU3593" s="204"/>
      <c r="VWV3593" s="204"/>
      <c r="VWW3593" s="204"/>
      <c r="VWX3593" s="204"/>
      <c r="VWY3593" s="204"/>
      <c r="VWZ3593" s="204"/>
      <c r="VXA3593" s="204"/>
      <c r="VXB3593" s="204"/>
      <c r="VXC3593" s="204"/>
      <c r="VXD3593" s="204"/>
      <c r="VXE3593" s="204"/>
      <c r="VXF3593" s="204"/>
      <c r="VXG3593" s="204"/>
      <c r="VXH3593" s="204"/>
      <c r="VXI3593" s="204"/>
      <c r="VXJ3593" s="204"/>
      <c r="VXK3593" s="204"/>
      <c r="VXL3593" s="204"/>
      <c r="VXM3593" s="204"/>
      <c r="VXN3593" s="204"/>
      <c r="VXO3593" s="204"/>
      <c r="VXP3593" s="204"/>
      <c r="VXQ3593" s="204"/>
      <c r="VXR3593" s="204"/>
      <c r="VXS3593" s="204"/>
      <c r="VXT3593" s="204"/>
      <c r="VXU3593" s="204"/>
      <c r="VXV3593" s="204"/>
      <c r="VXW3593" s="204"/>
      <c r="VXX3593" s="204"/>
      <c r="VXY3593" s="204"/>
      <c r="VXZ3593" s="204"/>
      <c r="VYA3593" s="204"/>
      <c r="VYB3593" s="204"/>
      <c r="VYC3593" s="204"/>
      <c r="VYD3593" s="204"/>
      <c r="VYE3593" s="204"/>
      <c r="VYF3593" s="204"/>
      <c r="VYG3593" s="204"/>
      <c r="VYH3593" s="204"/>
      <c r="VYI3593" s="204"/>
      <c r="VYJ3593" s="204"/>
      <c r="VYK3593" s="204"/>
      <c r="VYL3593" s="204"/>
      <c r="VYM3593" s="204"/>
      <c r="VYN3593" s="204"/>
      <c r="VYO3593" s="204"/>
      <c r="VYP3593" s="204"/>
      <c r="VYQ3593" s="204"/>
      <c r="VYR3593" s="204"/>
      <c r="VYS3593" s="204"/>
      <c r="VYT3593" s="204"/>
      <c r="VYU3593" s="204"/>
      <c r="VYV3593" s="204"/>
      <c r="VYW3593" s="204"/>
      <c r="VYX3593" s="204"/>
      <c r="VYY3593" s="204"/>
      <c r="VYZ3593" s="204"/>
      <c r="VZA3593" s="204"/>
      <c r="VZB3593" s="204"/>
      <c r="VZC3593" s="204"/>
      <c r="VZD3593" s="204"/>
      <c r="VZE3593" s="204"/>
      <c r="VZF3593" s="204"/>
      <c r="VZG3593" s="204"/>
      <c r="VZH3593" s="204"/>
      <c r="VZI3593" s="204"/>
      <c r="VZJ3593" s="204"/>
      <c r="VZK3593" s="204"/>
      <c r="VZL3593" s="204"/>
      <c r="VZM3593" s="204"/>
      <c r="VZN3593" s="204"/>
      <c r="VZO3593" s="204"/>
      <c r="VZP3593" s="204"/>
      <c r="VZQ3593" s="204"/>
      <c r="VZR3593" s="204"/>
      <c r="VZS3593" s="204"/>
      <c r="VZT3593" s="204"/>
      <c r="VZU3593" s="204"/>
      <c r="VZV3593" s="204"/>
      <c r="VZW3593" s="204"/>
      <c r="VZX3593" s="204"/>
      <c r="VZY3593" s="204"/>
      <c r="VZZ3593" s="204"/>
      <c r="WAA3593" s="204"/>
      <c r="WAB3593" s="204"/>
      <c r="WAC3593" s="204"/>
      <c r="WAD3593" s="204"/>
      <c r="WAE3593" s="204"/>
      <c r="WAF3593" s="204"/>
      <c r="WAG3593" s="204"/>
      <c r="WAH3593" s="204"/>
      <c r="WAI3593" s="204"/>
      <c r="WAJ3593" s="204"/>
      <c r="WAK3593" s="204"/>
      <c r="WAL3593" s="204"/>
      <c r="WAM3593" s="204"/>
      <c r="WAN3593" s="204"/>
      <c r="WAO3593" s="204"/>
      <c r="WAP3593" s="204"/>
      <c r="WAQ3593" s="204"/>
      <c r="WAR3593" s="204"/>
      <c r="WAS3593" s="204"/>
      <c r="WAT3593" s="204"/>
      <c r="WAU3593" s="204"/>
      <c r="WAV3593" s="204"/>
      <c r="WAW3593" s="204"/>
      <c r="WAX3593" s="204"/>
      <c r="WAY3593" s="204"/>
      <c r="WAZ3593" s="204"/>
      <c r="WBA3593" s="204"/>
      <c r="WBB3593" s="204"/>
      <c r="WBC3593" s="204"/>
      <c r="WBD3593" s="204"/>
      <c r="WBE3593" s="204"/>
      <c r="WBF3593" s="204"/>
      <c r="WBG3593" s="204"/>
      <c r="WBH3593" s="204"/>
      <c r="WBI3593" s="204"/>
      <c r="WBJ3593" s="204"/>
      <c r="WBK3593" s="204"/>
      <c r="WBL3593" s="204"/>
      <c r="WBM3593" s="204"/>
      <c r="WBN3593" s="204"/>
      <c r="WBO3593" s="204"/>
      <c r="WBP3593" s="204"/>
      <c r="WBQ3593" s="204"/>
      <c r="WBR3593" s="204"/>
      <c r="WBS3593" s="204"/>
      <c r="WBT3593" s="204"/>
      <c r="WBU3593" s="204"/>
      <c r="WBV3593" s="204"/>
      <c r="WBW3593" s="204"/>
      <c r="WBX3593" s="204"/>
      <c r="WBY3593" s="204"/>
      <c r="WBZ3593" s="204"/>
      <c r="WCA3593" s="204"/>
      <c r="WCB3593" s="204"/>
      <c r="WCC3593" s="204"/>
      <c r="WCD3593" s="204"/>
      <c r="WCE3593" s="204"/>
      <c r="WCF3593" s="204"/>
      <c r="WCG3593" s="204"/>
      <c r="WCH3593" s="204"/>
      <c r="WCI3593" s="204"/>
      <c r="WCJ3593" s="204"/>
      <c r="WCK3593" s="204"/>
      <c r="WCL3593" s="204"/>
      <c r="WCM3593" s="204"/>
      <c r="WCN3593" s="204"/>
      <c r="WCO3593" s="204"/>
      <c r="WCP3593" s="204"/>
      <c r="WCQ3593" s="204"/>
      <c r="WCR3593" s="204"/>
      <c r="WCS3593" s="204"/>
      <c r="WCT3593" s="204"/>
      <c r="WCU3593" s="204"/>
      <c r="WCV3593" s="204"/>
      <c r="WCW3593" s="204"/>
      <c r="WCX3593" s="204"/>
      <c r="WCY3593" s="204"/>
      <c r="WCZ3593" s="204"/>
      <c r="WDA3593" s="204"/>
      <c r="WDB3593" s="204"/>
      <c r="WDC3593" s="204"/>
      <c r="WDD3593" s="204"/>
      <c r="WDE3593" s="204"/>
      <c r="WDF3593" s="204"/>
      <c r="WDG3593" s="204"/>
      <c r="WDH3593" s="204"/>
      <c r="WDI3593" s="204"/>
      <c r="WDJ3593" s="204"/>
      <c r="WDK3593" s="204"/>
      <c r="WDL3593" s="204"/>
      <c r="WDM3593" s="204"/>
      <c r="WDN3593" s="204"/>
      <c r="WDO3593" s="204"/>
      <c r="WDP3593" s="204"/>
      <c r="WDQ3593" s="204"/>
      <c r="WDR3593" s="204"/>
      <c r="WDS3593" s="204"/>
      <c r="WDT3593" s="204"/>
      <c r="WDU3593" s="204"/>
      <c r="WDV3593" s="204"/>
      <c r="WDW3593" s="204"/>
      <c r="WDX3593" s="204"/>
      <c r="WDY3593" s="204"/>
      <c r="WDZ3593" s="204"/>
      <c r="WEA3593" s="204"/>
      <c r="WEB3593" s="204"/>
      <c r="WEC3593" s="204"/>
      <c r="WED3593" s="204"/>
      <c r="WEE3593" s="204"/>
      <c r="WEF3593" s="204"/>
      <c r="WEG3593" s="204"/>
      <c r="WEH3593" s="204"/>
      <c r="WEI3593" s="204"/>
      <c r="WEJ3593" s="204"/>
      <c r="WEK3593" s="204"/>
      <c r="WEL3593" s="204"/>
      <c r="WEM3593" s="204"/>
      <c r="WEN3593" s="204"/>
      <c r="WEO3593" s="204"/>
      <c r="WEP3593" s="204"/>
      <c r="WEQ3593" s="204"/>
      <c r="WER3593" s="204"/>
      <c r="WES3593" s="204"/>
      <c r="WET3593" s="204"/>
      <c r="WEU3593" s="204"/>
      <c r="WEV3593" s="204"/>
      <c r="WEW3593" s="204"/>
      <c r="WEX3593" s="204"/>
      <c r="WEY3593" s="204"/>
      <c r="WEZ3593" s="204"/>
      <c r="WFA3593" s="204"/>
      <c r="WFB3593" s="204"/>
      <c r="WFC3593" s="204"/>
      <c r="WFD3593" s="204"/>
      <c r="WFE3593" s="204"/>
      <c r="WFF3593" s="204"/>
      <c r="WFG3593" s="204"/>
      <c r="WFH3593" s="204"/>
      <c r="WFI3593" s="204"/>
      <c r="WFJ3593" s="204"/>
      <c r="WFK3593" s="204"/>
      <c r="WFL3593" s="204"/>
      <c r="WFM3593" s="204"/>
      <c r="WFN3593" s="204"/>
      <c r="WFO3593" s="204"/>
      <c r="WFP3593" s="204"/>
      <c r="WFQ3593" s="204"/>
      <c r="WFR3593" s="204"/>
      <c r="WFS3593" s="204"/>
      <c r="WFT3593" s="204"/>
      <c r="WFU3593" s="204"/>
      <c r="WFV3593" s="204"/>
      <c r="WFW3593" s="204"/>
      <c r="WFX3593" s="204"/>
      <c r="WFY3593" s="204"/>
      <c r="WFZ3593" s="204"/>
      <c r="WGA3593" s="204"/>
      <c r="WGB3593" s="204"/>
      <c r="WGC3593" s="204"/>
      <c r="WGD3593" s="204"/>
      <c r="WGE3593" s="204"/>
      <c r="WGF3593" s="204"/>
      <c r="WGG3593" s="204"/>
      <c r="WGH3593" s="204"/>
      <c r="WGI3593" s="204"/>
      <c r="WGJ3593" s="204"/>
      <c r="WGK3593" s="204"/>
      <c r="WGL3593" s="204"/>
      <c r="WGM3593" s="204"/>
      <c r="WGN3593" s="204"/>
      <c r="WGO3593" s="204"/>
      <c r="WGP3593" s="204"/>
      <c r="WGQ3593" s="204"/>
      <c r="WGR3593" s="204"/>
      <c r="WGS3593" s="204"/>
      <c r="WGT3593" s="204"/>
      <c r="WGU3593" s="204"/>
      <c r="WGV3593" s="204"/>
      <c r="WGW3593" s="204"/>
      <c r="WGX3593" s="204"/>
      <c r="WGY3593" s="204"/>
      <c r="WGZ3593" s="204"/>
      <c r="WHA3593" s="204"/>
      <c r="WHB3593" s="204"/>
      <c r="WHC3593" s="204"/>
      <c r="WHD3593" s="204"/>
      <c r="WHE3593" s="204"/>
      <c r="WHF3593" s="204"/>
      <c r="WHG3593" s="204"/>
      <c r="WHH3593" s="204"/>
      <c r="WHI3593" s="204"/>
      <c r="WHJ3593" s="204"/>
      <c r="WHK3593" s="204"/>
      <c r="WHL3593" s="204"/>
      <c r="WHM3593" s="204"/>
      <c r="WHN3593" s="204"/>
      <c r="WHO3593" s="204"/>
      <c r="WHP3593" s="204"/>
      <c r="WHQ3593" s="204"/>
      <c r="WHR3593" s="204"/>
      <c r="WHS3593" s="204"/>
      <c r="WHT3593" s="204"/>
      <c r="WHU3593" s="204"/>
      <c r="WHV3593" s="204"/>
      <c r="WHW3593" s="204"/>
      <c r="WHX3593" s="204"/>
      <c r="WHY3593" s="204"/>
      <c r="WHZ3593" s="204"/>
      <c r="WIA3593" s="204"/>
      <c r="WIB3593" s="204"/>
      <c r="WIC3593" s="204"/>
      <c r="WID3593" s="204"/>
      <c r="WIE3593" s="204"/>
      <c r="WIF3593" s="204"/>
      <c r="WIG3593" s="204"/>
      <c r="WIH3593" s="204"/>
      <c r="WII3593" s="204"/>
      <c r="WIJ3593" s="204"/>
      <c r="WIK3593" s="204"/>
      <c r="WIL3593" s="204"/>
      <c r="WIM3593" s="204"/>
      <c r="WIN3593" s="204"/>
      <c r="WIO3593" s="204"/>
      <c r="WIP3593" s="204"/>
      <c r="WIQ3593" s="204"/>
      <c r="WIR3593" s="204"/>
      <c r="WIS3593" s="204"/>
      <c r="WIT3593" s="204"/>
      <c r="WIU3593" s="204"/>
      <c r="WIV3593" s="204"/>
      <c r="WIW3593" s="204"/>
      <c r="WIX3593" s="204"/>
      <c r="WIY3593" s="204"/>
      <c r="WIZ3593" s="204"/>
      <c r="WJA3593" s="204"/>
      <c r="WJB3593" s="204"/>
      <c r="WJC3593" s="204"/>
      <c r="WJD3593" s="204"/>
      <c r="WJE3593" s="204"/>
      <c r="WJF3593" s="204"/>
      <c r="WJG3593" s="204"/>
      <c r="WJH3593" s="204"/>
      <c r="WJI3593" s="204"/>
      <c r="WJJ3593" s="204"/>
      <c r="WJK3593" s="204"/>
      <c r="WJL3593" s="204"/>
      <c r="WJM3593" s="204"/>
      <c r="WJN3593" s="204"/>
      <c r="WJO3593" s="204"/>
      <c r="WJP3593" s="204"/>
      <c r="WJQ3593" s="204"/>
      <c r="WJR3593" s="204"/>
      <c r="WJS3593" s="204"/>
      <c r="WJT3593" s="204"/>
      <c r="WJU3593" s="204"/>
      <c r="WJV3593" s="204"/>
      <c r="WJW3593" s="204"/>
      <c r="WJX3593" s="204"/>
      <c r="WJY3593" s="204"/>
      <c r="WJZ3593" s="204"/>
      <c r="WKA3593" s="204"/>
      <c r="WKB3593" s="204"/>
      <c r="WKC3593" s="204"/>
      <c r="WKD3593" s="204"/>
      <c r="WKE3593" s="204"/>
      <c r="WKF3593" s="204"/>
      <c r="WKG3593" s="204"/>
      <c r="WKH3593" s="204"/>
      <c r="WKI3593" s="204"/>
      <c r="WKJ3593" s="204"/>
      <c r="WKK3593" s="204"/>
      <c r="WKL3593" s="204"/>
      <c r="WKM3593" s="204"/>
      <c r="WKN3593" s="204"/>
      <c r="WKO3593" s="204"/>
      <c r="WKP3593" s="204"/>
      <c r="WKQ3593" s="204"/>
      <c r="WKR3593" s="204"/>
      <c r="WKS3593" s="204"/>
      <c r="WKT3593" s="204"/>
      <c r="WKU3593" s="204"/>
      <c r="WKV3593" s="204"/>
      <c r="WKW3593" s="204"/>
      <c r="WKX3593" s="204"/>
      <c r="WKY3593" s="204"/>
      <c r="WKZ3593" s="204"/>
      <c r="WLA3593" s="204"/>
      <c r="WLB3593" s="204"/>
      <c r="WLC3593" s="204"/>
      <c r="WLD3593" s="204"/>
      <c r="WLE3593" s="204"/>
      <c r="WLF3593" s="204"/>
      <c r="WLG3593" s="204"/>
      <c r="WLH3593" s="204"/>
      <c r="WLI3593" s="204"/>
      <c r="WLJ3593" s="204"/>
      <c r="WLK3593" s="204"/>
      <c r="WLL3593" s="204"/>
      <c r="WLM3593" s="204"/>
      <c r="WLN3593" s="204"/>
      <c r="WLO3593" s="204"/>
      <c r="WLP3593" s="204"/>
      <c r="WLQ3593" s="204"/>
      <c r="WLR3593" s="204"/>
      <c r="WLS3593" s="204"/>
      <c r="WLT3593" s="204"/>
      <c r="WLU3593" s="204"/>
      <c r="WLV3593" s="204"/>
      <c r="WLW3593" s="204"/>
      <c r="WLX3593" s="204"/>
      <c r="WLY3593" s="204"/>
      <c r="WLZ3593" s="204"/>
      <c r="WMA3593" s="204"/>
      <c r="WMB3593" s="204"/>
      <c r="WMC3593" s="204"/>
      <c r="WMD3593" s="204"/>
      <c r="WME3593" s="204"/>
      <c r="WMF3593" s="204"/>
      <c r="WMG3593" s="204"/>
      <c r="WMH3593" s="204"/>
      <c r="WMI3593" s="204"/>
      <c r="WMJ3593" s="204"/>
      <c r="WMK3593" s="204"/>
      <c r="WML3593" s="204"/>
      <c r="WMM3593" s="204"/>
      <c r="WMN3593" s="204"/>
      <c r="WMO3593" s="204"/>
      <c r="WMP3593" s="204"/>
      <c r="WMQ3593" s="204"/>
      <c r="WMR3593" s="204"/>
      <c r="WMS3593" s="204"/>
      <c r="WMT3593" s="204"/>
      <c r="WMU3593" s="204"/>
      <c r="WMV3593" s="204"/>
      <c r="WMW3593" s="204"/>
      <c r="WMX3593" s="204"/>
      <c r="WMY3593" s="204"/>
      <c r="WMZ3593" s="204"/>
      <c r="WNA3593" s="204"/>
      <c r="WNB3593" s="204"/>
      <c r="WNC3593" s="204"/>
      <c r="WND3593" s="204"/>
      <c r="WNE3593" s="204"/>
      <c r="WNF3593" s="204"/>
      <c r="WNG3593" s="204"/>
      <c r="WNH3593" s="204"/>
      <c r="WNI3593" s="204"/>
      <c r="WNJ3593" s="204"/>
      <c r="WNK3593" s="204"/>
      <c r="WNL3593" s="204"/>
      <c r="WNM3593" s="204"/>
      <c r="WNN3593" s="204"/>
      <c r="WNO3593" s="204"/>
      <c r="WNP3593" s="204"/>
      <c r="WNQ3593" s="204"/>
      <c r="WNR3593" s="204"/>
      <c r="WNS3593" s="204"/>
      <c r="WNT3593" s="204"/>
      <c r="WNU3593" s="204"/>
      <c r="WNV3593" s="204"/>
      <c r="WNW3593" s="204"/>
      <c r="WNX3593" s="204"/>
      <c r="WNY3593" s="204"/>
      <c r="WNZ3593" s="204"/>
      <c r="WOA3593" s="204"/>
      <c r="WOB3593" s="204"/>
      <c r="WOC3593" s="204"/>
      <c r="WOD3593" s="204"/>
      <c r="WOE3593" s="204"/>
      <c r="WOF3593" s="204"/>
      <c r="WOG3593" s="204"/>
      <c r="WOH3593" s="204"/>
      <c r="WOI3593" s="204"/>
      <c r="WOJ3593" s="204"/>
      <c r="WOK3593" s="204"/>
      <c r="WOL3593" s="204"/>
      <c r="WOM3593" s="204"/>
      <c r="WON3593" s="204"/>
      <c r="WOO3593" s="204"/>
      <c r="WOP3593" s="204"/>
      <c r="WOQ3593" s="204"/>
      <c r="WOR3593" s="204"/>
      <c r="WOS3593" s="204"/>
      <c r="WOT3593" s="204"/>
      <c r="WOU3593" s="204"/>
      <c r="WOV3593" s="204"/>
      <c r="WOW3593" s="204"/>
      <c r="WOX3593" s="204"/>
      <c r="WOY3593" s="204"/>
      <c r="WOZ3593" s="204"/>
      <c r="WPA3593" s="204"/>
      <c r="WPB3593" s="204"/>
      <c r="WPC3593" s="204"/>
      <c r="WPD3593" s="204"/>
      <c r="WPE3593" s="204"/>
      <c r="WPF3593" s="204"/>
      <c r="WPG3593" s="204"/>
      <c r="WPH3593" s="204"/>
      <c r="WPI3593" s="204"/>
      <c r="WPJ3593" s="204"/>
      <c r="WPK3593" s="204"/>
      <c r="WPL3593" s="204"/>
      <c r="WPM3593" s="204"/>
      <c r="WPN3593" s="204"/>
      <c r="WPO3593" s="204"/>
      <c r="WPP3593" s="204"/>
      <c r="WPQ3593" s="204"/>
      <c r="WPR3593" s="204"/>
      <c r="WPS3593" s="204"/>
      <c r="WPT3593" s="204"/>
      <c r="WPU3593" s="204"/>
      <c r="WPV3593" s="204"/>
      <c r="WPW3593" s="204"/>
      <c r="WPX3593" s="204"/>
      <c r="WPY3593" s="204"/>
      <c r="WPZ3593" s="204"/>
      <c r="WQA3593" s="204"/>
      <c r="WQB3593" s="204"/>
      <c r="WQC3593" s="204"/>
      <c r="WQD3593" s="204"/>
      <c r="WQE3593" s="204"/>
      <c r="WQF3593" s="204"/>
      <c r="WQG3593" s="204"/>
      <c r="WQH3593" s="204"/>
      <c r="WQI3593" s="204"/>
      <c r="WQJ3593" s="204"/>
      <c r="WQK3593" s="204"/>
      <c r="WQL3593" s="204"/>
      <c r="WQM3593" s="204"/>
      <c r="WQN3593" s="204"/>
      <c r="WQO3593" s="204"/>
      <c r="WQP3593" s="204"/>
      <c r="WQQ3593" s="204"/>
      <c r="WQR3593" s="204"/>
      <c r="WQS3593" s="204"/>
      <c r="WQT3593" s="204"/>
      <c r="WQU3593" s="204"/>
      <c r="WQV3593" s="204"/>
      <c r="WQW3593" s="204"/>
      <c r="WQX3593" s="204"/>
      <c r="WQY3593" s="204"/>
      <c r="WQZ3593" s="204"/>
      <c r="WRA3593" s="204"/>
      <c r="WRB3593" s="204"/>
      <c r="WRC3593" s="204"/>
      <c r="WRD3593" s="204"/>
      <c r="WRE3593" s="204"/>
      <c r="WRF3593" s="204"/>
      <c r="WRG3593" s="204"/>
      <c r="WRH3593" s="204"/>
      <c r="WRI3593" s="204"/>
      <c r="WRJ3593" s="204"/>
      <c r="WRK3593" s="204"/>
      <c r="WRL3593" s="204"/>
      <c r="WRM3593" s="204"/>
      <c r="WRN3593" s="204"/>
      <c r="WRO3593" s="204"/>
      <c r="WRP3593" s="204"/>
      <c r="WRQ3593" s="204"/>
      <c r="WRR3593" s="204"/>
      <c r="WRS3593" s="204"/>
      <c r="WRT3593" s="204"/>
      <c r="WRU3593" s="204"/>
      <c r="WRV3593" s="204"/>
      <c r="WRW3593" s="204"/>
      <c r="WRX3593" s="204"/>
      <c r="WRY3593" s="204"/>
      <c r="WRZ3593" s="204"/>
      <c r="WSA3593" s="204"/>
      <c r="WSB3593" s="204"/>
      <c r="WSC3593" s="204"/>
      <c r="WSD3593" s="204"/>
      <c r="WSE3593" s="204"/>
      <c r="WSF3593" s="204"/>
      <c r="WSG3593" s="204"/>
      <c r="WSH3593" s="204"/>
      <c r="WSI3593" s="204"/>
      <c r="WSJ3593" s="204"/>
      <c r="WSK3593" s="204"/>
      <c r="WSL3593" s="204"/>
      <c r="WSM3593" s="204"/>
      <c r="WSN3593" s="204"/>
      <c r="WSO3593" s="204"/>
      <c r="WSP3593" s="204"/>
      <c r="WSQ3593" s="204"/>
      <c r="WSR3593" s="204"/>
      <c r="WSS3593" s="204"/>
      <c r="WST3593" s="204"/>
      <c r="WSU3593" s="204"/>
      <c r="WSV3593" s="204"/>
      <c r="WSW3593" s="204"/>
      <c r="WSX3593" s="204"/>
      <c r="WSY3593" s="204"/>
      <c r="WSZ3593" s="204"/>
      <c r="WTA3593" s="204"/>
      <c r="WTB3593" s="204"/>
      <c r="WTC3593" s="204"/>
      <c r="WTD3593" s="204"/>
      <c r="WTE3593" s="204"/>
      <c r="WTF3593" s="204"/>
      <c r="WTG3593" s="204"/>
      <c r="WTH3593" s="204"/>
      <c r="WTI3593" s="204"/>
      <c r="WTJ3593" s="204"/>
      <c r="WTK3593" s="204"/>
      <c r="WTL3593" s="204"/>
      <c r="WTM3593" s="204"/>
      <c r="WTN3593" s="204"/>
      <c r="WTO3593" s="204"/>
      <c r="WTP3593" s="204"/>
      <c r="WTQ3593" s="204"/>
      <c r="WTR3593" s="204"/>
      <c r="WTS3593" s="204"/>
      <c r="WTT3593" s="204"/>
      <c r="WTU3593" s="204"/>
      <c r="WTV3593" s="204"/>
      <c r="WTW3593" s="204"/>
      <c r="WTX3593" s="204"/>
      <c r="WTY3593" s="204"/>
      <c r="WTZ3593" s="204"/>
      <c r="WUA3593" s="204"/>
      <c r="WUB3593" s="204"/>
      <c r="WUC3593" s="204"/>
      <c r="WUD3593" s="204"/>
      <c r="WUE3593" s="204"/>
      <c r="WUF3593" s="204"/>
      <c r="WUG3593" s="204"/>
      <c r="WUH3593" s="204"/>
      <c r="WUI3593" s="204"/>
      <c r="WUJ3593" s="204"/>
      <c r="WUK3593" s="204"/>
      <c r="WUL3593" s="204"/>
      <c r="WUM3593" s="204"/>
      <c r="WUN3593" s="204"/>
      <c r="WUO3593" s="204"/>
      <c r="WUP3593" s="204"/>
      <c r="WUQ3593" s="204"/>
      <c r="WUR3593" s="204"/>
      <c r="WUS3593" s="204"/>
      <c r="WUT3593" s="204"/>
      <c r="WUU3593" s="204"/>
      <c r="WUV3593" s="204"/>
      <c r="WUW3593" s="204"/>
      <c r="WUX3593" s="204"/>
      <c r="WUY3593" s="204"/>
      <c r="WUZ3593" s="204"/>
      <c r="WVA3593" s="204"/>
      <c r="WVB3593" s="204"/>
      <c r="WVC3593" s="204"/>
      <c r="WVD3593" s="204"/>
      <c r="WVE3593" s="204"/>
      <c r="WVF3593" s="204"/>
      <c r="WVG3593" s="204"/>
      <c r="WVH3593" s="204"/>
      <c r="WVI3593" s="204"/>
      <c r="WVJ3593" s="204"/>
      <c r="WVK3593" s="204"/>
      <c r="WVL3593" s="204"/>
      <c r="WVM3593" s="204"/>
      <c r="WVN3593" s="204"/>
      <c r="WVO3593" s="204"/>
      <c r="WVP3593" s="204"/>
      <c r="WVQ3593" s="204"/>
      <c r="WVR3593" s="204"/>
      <c r="WVS3593" s="204"/>
      <c r="WVT3593" s="204"/>
      <c r="WVU3593" s="204"/>
      <c r="WVV3593" s="204"/>
      <c r="WVW3593" s="204"/>
      <c r="WVX3593" s="204"/>
      <c r="WVY3593" s="204"/>
      <c r="WVZ3593" s="204"/>
      <c r="WWA3593" s="204"/>
      <c r="WWB3593" s="204"/>
      <c r="WWC3593" s="204"/>
      <c r="WWD3593" s="204"/>
      <c r="WWE3593" s="204"/>
      <c r="WWF3593" s="204"/>
      <c r="WWG3593" s="204"/>
      <c r="WWH3593" s="204"/>
      <c r="WWI3593" s="204"/>
      <c r="WWJ3593" s="204"/>
      <c r="WWK3593" s="204"/>
      <c r="WWL3593" s="204"/>
      <c r="WWM3593" s="204"/>
      <c r="WWN3593" s="204"/>
      <c r="WWO3593" s="204"/>
      <c r="WWP3593" s="204"/>
      <c r="WWQ3593" s="204"/>
      <c r="WWR3593" s="204"/>
      <c r="WWS3593" s="204"/>
      <c r="WWT3593" s="204"/>
      <c r="WWU3593" s="204"/>
      <c r="WWV3593" s="204"/>
      <c r="WWW3593" s="204"/>
      <c r="WWX3593" s="204"/>
      <c r="WWY3593" s="204"/>
      <c r="WWZ3593" s="204"/>
      <c r="WXA3593" s="204"/>
      <c r="WXB3593" s="204"/>
      <c r="WXC3593" s="204"/>
      <c r="WXD3593" s="204"/>
      <c r="WXE3593" s="204"/>
      <c r="WXF3593" s="204"/>
      <c r="WXG3593" s="204"/>
      <c r="WXH3593" s="204"/>
      <c r="WXI3593" s="204"/>
      <c r="WXJ3593" s="204"/>
      <c r="WXK3593" s="204"/>
      <c r="WXL3593" s="204"/>
      <c r="WXM3593" s="204"/>
      <c r="WXN3593" s="204"/>
      <c r="WXO3593" s="204"/>
      <c r="WXP3593" s="204"/>
      <c r="WXQ3593" s="204"/>
      <c r="WXR3593" s="204"/>
      <c r="WXS3593" s="204"/>
      <c r="WXT3593" s="204"/>
      <c r="WXU3593" s="204"/>
      <c r="WXV3593" s="204"/>
      <c r="WXW3593" s="204"/>
      <c r="WXX3593" s="204"/>
      <c r="WXY3593" s="204"/>
      <c r="WXZ3593" s="204"/>
      <c r="WYA3593" s="204"/>
      <c r="WYB3593" s="204"/>
      <c r="WYC3593" s="204"/>
      <c r="WYD3593" s="204"/>
      <c r="WYE3593" s="204"/>
      <c r="WYF3593" s="204"/>
      <c r="WYG3593" s="204"/>
      <c r="WYH3593" s="204"/>
      <c r="WYI3593" s="204"/>
      <c r="WYJ3593" s="204"/>
      <c r="WYK3593" s="204"/>
      <c r="WYL3593" s="204"/>
      <c r="WYM3593" s="204"/>
      <c r="WYN3593" s="204"/>
      <c r="WYO3593" s="204"/>
      <c r="WYP3593" s="204"/>
      <c r="WYQ3593" s="204"/>
      <c r="WYR3593" s="204"/>
      <c r="WYS3593" s="204"/>
      <c r="WYT3593" s="204"/>
      <c r="WYU3593" s="204"/>
      <c r="WYV3593" s="204"/>
      <c r="WYW3593" s="204"/>
      <c r="WYX3593" s="204"/>
      <c r="WYY3593" s="204"/>
      <c r="WYZ3593" s="204"/>
      <c r="WZA3593" s="204"/>
      <c r="WZB3593" s="204"/>
      <c r="WZC3593" s="204"/>
      <c r="WZD3593" s="204"/>
      <c r="WZE3593" s="204"/>
      <c r="WZF3593" s="204"/>
      <c r="WZG3593" s="204"/>
      <c r="WZH3593" s="204"/>
      <c r="WZI3593" s="204"/>
      <c r="WZJ3593" s="204"/>
      <c r="WZK3593" s="204"/>
      <c r="WZL3593" s="204"/>
      <c r="WZM3593" s="204"/>
      <c r="WZN3593" s="204"/>
      <c r="WZO3593" s="204"/>
      <c r="WZP3593" s="204"/>
      <c r="WZQ3593" s="204"/>
      <c r="WZR3593" s="204"/>
      <c r="WZS3593" s="204"/>
      <c r="WZT3593" s="204"/>
      <c r="WZU3593" s="204"/>
      <c r="WZV3593" s="204"/>
      <c r="WZW3593" s="204"/>
      <c r="WZX3593" s="204"/>
      <c r="WZY3593" s="204"/>
      <c r="WZZ3593" s="204"/>
      <c r="XAA3593" s="204"/>
      <c r="XAB3593" s="204"/>
      <c r="XAC3593" s="204"/>
      <c r="XAD3593" s="204"/>
      <c r="XAE3593" s="204"/>
      <c r="XAF3593" s="204"/>
      <c r="XAG3593" s="204"/>
      <c r="XAH3593" s="204"/>
      <c r="XAI3593" s="204"/>
      <c r="XAJ3593" s="204"/>
      <c r="XAK3593" s="204"/>
      <c r="XAL3593" s="204"/>
      <c r="XAM3593" s="204"/>
      <c r="XAN3593" s="204"/>
      <c r="XAO3593" s="204"/>
      <c r="XAP3593" s="204"/>
      <c r="XAQ3593" s="204"/>
      <c r="XAR3593" s="204"/>
      <c r="XAS3593" s="204"/>
      <c r="XAT3593" s="204"/>
      <c r="XAU3593" s="204"/>
      <c r="XAV3593" s="204"/>
      <c r="XAW3593" s="204"/>
      <c r="XAX3593" s="204"/>
      <c r="XAY3593" s="204"/>
      <c r="XAZ3593" s="204"/>
      <c r="XBA3593" s="204"/>
      <c r="XBB3593" s="204"/>
      <c r="XBC3593" s="204"/>
      <c r="XBD3593" s="204"/>
      <c r="XBE3593" s="204"/>
      <c r="XBF3593" s="204"/>
      <c r="XBG3593" s="204"/>
      <c r="XBH3593" s="204"/>
      <c r="XBI3593" s="204"/>
      <c r="XBJ3593" s="204"/>
      <c r="XBK3593" s="204"/>
      <c r="XBL3593" s="204"/>
      <c r="XBM3593" s="204"/>
      <c r="XBN3593" s="204"/>
      <c r="XBO3593" s="204"/>
      <c r="XBP3593" s="204"/>
      <c r="XBQ3593" s="204"/>
      <c r="XBR3593" s="204"/>
      <c r="XBS3593" s="204"/>
      <c r="XBT3593" s="204"/>
      <c r="XBU3593" s="204"/>
      <c r="XBV3593" s="204"/>
      <c r="XBW3593" s="204"/>
      <c r="XBX3593" s="204"/>
      <c r="XBY3593" s="204"/>
      <c r="XBZ3593" s="204"/>
      <c r="XCA3593" s="204"/>
      <c r="XCB3593" s="204"/>
      <c r="XCC3593" s="204"/>
      <c r="XCD3593" s="204"/>
      <c r="XCE3593" s="204"/>
      <c r="XCF3593" s="204"/>
      <c r="XCG3593" s="204"/>
      <c r="XCH3593" s="204"/>
      <c r="XCI3593" s="204"/>
      <c r="XCJ3593" s="204"/>
      <c r="XCK3593" s="204"/>
      <c r="XCL3593" s="204"/>
      <c r="XCM3593" s="204"/>
      <c r="XCN3593" s="204"/>
      <c r="XCO3593" s="204"/>
      <c r="XCP3593" s="204"/>
      <c r="XCQ3593" s="204"/>
      <c r="XCR3593" s="204"/>
      <c r="XCS3593" s="204"/>
      <c r="XCT3593" s="204"/>
      <c r="XCU3593" s="204"/>
      <c r="XCV3593" s="204"/>
      <c r="XCW3593" s="204"/>
      <c r="XCX3593" s="204"/>
      <c r="XCY3593" s="204"/>
      <c r="XCZ3593" s="204"/>
      <c r="XDA3593" s="204"/>
      <c r="XDB3593" s="204"/>
      <c r="XDC3593" s="204"/>
      <c r="XDD3593" s="204"/>
      <c r="XDE3593" s="204"/>
      <c r="XDF3593" s="204"/>
      <c r="XDG3593" s="204"/>
      <c r="XDH3593" s="204"/>
      <c r="XDI3593" s="204"/>
      <c r="XDJ3593" s="204"/>
      <c r="XDK3593" s="204"/>
      <c r="XDL3593" s="204"/>
      <c r="XDM3593" s="204"/>
      <c r="XDN3593" s="204"/>
      <c r="XDO3593" s="204"/>
      <c r="XDP3593" s="204"/>
      <c r="XDQ3593" s="204"/>
      <c r="XDR3593" s="204"/>
      <c r="XDS3593" s="204"/>
      <c r="XDT3593" s="204"/>
      <c r="XDU3593" s="204"/>
      <c r="XDV3593" s="204"/>
      <c r="XDW3593" s="204"/>
      <c r="XDX3593" s="204"/>
      <c r="XDY3593" s="204"/>
      <c r="XDZ3593" s="204"/>
      <c r="XEA3593" s="204"/>
      <c r="XEB3593" s="204"/>
      <c r="XEC3593" s="204"/>
      <c r="XED3593" s="204"/>
      <c r="XEE3593" s="204"/>
      <c r="XEF3593" s="204"/>
      <c r="XEG3593" s="204"/>
      <c r="XEH3593" s="204"/>
      <c r="XEI3593" s="204"/>
      <c r="XEJ3593" s="204"/>
      <c r="XEK3593" s="204"/>
      <c r="XEL3593" s="204"/>
      <c r="XEM3593" s="204"/>
    </row>
    <row r="3594" spans="1:16367" ht="20.399999999999999">
      <c r="A3594" s="663"/>
      <c r="B3594" s="3130" t="s">
        <v>338</v>
      </c>
      <c r="C3594" s="663" t="s">
        <v>336</v>
      </c>
      <c r="D3594" s="678" t="s">
        <v>1979</v>
      </c>
      <c r="E3594" s="700" t="s">
        <v>430</v>
      </c>
      <c r="F3594" s="795">
        <v>6412</v>
      </c>
      <c r="G3594" s="2195" t="s">
        <v>908</v>
      </c>
      <c r="H3594" s="2188"/>
      <c r="I3594" s="2188">
        <v>234660</v>
      </c>
      <c r="J3594" s="2191" t="s">
        <v>1134</v>
      </c>
      <c r="K3594" s="2205"/>
      <c r="L3594" s="2199"/>
      <c r="M3594" s="2188">
        <v>266336</v>
      </c>
      <c r="N3594" s="2279" t="s">
        <v>4353</v>
      </c>
      <c r="O3594" s="7"/>
      <c r="P3594" s="7"/>
      <c r="Q3594" s="7"/>
      <c r="R3594" s="7"/>
      <c r="S3594" s="7"/>
      <c r="T3594" s="7"/>
      <c r="U3594" s="7"/>
      <c r="V3594" s="7"/>
      <c r="W3594" s="7"/>
      <c r="X3594" s="7"/>
      <c r="Y3594" s="7"/>
      <c r="Z3594" s="7"/>
      <c r="AA3594" s="7"/>
      <c r="AB3594" s="7"/>
      <c r="AC3594" s="7"/>
      <c r="AD3594" s="7"/>
      <c r="AE3594" s="7"/>
      <c r="AF3594" s="7"/>
    </row>
    <row r="3595" spans="1:16367" s="204" customFormat="1" ht="30.6">
      <c r="A3595" s="663"/>
      <c r="B3595" s="3130" t="s">
        <v>338</v>
      </c>
      <c r="C3595" s="663" t="s">
        <v>336</v>
      </c>
      <c r="D3595" s="678" t="s">
        <v>1979</v>
      </c>
      <c r="E3595" s="700" t="s">
        <v>430</v>
      </c>
      <c r="F3595" s="795">
        <v>6412</v>
      </c>
      <c r="G3595" s="2195" t="s">
        <v>4319</v>
      </c>
      <c r="H3595" s="2188"/>
      <c r="I3595" s="2188">
        <v>30000</v>
      </c>
      <c r="J3595" s="2191" t="s">
        <v>1134</v>
      </c>
      <c r="K3595" s="2205"/>
      <c r="L3595" s="2199"/>
      <c r="M3595" s="2188">
        <v>40000</v>
      </c>
      <c r="N3595" s="305"/>
      <c r="O3595" s="206"/>
      <c r="P3595" s="206"/>
      <c r="Q3595" s="206"/>
      <c r="R3595" s="206"/>
      <c r="S3595" s="206"/>
      <c r="T3595" s="206"/>
      <c r="U3595" s="206"/>
      <c r="V3595" s="206"/>
      <c r="W3595" s="206"/>
      <c r="X3595" s="206"/>
      <c r="Y3595" s="206"/>
      <c r="Z3595" s="206"/>
      <c r="AA3595" s="206"/>
      <c r="AB3595" s="206"/>
      <c r="AC3595" s="206"/>
      <c r="AD3595" s="206"/>
      <c r="AE3595" s="206"/>
      <c r="AF3595" s="206"/>
    </row>
    <row r="3596" spans="1:16367" ht="20.399999999999999">
      <c r="A3596" s="1263"/>
      <c r="B3596" s="3130" t="s">
        <v>338</v>
      </c>
      <c r="C3596" s="663" t="s">
        <v>336</v>
      </c>
      <c r="D3596" s="678" t="s">
        <v>1979</v>
      </c>
      <c r="E3596" s="700" t="s">
        <v>430</v>
      </c>
      <c r="F3596" s="795">
        <v>6412</v>
      </c>
      <c r="G3596" s="1330" t="s">
        <v>2955</v>
      </c>
      <c r="H3596" s="1265"/>
      <c r="I3596" s="1265">
        <v>-30000</v>
      </c>
      <c r="J3596" s="1654" t="s">
        <v>1134</v>
      </c>
      <c r="K3596" s="1329"/>
      <c r="L3596" s="1381"/>
      <c r="M3596" s="1265"/>
      <c r="N3596" s="305"/>
      <c r="O3596" s="7"/>
      <c r="P3596" s="7"/>
      <c r="Q3596" s="7"/>
      <c r="R3596" s="7"/>
      <c r="S3596" s="7"/>
      <c r="T3596" s="7"/>
      <c r="U3596" s="7"/>
      <c r="V3596" s="7"/>
      <c r="W3596" s="7"/>
      <c r="X3596" s="7"/>
      <c r="Y3596" s="7"/>
      <c r="Z3596" s="7"/>
      <c r="AA3596" s="7"/>
      <c r="AB3596" s="7"/>
      <c r="AC3596" s="7"/>
      <c r="AD3596" s="7"/>
      <c r="AE3596" s="7"/>
      <c r="AF3596" s="7"/>
    </row>
    <row r="3597" spans="1:16367" ht="11.4" customHeight="1">
      <c r="A3597" s="728"/>
      <c r="B3597" s="3129" t="s">
        <v>338</v>
      </c>
      <c r="C3597" s="683" t="s">
        <v>336</v>
      </c>
      <c r="D3597" s="719" t="s">
        <v>1979</v>
      </c>
      <c r="E3597" s="720" t="s">
        <v>430</v>
      </c>
      <c r="F3597" s="824">
        <v>6419</v>
      </c>
      <c r="G3597" s="800" t="s">
        <v>504</v>
      </c>
      <c r="H3597" s="706">
        <v>169813</v>
      </c>
      <c r="I3597" s="706"/>
      <c r="J3597" s="1654">
        <v>151430</v>
      </c>
      <c r="K3597" s="802"/>
      <c r="L3597" s="713">
        <v>219078</v>
      </c>
      <c r="M3597" s="706"/>
      <c r="N3597" s="305"/>
      <c r="O3597" s="7"/>
      <c r="P3597" s="7"/>
      <c r="Q3597" s="7"/>
      <c r="R3597" s="7"/>
      <c r="S3597" s="7"/>
      <c r="T3597" s="7"/>
      <c r="U3597" s="7"/>
      <c r="V3597" s="7"/>
      <c r="W3597" s="7"/>
      <c r="X3597" s="7"/>
      <c r="Y3597" s="7"/>
      <c r="Z3597" s="7"/>
      <c r="AA3597" s="7"/>
      <c r="AB3597" s="7"/>
      <c r="AC3597" s="7"/>
      <c r="AD3597" s="7"/>
      <c r="AE3597" s="7"/>
      <c r="AF3597" s="7"/>
    </row>
    <row r="3598" spans="1:16367" ht="20.399999999999999">
      <c r="A3598" s="663"/>
      <c r="B3598" s="3130" t="s">
        <v>338</v>
      </c>
      <c r="C3598" s="663" t="s">
        <v>336</v>
      </c>
      <c r="D3598" s="678" t="s">
        <v>1979</v>
      </c>
      <c r="E3598" s="700" t="s">
        <v>430</v>
      </c>
      <c r="F3598" s="795">
        <v>6419</v>
      </c>
      <c r="G3598" s="2195" t="s">
        <v>4320</v>
      </c>
      <c r="H3598" s="2188"/>
      <c r="I3598" s="2188">
        <v>23761</v>
      </c>
      <c r="J3598" s="2191" t="s">
        <v>1134</v>
      </c>
      <c r="K3598" s="2205"/>
      <c r="L3598" s="2199"/>
      <c r="M3598" s="2188">
        <v>22412</v>
      </c>
      <c r="N3598" s="305"/>
      <c r="O3598" s="7"/>
      <c r="P3598" s="7"/>
      <c r="Q3598" s="7"/>
      <c r="R3598" s="7"/>
      <c r="S3598" s="7"/>
      <c r="T3598" s="7"/>
      <c r="U3598" s="7"/>
      <c r="V3598" s="7"/>
      <c r="W3598" s="7"/>
      <c r="X3598" s="7"/>
      <c r="Y3598" s="7"/>
      <c r="Z3598" s="7"/>
      <c r="AA3598" s="7"/>
      <c r="AB3598" s="7"/>
      <c r="AC3598" s="7"/>
      <c r="AD3598" s="7"/>
      <c r="AE3598" s="7"/>
      <c r="AF3598" s="7"/>
    </row>
    <row r="3599" spans="1:16367" ht="51">
      <c r="A3599" s="663"/>
      <c r="B3599" s="3130" t="s">
        <v>338</v>
      </c>
      <c r="C3599" s="663" t="s">
        <v>336</v>
      </c>
      <c r="D3599" s="678" t="s">
        <v>1979</v>
      </c>
      <c r="E3599" s="700" t="s">
        <v>430</v>
      </c>
      <c r="F3599" s="795">
        <v>6419</v>
      </c>
      <c r="G3599" s="2195" t="s">
        <v>4322</v>
      </c>
      <c r="H3599" s="2188"/>
      <c r="I3599" s="2188">
        <v>8184</v>
      </c>
      <c r="J3599" s="2191" t="s">
        <v>1134</v>
      </c>
      <c r="K3599" s="2205"/>
      <c r="L3599" s="2199"/>
      <c r="M3599" s="2188">
        <v>16740</v>
      </c>
      <c r="N3599" s="305"/>
      <c r="O3599" s="7"/>
      <c r="P3599" s="7"/>
      <c r="Q3599" s="7"/>
      <c r="R3599" s="7"/>
      <c r="S3599" s="7"/>
      <c r="T3599" s="7"/>
      <c r="U3599" s="7"/>
      <c r="V3599" s="7"/>
      <c r="W3599" s="7"/>
      <c r="X3599" s="7"/>
      <c r="Y3599" s="7"/>
      <c r="Z3599" s="7"/>
      <c r="AA3599" s="7"/>
      <c r="AB3599" s="7"/>
      <c r="AC3599" s="7"/>
      <c r="AD3599" s="7"/>
      <c r="AE3599" s="7"/>
      <c r="AF3599" s="7"/>
    </row>
    <row r="3600" spans="1:16367" ht="30.6">
      <c r="A3600" s="663"/>
      <c r="B3600" s="3130" t="s">
        <v>338</v>
      </c>
      <c r="C3600" s="663" t="s">
        <v>336</v>
      </c>
      <c r="D3600" s="678" t="s">
        <v>1979</v>
      </c>
      <c r="E3600" s="700" t="s">
        <v>430</v>
      </c>
      <c r="F3600" s="795">
        <v>6419</v>
      </c>
      <c r="G3600" s="2195" t="s">
        <v>4323</v>
      </c>
      <c r="H3600" s="2188"/>
      <c r="I3600" s="2188">
        <v>16518</v>
      </c>
      <c r="J3600" s="2191" t="s">
        <v>1134</v>
      </c>
      <c r="K3600" s="2205"/>
      <c r="L3600" s="2199"/>
      <c r="M3600" s="2188">
        <v>25226</v>
      </c>
      <c r="N3600" s="305"/>
      <c r="O3600" s="7"/>
      <c r="P3600" s="7"/>
      <c r="Q3600" s="7"/>
      <c r="R3600" s="7"/>
      <c r="S3600" s="7"/>
      <c r="T3600" s="7"/>
      <c r="U3600" s="7"/>
      <c r="V3600" s="7"/>
      <c r="W3600" s="7"/>
      <c r="X3600" s="7"/>
      <c r="Y3600" s="7"/>
      <c r="Z3600" s="7"/>
      <c r="AA3600" s="7"/>
      <c r="AB3600" s="7"/>
      <c r="AC3600" s="7"/>
      <c r="AD3600" s="7"/>
      <c r="AE3600" s="7"/>
      <c r="AF3600" s="7"/>
    </row>
    <row r="3601" spans="1:32" ht="20.399999999999999">
      <c r="A3601" s="663"/>
      <c r="B3601" s="3130" t="s">
        <v>338</v>
      </c>
      <c r="C3601" s="663" t="s">
        <v>336</v>
      </c>
      <c r="D3601" s="678" t="s">
        <v>1979</v>
      </c>
      <c r="E3601" s="700" t="s">
        <v>430</v>
      </c>
      <c r="F3601" s="795">
        <v>6419</v>
      </c>
      <c r="G3601" s="2195" t="s">
        <v>2264</v>
      </c>
      <c r="H3601" s="2188"/>
      <c r="I3601" s="2188">
        <v>34500</v>
      </c>
      <c r="J3601" s="2191" t="s">
        <v>1134</v>
      </c>
      <c r="K3601" s="2205"/>
      <c r="L3601" s="2199"/>
      <c r="M3601" s="2615">
        <v>70000</v>
      </c>
      <c r="N3601" s="305"/>
      <c r="O3601" s="7"/>
      <c r="P3601" s="7"/>
      <c r="Q3601" s="7"/>
      <c r="R3601" s="7"/>
      <c r="S3601" s="7"/>
      <c r="T3601" s="7"/>
      <c r="U3601" s="7"/>
      <c r="V3601" s="7"/>
      <c r="W3601" s="7"/>
      <c r="X3601" s="7"/>
      <c r="Y3601" s="7"/>
      <c r="Z3601" s="7"/>
      <c r="AA3601" s="7"/>
      <c r="AB3601" s="7"/>
      <c r="AC3601" s="7"/>
      <c r="AD3601" s="7"/>
      <c r="AE3601" s="7"/>
      <c r="AF3601" s="7"/>
    </row>
    <row r="3602" spans="1:32" ht="40.799999999999997">
      <c r="A3602" s="663"/>
      <c r="B3602" s="3130" t="s">
        <v>338</v>
      </c>
      <c r="C3602" s="663" t="s">
        <v>336</v>
      </c>
      <c r="D3602" s="678" t="s">
        <v>1979</v>
      </c>
      <c r="E3602" s="700" t="s">
        <v>430</v>
      </c>
      <c r="F3602" s="795">
        <v>6419</v>
      </c>
      <c r="G3602" s="2195" t="s">
        <v>4324</v>
      </c>
      <c r="H3602" s="2188"/>
      <c r="I3602" s="2188">
        <v>30000</v>
      </c>
      <c r="J3602" s="2191" t="s">
        <v>1134</v>
      </c>
      <c r="K3602" s="2205"/>
      <c r="L3602" s="2199"/>
      <c r="M3602" s="2188">
        <v>28500</v>
      </c>
      <c r="N3602" s="305"/>
      <c r="O3602" s="7"/>
      <c r="P3602" s="7"/>
      <c r="Q3602" s="7"/>
      <c r="R3602" s="7"/>
      <c r="S3602" s="7"/>
      <c r="T3602" s="7"/>
      <c r="U3602" s="7"/>
      <c r="V3602" s="7"/>
      <c r="W3602" s="7"/>
      <c r="X3602" s="7"/>
      <c r="Y3602" s="7"/>
      <c r="Z3602" s="7"/>
      <c r="AA3602" s="7"/>
      <c r="AB3602" s="7"/>
      <c r="AC3602" s="7"/>
      <c r="AD3602" s="7"/>
      <c r="AE3602" s="7"/>
      <c r="AF3602" s="7"/>
    </row>
    <row r="3603" spans="1:32" ht="61.2">
      <c r="A3603" s="663"/>
      <c r="B3603" s="3130" t="s">
        <v>338</v>
      </c>
      <c r="C3603" s="663" t="s">
        <v>336</v>
      </c>
      <c r="D3603" s="678" t="s">
        <v>1979</v>
      </c>
      <c r="E3603" s="700" t="s">
        <v>430</v>
      </c>
      <c r="F3603" s="795">
        <v>6419</v>
      </c>
      <c r="G3603" s="2195" t="s">
        <v>4326</v>
      </c>
      <c r="H3603" s="2188"/>
      <c r="I3603" s="2188">
        <v>20000</v>
      </c>
      <c r="J3603" s="2191" t="s">
        <v>1134</v>
      </c>
      <c r="K3603" s="2205"/>
      <c r="L3603" s="2199"/>
      <c r="M3603" s="2615">
        <v>46700</v>
      </c>
      <c r="N3603" s="305"/>
      <c r="O3603" s="7"/>
      <c r="P3603" s="7"/>
      <c r="Q3603" s="7"/>
      <c r="R3603" s="7"/>
      <c r="S3603" s="7"/>
      <c r="T3603" s="7"/>
      <c r="U3603" s="7"/>
      <c r="V3603" s="7"/>
      <c r="W3603" s="7"/>
      <c r="X3603" s="7"/>
      <c r="Y3603" s="7"/>
      <c r="Z3603" s="7"/>
      <c r="AA3603" s="7"/>
      <c r="AB3603" s="7"/>
      <c r="AC3603" s="7"/>
      <c r="AD3603" s="7"/>
      <c r="AE3603" s="7"/>
      <c r="AF3603" s="7"/>
    </row>
    <row r="3604" spans="1:32" s="204" customFormat="1" ht="30.6">
      <c r="A3604" s="2168"/>
      <c r="B3604" s="3130" t="s">
        <v>338</v>
      </c>
      <c r="C3604" s="663" t="s">
        <v>336</v>
      </c>
      <c r="D3604" s="678" t="s">
        <v>1979</v>
      </c>
      <c r="E3604" s="700" t="s">
        <v>430</v>
      </c>
      <c r="F3604" s="795">
        <v>6419</v>
      </c>
      <c r="G3604" s="2195" t="s">
        <v>4327</v>
      </c>
      <c r="H3604" s="2188"/>
      <c r="I3604" s="2188"/>
      <c r="J3604" s="2191"/>
      <c r="K3604" s="2205"/>
      <c r="L3604" s="2199"/>
      <c r="M3604" s="2753">
        <v>9500</v>
      </c>
      <c r="N3604" s="305"/>
      <c r="O3604" s="203"/>
      <c r="P3604" s="203"/>
      <c r="Q3604" s="203"/>
      <c r="R3604" s="203"/>
      <c r="S3604" s="203"/>
      <c r="T3604" s="203"/>
      <c r="U3604" s="203"/>
      <c r="V3604" s="203"/>
      <c r="W3604" s="203"/>
      <c r="X3604" s="203"/>
      <c r="Y3604" s="203"/>
      <c r="Z3604" s="203"/>
      <c r="AA3604" s="203"/>
      <c r="AB3604" s="203"/>
      <c r="AC3604" s="203"/>
      <c r="AD3604" s="203"/>
      <c r="AE3604" s="203"/>
      <c r="AF3604" s="203"/>
    </row>
    <row r="3605" spans="1:32" s="204" customFormat="1" ht="20.399999999999999">
      <c r="A3605" s="1263"/>
      <c r="B3605" s="3130" t="s">
        <v>338</v>
      </c>
      <c r="C3605" s="663" t="s">
        <v>336</v>
      </c>
      <c r="D3605" s="678" t="s">
        <v>1979</v>
      </c>
      <c r="E3605" s="700" t="s">
        <v>430</v>
      </c>
      <c r="F3605" s="795">
        <v>6419</v>
      </c>
      <c r="G3605" s="1330" t="s">
        <v>2958</v>
      </c>
      <c r="H3605" s="1265"/>
      <c r="I3605" s="1265">
        <v>-3150</v>
      </c>
      <c r="J3605" s="1654" t="s">
        <v>1134</v>
      </c>
      <c r="K3605" s="1329"/>
      <c r="L3605" s="1381"/>
      <c r="M3605" s="1265"/>
      <c r="N3605" s="305"/>
      <c r="O3605" s="203"/>
      <c r="P3605" s="203"/>
      <c r="Q3605" s="203"/>
      <c r="R3605" s="203"/>
      <c r="S3605" s="203"/>
      <c r="T3605" s="203"/>
      <c r="U3605" s="205"/>
      <c r="V3605" s="205"/>
      <c r="W3605" s="205"/>
      <c r="X3605" s="205"/>
      <c r="Y3605" s="205"/>
      <c r="Z3605" s="205"/>
      <c r="AA3605" s="205"/>
      <c r="AB3605" s="205"/>
      <c r="AC3605" s="205"/>
      <c r="AD3605" s="205"/>
      <c r="AE3605" s="205"/>
      <c r="AF3605" s="205"/>
    </row>
    <row r="3606" spans="1:32" s="204" customFormat="1" ht="30.6">
      <c r="A3606" s="774"/>
      <c r="B3606" s="3130" t="s">
        <v>338</v>
      </c>
      <c r="C3606" s="663" t="s">
        <v>336</v>
      </c>
      <c r="D3606" s="678" t="s">
        <v>1979</v>
      </c>
      <c r="E3606" s="700" t="s">
        <v>430</v>
      </c>
      <c r="F3606" s="795">
        <v>6419</v>
      </c>
      <c r="G3606" s="750" t="s">
        <v>3442</v>
      </c>
      <c r="H3606" s="1321"/>
      <c r="I3606" s="1321">
        <v>20000</v>
      </c>
      <c r="J3606" s="1654" t="s">
        <v>1134</v>
      </c>
      <c r="K3606" s="802"/>
      <c r="L3606" s="2266"/>
      <c r="M3606" s="1321"/>
      <c r="N3606" s="305"/>
      <c r="O3606" s="203"/>
      <c r="P3606" s="203"/>
      <c r="Q3606" s="203"/>
      <c r="R3606" s="203"/>
      <c r="S3606" s="203"/>
      <c r="T3606" s="203"/>
      <c r="U3606" s="205"/>
      <c r="V3606" s="205"/>
      <c r="W3606" s="205"/>
      <c r="X3606" s="205"/>
      <c r="Y3606" s="205"/>
      <c r="Z3606" s="205"/>
      <c r="AA3606" s="205"/>
      <c r="AB3606" s="205"/>
      <c r="AC3606" s="205"/>
      <c r="AD3606" s="205"/>
      <c r="AE3606" s="205"/>
      <c r="AF3606" s="205"/>
    </row>
    <row r="3607" spans="1:32" s="204" customFormat="1" ht="40.799999999999997">
      <c r="A3607" s="663"/>
      <c r="B3607" s="3130" t="s">
        <v>338</v>
      </c>
      <c r="C3607" s="663" t="s">
        <v>336</v>
      </c>
      <c r="D3607" s="678" t="s">
        <v>1979</v>
      </c>
      <c r="E3607" s="700" t="s">
        <v>430</v>
      </c>
      <c r="F3607" s="795">
        <v>6419</v>
      </c>
      <c r="G3607" s="1153" t="s">
        <v>3237</v>
      </c>
      <c r="H3607" s="1165"/>
      <c r="I3607" s="1165">
        <v>10000</v>
      </c>
      <c r="J3607" s="1654" t="s">
        <v>1134</v>
      </c>
      <c r="K3607" s="1439"/>
      <c r="L3607" s="1456"/>
      <c r="M3607" s="1165"/>
      <c r="N3607" s="2268" t="s">
        <v>2816</v>
      </c>
      <c r="O3607" s="203"/>
      <c r="P3607" s="203"/>
      <c r="Q3607" s="203"/>
      <c r="R3607" s="203"/>
      <c r="S3607" s="203"/>
      <c r="T3607" s="203"/>
      <c r="U3607" s="205"/>
      <c r="V3607" s="205"/>
      <c r="W3607" s="205"/>
      <c r="X3607" s="205"/>
      <c r="Y3607" s="205"/>
      <c r="Z3607" s="205"/>
      <c r="AA3607" s="205"/>
      <c r="AB3607" s="205"/>
      <c r="AC3607" s="205"/>
      <c r="AD3607" s="205"/>
      <c r="AE3607" s="205"/>
      <c r="AF3607" s="205"/>
    </row>
    <row r="3608" spans="1:32" s="204" customFormat="1" ht="30.6">
      <c r="A3608" s="774"/>
      <c r="B3608" s="3130" t="s">
        <v>338</v>
      </c>
      <c r="C3608" s="663" t="s">
        <v>336</v>
      </c>
      <c r="D3608" s="678" t="s">
        <v>1979</v>
      </c>
      <c r="E3608" s="700" t="s">
        <v>430</v>
      </c>
      <c r="F3608" s="795">
        <v>6419</v>
      </c>
      <c r="G3608" s="750" t="s">
        <v>3443</v>
      </c>
      <c r="H3608" s="1321"/>
      <c r="I3608" s="1321">
        <v>10000</v>
      </c>
      <c r="J3608" s="1654" t="s">
        <v>1134</v>
      </c>
      <c r="K3608" s="802"/>
      <c r="L3608" s="2266"/>
      <c r="M3608" s="1321"/>
      <c r="N3608" s="305"/>
      <c r="O3608" s="205"/>
      <c r="P3608" s="205"/>
      <c r="Q3608" s="205"/>
      <c r="R3608" s="205"/>
      <c r="S3608" s="205"/>
      <c r="T3608" s="205"/>
      <c r="U3608" s="205"/>
      <c r="V3608" s="205"/>
      <c r="W3608" s="205"/>
      <c r="X3608" s="205"/>
      <c r="Y3608" s="205"/>
      <c r="Z3608" s="205"/>
      <c r="AA3608" s="205"/>
      <c r="AB3608" s="205"/>
      <c r="AC3608" s="205"/>
      <c r="AD3608" s="205"/>
      <c r="AE3608" s="205"/>
      <c r="AF3608" s="205"/>
    </row>
    <row r="3609" spans="1:32" s="204" customFormat="1" ht="10.199999999999999">
      <c r="A3609" s="683"/>
      <c r="B3609" s="3129" t="s">
        <v>338</v>
      </c>
      <c r="C3609" s="683" t="s">
        <v>322</v>
      </c>
      <c r="D3609" s="719" t="s">
        <v>1979</v>
      </c>
      <c r="E3609" s="720" t="s">
        <v>430</v>
      </c>
      <c r="F3609" s="824">
        <v>6421</v>
      </c>
      <c r="G3609" s="800" t="s">
        <v>292</v>
      </c>
      <c r="H3609" s="706">
        <v>28600</v>
      </c>
      <c r="I3609" s="706"/>
      <c r="J3609" s="1654">
        <v>14575</v>
      </c>
      <c r="K3609" s="802"/>
      <c r="L3609" s="713">
        <v>29700</v>
      </c>
      <c r="M3609" s="706"/>
      <c r="N3609" s="305"/>
      <c r="O3609" s="203"/>
      <c r="P3609" s="203"/>
      <c r="Q3609" s="203"/>
      <c r="R3609" s="203"/>
      <c r="S3609" s="203"/>
      <c r="T3609" s="203"/>
      <c r="U3609" s="205"/>
      <c r="V3609" s="205"/>
      <c r="W3609" s="205"/>
      <c r="X3609" s="205"/>
      <c r="Y3609" s="205"/>
      <c r="Z3609" s="205"/>
      <c r="AA3609" s="205"/>
      <c r="AB3609" s="205"/>
      <c r="AC3609" s="205"/>
      <c r="AD3609" s="205"/>
      <c r="AE3609" s="205"/>
      <c r="AF3609" s="205"/>
    </row>
    <row r="3610" spans="1:32" s="204" customFormat="1" ht="30.6">
      <c r="A3610" s="663"/>
      <c r="B3610" s="3130" t="s">
        <v>338</v>
      </c>
      <c r="C3610" s="663" t="s">
        <v>322</v>
      </c>
      <c r="D3610" s="678" t="s">
        <v>1979</v>
      </c>
      <c r="E3610" s="700" t="s">
        <v>430</v>
      </c>
      <c r="F3610" s="795">
        <v>6421</v>
      </c>
      <c r="G3610" s="2195" t="s">
        <v>1607</v>
      </c>
      <c r="H3610" s="2188"/>
      <c r="I3610" s="2188">
        <v>1600</v>
      </c>
      <c r="J3610" s="2191" t="s">
        <v>1134</v>
      </c>
      <c r="K3610" s="2205"/>
      <c r="L3610" s="2199"/>
      <c r="M3610" s="2188">
        <v>1600</v>
      </c>
      <c r="N3610" s="305"/>
      <c r="O3610" s="203"/>
      <c r="P3610" s="203"/>
      <c r="Q3610" s="203"/>
      <c r="R3610" s="203"/>
      <c r="S3610" s="203"/>
      <c r="T3610" s="203"/>
      <c r="U3610" s="205"/>
      <c r="V3610" s="205"/>
      <c r="W3610" s="205"/>
      <c r="X3610" s="205"/>
      <c r="Y3610" s="205"/>
      <c r="Z3610" s="205"/>
      <c r="AA3610" s="205"/>
      <c r="AB3610" s="205"/>
      <c r="AC3610" s="205"/>
      <c r="AD3610" s="205"/>
      <c r="AE3610" s="205"/>
      <c r="AF3610" s="205"/>
    </row>
    <row r="3611" spans="1:32" s="204" customFormat="1" ht="20.399999999999999">
      <c r="A3611" s="663"/>
      <c r="B3611" s="3130" t="s">
        <v>338</v>
      </c>
      <c r="C3611" s="663" t="s">
        <v>322</v>
      </c>
      <c r="D3611" s="678" t="s">
        <v>1979</v>
      </c>
      <c r="E3611" s="700" t="s">
        <v>430</v>
      </c>
      <c r="F3611" s="795">
        <v>6421</v>
      </c>
      <c r="G3611" s="2195" t="s">
        <v>909</v>
      </c>
      <c r="H3611" s="2188"/>
      <c r="I3611" s="2188">
        <v>1000</v>
      </c>
      <c r="J3611" s="2191" t="s">
        <v>1134</v>
      </c>
      <c r="K3611" s="2205"/>
      <c r="L3611" s="2199"/>
      <c r="M3611" s="2188">
        <v>1000</v>
      </c>
      <c r="N3611" s="305"/>
      <c r="O3611" s="203"/>
      <c r="P3611" s="203"/>
      <c r="Q3611" s="203"/>
      <c r="R3611" s="203"/>
      <c r="S3611" s="203"/>
      <c r="T3611" s="203"/>
      <c r="U3611" s="203"/>
      <c r="V3611" s="203"/>
      <c r="W3611" s="203"/>
      <c r="X3611" s="203"/>
      <c r="Y3611" s="203"/>
      <c r="Z3611" s="203"/>
      <c r="AA3611" s="203"/>
      <c r="AB3611" s="203"/>
      <c r="AC3611" s="203"/>
      <c r="AD3611" s="203"/>
      <c r="AE3611" s="203"/>
      <c r="AF3611" s="203"/>
    </row>
    <row r="3612" spans="1:32" s="204" customFormat="1" ht="20.399999999999999">
      <c r="A3612" s="663"/>
      <c r="B3612" s="3130" t="s">
        <v>338</v>
      </c>
      <c r="C3612" s="663" t="s">
        <v>322</v>
      </c>
      <c r="D3612" s="678" t="s">
        <v>1979</v>
      </c>
      <c r="E3612" s="700" t="s">
        <v>430</v>
      </c>
      <c r="F3612" s="795">
        <v>6421</v>
      </c>
      <c r="G3612" s="2195" t="s">
        <v>4330</v>
      </c>
      <c r="H3612" s="2188"/>
      <c r="I3612" s="2188">
        <v>3000</v>
      </c>
      <c r="J3612" s="2191" t="s">
        <v>1134</v>
      </c>
      <c r="K3612" s="2205"/>
      <c r="L3612" s="2199"/>
      <c r="M3612" s="2188">
        <v>1000</v>
      </c>
      <c r="N3612" s="305"/>
      <c r="O3612" s="203"/>
      <c r="P3612" s="203"/>
      <c r="Q3612" s="203"/>
      <c r="R3612" s="203"/>
      <c r="S3612" s="203"/>
      <c r="T3612" s="203"/>
      <c r="U3612" s="205"/>
      <c r="V3612" s="205"/>
      <c r="W3612" s="205"/>
      <c r="X3612" s="205"/>
      <c r="Y3612" s="205"/>
      <c r="Z3612" s="205"/>
      <c r="AA3612" s="205"/>
      <c r="AB3612" s="205"/>
      <c r="AC3612" s="205"/>
      <c r="AD3612" s="205"/>
      <c r="AE3612" s="205"/>
      <c r="AF3612" s="205"/>
    </row>
    <row r="3613" spans="1:32" s="204" customFormat="1" ht="10.199999999999999">
      <c r="A3613" s="663"/>
      <c r="B3613" s="3130" t="s">
        <v>338</v>
      </c>
      <c r="C3613" s="663" t="s">
        <v>369</v>
      </c>
      <c r="D3613" s="678" t="s">
        <v>1979</v>
      </c>
      <c r="E3613" s="700" t="s">
        <v>430</v>
      </c>
      <c r="F3613" s="795">
        <v>6421</v>
      </c>
      <c r="G3613" s="2195" t="s">
        <v>4331</v>
      </c>
      <c r="H3613" s="2188"/>
      <c r="I3613" s="2188">
        <v>10000</v>
      </c>
      <c r="J3613" s="2191" t="s">
        <v>1134</v>
      </c>
      <c r="K3613" s="2205"/>
      <c r="L3613" s="2199"/>
      <c r="M3613" s="2615">
        <v>8000</v>
      </c>
      <c r="N3613" s="305"/>
      <c r="O3613" s="203"/>
      <c r="P3613" s="203"/>
      <c r="Q3613" s="203"/>
      <c r="R3613" s="203"/>
      <c r="S3613" s="203"/>
      <c r="T3613" s="203"/>
      <c r="U3613" s="205"/>
      <c r="V3613" s="205"/>
      <c r="W3613" s="205"/>
      <c r="X3613" s="205"/>
      <c r="Y3613" s="205"/>
      <c r="Z3613" s="205"/>
      <c r="AA3613" s="205"/>
      <c r="AB3613" s="205"/>
      <c r="AC3613" s="205"/>
      <c r="AD3613" s="205"/>
      <c r="AE3613" s="205"/>
      <c r="AF3613" s="205"/>
    </row>
    <row r="3614" spans="1:32" s="204" customFormat="1" ht="10.199999999999999" customHeight="1">
      <c r="A3614" s="663"/>
      <c r="B3614" s="3130" t="s">
        <v>338</v>
      </c>
      <c r="C3614" s="663" t="s">
        <v>336</v>
      </c>
      <c r="D3614" s="678" t="s">
        <v>1979</v>
      </c>
      <c r="E3614" s="700" t="s">
        <v>430</v>
      </c>
      <c r="F3614" s="679">
        <v>6421</v>
      </c>
      <c r="G3614" s="2177" t="s">
        <v>4346</v>
      </c>
      <c r="H3614" s="2264"/>
      <c r="I3614" s="2264">
        <v>13000</v>
      </c>
      <c r="J3614" s="2170" t="s">
        <v>1134</v>
      </c>
      <c r="K3614" s="2185"/>
      <c r="L3614" s="2269"/>
      <c r="M3614" s="2696">
        <v>18100</v>
      </c>
      <c r="N3614" s="305"/>
      <c r="O3614" s="203"/>
      <c r="P3614" s="203"/>
      <c r="Q3614" s="203"/>
      <c r="R3614" s="203"/>
      <c r="S3614" s="203"/>
      <c r="T3614" s="203"/>
      <c r="U3614" s="205"/>
      <c r="V3614" s="205"/>
      <c r="W3614" s="205"/>
      <c r="X3614" s="205"/>
      <c r="Y3614" s="205"/>
      <c r="Z3614" s="205"/>
      <c r="AA3614" s="205"/>
      <c r="AB3614" s="205"/>
      <c r="AC3614" s="205"/>
      <c r="AD3614" s="205"/>
      <c r="AE3614" s="205"/>
      <c r="AF3614" s="205"/>
    </row>
    <row r="3615" spans="1:32" s="204" customFormat="1" ht="10.199999999999999">
      <c r="A3615" s="683"/>
      <c r="B3615" s="3129" t="s">
        <v>338</v>
      </c>
      <c r="C3615" s="683" t="s">
        <v>336</v>
      </c>
      <c r="D3615" s="719" t="s">
        <v>1979</v>
      </c>
      <c r="E3615" s="720" t="s">
        <v>430</v>
      </c>
      <c r="F3615" s="824">
        <v>6423</v>
      </c>
      <c r="G3615" s="800" t="s">
        <v>293</v>
      </c>
      <c r="H3615" s="706">
        <v>141240</v>
      </c>
      <c r="I3615" s="706"/>
      <c r="J3615" s="1654">
        <v>393152</v>
      </c>
      <c r="K3615" s="802"/>
      <c r="L3615" s="713">
        <v>233130</v>
      </c>
      <c r="M3615" s="2693"/>
      <c r="N3615" s="305"/>
      <c r="O3615" s="203"/>
      <c r="P3615" s="203"/>
      <c r="Q3615" s="203"/>
      <c r="R3615" s="203"/>
      <c r="S3615" s="203"/>
      <c r="T3615" s="203"/>
      <c r="U3615" s="205"/>
      <c r="V3615" s="205"/>
      <c r="W3615" s="205"/>
      <c r="X3615" s="205"/>
      <c r="Y3615" s="205"/>
      <c r="Z3615" s="205"/>
      <c r="AA3615" s="205"/>
      <c r="AB3615" s="205"/>
      <c r="AC3615" s="205"/>
      <c r="AD3615" s="205"/>
      <c r="AE3615" s="205"/>
      <c r="AF3615" s="205"/>
    </row>
    <row r="3616" spans="1:32" s="204" customFormat="1" ht="30.6">
      <c r="A3616" s="663"/>
      <c r="B3616" s="3130" t="s">
        <v>338</v>
      </c>
      <c r="C3616" s="663" t="s">
        <v>336</v>
      </c>
      <c r="D3616" s="678" t="s">
        <v>1979</v>
      </c>
      <c r="E3616" s="700" t="s">
        <v>430</v>
      </c>
      <c r="F3616" s="679">
        <v>6423</v>
      </c>
      <c r="G3616" s="2177" t="s">
        <v>4332</v>
      </c>
      <c r="H3616" s="2169"/>
      <c r="I3616" s="2169">
        <v>2600</v>
      </c>
      <c r="J3616" s="2170" t="s">
        <v>1134</v>
      </c>
      <c r="K3616" s="2185"/>
      <c r="L3616" s="2263"/>
      <c r="M3616" s="2606">
        <v>3000</v>
      </c>
      <c r="N3616" s="305"/>
      <c r="O3616" s="203"/>
      <c r="P3616" s="203"/>
      <c r="Q3616" s="203"/>
      <c r="R3616" s="203"/>
      <c r="S3616" s="203"/>
      <c r="T3616" s="203"/>
      <c r="U3616" s="205"/>
      <c r="V3616" s="205"/>
      <c r="W3616" s="205"/>
      <c r="X3616" s="205"/>
      <c r="Y3616" s="205"/>
      <c r="Z3616" s="205"/>
      <c r="AA3616" s="205"/>
      <c r="AB3616" s="205"/>
      <c r="AC3616" s="205"/>
      <c r="AD3616" s="205"/>
      <c r="AE3616" s="205"/>
      <c r="AF3616" s="205"/>
    </row>
    <row r="3617" spans="1:32" s="204" customFormat="1" ht="20.399999999999999">
      <c r="A3617" s="663"/>
      <c r="B3617" s="3130" t="s">
        <v>338</v>
      </c>
      <c r="C3617" s="663" t="s">
        <v>336</v>
      </c>
      <c r="D3617" s="678" t="s">
        <v>1979</v>
      </c>
      <c r="E3617" s="700" t="s">
        <v>430</v>
      </c>
      <c r="F3617" s="679">
        <v>6423</v>
      </c>
      <c r="G3617" s="2177" t="s">
        <v>4333</v>
      </c>
      <c r="H3617" s="2169"/>
      <c r="I3617" s="2169">
        <v>18000</v>
      </c>
      <c r="J3617" s="2170" t="s">
        <v>1134</v>
      </c>
      <c r="K3617" s="2185"/>
      <c r="L3617" s="2263"/>
      <c r="M3617" s="2606">
        <v>18000</v>
      </c>
      <c r="N3617" s="305"/>
      <c r="O3617" s="203"/>
      <c r="P3617" s="203"/>
      <c r="Q3617" s="203"/>
      <c r="R3617" s="203"/>
      <c r="S3617" s="203"/>
      <c r="T3617" s="203"/>
      <c r="U3617" s="203"/>
      <c r="V3617" s="203"/>
      <c r="W3617" s="203"/>
      <c r="X3617" s="203"/>
      <c r="Y3617" s="203"/>
      <c r="Z3617" s="203"/>
      <c r="AA3617" s="203"/>
      <c r="AB3617" s="203"/>
      <c r="AC3617" s="203"/>
      <c r="AD3617" s="203"/>
      <c r="AE3617" s="203"/>
    </row>
    <row r="3618" spans="1:32" s="204" customFormat="1" ht="20.399999999999999">
      <c r="A3618" s="663"/>
      <c r="B3618" s="3130" t="s">
        <v>338</v>
      </c>
      <c r="C3618" s="663" t="s">
        <v>336</v>
      </c>
      <c r="D3618" s="678" t="s">
        <v>1979</v>
      </c>
      <c r="E3618" s="700" t="s">
        <v>430</v>
      </c>
      <c r="F3618" s="679">
        <v>6423</v>
      </c>
      <c r="G3618" s="2694" t="s">
        <v>4878</v>
      </c>
      <c r="H3618" s="2169"/>
      <c r="I3618" s="2169">
        <v>34000</v>
      </c>
      <c r="J3618" s="2170" t="s">
        <v>1134</v>
      </c>
      <c r="K3618" s="2185"/>
      <c r="L3618" s="2263"/>
      <c r="M3618" s="2606">
        <v>60000</v>
      </c>
      <c r="N3618" s="305"/>
      <c r="O3618" s="203"/>
      <c r="P3618" s="203"/>
      <c r="Q3618" s="203"/>
      <c r="R3618" s="203"/>
      <c r="S3618" s="203"/>
      <c r="T3618" s="203"/>
      <c r="U3618" s="205"/>
      <c r="V3618" s="205"/>
      <c r="W3618" s="205"/>
      <c r="X3618" s="205"/>
      <c r="Y3618" s="205"/>
      <c r="Z3618" s="205"/>
      <c r="AA3618" s="205"/>
      <c r="AB3618" s="205"/>
      <c r="AC3618" s="205"/>
      <c r="AD3618" s="205"/>
      <c r="AE3618" s="205"/>
      <c r="AF3618" s="205"/>
    </row>
    <row r="3619" spans="1:32" s="204" customFormat="1" ht="30.6">
      <c r="A3619" s="663"/>
      <c r="B3619" s="3130" t="s">
        <v>338</v>
      </c>
      <c r="C3619" s="663" t="s">
        <v>336</v>
      </c>
      <c r="D3619" s="678" t="s">
        <v>1979</v>
      </c>
      <c r="E3619" s="700" t="s">
        <v>430</v>
      </c>
      <c r="F3619" s="679">
        <v>6423</v>
      </c>
      <c r="G3619" s="2177" t="s">
        <v>2265</v>
      </c>
      <c r="H3619" s="2169"/>
      <c r="I3619" s="2169">
        <v>11000</v>
      </c>
      <c r="J3619" s="2170" t="s">
        <v>1134</v>
      </c>
      <c r="K3619" s="2185"/>
      <c r="L3619" s="2263"/>
      <c r="M3619" s="2169">
        <v>11000</v>
      </c>
      <c r="N3619" s="305"/>
      <c r="O3619" s="203"/>
      <c r="P3619" s="203"/>
      <c r="Q3619" s="203"/>
      <c r="R3619" s="203"/>
      <c r="S3619" s="203"/>
      <c r="T3619" s="203"/>
      <c r="U3619" s="205"/>
      <c r="V3619" s="205"/>
      <c r="W3619" s="205"/>
      <c r="X3619" s="205"/>
      <c r="Y3619" s="205"/>
      <c r="Z3619" s="205"/>
      <c r="AA3619" s="205"/>
      <c r="AB3619" s="205"/>
      <c r="AC3619" s="205"/>
      <c r="AD3619" s="205"/>
      <c r="AE3619" s="205"/>
      <c r="AF3619" s="205"/>
    </row>
    <row r="3620" spans="1:32" s="204" customFormat="1" ht="40.799999999999997">
      <c r="A3620" s="663"/>
      <c r="B3620" s="3130" t="s">
        <v>338</v>
      </c>
      <c r="C3620" s="663" t="s">
        <v>336</v>
      </c>
      <c r="D3620" s="678" t="s">
        <v>1979</v>
      </c>
      <c r="E3620" s="700" t="s">
        <v>430</v>
      </c>
      <c r="F3620" s="679">
        <v>6423</v>
      </c>
      <c r="G3620" s="2177" t="s">
        <v>4336</v>
      </c>
      <c r="H3620" s="2264"/>
      <c r="I3620" s="2264">
        <v>13300</v>
      </c>
      <c r="J3620" s="2170" t="s">
        <v>1134</v>
      </c>
      <c r="K3620" s="2185"/>
      <c r="L3620" s="2269"/>
      <c r="M3620" s="2169">
        <v>14860</v>
      </c>
      <c r="N3620" s="305"/>
      <c r="O3620" s="203"/>
      <c r="P3620" s="203"/>
      <c r="Q3620" s="203"/>
      <c r="R3620" s="203"/>
      <c r="S3620" s="203"/>
      <c r="T3620" s="203"/>
      <c r="U3620" s="205"/>
      <c r="V3620" s="205"/>
      <c r="W3620" s="205"/>
      <c r="X3620" s="205"/>
      <c r="Y3620" s="205"/>
      <c r="Z3620" s="205"/>
      <c r="AA3620" s="205"/>
      <c r="AB3620" s="205"/>
      <c r="AC3620" s="205"/>
      <c r="AD3620" s="205"/>
      <c r="AE3620" s="205"/>
      <c r="AF3620" s="205"/>
    </row>
    <row r="3621" spans="1:32" s="204" customFormat="1" ht="10.199999999999999">
      <c r="A3621" s="663"/>
      <c r="B3621" s="3130" t="s">
        <v>338</v>
      </c>
      <c r="C3621" s="663" t="s">
        <v>336</v>
      </c>
      <c r="D3621" s="678" t="s">
        <v>1979</v>
      </c>
      <c r="E3621" s="700" t="s">
        <v>430</v>
      </c>
      <c r="F3621" s="679">
        <v>6423</v>
      </c>
      <c r="G3621" s="2177" t="s">
        <v>505</v>
      </c>
      <c r="H3621" s="2264"/>
      <c r="I3621" s="2264">
        <v>1000</v>
      </c>
      <c r="J3621" s="2170" t="s">
        <v>1134</v>
      </c>
      <c r="K3621" s="2185"/>
      <c r="L3621" s="2269"/>
      <c r="M3621" s="2264">
        <v>1000</v>
      </c>
      <c r="N3621" s="305"/>
      <c r="O3621" s="203"/>
      <c r="P3621" s="203"/>
      <c r="Q3621" s="203"/>
      <c r="R3621" s="203"/>
      <c r="S3621" s="203"/>
      <c r="T3621" s="203"/>
      <c r="U3621" s="203"/>
      <c r="V3621" s="203"/>
      <c r="W3621" s="203"/>
      <c r="X3621" s="203"/>
      <c r="Y3621" s="203"/>
      <c r="Z3621" s="203"/>
      <c r="AA3621" s="203"/>
      <c r="AB3621" s="203"/>
      <c r="AC3621" s="203"/>
      <c r="AD3621" s="203"/>
      <c r="AE3621" s="203"/>
    </row>
    <row r="3622" spans="1:32" s="204" customFormat="1" ht="10.199999999999999">
      <c r="A3622" s="2168"/>
      <c r="B3622" s="3130" t="s">
        <v>338</v>
      </c>
      <c r="C3622" s="663" t="s">
        <v>336</v>
      </c>
      <c r="D3622" s="678" t="s">
        <v>1979</v>
      </c>
      <c r="E3622" s="700" t="s">
        <v>430</v>
      </c>
      <c r="F3622" s="679">
        <v>6423</v>
      </c>
      <c r="G3622" s="2177" t="s">
        <v>4338</v>
      </c>
      <c r="H3622" s="874"/>
      <c r="I3622" s="874">
        <v>2400</v>
      </c>
      <c r="J3622" s="1494" t="s">
        <v>1134</v>
      </c>
      <c r="K3622" s="667"/>
      <c r="L3622" s="2274"/>
      <c r="M3622" s="874">
        <v>2400</v>
      </c>
      <c r="N3622" s="305"/>
      <c r="O3622" s="203"/>
      <c r="P3622" s="203"/>
      <c r="Q3622" s="203"/>
      <c r="R3622" s="203"/>
      <c r="S3622" s="203"/>
      <c r="T3622" s="203"/>
      <c r="U3622" s="205"/>
      <c r="V3622" s="205"/>
      <c r="W3622" s="205"/>
      <c r="X3622" s="205"/>
      <c r="Y3622" s="205"/>
      <c r="Z3622" s="205"/>
      <c r="AA3622" s="205"/>
      <c r="AB3622" s="205"/>
      <c r="AC3622" s="205"/>
      <c r="AD3622" s="205"/>
      <c r="AE3622" s="205"/>
      <c r="AF3622" s="205"/>
    </row>
    <row r="3623" spans="1:32" s="204" customFormat="1" ht="40.799999999999997">
      <c r="A3623" s="663"/>
      <c r="B3623" s="3130" t="s">
        <v>338</v>
      </c>
      <c r="C3623" s="663" t="s">
        <v>336</v>
      </c>
      <c r="D3623" s="678" t="s">
        <v>1979</v>
      </c>
      <c r="E3623" s="700" t="s">
        <v>430</v>
      </c>
      <c r="F3623" s="679">
        <v>6423</v>
      </c>
      <c r="G3623" s="2177" t="s">
        <v>4339</v>
      </c>
      <c r="H3623" s="2264"/>
      <c r="I3623" s="2264"/>
      <c r="J3623" s="2170"/>
      <c r="K3623" s="2185"/>
      <c r="L3623" s="2269"/>
      <c r="M3623" s="2695">
        <v>70000</v>
      </c>
      <c r="N3623" s="305"/>
      <c r="O3623" s="203"/>
      <c r="P3623" s="203"/>
      <c r="Q3623" s="203"/>
      <c r="R3623" s="203"/>
      <c r="S3623" s="203"/>
      <c r="T3623" s="203"/>
      <c r="U3623" s="205"/>
      <c r="V3623" s="205"/>
      <c r="W3623" s="205"/>
      <c r="X3623" s="205"/>
      <c r="Y3623" s="205"/>
      <c r="Z3623" s="205"/>
      <c r="AA3623" s="205"/>
      <c r="AB3623" s="205"/>
      <c r="AC3623" s="205"/>
      <c r="AD3623" s="205"/>
      <c r="AE3623" s="205"/>
      <c r="AF3623" s="205"/>
    </row>
    <row r="3624" spans="1:32" s="204" customFormat="1" ht="30.6">
      <c r="A3624" s="663"/>
      <c r="B3624" s="3130" t="s">
        <v>338</v>
      </c>
      <c r="C3624" s="663" t="s">
        <v>336</v>
      </c>
      <c r="D3624" s="678" t="s">
        <v>1979</v>
      </c>
      <c r="E3624" s="700" t="s">
        <v>430</v>
      </c>
      <c r="F3624" s="679">
        <v>6423</v>
      </c>
      <c r="G3624" s="2177" t="s">
        <v>4340</v>
      </c>
      <c r="H3624" s="2264"/>
      <c r="I3624" s="2264">
        <v>28400</v>
      </c>
      <c r="J3624" s="2170" t="s">
        <v>1134</v>
      </c>
      <c r="K3624" s="2185"/>
      <c r="L3624" s="2269"/>
      <c r="M3624" s="2264">
        <v>25000</v>
      </c>
      <c r="N3624" s="7"/>
      <c r="O3624" s="203"/>
      <c r="P3624" s="203"/>
      <c r="Q3624" s="203"/>
      <c r="R3624" s="203"/>
      <c r="S3624" s="203"/>
      <c r="T3624" s="203"/>
      <c r="U3624" s="203"/>
      <c r="V3624" s="203"/>
      <c r="W3624" s="203"/>
      <c r="X3624" s="203"/>
      <c r="Y3624" s="203"/>
      <c r="Z3624" s="203"/>
      <c r="AA3624" s="203"/>
      <c r="AB3624" s="203"/>
      <c r="AC3624" s="203"/>
      <c r="AD3624" s="203"/>
      <c r="AE3624" s="203"/>
      <c r="AF3624" s="203"/>
    </row>
    <row r="3625" spans="1:32" s="204" customFormat="1" ht="20.399999999999999">
      <c r="A3625" s="663"/>
      <c r="B3625" s="3130" t="s">
        <v>338</v>
      </c>
      <c r="C3625" s="663" t="s">
        <v>336</v>
      </c>
      <c r="D3625" s="678" t="s">
        <v>1979</v>
      </c>
      <c r="E3625" s="700" t="s">
        <v>430</v>
      </c>
      <c r="F3625" s="679">
        <v>6423</v>
      </c>
      <c r="G3625" s="2177" t="s">
        <v>2266</v>
      </c>
      <c r="H3625" s="2264"/>
      <c r="I3625" s="2264">
        <v>12000</v>
      </c>
      <c r="J3625" s="2170" t="s">
        <v>1134</v>
      </c>
      <c r="K3625" s="2185"/>
      <c r="L3625" s="2269"/>
      <c r="M3625" s="2264">
        <v>12000</v>
      </c>
      <c r="N3625" s="7" t="s">
        <v>3521</v>
      </c>
      <c r="O3625" s="203"/>
      <c r="P3625" s="203"/>
      <c r="Q3625" s="203"/>
      <c r="R3625" s="203"/>
      <c r="S3625" s="203"/>
      <c r="T3625" s="203"/>
      <c r="U3625" s="205"/>
      <c r="V3625" s="205"/>
      <c r="W3625" s="205"/>
      <c r="X3625" s="205"/>
      <c r="Y3625" s="205"/>
      <c r="Z3625" s="205"/>
      <c r="AA3625" s="205"/>
      <c r="AB3625" s="205"/>
      <c r="AC3625" s="205"/>
      <c r="AD3625" s="205"/>
      <c r="AE3625" s="205"/>
      <c r="AF3625" s="205"/>
    </row>
    <row r="3626" spans="1:32" ht="30.6">
      <c r="A3626" s="663"/>
      <c r="B3626" s="3130" t="s">
        <v>338</v>
      </c>
      <c r="C3626" s="663" t="s">
        <v>336</v>
      </c>
      <c r="D3626" s="678" t="s">
        <v>1979</v>
      </c>
      <c r="E3626" s="700" t="s">
        <v>430</v>
      </c>
      <c r="F3626" s="679">
        <v>6423</v>
      </c>
      <c r="G3626" s="2177" t="s">
        <v>2811</v>
      </c>
      <c r="H3626" s="2264"/>
      <c r="I3626" s="2264">
        <v>6000</v>
      </c>
      <c r="J3626" s="2170" t="s">
        <v>1134</v>
      </c>
      <c r="K3626" s="2185"/>
      <c r="L3626" s="2269"/>
      <c r="M3626" s="2264">
        <v>3000</v>
      </c>
      <c r="N3626" s="7" t="s">
        <v>2684</v>
      </c>
      <c r="O3626" s="7"/>
      <c r="P3626" s="7"/>
      <c r="Q3626" s="7"/>
      <c r="R3626" s="7"/>
      <c r="S3626" s="7"/>
      <c r="T3626" s="7"/>
      <c r="U3626" s="7"/>
      <c r="V3626" s="7"/>
      <c r="W3626" s="7"/>
      <c r="X3626" s="7"/>
      <c r="Y3626" s="7"/>
      <c r="Z3626" s="7"/>
      <c r="AA3626" s="7"/>
      <c r="AB3626" s="7"/>
      <c r="AC3626" s="7"/>
      <c r="AD3626" s="7"/>
      <c r="AE3626" s="7"/>
      <c r="AF3626" s="7"/>
    </row>
    <row r="3627" spans="1:32" ht="20.399999999999999">
      <c r="A3627" s="698"/>
      <c r="B3627" s="3130" t="s">
        <v>338</v>
      </c>
      <c r="C3627" s="663" t="s">
        <v>336</v>
      </c>
      <c r="D3627" s="678" t="s">
        <v>1979</v>
      </c>
      <c r="E3627" s="700" t="s">
        <v>430</v>
      </c>
      <c r="F3627" s="679">
        <v>6423</v>
      </c>
      <c r="G3627" s="2177" t="s">
        <v>4344</v>
      </c>
      <c r="H3627" s="2264"/>
      <c r="I3627" s="2264">
        <v>9300</v>
      </c>
      <c r="J3627" s="2170" t="s">
        <v>1134</v>
      </c>
      <c r="K3627" s="2185"/>
      <c r="L3627" s="2269"/>
      <c r="M3627" s="2275">
        <v>9450</v>
      </c>
      <c r="N3627" s="7"/>
      <c r="O3627" s="3"/>
      <c r="P3627" s="3"/>
      <c r="Q3627" s="3"/>
      <c r="R3627" s="3"/>
      <c r="S3627" s="3"/>
      <c r="T3627" s="3"/>
      <c r="U3627" s="3"/>
      <c r="V3627" s="3"/>
      <c r="W3627" s="3"/>
      <c r="X3627" s="3"/>
      <c r="Y3627" s="3"/>
      <c r="Z3627" s="3"/>
      <c r="AA3627" s="3"/>
      <c r="AB3627" s="3"/>
      <c r="AC3627" s="3"/>
      <c r="AD3627" s="3"/>
      <c r="AE3627" s="3"/>
      <c r="AF3627" s="3"/>
    </row>
    <row r="3628" spans="1:32">
      <c r="A3628" s="663"/>
      <c r="B3628" s="3130" t="s">
        <v>338</v>
      </c>
      <c r="C3628" s="663" t="s">
        <v>336</v>
      </c>
      <c r="D3628" s="678" t="s">
        <v>1979</v>
      </c>
      <c r="E3628" s="700" t="s">
        <v>430</v>
      </c>
      <c r="F3628" s="679">
        <v>6423</v>
      </c>
      <c r="G3628" s="2177" t="s">
        <v>1608</v>
      </c>
      <c r="H3628" s="2169"/>
      <c r="I3628" s="2169">
        <v>3240</v>
      </c>
      <c r="J3628" s="2170" t="s">
        <v>1134</v>
      </c>
      <c r="K3628" s="2185"/>
      <c r="L3628" s="2263"/>
      <c r="M3628" s="2264">
        <v>3420</v>
      </c>
      <c r="N3628" s="7"/>
      <c r="O3628" s="3"/>
      <c r="P3628" s="3"/>
      <c r="Q3628" s="3"/>
      <c r="R3628" s="3"/>
      <c r="S3628" s="3"/>
      <c r="T3628" s="3"/>
      <c r="U3628" s="3"/>
      <c r="V3628" s="3"/>
      <c r="W3628" s="3"/>
      <c r="X3628" s="3"/>
      <c r="Y3628" s="3"/>
      <c r="Z3628" s="3"/>
      <c r="AA3628" s="3"/>
      <c r="AB3628" s="3"/>
      <c r="AC3628" s="3"/>
      <c r="AD3628" s="3"/>
      <c r="AE3628" s="3"/>
      <c r="AF3628" s="3"/>
    </row>
    <row r="3629" spans="1:32">
      <c r="A3629" s="720"/>
      <c r="B3629" s="3129" t="s">
        <v>773</v>
      </c>
      <c r="C3629" s="720" t="s">
        <v>336</v>
      </c>
      <c r="D3629" s="823" t="s">
        <v>1979</v>
      </c>
      <c r="E3629" s="720" t="s">
        <v>430</v>
      </c>
      <c r="F3629" s="824">
        <v>6423</v>
      </c>
      <c r="G3629" s="800" t="s">
        <v>293</v>
      </c>
      <c r="H3629" s="706">
        <v>326400</v>
      </c>
      <c r="I3629" s="706"/>
      <c r="J3629" s="1494"/>
      <c r="K3629" s="802"/>
      <c r="L3629" s="713">
        <v>408600</v>
      </c>
      <c r="M3629" s="706"/>
      <c r="N3629" s="7" t="s">
        <v>3526</v>
      </c>
      <c r="O3629" s="7"/>
      <c r="P3629" s="7"/>
      <c r="Q3629" s="7"/>
      <c r="R3629" s="3"/>
      <c r="S3629" s="3"/>
      <c r="T3629" s="3"/>
      <c r="U3629" s="3"/>
      <c r="V3629" s="3"/>
      <c r="W3629" s="3"/>
      <c r="X3629" s="3"/>
      <c r="Y3629" s="3"/>
      <c r="Z3629" s="3"/>
      <c r="AA3629" s="3"/>
      <c r="AB3629" s="3"/>
      <c r="AC3629" s="3"/>
      <c r="AD3629" s="3"/>
      <c r="AE3629" s="3"/>
      <c r="AF3629" s="3"/>
    </row>
    <row r="3630" spans="1:32" ht="20.399999999999999">
      <c r="A3630" s="663"/>
      <c r="B3630" s="3130" t="s">
        <v>773</v>
      </c>
      <c r="C3630" s="663" t="s">
        <v>336</v>
      </c>
      <c r="D3630" s="678" t="s">
        <v>1979</v>
      </c>
      <c r="E3630" s="700" t="s">
        <v>430</v>
      </c>
      <c r="F3630" s="679">
        <v>6423</v>
      </c>
      <c r="G3630" s="2177" t="s">
        <v>1302</v>
      </c>
      <c r="H3630" s="2169"/>
      <c r="I3630" s="2169">
        <v>167400</v>
      </c>
      <c r="J3630" s="2170" t="s">
        <v>1134</v>
      </c>
      <c r="K3630" s="2185"/>
      <c r="L3630" s="2263"/>
      <c r="M3630" s="2169">
        <v>167400</v>
      </c>
      <c r="N3630" s="7"/>
      <c r="O3630" s="7"/>
      <c r="P3630" s="7"/>
      <c r="Q3630" s="7"/>
      <c r="R3630" s="3"/>
      <c r="S3630" s="3"/>
      <c r="T3630" s="3"/>
      <c r="U3630" s="3"/>
      <c r="V3630" s="3"/>
      <c r="W3630" s="3"/>
      <c r="X3630" s="3"/>
      <c r="Y3630" s="3"/>
      <c r="Z3630" s="3"/>
      <c r="AA3630" s="3"/>
      <c r="AB3630" s="3"/>
      <c r="AC3630" s="3"/>
      <c r="AD3630" s="3"/>
      <c r="AE3630" s="3"/>
      <c r="AF3630" s="3"/>
    </row>
    <row r="3631" spans="1:32" ht="20.399999999999999">
      <c r="A3631" s="663"/>
      <c r="B3631" s="3130" t="s">
        <v>773</v>
      </c>
      <c r="C3631" s="663" t="s">
        <v>336</v>
      </c>
      <c r="D3631" s="678" t="s">
        <v>1979</v>
      </c>
      <c r="E3631" s="700" t="s">
        <v>430</v>
      </c>
      <c r="F3631" s="679">
        <v>6423</v>
      </c>
      <c r="G3631" s="2177" t="s">
        <v>1609</v>
      </c>
      <c r="H3631" s="2169"/>
      <c r="I3631" s="2169">
        <v>50000</v>
      </c>
      <c r="J3631" s="2170" t="s">
        <v>1134</v>
      </c>
      <c r="K3631" s="2185"/>
      <c r="L3631" s="2263"/>
      <c r="M3631" s="2169">
        <v>50000</v>
      </c>
      <c r="N3631" s="7" t="s">
        <v>4367</v>
      </c>
      <c r="O3631" s="7"/>
      <c r="P3631" s="7"/>
      <c r="Q3631" s="7"/>
      <c r="R3631" s="3"/>
      <c r="S3631" s="3"/>
      <c r="T3631" s="3"/>
      <c r="U3631" s="3"/>
      <c r="V3631" s="3"/>
      <c r="W3631" s="3"/>
      <c r="X3631" s="3"/>
      <c r="Y3631" s="3"/>
      <c r="Z3631" s="3"/>
      <c r="AA3631" s="3"/>
      <c r="AB3631" s="3"/>
      <c r="AC3631" s="3"/>
      <c r="AD3631" s="3"/>
      <c r="AE3631" s="3"/>
      <c r="AF3631" s="3"/>
    </row>
    <row r="3632" spans="1:32" ht="20.399999999999999">
      <c r="A3632" s="663"/>
      <c r="B3632" s="3130" t="s">
        <v>773</v>
      </c>
      <c r="C3632" s="663" t="s">
        <v>336</v>
      </c>
      <c r="D3632" s="678" t="s">
        <v>1979</v>
      </c>
      <c r="E3632" s="700" t="s">
        <v>430</v>
      </c>
      <c r="F3632" s="679">
        <v>6423</v>
      </c>
      <c r="G3632" s="2177" t="s">
        <v>4349</v>
      </c>
      <c r="H3632" s="2169"/>
      <c r="I3632" s="2169">
        <v>10000</v>
      </c>
      <c r="J3632" s="2170" t="s">
        <v>1134</v>
      </c>
      <c r="K3632" s="2185"/>
      <c r="L3632" s="2263"/>
      <c r="M3632" s="2169">
        <v>10000</v>
      </c>
      <c r="N3632" s="7" t="s">
        <v>2273</v>
      </c>
      <c r="O3632" s="7"/>
      <c r="P3632" s="7"/>
      <c r="Q3632" s="7"/>
      <c r="R3632" s="3"/>
      <c r="S3632" s="3"/>
      <c r="T3632" s="3"/>
      <c r="U3632" s="3"/>
      <c r="V3632" s="3"/>
      <c r="W3632" s="3"/>
      <c r="X3632" s="3"/>
      <c r="Y3632" s="3"/>
      <c r="Z3632" s="3"/>
      <c r="AA3632" s="3"/>
      <c r="AB3632" s="3"/>
      <c r="AC3632" s="3"/>
      <c r="AD3632" s="3"/>
      <c r="AE3632" s="3"/>
      <c r="AF3632" s="3"/>
    </row>
    <row r="3633" spans="1:32" ht="20.399999999999999">
      <c r="A3633" s="663"/>
      <c r="B3633" s="3130" t="s">
        <v>773</v>
      </c>
      <c r="C3633" s="663" t="s">
        <v>336</v>
      </c>
      <c r="D3633" s="678" t="s">
        <v>1979</v>
      </c>
      <c r="E3633" s="700" t="s">
        <v>430</v>
      </c>
      <c r="F3633" s="795">
        <v>6423</v>
      </c>
      <c r="G3633" s="2195" t="s">
        <v>2823</v>
      </c>
      <c r="H3633" s="2188"/>
      <c r="I3633" s="2188">
        <v>1200</v>
      </c>
      <c r="J3633" s="2191" t="s">
        <v>1134</v>
      </c>
      <c r="K3633" s="2205"/>
      <c r="L3633" s="2199"/>
      <c r="M3633" s="2188">
        <v>1200</v>
      </c>
      <c r="N3633" s="7"/>
      <c r="O3633" s="7"/>
      <c r="P3633" s="7"/>
      <c r="Q3633" s="7"/>
      <c r="R3633" s="3"/>
      <c r="S3633" s="3"/>
      <c r="T3633" s="3"/>
      <c r="U3633" s="3"/>
      <c r="V3633" s="3"/>
      <c r="W3633" s="3"/>
      <c r="X3633" s="3"/>
      <c r="Y3633" s="3"/>
      <c r="Z3633" s="3"/>
      <c r="AA3633" s="3"/>
      <c r="AB3633" s="3"/>
      <c r="AC3633" s="3"/>
      <c r="AD3633" s="3"/>
      <c r="AE3633" s="3"/>
      <c r="AF3633" s="3"/>
    </row>
    <row r="3634" spans="1:32" ht="20.399999999999999">
      <c r="A3634" s="663"/>
      <c r="B3634" s="3130" t="s">
        <v>773</v>
      </c>
      <c r="C3634" s="663" t="s">
        <v>336</v>
      </c>
      <c r="D3634" s="678" t="s">
        <v>1979</v>
      </c>
      <c r="E3634" s="700" t="s">
        <v>430</v>
      </c>
      <c r="F3634" s="795">
        <v>6423</v>
      </c>
      <c r="G3634" s="2195" t="s">
        <v>4350</v>
      </c>
      <c r="H3634" s="2188"/>
      <c r="I3634" s="2188">
        <v>180000</v>
      </c>
      <c r="J3634" s="2191" t="s">
        <v>1134</v>
      </c>
      <c r="K3634" s="2205"/>
      <c r="L3634" s="2199"/>
      <c r="M3634" s="2188">
        <v>180000</v>
      </c>
      <c r="N3634" s="7"/>
      <c r="O3634" s="7"/>
      <c r="P3634" s="7"/>
      <c r="Q3634" s="7"/>
      <c r="R3634" s="3"/>
      <c r="S3634" s="3"/>
      <c r="T3634" s="3"/>
      <c r="U3634" s="3"/>
      <c r="V3634" s="3"/>
      <c r="W3634" s="3"/>
      <c r="X3634" s="3"/>
      <c r="Y3634" s="3"/>
      <c r="Z3634" s="3"/>
      <c r="AA3634" s="3"/>
      <c r="AB3634" s="3"/>
      <c r="AC3634" s="3"/>
      <c r="AD3634" s="3"/>
      <c r="AE3634" s="3"/>
      <c r="AF3634" s="3"/>
    </row>
    <row r="3635" spans="1:32" ht="40.799999999999997">
      <c r="A3635" s="603"/>
      <c r="B3635" s="3130" t="s">
        <v>773</v>
      </c>
      <c r="C3635" s="663" t="s">
        <v>336</v>
      </c>
      <c r="D3635" s="678" t="s">
        <v>1979</v>
      </c>
      <c r="E3635" s="700" t="s">
        <v>430</v>
      </c>
      <c r="F3635" s="795">
        <v>6423</v>
      </c>
      <c r="G3635" s="1153" t="s">
        <v>3263</v>
      </c>
      <c r="H3635" s="1165"/>
      <c r="I3635" s="1165">
        <v>-29163</v>
      </c>
      <c r="J3635" s="1654" t="s">
        <v>1134</v>
      </c>
      <c r="K3635" s="1439"/>
      <c r="L3635" s="1456"/>
      <c r="M3635" s="1165"/>
      <c r="N3635" s="7" t="s">
        <v>3527</v>
      </c>
      <c r="O3635" s="3"/>
      <c r="P3635" s="3"/>
      <c r="Q3635" s="3"/>
      <c r="R3635" s="3"/>
      <c r="S3635" s="3"/>
      <c r="T3635" s="3"/>
      <c r="U3635" s="3"/>
      <c r="V3635" s="3"/>
      <c r="W3635" s="3"/>
      <c r="X3635" s="3"/>
      <c r="Y3635" s="3"/>
      <c r="Z3635" s="3"/>
      <c r="AA3635" s="3"/>
      <c r="AB3635" s="3"/>
      <c r="AC3635" s="3"/>
      <c r="AD3635" s="3"/>
      <c r="AE3635" s="3"/>
      <c r="AF3635" s="3"/>
    </row>
    <row r="3636" spans="1:32" ht="40.799999999999997">
      <c r="A3636" s="603"/>
      <c r="B3636" s="3130" t="s">
        <v>773</v>
      </c>
      <c r="C3636" s="663" t="s">
        <v>336</v>
      </c>
      <c r="D3636" s="678" t="s">
        <v>1979</v>
      </c>
      <c r="E3636" s="700" t="s">
        <v>430</v>
      </c>
      <c r="F3636" s="795">
        <v>6423</v>
      </c>
      <c r="G3636" s="1153" t="s">
        <v>3264</v>
      </c>
      <c r="H3636" s="1165"/>
      <c r="I3636" s="1165">
        <v>-37837</v>
      </c>
      <c r="J3636" s="1654" t="s">
        <v>1134</v>
      </c>
      <c r="K3636" s="1439"/>
      <c r="L3636" s="1456"/>
      <c r="M3636" s="1165"/>
      <c r="N3636" s="125"/>
      <c r="O3636" s="3"/>
      <c r="P3636" s="3"/>
      <c r="Q3636" s="3"/>
      <c r="R3636" s="3"/>
      <c r="S3636" s="3"/>
      <c r="T3636" s="3"/>
      <c r="U3636" s="3"/>
      <c r="V3636" s="3"/>
      <c r="W3636" s="3"/>
      <c r="X3636" s="3"/>
      <c r="Y3636" s="3"/>
      <c r="Z3636" s="3"/>
      <c r="AA3636" s="3"/>
      <c r="AB3636" s="3"/>
      <c r="AC3636" s="3"/>
      <c r="AD3636" s="3"/>
      <c r="AE3636" s="3"/>
      <c r="AF3636" s="3"/>
    </row>
    <row r="3637" spans="1:32" s="204" customFormat="1" ht="30.6">
      <c r="A3637" s="1263"/>
      <c r="B3637" s="3130" t="s">
        <v>773</v>
      </c>
      <c r="C3637" s="663" t="s">
        <v>336</v>
      </c>
      <c r="D3637" s="678" t="s">
        <v>1979</v>
      </c>
      <c r="E3637" s="700" t="s">
        <v>430</v>
      </c>
      <c r="F3637" s="795">
        <v>6423</v>
      </c>
      <c r="G3637" s="1330" t="s">
        <v>2956</v>
      </c>
      <c r="H3637" s="1265"/>
      <c r="I3637" s="1265">
        <v>-15200</v>
      </c>
      <c r="J3637" s="1654" t="s">
        <v>1134</v>
      </c>
      <c r="K3637" s="1329"/>
      <c r="L3637" s="1381"/>
      <c r="M3637" s="1265"/>
      <c r="N3637" s="7" t="s">
        <v>3528</v>
      </c>
      <c r="O3637" s="205"/>
      <c r="P3637" s="205"/>
      <c r="Q3637" s="205"/>
      <c r="R3637" s="205"/>
      <c r="S3637" s="205"/>
      <c r="T3637" s="205"/>
      <c r="U3637" s="205"/>
      <c r="V3637" s="205"/>
      <c r="W3637" s="205"/>
      <c r="X3637" s="205"/>
      <c r="Y3637" s="205"/>
      <c r="Z3637" s="205"/>
      <c r="AA3637" s="205"/>
      <c r="AB3637" s="205"/>
      <c r="AC3637" s="205"/>
      <c r="AD3637" s="205"/>
      <c r="AE3637" s="205"/>
      <c r="AF3637" s="205"/>
    </row>
    <row r="3638" spans="1:32">
      <c r="A3638" s="683"/>
      <c r="B3638" s="3129" t="s">
        <v>1211</v>
      </c>
      <c r="C3638" s="683" t="s">
        <v>336</v>
      </c>
      <c r="D3638" s="719" t="s">
        <v>1979</v>
      </c>
      <c r="E3638" s="720" t="s">
        <v>430</v>
      </c>
      <c r="F3638" s="685">
        <v>7230</v>
      </c>
      <c r="G3638" s="686" t="s">
        <v>1027</v>
      </c>
      <c r="H3638" s="689">
        <v>1722</v>
      </c>
      <c r="I3638" s="689"/>
      <c r="J3638" s="1494">
        <v>1439</v>
      </c>
      <c r="K3638" s="690"/>
      <c r="L3638" s="837">
        <v>1766</v>
      </c>
      <c r="M3638" s="689"/>
      <c r="N3638" s="125"/>
      <c r="O3638" s="3"/>
      <c r="P3638" s="3"/>
      <c r="Q3638" s="3"/>
      <c r="R3638" s="3"/>
      <c r="S3638" s="3"/>
      <c r="T3638" s="3"/>
      <c r="U3638" s="3"/>
      <c r="V3638" s="3"/>
      <c r="W3638" s="3"/>
      <c r="X3638" s="3"/>
      <c r="Y3638" s="3"/>
      <c r="Z3638" s="3"/>
      <c r="AA3638" s="3"/>
      <c r="AB3638" s="3"/>
      <c r="AC3638" s="3"/>
      <c r="AD3638" s="3"/>
      <c r="AE3638" s="3"/>
      <c r="AF3638" s="3"/>
    </row>
    <row r="3639" spans="1:32" ht="20.399999999999999">
      <c r="A3639" s="663" t="s">
        <v>709</v>
      </c>
      <c r="B3639" s="3130" t="s">
        <v>1211</v>
      </c>
      <c r="C3639" s="663" t="s">
        <v>327</v>
      </c>
      <c r="D3639" s="678" t="s">
        <v>1979</v>
      </c>
      <c r="E3639" s="700" t="s">
        <v>430</v>
      </c>
      <c r="F3639" s="679">
        <v>7230</v>
      </c>
      <c r="G3639" s="665" t="s">
        <v>2553</v>
      </c>
      <c r="H3639" s="660"/>
      <c r="I3639" s="660">
        <v>550</v>
      </c>
      <c r="J3639" s="1494" t="s">
        <v>1134</v>
      </c>
      <c r="K3639" s="661"/>
      <c r="L3639" s="676"/>
      <c r="M3639" s="660">
        <v>550</v>
      </c>
      <c r="N3639" s="125"/>
      <c r="O3639" s="3"/>
      <c r="P3639" s="3"/>
      <c r="Q3639" s="3"/>
      <c r="R3639" s="3"/>
      <c r="S3639" s="3"/>
      <c r="T3639" s="3"/>
      <c r="U3639" s="3"/>
      <c r="V3639" s="3"/>
      <c r="W3639" s="3"/>
      <c r="X3639" s="3"/>
      <c r="Y3639" s="3"/>
      <c r="Z3639" s="3"/>
      <c r="AA3639" s="3"/>
      <c r="AB3639" s="3"/>
      <c r="AC3639" s="3"/>
      <c r="AD3639" s="3"/>
      <c r="AE3639" s="3"/>
      <c r="AF3639" s="3"/>
    </row>
    <row r="3640" spans="1:32">
      <c r="A3640" s="663" t="s">
        <v>709</v>
      </c>
      <c r="B3640" s="3130" t="s">
        <v>1211</v>
      </c>
      <c r="C3640" s="663" t="s">
        <v>327</v>
      </c>
      <c r="D3640" s="678" t="s">
        <v>1979</v>
      </c>
      <c r="E3640" s="700" t="s">
        <v>430</v>
      </c>
      <c r="F3640" s="679">
        <v>7230</v>
      </c>
      <c r="G3640" s="665" t="s">
        <v>2554</v>
      </c>
      <c r="H3640" s="660"/>
      <c r="I3640" s="660">
        <v>872</v>
      </c>
      <c r="J3640" s="1494" t="s">
        <v>1134</v>
      </c>
      <c r="K3640" s="661"/>
      <c r="L3640" s="676"/>
      <c r="M3640" s="660">
        <v>872</v>
      </c>
      <c r="N3640" s="7"/>
      <c r="O3640" s="3"/>
      <c r="P3640" s="3"/>
      <c r="Q3640" s="3"/>
      <c r="R3640" s="3"/>
      <c r="S3640" s="3"/>
      <c r="T3640" s="3"/>
      <c r="U3640" s="3"/>
      <c r="V3640" s="3"/>
      <c r="W3640" s="3"/>
      <c r="X3640" s="3"/>
      <c r="Y3640" s="3"/>
      <c r="Z3640" s="3"/>
      <c r="AA3640" s="3"/>
      <c r="AB3640" s="3"/>
      <c r="AC3640" s="3"/>
      <c r="AD3640" s="3"/>
      <c r="AE3640" s="3"/>
      <c r="AF3640" s="3"/>
    </row>
    <row r="3641" spans="1:32" ht="20.399999999999999">
      <c r="A3641" s="663" t="s">
        <v>709</v>
      </c>
      <c r="B3641" s="3130" t="s">
        <v>1211</v>
      </c>
      <c r="C3641" s="663" t="s">
        <v>327</v>
      </c>
      <c r="D3641" s="678" t="s">
        <v>1979</v>
      </c>
      <c r="E3641" s="700" t="s">
        <v>430</v>
      </c>
      <c r="F3641" s="679">
        <v>7230</v>
      </c>
      <c r="G3641" s="665" t="s">
        <v>2555</v>
      </c>
      <c r="H3641" s="660"/>
      <c r="I3641" s="660">
        <v>300</v>
      </c>
      <c r="J3641" s="1494" t="s">
        <v>1134</v>
      </c>
      <c r="K3641" s="661"/>
      <c r="L3641" s="676"/>
      <c r="M3641" s="660">
        <v>300</v>
      </c>
      <c r="N3641" s="7" t="s">
        <v>2686</v>
      </c>
      <c r="O3641" s="7"/>
      <c r="P3641" s="7"/>
      <c r="Q3641" s="7"/>
      <c r="R3641" s="7"/>
      <c r="S3641" s="7"/>
      <c r="T3641" s="7"/>
      <c r="U3641" s="7"/>
      <c r="V3641" s="7"/>
      <c r="W3641" s="7"/>
      <c r="X3641" s="7"/>
      <c r="Y3641" s="7"/>
      <c r="Z3641" s="7"/>
      <c r="AA3641" s="7"/>
      <c r="AB3641" s="7"/>
      <c r="AC3641" s="7"/>
      <c r="AD3641" s="7"/>
      <c r="AE3641" s="7"/>
      <c r="AF3641" s="7"/>
    </row>
    <row r="3642" spans="1:32">
      <c r="A3642" s="663" t="s">
        <v>709</v>
      </c>
      <c r="B3642" s="3130" t="s">
        <v>1211</v>
      </c>
      <c r="C3642" s="663" t="s">
        <v>327</v>
      </c>
      <c r="D3642" s="678" t="s">
        <v>1979</v>
      </c>
      <c r="E3642" s="700" t="s">
        <v>430</v>
      </c>
      <c r="F3642" s="679">
        <v>7230</v>
      </c>
      <c r="G3642" s="665" t="s">
        <v>4749</v>
      </c>
      <c r="H3642" s="660"/>
      <c r="I3642" s="726"/>
      <c r="J3642" s="1494" t="s">
        <v>1134</v>
      </c>
      <c r="K3642" s="661"/>
      <c r="L3642" s="676"/>
      <c r="M3642" s="726">
        <v>44</v>
      </c>
      <c r="N3642" s="7"/>
      <c r="O3642" s="3"/>
      <c r="P3642" s="3"/>
      <c r="Q3642" s="3"/>
      <c r="R3642" s="3"/>
      <c r="S3642" s="3"/>
      <c r="T3642" s="3"/>
      <c r="U3642" s="3"/>
      <c r="V3642" s="3"/>
      <c r="W3642" s="3"/>
      <c r="X3642" s="3"/>
      <c r="Y3642" s="3"/>
      <c r="Z3642" s="3"/>
      <c r="AA3642" s="3"/>
      <c r="AB3642" s="3"/>
      <c r="AC3642" s="3"/>
      <c r="AD3642" s="3"/>
      <c r="AE3642" s="3"/>
      <c r="AF3642" s="3"/>
    </row>
    <row r="3643" spans="1:32">
      <c r="A3643" s="683"/>
      <c r="B3643" s="3129" t="s">
        <v>338</v>
      </c>
      <c r="C3643" s="683" t="s">
        <v>336</v>
      </c>
      <c r="D3643" s="719" t="s">
        <v>1979</v>
      </c>
      <c r="E3643" s="720" t="s">
        <v>3317</v>
      </c>
      <c r="F3643" s="824">
        <v>1119</v>
      </c>
      <c r="G3643" s="800" t="s">
        <v>109</v>
      </c>
      <c r="H3643" s="706">
        <v>28319.5</v>
      </c>
      <c r="I3643" s="706"/>
      <c r="J3643" s="1654">
        <v>32594</v>
      </c>
      <c r="K3643" s="802"/>
      <c r="L3643" s="713">
        <v>32787</v>
      </c>
      <c r="M3643" s="706"/>
      <c r="N3643" s="7"/>
      <c r="O3643" s="7"/>
      <c r="P3643" s="7"/>
      <c r="Q3643" s="7"/>
      <c r="R3643" s="7"/>
      <c r="S3643" s="7"/>
      <c r="T3643" s="7"/>
      <c r="U3643" s="7"/>
      <c r="V3643" s="7"/>
      <c r="W3643" s="7"/>
      <c r="X3643" s="7"/>
      <c r="Y3643" s="7"/>
      <c r="Z3643" s="7"/>
      <c r="AA3643" s="7"/>
      <c r="AB3643" s="7"/>
      <c r="AC3643" s="7"/>
      <c r="AD3643" s="7"/>
      <c r="AE3643" s="7"/>
      <c r="AF3643" s="7"/>
    </row>
    <row r="3644" spans="1:32" ht="30.6">
      <c r="A3644" s="663"/>
      <c r="B3644" s="3130" t="s">
        <v>338</v>
      </c>
      <c r="C3644" s="663" t="s">
        <v>336</v>
      </c>
      <c r="D3644" s="678" t="s">
        <v>1979</v>
      </c>
      <c r="E3644" s="700" t="s">
        <v>3317</v>
      </c>
      <c r="F3644" s="795">
        <v>1119</v>
      </c>
      <c r="G3644" s="2605" t="s">
        <v>4881</v>
      </c>
      <c r="H3644" s="701"/>
      <c r="I3644" s="701">
        <v>16182.5</v>
      </c>
      <c r="J3644" s="1654" t="s">
        <v>1134</v>
      </c>
      <c r="K3644" s="792"/>
      <c r="L3644" s="714"/>
      <c r="M3644" s="2615">
        <v>32787</v>
      </c>
      <c r="N3644" s="7" t="s">
        <v>3531</v>
      </c>
      <c r="O3644" s="3"/>
      <c r="P3644" s="3"/>
      <c r="Q3644" s="3"/>
      <c r="R3644" s="3"/>
      <c r="S3644" s="3"/>
      <c r="T3644" s="3"/>
      <c r="U3644" s="3"/>
      <c r="V3644" s="3"/>
      <c r="W3644" s="3"/>
      <c r="X3644" s="3"/>
      <c r="Y3644" s="3"/>
      <c r="Z3644" s="3"/>
      <c r="AA3644" s="3"/>
      <c r="AB3644" s="3"/>
      <c r="AC3644" s="3"/>
      <c r="AD3644" s="3"/>
      <c r="AE3644" s="3"/>
      <c r="AF3644" s="3"/>
    </row>
    <row r="3645" spans="1:32" ht="20.399999999999999">
      <c r="A3645" s="1263"/>
      <c r="B3645" s="3157" t="s">
        <v>338</v>
      </c>
      <c r="C3645" s="1263" t="s">
        <v>336</v>
      </c>
      <c r="D3645" s="1397" t="s">
        <v>1979</v>
      </c>
      <c r="E3645" s="1327" t="s">
        <v>3317</v>
      </c>
      <c r="F3645" s="2278">
        <v>1119</v>
      </c>
      <c r="G3645" s="1330" t="s">
        <v>2955</v>
      </c>
      <c r="H3645" s="1265"/>
      <c r="I3645" s="1265">
        <v>12137</v>
      </c>
      <c r="J3645" s="1654" t="s">
        <v>1134</v>
      </c>
      <c r="K3645" s="1329"/>
      <c r="L3645" s="1381"/>
      <c r="M3645" s="1265"/>
      <c r="N3645" s="125"/>
      <c r="O3645" s="7"/>
      <c r="P3645" s="7"/>
      <c r="Q3645" s="7"/>
      <c r="R3645" s="7"/>
      <c r="S3645" s="7"/>
      <c r="T3645" s="7"/>
      <c r="U3645" s="7"/>
      <c r="V3645" s="7"/>
      <c r="W3645" s="7"/>
      <c r="X3645" s="7"/>
      <c r="Y3645" s="7"/>
      <c r="Z3645" s="7"/>
      <c r="AA3645" s="7"/>
      <c r="AB3645" s="7"/>
      <c r="AC3645" s="7"/>
      <c r="AD3645" s="7"/>
      <c r="AE3645" s="7"/>
      <c r="AF3645" s="7"/>
    </row>
    <row r="3646" spans="1:32" ht="20.399999999999999">
      <c r="A3646" s="683"/>
      <c r="B3646" s="3129" t="s">
        <v>326</v>
      </c>
      <c r="C3646" s="683" t="s">
        <v>336</v>
      </c>
      <c r="D3646" s="719" t="s">
        <v>1979</v>
      </c>
      <c r="E3646" s="720" t="s">
        <v>3317</v>
      </c>
      <c r="F3646" s="824">
        <v>1119</v>
      </c>
      <c r="G3646" s="800" t="s">
        <v>109</v>
      </c>
      <c r="H3646" s="706">
        <v>28319.5</v>
      </c>
      <c r="I3646" s="706"/>
      <c r="J3646" s="1654"/>
      <c r="K3646" s="802"/>
      <c r="L3646" s="713">
        <v>32787</v>
      </c>
      <c r="M3646" s="706"/>
      <c r="N3646" s="359" t="s">
        <v>2275</v>
      </c>
      <c r="O3646" s="3"/>
      <c r="P3646" s="3"/>
      <c r="Q3646" s="3"/>
      <c r="R3646" s="3"/>
      <c r="S3646" s="3"/>
      <c r="T3646" s="3"/>
      <c r="U3646" s="3"/>
      <c r="V3646" s="3"/>
      <c r="W3646" s="3"/>
      <c r="X3646" s="3"/>
      <c r="Y3646" s="3"/>
      <c r="Z3646" s="3"/>
      <c r="AA3646" s="3"/>
      <c r="AB3646" s="3"/>
      <c r="AC3646" s="3"/>
      <c r="AD3646" s="3"/>
      <c r="AE3646" s="3"/>
      <c r="AF3646" s="3"/>
    </row>
    <row r="3647" spans="1:32" ht="30.6">
      <c r="A3647" s="663"/>
      <c r="B3647" s="3130" t="s">
        <v>326</v>
      </c>
      <c r="C3647" s="663" t="s">
        <v>336</v>
      </c>
      <c r="D3647" s="678" t="s">
        <v>1979</v>
      </c>
      <c r="E3647" s="700" t="s">
        <v>3317</v>
      </c>
      <c r="F3647" s="795">
        <v>1119</v>
      </c>
      <c r="G3647" s="2605" t="s">
        <v>4881</v>
      </c>
      <c r="H3647" s="701"/>
      <c r="I3647" s="701">
        <v>16182.5</v>
      </c>
      <c r="J3647" s="1654" t="s">
        <v>1134</v>
      </c>
      <c r="K3647" s="792"/>
      <c r="L3647" s="714"/>
      <c r="M3647" s="2615">
        <v>32787</v>
      </c>
      <c r="N3647" s="176"/>
      <c r="O3647" s="3"/>
      <c r="P3647" s="3"/>
      <c r="Q3647" s="3"/>
      <c r="R3647" s="3"/>
      <c r="S3647" s="3"/>
      <c r="T3647" s="3"/>
      <c r="U3647" s="3"/>
      <c r="V3647" s="3"/>
      <c r="W3647" s="3"/>
      <c r="X3647" s="3"/>
      <c r="Y3647" s="3"/>
      <c r="Z3647" s="3"/>
      <c r="AA3647" s="3"/>
      <c r="AB3647" s="3"/>
      <c r="AC3647" s="3"/>
      <c r="AD3647" s="3"/>
      <c r="AE3647" s="3"/>
      <c r="AF3647" s="3"/>
    </row>
    <row r="3648" spans="1:32" ht="20.399999999999999">
      <c r="A3648" s="1263"/>
      <c r="B3648" s="3157" t="s">
        <v>326</v>
      </c>
      <c r="C3648" s="1263" t="s">
        <v>336</v>
      </c>
      <c r="D3648" s="1397" t="s">
        <v>1979</v>
      </c>
      <c r="E3648" s="1327" t="s">
        <v>3317</v>
      </c>
      <c r="F3648" s="2278">
        <v>1119</v>
      </c>
      <c r="G3648" s="1330" t="s">
        <v>2955</v>
      </c>
      <c r="H3648" s="1265"/>
      <c r="I3648" s="1265">
        <v>12137</v>
      </c>
      <c r="J3648" s="1654" t="s">
        <v>1134</v>
      </c>
      <c r="K3648" s="1329"/>
      <c r="L3648" s="1381"/>
      <c r="M3648" s="1265"/>
      <c r="N3648" s="125"/>
    </row>
    <row r="3649" spans="1:32">
      <c r="A3649" s="683"/>
      <c r="B3649" s="3129" t="s">
        <v>338</v>
      </c>
      <c r="C3649" s="683" t="s">
        <v>336</v>
      </c>
      <c r="D3649" s="719" t="s">
        <v>1979</v>
      </c>
      <c r="E3649" s="720" t="s">
        <v>3317</v>
      </c>
      <c r="F3649" s="824">
        <v>1210</v>
      </c>
      <c r="G3649" s="800" t="s">
        <v>113</v>
      </c>
      <c r="H3649" s="706">
        <v>6680.5</v>
      </c>
      <c r="I3649" s="706"/>
      <c r="J3649" s="1654">
        <v>7016</v>
      </c>
      <c r="K3649" s="802"/>
      <c r="L3649" s="713">
        <v>7734.4533000000001</v>
      </c>
      <c r="M3649" s="706"/>
      <c r="N3649" s="125"/>
    </row>
    <row r="3650" spans="1:32" ht="30.6">
      <c r="A3650" s="663"/>
      <c r="B3650" s="3130" t="s">
        <v>338</v>
      </c>
      <c r="C3650" s="663" t="s">
        <v>336</v>
      </c>
      <c r="D3650" s="678" t="s">
        <v>1979</v>
      </c>
      <c r="E3650" s="700" t="s">
        <v>3317</v>
      </c>
      <c r="F3650" s="795">
        <v>1210</v>
      </c>
      <c r="G3650" s="2605" t="s">
        <v>4882</v>
      </c>
      <c r="H3650" s="701"/>
      <c r="I3650" s="701">
        <v>3817.5</v>
      </c>
      <c r="J3650" s="1654" t="s">
        <v>1134</v>
      </c>
      <c r="K3650" s="792"/>
      <c r="L3650" s="714"/>
      <c r="M3650" s="701">
        <v>7734.4533000000001</v>
      </c>
      <c r="N3650" s="125"/>
    </row>
    <row r="3651" spans="1:32" ht="20.399999999999999">
      <c r="A3651" s="663"/>
      <c r="B3651" s="3130" t="s">
        <v>338</v>
      </c>
      <c r="C3651" s="663" t="s">
        <v>336</v>
      </c>
      <c r="D3651" s="678" t="s">
        <v>1979</v>
      </c>
      <c r="E3651" s="700" t="s">
        <v>3317</v>
      </c>
      <c r="F3651" s="795">
        <v>1210</v>
      </c>
      <c r="G3651" s="2605" t="s">
        <v>2955</v>
      </c>
      <c r="H3651" s="701"/>
      <c r="I3651" s="701">
        <v>2863</v>
      </c>
      <c r="J3651" s="1654" t="s">
        <v>1134</v>
      </c>
      <c r="K3651" s="792"/>
      <c r="L3651" s="714"/>
      <c r="M3651" s="701"/>
      <c r="N3651" s="125"/>
      <c r="O3651" s="7"/>
      <c r="P3651" s="7"/>
      <c r="Q3651" s="7"/>
      <c r="R3651" s="7"/>
      <c r="S3651" s="7"/>
      <c r="T3651" s="7"/>
      <c r="U3651" s="7"/>
      <c r="V3651" s="7"/>
      <c r="W3651" s="7"/>
      <c r="X3651" s="7"/>
      <c r="Y3651" s="7"/>
      <c r="Z3651" s="7"/>
      <c r="AA3651" s="7"/>
      <c r="AB3651" s="7"/>
      <c r="AC3651" s="7"/>
      <c r="AD3651" s="7"/>
      <c r="AE3651" s="7"/>
      <c r="AF3651" s="7"/>
    </row>
    <row r="3652" spans="1:32">
      <c r="A3652" s="683"/>
      <c r="B3652" s="3129" t="s">
        <v>326</v>
      </c>
      <c r="C3652" s="683" t="s">
        <v>336</v>
      </c>
      <c r="D3652" s="719" t="s">
        <v>1979</v>
      </c>
      <c r="E3652" s="720" t="s">
        <v>3317</v>
      </c>
      <c r="F3652" s="824">
        <v>1210</v>
      </c>
      <c r="G3652" s="800" t="s">
        <v>113</v>
      </c>
      <c r="H3652" s="706">
        <v>6680.5</v>
      </c>
      <c r="I3652" s="706"/>
      <c r="J3652" s="1654">
        <v>7016</v>
      </c>
      <c r="K3652" s="802"/>
      <c r="L3652" s="713">
        <v>7734.4533000000001</v>
      </c>
      <c r="M3652" s="706"/>
      <c r="N3652" s="125" t="s">
        <v>2687</v>
      </c>
      <c r="O3652" s="3"/>
      <c r="P3652" s="3"/>
      <c r="Q3652" s="3"/>
      <c r="R3652" s="3"/>
      <c r="S3652" s="3"/>
      <c r="T3652" s="3"/>
      <c r="U3652" s="3"/>
      <c r="V3652" s="3"/>
      <c r="W3652" s="3"/>
      <c r="X3652" s="3"/>
      <c r="Y3652" s="3"/>
      <c r="Z3652" s="3"/>
      <c r="AA3652" s="3"/>
      <c r="AB3652" s="3"/>
      <c r="AC3652" s="3"/>
      <c r="AD3652" s="3"/>
      <c r="AE3652" s="3"/>
      <c r="AF3652" s="3"/>
    </row>
    <row r="3653" spans="1:32" ht="30.6">
      <c r="A3653" s="663"/>
      <c r="B3653" s="3130" t="s">
        <v>326</v>
      </c>
      <c r="C3653" s="663" t="s">
        <v>336</v>
      </c>
      <c r="D3653" s="678" t="s">
        <v>1979</v>
      </c>
      <c r="E3653" s="700" t="s">
        <v>3317</v>
      </c>
      <c r="F3653" s="795">
        <v>1210</v>
      </c>
      <c r="G3653" s="2605" t="s">
        <v>4882</v>
      </c>
      <c r="H3653" s="701"/>
      <c r="I3653" s="701">
        <v>3817.5</v>
      </c>
      <c r="J3653" s="1654" t="s">
        <v>1134</v>
      </c>
      <c r="K3653" s="792"/>
      <c r="L3653" s="714"/>
      <c r="M3653" s="701">
        <v>7734.4533000000001</v>
      </c>
      <c r="N3653" s="1722" t="s">
        <v>3533</v>
      </c>
      <c r="O3653" s="3"/>
      <c r="P3653" s="3"/>
      <c r="Q3653" s="3"/>
      <c r="R3653" s="3"/>
      <c r="S3653" s="3"/>
      <c r="T3653" s="3"/>
      <c r="U3653" s="3"/>
      <c r="V3653" s="3"/>
      <c r="W3653" s="3"/>
      <c r="X3653" s="3"/>
      <c r="Y3653" s="3"/>
      <c r="Z3653" s="3"/>
      <c r="AA3653" s="3"/>
      <c r="AB3653" s="3"/>
      <c r="AC3653" s="3"/>
      <c r="AD3653" s="3"/>
      <c r="AE3653" s="3"/>
      <c r="AF3653" s="3"/>
    </row>
    <row r="3654" spans="1:32" ht="30.6">
      <c r="A3654" s="663"/>
      <c r="B3654" s="3130" t="s">
        <v>326</v>
      </c>
      <c r="C3654" s="663" t="s">
        <v>336</v>
      </c>
      <c r="D3654" s="678" t="s">
        <v>1979</v>
      </c>
      <c r="E3654" s="700" t="s">
        <v>3317</v>
      </c>
      <c r="F3654" s="795">
        <v>1210</v>
      </c>
      <c r="G3654" s="2605" t="s">
        <v>2955</v>
      </c>
      <c r="H3654" s="701"/>
      <c r="I3654" s="701">
        <v>2863</v>
      </c>
      <c r="J3654" s="1654" t="s">
        <v>1134</v>
      </c>
      <c r="K3654" s="792"/>
      <c r="L3654" s="714"/>
      <c r="M3654" s="701"/>
      <c r="N3654" s="1721" t="s">
        <v>3529</v>
      </c>
      <c r="O3654" s="3"/>
      <c r="P3654" s="3"/>
      <c r="Q3654" s="3"/>
      <c r="R3654" s="3"/>
      <c r="S3654" s="3"/>
      <c r="T3654" s="3"/>
      <c r="U3654" s="3"/>
      <c r="V3654" s="3"/>
      <c r="W3654" s="3"/>
      <c r="X3654" s="3"/>
      <c r="Y3654" s="3"/>
      <c r="Z3654" s="3"/>
      <c r="AA3654" s="3"/>
      <c r="AB3654" s="3"/>
      <c r="AC3654" s="3"/>
      <c r="AD3654" s="3"/>
      <c r="AE3654" s="3"/>
      <c r="AF3654" s="3"/>
    </row>
    <row r="3655" spans="1:32">
      <c r="A3655" s="683"/>
      <c r="B3655" s="3129" t="s">
        <v>338</v>
      </c>
      <c r="C3655" s="683" t="s">
        <v>336</v>
      </c>
      <c r="D3655" s="719" t="s">
        <v>1979</v>
      </c>
      <c r="E3655" s="720" t="s">
        <v>3317</v>
      </c>
      <c r="F3655" s="824">
        <v>6411</v>
      </c>
      <c r="G3655" s="2697" t="s">
        <v>502</v>
      </c>
      <c r="H3655" s="706">
        <v>7600</v>
      </c>
      <c r="I3655" s="706"/>
      <c r="J3655" s="1654">
        <v>9381</v>
      </c>
      <c r="K3655" s="802"/>
      <c r="L3655" s="713">
        <v>10850</v>
      </c>
      <c r="M3655" s="706"/>
      <c r="N3655" s="125"/>
      <c r="O3655" s="3"/>
      <c r="P3655" s="3"/>
      <c r="Q3655" s="3"/>
      <c r="R3655" s="3"/>
      <c r="S3655" s="3"/>
      <c r="T3655" s="3"/>
      <c r="U3655" s="3"/>
      <c r="V3655" s="3"/>
      <c r="W3655" s="3"/>
      <c r="X3655" s="3"/>
      <c r="Y3655" s="3"/>
      <c r="Z3655" s="3"/>
      <c r="AA3655" s="3"/>
      <c r="AB3655" s="3"/>
      <c r="AC3655" s="3"/>
      <c r="AD3655" s="3"/>
      <c r="AE3655" s="3"/>
      <c r="AF3655" s="3"/>
    </row>
    <row r="3656" spans="1:32" ht="20.399999999999999">
      <c r="A3656" s="1263"/>
      <c r="B3656" s="3130" t="s">
        <v>338</v>
      </c>
      <c r="C3656" s="663" t="s">
        <v>336</v>
      </c>
      <c r="D3656" s="678" t="s">
        <v>1979</v>
      </c>
      <c r="E3656" s="700" t="s">
        <v>3317</v>
      </c>
      <c r="F3656" s="795">
        <v>6411</v>
      </c>
      <c r="G3656" s="2605" t="s">
        <v>4883</v>
      </c>
      <c r="H3656" s="1265"/>
      <c r="I3656" s="1265">
        <v>7600</v>
      </c>
      <c r="J3656" s="1654" t="s">
        <v>1134</v>
      </c>
      <c r="K3656" s="1329"/>
      <c r="L3656" s="1381"/>
      <c r="M3656" s="2188">
        <v>10850</v>
      </c>
      <c r="N3656" s="125"/>
      <c r="O3656" s="3"/>
      <c r="P3656" s="3"/>
      <c r="Q3656" s="3"/>
      <c r="R3656" s="3"/>
      <c r="S3656" s="3"/>
      <c r="T3656" s="3"/>
      <c r="U3656" s="3"/>
      <c r="V3656" s="3"/>
      <c r="W3656" s="3"/>
      <c r="X3656" s="3"/>
      <c r="Y3656" s="3"/>
      <c r="Z3656" s="3"/>
      <c r="AA3656" s="3"/>
      <c r="AB3656" s="3"/>
      <c r="AC3656" s="3"/>
      <c r="AD3656" s="3"/>
      <c r="AE3656" s="3"/>
      <c r="AF3656" s="3"/>
    </row>
    <row r="3657" spans="1:32">
      <c r="A3657" s="683"/>
      <c r="B3657" s="3129" t="s">
        <v>326</v>
      </c>
      <c r="C3657" s="683" t="s">
        <v>336</v>
      </c>
      <c r="D3657" s="719" t="s">
        <v>1979</v>
      </c>
      <c r="E3657" s="720" t="s">
        <v>3317</v>
      </c>
      <c r="F3657" s="824">
        <v>6411</v>
      </c>
      <c r="G3657" s="2697" t="s">
        <v>502</v>
      </c>
      <c r="H3657" s="706">
        <v>7600</v>
      </c>
      <c r="I3657" s="706"/>
      <c r="J3657" s="1654">
        <v>9381</v>
      </c>
      <c r="K3657" s="802"/>
      <c r="L3657" s="713">
        <v>10850</v>
      </c>
      <c r="M3657" s="706"/>
      <c r="N3657" s="125"/>
      <c r="O3657" s="7"/>
      <c r="P3657" s="7"/>
      <c r="Q3657" s="7"/>
      <c r="R3657" s="3"/>
      <c r="S3657" s="3"/>
      <c r="T3657" s="3"/>
      <c r="U3657" s="3"/>
      <c r="V3657" s="3"/>
      <c r="W3657" s="3"/>
      <c r="X3657" s="3"/>
      <c r="Y3657" s="3"/>
      <c r="Z3657" s="3"/>
      <c r="AA3657" s="3"/>
      <c r="AB3657" s="3"/>
      <c r="AC3657" s="3"/>
      <c r="AD3657" s="3"/>
      <c r="AE3657" s="3"/>
      <c r="AF3657" s="3"/>
    </row>
    <row r="3658" spans="1:32" ht="20.399999999999999">
      <c r="A3658" s="1263"/>
      <c r="B3658" s="3130" t="s">
        <v>326</v>
      </c>
      <c r="C3658" s="663" t="s">
        <v>336</v>
      </c>
      <c r="D3658" s="678" t="s">
        <v>1979</v>
      </c>
      <c r="E3658" s="700" t="s">
        <v>3317</v>
      </c>
      <c r="F3658" s="795">
        <v>6411</v>
      </c>
      <c r="G3658" s="2605" t="s">
        <v>4883</v>
      </c>
      <c r="H3658" s="1265"/>
      <c r="I3658" s="1265">
        <v>7600</v>
      </c>
      <c r="J3658" s="1654" t="s">
        <v>1134</v>
      </c>
      <c r="K3658" s="1329"/>
      <c r="L3658" s="1381"/>
      <c r="M3658" s="2188">
        <v>10850</v>
      </c>
      <c r="N3658" s="125"/>
      <c r="O3658" s="3"/>
      <c r="P3658" s="3"/>
      <c r="Q3658" s="3"/>
      <c r="R3658" s="3"/>
      <c r="S3658" s="3"/>
      <c r="T3658" s="3"/>
      <c r="U3658" s="3"/>
      <c r="V3658" s="3"/>
      <c r="W3658" s="3"/>
      <c r="X3658" s="3"/>
      <c r="Y3658" s="3"/>
      <c r="Z3658" s="3"/>
      <c r="AA3658" s="3"/>
      <c r="AB3658" s="3"/>
      <c r="AC3658" s="3"/>
      <c r="AD3658" s="3"/>
      <c r="AE3658" s="3"/>
      <c r="AF3658" s="3"/>
    </row>
    <row r="3659" spans="1:32" ht="51">
      <c r="A3659" s="683"/>
      <c r="B3659" s="3129" t="s">
        <v>338</v>
      </c>
      <c r="C3659" s="683" t="s">
        <v>336</v>
      </c>
      <c r="D3659" s="719" t="s">
        <v>1979</v>
      </c>
      <c r="E3659" s="720" t="s">
        <v>2957</v>
      </c>
      <c r="F3659" s="824">
        <v>1150</v>
      </c>
      <c r="G3659" s="800" t="s">
        <v>1041</v>
      </c>
      <c r="H3659" s="706">
        <v>1335</v>
      </c>
      <c r="I3659" s="706"/>
      <c r="J3659" s="1654">
        <v>683.26</v>
      </c>
      <c r="K3659" s="802"/>
      <c r="L3659" s="713">
        <v>2830</v>
      </c>
      <c r="M3659" s="706"/>
      <c r="N3659" s="125"/>
      <c r="O3659" s="7"/>
      <c r="P3659" s="7"/>
      <c r="Q3659" s="7"/>
      <c r="R3659" s="3"/>
      <c r="S3659" s="3"/>
      <c r="T3659" s="3"/>
      <c r="U3659" s="3"/>
      <c r="V3659" s="3"/>
      <c r="W3659" s="3"/>
      <c r="X3659" s="3"/>
      <c r="Y3659" s="3"/>
      <c r="Z3659" s="3"/>
      <c r="AA3659" s="3"/>
      <c r="AB3659" s="3"/>
      <c r="AC3659" s="3"/>
      <c r="AD3659" s="3"/>
      <c r="AE3659" s="3"/>
      <c r="AF3659" s="3"/>
    </row>
    <row r="3660" spans="1:32" ht="20.399999999999999">
      <c r="A3660" s="663"/>
      <c r="B3660" s="3130" t="s">
        <v>338</v>
      </c>
      <c r="C3660" s="663" t="s">
        <v>336</v>
      </c>
      <c r="D3660" s="678" t="s">
        <v>1979</v>
      </c>
      <c r="E3660" s="700" t="s">
        <v>2957</v>
      </c>
      <c r="F3660" s="795">
        <v>1150</v>
      </c>
      <c r="G3660" s="2605" t="s">
        <v>4968</v>
      </c>
      <c r="H3660" s="701"/>
      <c r="I3660" s="701">
        <v>1335</v>
      </c>
      <c r="J3660" s="1654" t="s">
        <v>1134</v>
      </c>
      <c r="K3660" s="792"/>
      <c r="L3660" s="714"/>
      <c r="M3660" s="2615">
        <v>2830</v>
      </c>
      <c r="N3660" s="2048" t="s">
        <v>2707</v>
      </c>
      <c r="O3660" s="3"/>
      <c r="P3660" s="3"/>
      <c r="Q3660" s="3"/>
      <c r="R3660" s="3"/>
      <c r="S3660" s="3"/>
      <c r="T3660" s="3"/>
      <c r="U3660" s="3"/>
      <c r="V3660" s="3"/>
      <c r="W3660" s="3"/>
      <c r="X3660" s="3"/>
      <c r="Y3660" s="3"/>
      <c r="Z3660" s="3"/>
      <c r="AA3660" s="3"/>
      <c r="AB3660" s="3"/>
      <c r="AC3660" s="3"/>
      <c r="AD3660" s="3"/>
      <c r="AE3660" s="3"/>
      <c r="AF3660" s="3"/>
    </row>
    <row r="3661" spans="1:32">
      <c r="A3661" s="683"/>
      <c r="B3661" s="3129" t="s">
        <v>338</v>
      </c>
      <c r="C3661" s="683" t="s">
        <v>336</v>
      </c>
      <c r="D3661" s="719" t="s">
        <v>1979</v>
      </c>
      <c r="E3661" s="720" t="s">
        <v>2957</v>
      </c>
      <c r="F3661" s="824">
        <v>1210</v>
      </c>
      <c r="G3661" s="2697" t="s">
        <v>113</v>
      </c>
      <c r="H3661" s="706">
        <v>315</v>
      </c>
      <c r="I3661" s="706"/>
      <c r="J3661" s="1654">
        <v>141.91999999999999</v>
      </c>
      <c r="K3661" s="802"/>
      <c r="L3661" s="713">
        <v>667.59699999999998</v>
      </c>
      <c r="M3661" s="2693"/>
      <c r="N3661" s="125"/>
      <c r="O3661" s="3"/>
      <c r="P3661" s="3"/>
      <c r="Q3661" s="3"/>
      <c r="R3661" s="3"/>
      <c r="S3661" s="3"/>
      <c r="T3661" s="3"/>
      <c r="U3661" s="3"/>
      <c r="V3661" s="3"/>
      <c r="W3661" s="3"/>
      <c r="X3661" s="3"/>
      <c r="Y3661" s="3"/>
      <c r="Z3661" s="3"/>
      <c r="AA3661" s="3"/>
      <c r="AB3661" s="3"/>
      <c r="AC3661" s="3"/>
      <c r="AD3661" s="3"/>
      <c r="AE3661" s="3"/>
      <c r="AF3661" s="3"/>
    </row>
    <row r="3662" spans="1:32" ht="40.799999999999997">
      <c r="A3662" s="663"/>
      <c r="B3662" s="3130" t="s">
        <v>338</v>
      </c>
      <c r="C3662" s="663" t="s">
        <v>336</v>
      </c>
      <c r="D3662" s="678" t="s">
        <v>1979</v>
      </c>
      <c r="E3662" s="700" t="s">
        <v>2957</v>
      </c>
      <c r="F3662" s="795">
        <v>1210</v>
      </c>
      <c r="G3662" s="2605" t="s">
        <v>4969</v>
      </c>
      <c r="H3662" s="701"/>
      <c r="I3662" s="701">
        <v>315</v>
      </c>
      <c r="J3662" s="1654" t="s">
        <v>1134</v>
      </c>
      <c r="K3662" s="792"/>
      <c r="L3662" s="714"/>
      <c r="M3662" s="2615">
        <v>667.59699999999998</v>
      </c>
      <c r="N3662" s="7"/>
      <c r="O3662" s="7"/>
      <c r="P3662" s="7"/>
      <c r="Q3662" s="7"/>
      <c r="R3662" s="7"/>
      <c r="S3662" s="7"/>
      <c r="T3662" s="7"/>
      <c r="U3662" s="7"/>
      <c r="V3662" s="7"/>
      <c r="W3662" s="7"/>
      <c r="X3662" s="7"/>
      <c r="Y3662" s="7"/>
      <c r="Z3662" s="7"/>
      <c r="AA3662" s="7"/>
      <c r="AB3662" s="7"/>
      <c r="AC3662" s="7"/>
      <c r="AD3662" s="7"/>
      <c r="AE3662" s="7"/>
      <c r="AF3662" s="7"/>
    </row>
    <row r="3663" spans="1:32" ht="20.399999999999999">
      <c r="A3663" s="683"/>
      <c r="B3663" s="3129" t="s">
        <v>338</v>
      </c>
      <c r="C3663" s="683" t="s">
        <v>336</v>
      </c>
      <c r="D3663" s="719" t="s">
        <v>1979</v>
      </c>
      <c r="E3663" s="720" t="s">
        <v>2957</v>
      </c>
      <c r="F3663" s="824">
        <v>6324</v>
      </c>
      <c r="G3663" s="2697" t="s">
        <v>1890</v>
      </c>
      <c r="H3663" s="706">
        <v>360</v>
      </c>
      <c r="I3663" s="706"/>
      <c r="J3663" s="1654">
        <v>0</v>
      </c>
      <c r="K3663" s="802"/>
      <c r="L3663" s="713">
        <v>720</v>
      </c>
      <c r="M3663" s="2693"/>
      <c r="N3663" s="7" t="s">
        <v>2277</v>
      </c>
      <c r="O3663" s="7"/>
      <c r="P3663" s="7"/>
      <c r="Q3663" s="7"/>
      <c r="R3663" s="3"/>
      <c r="S3663" s="3"/>
      <c r="T3663" s="3"/>
      <c r="U3663" s="3"/>
      <c r="V3663" s="3"/>
      <c r="W3663" s="3"/>
      <c r="X3663" s="3"/>
      <c r="Y3663" s="3"/>
      <c r="Z3663" s="3"/>
      <c r="AA3663" s="3"/>
      <c r="AB3663" s="3"/>
      <c r="AC3663" s="3"/>
      <c r="AD3663" s="3"/>
      <c r="AE3663" s="3"/>
      <c r="AF3663" s="3"/>
    </row>
    <row r="3664" spans="1:32" ht="40.799999999999997">
      <c r="A3664" s="1263"/>
      <c r="B3664" s="3130" t="s">
        <v>338</v>
      </c>
      <c r="C3664" s="663" t="s">
        <v>336</v>
      </c>
      <c r="D3664" s="678" t="s">
        <v>1979</v>
      </c>
      <c r="E3664" s="700" t="s">
        <v>2957</v>
      </c>
      <c r="F3664" s="795">
        <v>6324</v>
      </c>
      <c r="G3664" s="2605" t="s">
        <v>4970</v>
      </c>
      <c r="H3664" s="1265"/>
      <c r="I3664" s="1265">
        <v>360</v>
      </c>
      <c r="J3664" s="1654" t="s">
        <v>1134</v>
      </c>
      <c r="K3664" s="1329"/>
      <c r="L3664" s="1381"/>
      <c r="M3664" s="2615">
        <v>720</v>
      </c>
      <c r="N3664" s="125"/>
      <c r="O3664" s="7"/>
      <c r="P3664" s="7"/>
      <c r="Q3664" s="7"/>
      <c r="R3664" s="3"/>
      <c r="S3664" s="3"/>
      <c r="T3664" s="3"/>
      <c r="U3664" s="3"/>
      <c r="V3664" s="3"/>
      <c r="W3664" s="3"/>
      <c r="X3664" s="3"/>
      <c r="Y3664" s="3"/>
      <c r="Z3664" s="3"/>
      <c r="AA3664" s="3"/>
      <c r="AB3664" s="3"/>
      <c r="AC3664" s="3"/>
      <c r="AD3664" s="3"/>
      <c r="AE3664" s="3"/>
      <c r="AF3664" s="3"/>
    </row>
    <row r="3665" spans="1:32" ht="20.399999999999999">
      <c r="A3665" s="683"/>
      <c r="B3665" s="3129" t="s">
        <v>338</v>
      </c>
      <c r="C3665" s="683" t="s">
        <v>336</v>
      </c>
      <c r="D3665" s="719" t="s">
        <v>1979</v>
      </c>
      <c r="E3665" s="720" t="s">
        <v>2957</v>
      </c>
      <c r="F3665" s="824">
        <v>6255</v>
      </c>
      <c r="G3665" s="2697" t="s">
        <v>1324</v>
      </c>
      <c r="H3665" s="706">
        <v>1140</v>
      </c>
      <c r="I3665" s="706"/>
      <c r="J3665" s="1654">
        <v>0</v>
      </c>
      <c r="K3665" s="802"/>
      <c r="L3665" s="713">
        <v>2400</v>
      </c>
      <c r="M3665" s="2693"/>
      <c r="N3665" s="125" t="s">
        <v>3536</v>
      </c>
      <c r="O3665" s="7"/>
      <c r="P3665" s="7"/>
      <c r="Q3665" s="7"/>
      <c r="R3665" s="3"/>
      <c r="S3665" s="3"/>
      <c r="T3665" s="3"/>
      <c r="U3665" s="3"/>
      <c r="V3665" s="3"/>
      <c r="W3665" s="3"/>
      <c r="X3665" s="3"/>
      <c r="Y3665" s="3"/>
      <c r="Z3665" s="3"/>
      <c r="AA3665" s="3"/>
      <c r="AB3665" s="3"/>
      <c r="AC3665" s="3"/>
      <c r="AD3665" s="3"/>
      <c r="AE3665" s="3"/>
      <c r="AF3665" s="3"/>
    </row>
    <row r="3666" spans="1:32" ht="30.6">
      <c r="A3666" s="1263"/>
      <c r="B3666" s="3130" t="s">
        <v>338</v>
      </c>
      <c r="C3666" s="663" t="s">
        <v>336</v>
      </c>
      <c r="D3666" s="678" t="s">
        <v>1979</v>
      </c>
      <c r="E3666" s="700" t="s">
        <v>2957</v>
      </c>
      <c r="F3666" s="795">
        <v>6255</v>
      </c>
      <c r="G3666" s="2605" t="s">
        <v>4971</v>
      </c>
      <c r="H3666" s="1265"/>
      <c r="I3666" s="1265">
        <v>1140</v>
      </c>
      <c r="J3666" s="1654" t="s">
        <v>1134</v>
      </c>
      <c r="K3666" s="1329"/>
      <c r="L3666" s="1381"/>
      <c r="M3666" s="2615">
        <v>2400</v>
      </c>
      <c r="N3666" s="125"/>
      <c r="O3666" s="3"/>
      <c r="P3666" s="3"/>
      <c r="Q3666" s="3"/>
      <c r="R3666" s="3"/>
      <c r="S3666" s="3"/>
      <c r="T3666" s="3"/>
      <c r="U3666" s="3"/>
      <c r="V3666" s="3"/>
      <c r="W3666" s="3"/>
      <c r="X3666" s="3"/>
      <c r="Y3666" s="3"/>
      <c r="Z3666" s="3"/>
      <c r="AA3666" s="3"/>
      <c r="AB3666" s="3"/>
      <c r="AC3666" s="3"/>
      <c r="AD3666" s="3"/>
      <c r="AE3666" s="3"/>
    </row>
    <row r="3667" spans="1:32">
      <c r="A3667" s="683"/>
      <c r="B3667" s="3129" t="s">
        <v>365</v>
      </c>
      <c r="C3667" s="683" t="s">
        <v>336</v>
      </c>
      <c r="D3667" s="719" t="s">
        <v>1979</v>
      </c>
      <c r="E3667" s="720" t="s">
        <v>3318</v>
      </c>
      <c r="F3667" s="824">
        <v>1147</v>
      </c>
      <c r="G3667" s="800" t="s">
        <v>428</v>
      </c>
      <c r="H3667" s="706">
        <v>6500</v>
      </c>
      <c r="I3667" s="706"/>
      <c r="J3667" s="1654">
        <v>2722.62</v>
      </c>
      <c r="K3667" s="802"/>
      <c r="L3667" s="713">
        <v>6164</v>
      </c>
      <c r="M3667" s="706"/>
      <c r="N3667" s="1509" t="s">
        <v>3534</v>
      </c>
      <c r="O3667" s="7"/>
      <c r="P3667" s="7"/>
      <c r="Q3667" s="7"/>
      <c r="R3667" s="3"/>
      <c r="S3667" s="3"/>
      <c r="T3667" s="3"/>
      <c r="U3667" s="3"/>
      <c r="V3667" s="3"/>
      <c r="W3667" s="3"/>
      <c r="X3667" s="3"/>
      <c r="Y3667" s="3"/>
      <c r="Z3667" s="3"/>
      <c r="AA3667" s="3"/>
      <c r="AB3667" s="3"/>
      <c r="AC3667" s="3"/>
      <c r="AD3667" s="3"/>
      <c r="AE3667" s="3"/>
      <c r="AF3667" s="3"/>
    </row>
    <row r="3668" spans="1:32" ht="20.399999999999999">
      <c r="A3668" s="1263"/>
      <c r="B3668" s="3130" t="s">
        <v>365</v>
      </c>
      <c r="C3668" s="663" t="s">
        <v>336</v>
      </c>
      <c r="D3668" s="678" t="s">
        <v>1979</v>
      </c>
      <c r="E3668" s="700" t="s">
        <v>3318</v>
      </c>
      <c r="F3668" s="795">
        <v>1147</v>
      </c>
      <c r="G3668" s="2195" t="s">
        <v>5225</v>
      </c>
      <c r="H3668" s="1265"/>
      <c r="I3668" s="1265"/>
      <c r="J3668" s="1654" t="s">
        <v>1134</v>
      </c>
      <c r="K3668" s="1329"/>
      <c r="L3668" s="1381"/>
      <c r="M3668" s="1265">
        <v>3185</v>
      </c>
      <c r="N3668" s="125"/>
      <c r="O3668" s="187"/>
      <c r="P3668" s="187"/>
      <c r="Q3668" s="187"/>
      <c r="R3668" s="187"/>
      <c r="S3668" s="187"/>
      <c r="T3668" s="187"/>
      <c r="U3668" s="187"/>
      <c r="V3668" s="187"/>
      <c r="W3668" s="187"/>
      <c r="X3668" s="187"/>
      <c r="Y3668" s="187"/>
      <c r="Z3668" s="187"/>
      <c r="AA3668" s="187"/>
      <c r="AB3668" s="187"/>
      <c r="AC3668" s="187"/>
      <c r="AD3668" s="187"/>
      <c r="AE3668" s="187"/>
      <c r="AF3668" s="187"/>
    </row>
    <row r="3669" spans="1:32" ht="40.799999999999997">
      <c r="A3669" s="1263"/>
      <c r="B3669" s="3130" t="s">
        <v>365</v>
      </c>
      <c r="C3669" s="663" t="s">
        <v>336</v>
      </c>
      <c r="D3669" s="678" t="s">
        <v>1979</v>
      </c>
      <c r="E3669" s="700" t="s">
        <v>3318</v>
      </c>
      <c r="F3669" s="795">
        <v>1147</v>
      </c>
      <c r="G3669" s="2195" t="s">
        <v>4354</v>
      </c>
      <c r="H3669" s="1265"/>
      <c r="I3669" s="1265">
        <v>6500</v>
      </c>
      <c r="J3669" s="1654" t="s">
        <v>1134</v>
      </c>
      <c r="K3669" s="1329"/>
      <c r="L3669" s="1381"/>
      <c r="M3669" s="1265">
        <v>2979</v>
      </c>
      <c r="N3669" s="125"/>
      <c r="O3669" s="187"/>
      <c r="P3669" s="187"/>
      <c r="Q3669" s="187"/>
      <c r="R3669" s="187"/>
      <c r="S3669" s="187"/>
      <c r="T3669" s="187"/>
      <c r="U3669" s="187"/>
      <c r="V3669" s="187"/>
      <c r="W3669" s="187"/>
      <c r="X3669" s="187"/>
      <c r="Y3669" s="187"/>
      <c r="Z3669" s="187"/>
      <c r="AA3669" s="187"/>
      <c r="AB3669" s="187"/>
      <c r="AC3669" s="187"/>
      <c r="AD3669" s="187"/>
      <c r="AE3669" s="187"/>
      <c r="AF3669" s="187"/>
    </row>
    <row r="3670" spans="1:32" ht="20.399999999999999">
      <c r="A3670" s="683"/>
      <c r="B3670" s="3129" t="s">
        <v>365</v>
      </c>
      <c r="C3670" s="683" t="s">
        <v>336</v>
      </c>
      <c r="D3670" s="719" t="s">
        <v>1979</v>
      </c>
      <c r="E3670" s="720" t="s">
        <v>3318</v>
      </c>
      <c r="F3670" s="824">
        <v>1210</v>
      </c>
      <c r="G3670" s="800" t="s">
        <v>402</v>
      </c>
      <c r="H3670" s="706">
        <v>1000</v>
      </c>
      <c r="I3670" s="706"/>
      <c r="J3670" s="1654">
        <v>642</v>
      </c>
      <c r="K3670" s="802"/>
      <c r="L3670" s="713">
        <v>1455</v>
      </c>
      <c r="M3670" s="706"/>
      <c r="N3670" s="125"/>
      <c r="O3670" s="3"/>
      <c r="P3670" s="3"/>
      <c r="Q3670" s="3"/>
      <c r="R3670" s="3"/>
      <c r="S3670" s="3"/>
      <c r="T3670" s="3"/>
      <c r="U3670" s="3"/>
      <c r="V3670" s="3"/>
      <c r="W3670" s="3"/>
      <c r="X3670" s="3"/>
      <c r="Y3670" s="3"/>
      <c r="Z3670" s="3"/>
      <c r="AA3670" s="3"/>
      <c r="AB3670" s="3"/>
      <c r="AC3670" s="3"/>
      <c r="AD3670" s="3"/>
      <c r="AE3670" s="3"/>
      <c r="AF3670" s="3"/>
    </row>
    <row r="3671" spans="1:32" ht="20.399999999999999">
      <c r="A3671" s="1263"/>
      <c r="B3671" s="3130" t="s">
        <v>365</v>
      </c>
      <c r="C3671" s="663" t="s">
        <v>336</v>
      </c>
      <c r="D3671" s="678" t="s">
        <v>1979</v>
      </c>
      <c r="E3671" s="700" t="s">
        <v>3318</v>
      </c>
      <c r="F3671" s="795">
        <v>1210</v>
      </c>
      <c r="G3671" s="2195" t="s">
        <v>5225</v>
      </c>
      <c r="H3671" s="1265"/>
      <c r="I3671" s="1265"/>
      <c r="J3671" s="1654" t="s">
        <v>1134</v>
      </c>
      <c r="K3671" s="1329"/>
      <c r="L3671" s="1381"/>
      <c r="M3671" s="1265">
        <v>752</v>
      </c>
      <c r="N3671" s="125"/>
      <c r="O3671" s="3"/>
      <c r="P3671" s="3"/>
      <c r="Q3671" s="3"/>
      <c r="R3671" s="3"/>
      <c r="S3671" s="3"/>
      <c r="T3671" s="3"/>
      <c r="U3671" s="3"/>
      <c r="V3671" s="3"/>
      <c r="W3671" s="3"/>
      <c r="X3671" s="3"/>
      <c r="Y3671" s="3"/>
      <c r="Z3671" s="3"/>
      <c r="AA3671" s="3"/>
      <c r="AB3671" s="3"/>
      <c r="AC3671" s="3"/>
      <c r="AD3671" s="3"/>
      <c r="AE3671" s="3"/>
      <c r="AF3671" s="3"/>
    </row>
    <row r="3672" spans="1:32" ht="30.6">
      <c r="A3672" s="1263"/>
      <c r="B3672" s="3130" t="s">
        <v>365</v>
      </c>
      <c r="C3672" s="663" t="s">
        <v>336</v>
      </c>
      <c r="D3672" s="678" t="s">
        <v>1979</v>
      </c>
      <c r="E3672" s="700" t="s">
        <v>3318</v>
      </c>
      <c r="F3672" s="795">
        <v>1210</v>
      </c>
      <c r="G3672" s="2195" t="s">
        <v>3020</v>
      </c>
      <c r="H3672" s="1265"/>
      <c r="I3672" s="1265">
        <v>1000</v>
      </c>
      <c r="J3672" s="1654" t="s">
        <v>1134</v>
      </c>
      <c r="K3672" s="1329"/>
      <c r="L3672" s="1381"/>
      <c r="M3672" s="1265">
        <v>703</v>
      </c>
      <c r="N3672" s="125"/>
      <c r="O3672" s="7"/>
      <c r="P3672" s="7"/>
      <c r="Q3672" s="7"/>
      <c r="R3672" s="3"/>
      <c r="S3672" s="3"/>
      <c r="T3672" s="3"/>
      <c r="U3672" s="3"/>
      <c r="V3672" s="3"/>
      <c r="W3672" s="3"/>
      <c r="X3672" s="3"/>
      <c r="Y3672" s="3"/>
      <c r="Z3672" s="3"/>
      <c r="AA3672" s="3"/>
      <c r="AB3672" s="3"/>
      <c r="AC3672" s="3"/>
      <c r="AD3672" s="3"/>
      <c r="AE3672" s="3"/>
      <c r="AF3672" s="3"/>
    </row>
    <row r="3673" spans="1:32" ht="45" customHeight="1">
      <c r="A3673" s="683"/>
      <c r="B3673" s="3129" t="s">
        <v>436</v>
      </c>
      <c r="C3673" s="720" t="s">
        <v>427</v>
      </c>
      <c r="D3673" s="823" t="s">
        <v>1979</v>
      </c>
      <c r="E3673" s="720" t="s">
        <v>1969</v>
      </c>
      <c r="F3673" s="824">
        <v>1119</v>
      </c>
      <c r="G3673" s="800" t="s">
        <v>109</v>
      </c>
      <c r="H3673" s="706">
        <v>255744</v>
      </c>
      <c r="I3673" s="706"/>
      <c r="J3673" s="1654">
        <v>120447.92</v>
      </c>
      <c r="K3673" s="802"/>
      <c r="L3673" s="706">
        <v>255159.47999999998</v>
      </c>
      <c r="M3673" s="706"/>
      <c r="N3673" s="1722" t="s">
        <v>3524</v>
      </c>
      <c r="O3673" s="3"/>
      <c r="P3673" s="3"/>
      <c r="Q3673" s="3"/>
      <c r="R3673" s="3"/>
      <c r="S3673" s="3"/>
      <c r="T3673" s="3"/>
      <c r="U3673" s="3"/>
      <c r="V3673" s="3"/>
      <c r="W3673" s="3"/>
      <c r="X3673" s="3"/>
      <c r="Y3673" s="3"/>
      <c r="Z3673" s="3"/>
      <c r="AA3673" s="3"/>
      <c r="AB3673" s="3"/>
      <c r="AC3673" s="3"/>
      <c r="AD3673" s="3"/>
      <c r="AE3673" s="3"/>
      <c r="AF3673" s="3"/>
    </row>
    <row r="3674" spans="1:32">
      <c r="A3674" s="663"/>
      <c r="B3674" s="3130" t="s">
        <v>436</v>
      </c>
      <c r="C3674" s="700" t="s">
        <v>427</v>
      </c>
      <c r="D3674" s="794" t="s">
        <v>1979</v>
      </c>
      <c r="E3674" s="700" t="s">
        <v>1969</v>
      </c>
      <c r="F3674" s="795">
        <v>1119</v>
      </c>
      <c r="G3674" s="812" t="s">
        <v>436</v>
      </c>
      <c r="H3674" s="701"/>
      <c r="I3674" s="701">
        <v>255744</v>
      </c>
      <c r="J3674" s="1654" t="s">
        <v>1134</v>
      </c>
      <c r="K3674" s="792"/>
      <c r="L3674" s="701"/>
      <c r="M3674" s="701">
        <v>255159.47999999998</v>
      </c>
      <c r="N3674" s="7"/>
      <c r="O3674" s="7"/>
      <c r="P3674" s="7"/>
      <c r="Q3674" s="7"/>
      <c r="R3674" s="7"/>
      <c r="S3674" s="7"/>
      <c r="T3674" s="7"/>
      <c r="U3674" s="7"/>
      <c r="V3674" s="7"/>
      <c r="W3674" s="7"/>
      <c r="X3674" s="7"/>
      <c r="Y3674" s="7"/>
      <c r="Z3674" s="7"/>
      <c r="AA3674" s="7"/>
      <c r="AB3674" s="7"/>
      <c r="AC3674" s="7"/>
      <c r="AD3674" s="7"/>
      <c r="AE3674" s="7"/>
      <c r="AF3674" s="7"/>
    </row>
    <row r="3675" spans="1:32" ht="40.799999999999997">
      <c r="A3675" s="663"/>
      <c r="B3675" s="3130" t="s">
        <v>436</v>
      </c>
      <c r="C3675" s="700" t="s">
        <v>427</v>
      </c>
      <c r="D3675" s="794" t="s">
        <v>1979</v>
      </c>
      <c r="E3675" s="700" t="s">
        <v>1969</v>
      </c>
      <c r="F3675" s="795">
        <v>1119</v>
      </c>
      <c r="G3675" s="812" t="s">
        <v>1878</v>
      </c>
      <c r="H3675" s="701"/>
      <c r="I3675" s="701"/>
      <c r="J3675" s="1654" t="s">
        <v>1134</v>
      </c>
      <c r="K3675" s="792"/>
      <c r="L3675" s="701"/>
      <c r="M3675" s="701"/>
      <c r="N3675" s="7" t="s">
        <v>3537</v>
      </c>
      <c r="O3675" s="7"/>
      <c r="P3675" s="7"/>
      <c r="Q3675" s="7"/>
      <c r="R3675" s="7"/>
      <c r="S3675" s="7"/>
      <c r="T3675" s="7"/>
      <c r="V3675" s="7"/>
      <c r="W3675" s="7"/>
      <c r="X3675" s="7"/>
      <c r="Y3675" s="7"/>
      <c r="Z3675" s="7"/>
      <c r="AA3675" s="7"/>
      <c r="AB3675" s="7"/>
      <c r="AC3675" s="7"/>
      <c r="AD3675" s="7"/>
      <c r="AE3675" s="7"/>
      <c r="AF3675" s="7"/>
    </row>
    <row r="3676" spans="1:32" ht="20.399999999999999">
      <c r="A3676" s="683"/>
      <c r="B3676" s="3129" t="s">
        <v>436</v>
      </c>
      <c r="C3676" s="720" t="s">
        <v>427</v>
      </c>
      <c r="D3676" s="823" t="s">
        <v>1979</v>
      </c>
      <c r="E3676" s="720" t="s">
        <v>1969</v>
      </c>
      <c r="F3676" s="824">
        <v>1145</v>
      </c>
      <c r="G3676" s="800" t="s">
        <v>1016</v>
      </c>
      <c r="H3676" s="706">
        <v>7672.32</v>
      </c>
      <c r="I3676" s="706"/>
      <c r="J3676" s="1654">
        <v>3117.15</v>
      </c>
      <c r="K3676" s="802"/>
      <c r="L3676" s="706">
        <v>7654.7843999999996</v>
      </c>
      <c r="M3676" s="706"/>
      <c r="N3676" s="125"/>
      <c r="O3676" s="7"/>
      <c r="P3676" s="7"/>
      <c r="Q3676" s="7"/>
      <c r="R3676" s="7"/>
      <c r="S3676" s="7"/>
      <c r="T3676" s="7"/>
      <c r="U3676" s="7"/>
      <c r="V3676" s="7"/>
      <c r="W3676" s="7"/>
      <c r="X3676" s="7"/>
      <c r="Y3676" s="7"/>
      <c r="Z3676" s="7"/>
      <c r="AA3676" s="7"/>
      <c r="AB3676" s="7"/>
      <c r="AC3676" s="7"/>
      <c r="AD3676" s="7"/>
      <c r="AE3676" s="7"/>
      <c r="AF3676" s="7"/>
    </row>
    <row r="3677" spans="1:32" s="9" customFormat="1">
      <c r="A3677" s="663"/>
      <c r="B3677" s="3130" t="s">
        <v>436</v>
      </c>
      <c r="C3677" s="700" t="s">
        <v>427</v>
      </c>
      <c r="D3677" s="794" t="s">
        <v>1979</v>
      </c>
      <c r="E3677" s="700" t="s">
        <v>1969</v>
      </c>
      <c r="F3677" s="795">
        <v>1145</v>
      </c>
      <c r="G3677" s="2491" t="s">
        <v>2829</v>
      </c>
      <c r="H3677" s="701"/>
      <c r="I3677" s="701">
        <v>7672.32</v>
      </c>
      <c r="J3677" s="1654" t="s">
        <v>1134</v>
      </c>
      <c r="K3677" s="792"/>
      <c r="L3677" s="701"/>
      <c r="M3677" s="2493">
        <v>7654.7843999999996</v>
      </c>
      <c r="N3677" s="125"/>
      <c r="O3677" s="63"/>
      <c r="P3677" s="63"/>
      <c r="Q3677" s="63"/>
      <c r="R3677" s="63"/>
      <c r="S3677" s="63"/>
      <c r="T3677" s="63"/>
      <c r="V3677" s="63"/>
      <c r="W3677" s="63"/>
      <c r="X3677" s="63"/>
      <c r="Y3677" s="63"/>
      <c r="Z3677" s="63"/>
      <c r="AA3677" s="63"/>
      <c r="AB3677" s="63"/>
      <c r="AC3677" s="63"/>
      <c r="AD3677" s="63"/>
      <c r="AE3677" s="63"/>
      <c r="AF3677" s="63"/>
    </row>
    <row r="3678" spans="1:32">
      <c r="A3678" s="683"/>
      <c r="B3678" s="3129" t="s">
        <v>436</v>
      </c>
      <c r="C3678" s="720" t="s">
        <v>427</v>
      </c>
      <c r="D3678" s="823" t="s">
        <v>1979</v>
      </c>
      <c r="E3678" s="720" t="s">
        <v>1969</v>
      </c>
      <c r="F3678" s="824">
        <v>1147</v>
      </c>
      <c r="G3678" s="800" t="s">
        <v>428</v>
      </c>
      <c r="H3678" s="706">
        <v>19180.8</v>
      </c>
      <c r="I3678" s="706"/>
      <c r="J3678" s="1654">
        <v>3410.61</v>
      </c>
      <c r="K3678" s="802"/>
      <c r="L3678" s="706">
        <v>18073.796500000004</v>
      </c>
      <c r="M3678" s="706"/>
      <c r="N3678" s="125"/>
      <c r="O3678" s="7"/>
      <c r="P3678" s="7"/>
      <c r="Q3678" s="7"/>
      <c r="R3678" s="7"/>
      <c r="S3678" s="7"/>
      <c r="T3678" s="7"/>
      <c r="V3678" s="7"/>
      <c r="W3678" s="7"/>
      <c r="X3678" s="7"/>
      <c r="Y3678" s="7"/>
      <c r="Z3678" s="7"/>
      <c r="AA3678" s="7"/>
      <c r="AB3678" s="7"/>
      <c r="AC3678" s="7"/>
      <c r="AD3678" s="7"/>
      <c r="AE3678" s="7"/>
      <c r="AF3678" s="7"/>
    </row>
    <row r="3679" spans="1:32">
      <c r="A3679" s="663"/>
      <c r="B3679" s="3130" t="s">
        <v>436</v>
      </c>
      <c r="C3679" s="700" t="s">
        <v>427</v>
      </c>
      <c r="D3679" s="794" t="s">
        <v>1979</v>
      </c>
      <c r="E3679" s="700" t="s">
        <v>1969</v>
      </c>
      <c r="F3679" s="795">
        <v>1147</v>
      </c>
      <c r="G3679" s="812" t="s">
        <v>436</v>
      </c>
      <c r="H3679" s="701"/>
      <c r="I3679" s="701">
        <v>19180.8</v>
      </c>
      <c r="J3679" s="1654" t="s">
        <v>1134</v>
      </c>
      <c r="K3679" s="792"/>
      <c r="L3679" s="701"/>
      <c r="M3679" s="701">
        <v>18073.796500000004</v>
      </c>
      <c r="N3679" s="125"/>
      <c r="O3679" s="7"/>
      <c r="P3679" s="7"/>
      <c r="Q3679" s="7"/>
      <c r="R3679" s="7"/>
      <c r="S3679" s="7"/>
      <c r="T3679" s="7"/>
      <c r="V3679" s="7"/>
      <c r="W3679" s="7"/>
      <c r="X3679" s="7"/>
      <c r="Y3679" s="7"/>
      <c r="Z3679" s="7"/>
      <c r="AA3679" s="7"/>
      <c r="AB3679" s="7"/>
      <c r="AC3679" s="7"/>
      <c r="AD3679" s="7"/>
      <c r="AE3679" s="7"/>
      <c r="AF3679" s="7"/>
    </row>
    <row r="3680" spans="1:32" s="9" customFormat="1">
      <c r="A3680" s="683"/>
      <c r="B3680" s="3129" t="s">
        <v>436</v>
      </c>
      <c r="C3680" s="720" t="s">
        <v>427</v>
      </c>
      <c r="D3680" s="823" t="s">
        <v>1979</v>
      </c>
      <c r="E3680" s="720" t="s">
        <v>1969</v>
      </c>
      <c r="F3680" s="824">
        <v>1148</v>
      </c>
      <c r="G3680" s="800" t="s">
        <v>1074</v>
      </c>
      <c r="H3680" s="706">
        <v>3955</v>
      </c>
      <c r="I3680" s="706"/>
      <c r="J3680" s="1654">
        <v>0</v>
      </c>
      <c r="K3680" s="802"/>
      <c r="L3680" s="706">
        <v>4000</v>
      </c>
      <c r="M3680" s="706"/>
      <c r="N3680" s="125"/>
      <c r="O3680" s="63"/>
      <c r="P3680" s="63"/>
      <c r="Q3680" s="63"/>
      <c r="R3680" s="63"/>
      <c r="S3680" s="63"/>
      <c r="T3680" s="63"/>
      <c r="V3680" s="63"/>
      <c r="W3680" s="63"/>
      <c r="X3680" s="63"/>
      <c r="Y3680" s="63"/>
      <c r="Z3680" s="63"/>
      <c r="AA3680" s="63"/>
      <c r="AB3680" s="63"/>
      <c r="AC3680" s="63"/>
      <c r="AD3680" s="63"/>
      <c r="AE3680" s="63"/>
      <c r="AF3680" s="63"/>
    </row>
    <row r="3681" spans="1:32" s="9" customFormat="1" ht="20.399999999999999">
      <c r="A3681" s="663"/>
      <c r="B3681" s="3130" t="s">
        <v>436</v>
      </c>
      <c r="C3681" s="700" t="s">
        <v>427</v>
      </c>
      <c r="D3681" s="794" t="s">
        <v>1979</v>
      </c>
      <c r="E3681" s="700" t="s">
        <v>1969</v>
      </c>
      <c r="F3681" s="795">
        <v>1148</v>
      </c>
      <c r="G3681" s="812" t="s">
        <v>1019</v>
      </c>
      <c r="H3681" s="701"/>
      <c r="I3681" s="701">
        <v>4000</v>
      </c>
      <c r="J3681" s="1654" t="s">
        <v>1134</v>
      </c>
      <c r="K3681" s="792"/>
      <c r="L3681" s="701"/>
      <c r="M3681" s="701">
        <v>4000</v>
      </c>
      <c r="N3681" s="125"/>
      <c r="O3681" s="63"/>
      <c r="P3681" s="63"/>
      <c r="Q3681" s="63"/>
      <c r="R3681" s="63"/>
      <c r="S3681" s="63"/>
      <c r="T3681" s="63"/>
      <c r="V3681" s="63"/>
      <c r="W3681" s="63"/>
      <c r="X3681" s="63"/>
      <c r="Y3681" s="63"/>
      <c r="Z3681" s="63"/>
      <c r="AA3681" s="63"/>
      <c r="AB3681" s="63"/>
      <c r="AC3681" s="63"/>
      <c r="AD3681" s="63"/>
      <c r="AE3681" s="63"/>
      <c r="AF3681" s="63"/>
    </row>
    <row r="3682" spans="1:32" s="9" customFormat="1" ht="20.399999999999999">
      <c r="A3682" s="603"/>
      <c r="B3682" s="3130" t="s">
        <v>436</v>
      </c>
      <c r="C3682" s="700" t="s">
        <v>427</v>
      </c>
      <c r="D3682" s="794" t="s">
        <v>1979</v>
      </c>
      <c r="E3682" s="700" t="s">
        <v>1969</v>
      </c>
      <c r="F3682" s="795">
        <v>1148</v>
      </c>
      <c r="G3682" s="1448" t="s">
        <v>3174</v>
      </c>
      <c r="H3682" s="1165"/>
      <c r="I3682" s="1165">
        <v>-45</v>
      </c>
      <c r="J3682" s="1654" t="s">
        <v>1134</v>
      </c>
      <c r="K3682" s="1439"/>
      <c r="L3682" s="1165"/>
      <c r="M3682" s="1165"/>
      <c r="N3682" s="125"/>
      <c r="O3682" s="63"/>
      <c r="P3682" s="63"/>
      <c r="Q3682" s="63"/>
      <c r="R3682" s="63"/>
      <c r="S3682" s="63"/>
      <c r="T3682" s="63"/>
      <c r="V3682" s="63"/>
      <c r="W3682" s="63"/>
      <c r="X3682" s="63"/>
      <c r="Y3682" s="63"/>
      <c r="Z3682" s="63"/>
      <c r="AA3682" s="63"/>
      <c r="AB3682" s="63"/>
      <c r="AC3682" s="63"/>
      <c r="AD3682" s="63"/>
      <c r="AE3682" s="63"/>
      <c r="AF3682" s="63"/>
    </row>
    <row r="3683" spans="1:32">
      <c r="A3683" s="683"/>
      <c r="B3683" s="3129" t="s">
        <v>436</v>
      </c>
      <c r="C3683" s="720" t="s">
        <v>427</v>
      </c>
      <c r="D3683" s="823" t="s">
        <v>1979</v>
      </c>
      <c r="E3683" s="720" t="s">
        <v>1969</v>
      </c>
      <c r="F3683" s="824">
        <v>1170</v>
      </c>
      <c r="G3683" s="800" t="s">
        <v>475</v>
      </c>
      <c r="H3683" s="706">
        <v>165</v>
      </c>
      <c r="I3683" s="706"/>
      <c r="J3683" s="1654">
        <v>165</v>
      </c>
      <c r="K3683" s="802"/>
      <c r="L3683" s="706">
        <v>210</v>
      </c>
      <c r="M3683" s="706"/>
      <c r="N3683" s="125"/>
      <c r="O3683" s="7"/>
      <c r="P3683" s="7"/>
      <c r="Q3683" s="7"/>
      <c r="R3683" s="7"/>
      <c r="S3683" s="7"/>
      <c r="T3683" s="7"/>
      <c r="U3683" s="7"/>
      <c r="V3683" s="7"/>
      <c r="W3683" s="7"/>
      <c r="X3683" s="7"/>
      <c r="Y3683" s="7"/>
      <c r="Z3683" s="7"/>
      <c r="AA3683" s="7"/>
      <c r="AB3683" s="7"/>
      <c r="AC3683" s="7"/>
      <c r="AD3683" s="7"/>
      <c r="AE3683" s="7"/>
      <c r="AF3683" s="7"/>
    </row>
    <row r="3684" spans="1:32" s="9" customFormat="1">
      <c r="A3684" s="663"/>
      <c r="B3684" s="3130" t="s">
        <v>436</v>
      </c>
      <c r="C3684" s="700" t="s">
        <v>427</v>
      </c>
      <c r="D3684" s="794" t="s">
        <v>1979</v>
      </c>
      <c r="E3684" s="700" t="s">
        <v>1969</v>
      </c>
      <c r="F3684" s="795">
        <v>1170</v>
      </c>
      <c r="G3684" s="812" t="s">
        <v>4702</v>
      </c>
      <c r="H3684" s="701"/>
      <c r="I3684" s="701">
        <v>120</v>
      </c>
      <c r="J3684" s="1654" t="s">
        <v>1134</v>
      </c>
      <c r="K3684" s="792"/>
      <c r="L3684" s="701"/>
      <c r="M3684" s="701">
        <v>210</v>
      </c>
      <c r="N3684" s="125"/>
      <c r="O3684" s="63"/>
      <c r="P3684" s="63"/>
      <c r="Q3684" s="63"/>
      <c r="R3684" s="63"/>
      <c r="S3684" s="63"/>
      <c r="T3684" s="63"/>
      <c r="V3684" s="63"/>
      <c r="W3684" s="63"/>
      <c r="X3684" s="63"/>
      <c r="Y3684" s="63"/>
      <c r="Z3684" s="63"/>
      <c r="AA3684" s="63"/>
      <c r="AB3684" s="63"/>
      <c r="AC3684" s="63"/>
      <c r="AD3684" s="63"/>
      <c r="AE3684" s="63"/>
      <c r="AF3684" s="63"/>
    </row>
    <row r="3685" spans="1:32" s="9" customFormat="1" ht="20.399999999999999">
      <c r="A3685" s="603"/>
      <c r="B3685" s="3130" t="s">
        <v>436</v>
      </c>
      <c r="C3685" s="700" t="s">
        <v>427</v>
      </c>
      <c r="D3685" s="794" t="s">
        <v>1979</v>
      </c>
      <c r="E3685" s="700" t="s">
        <v>1969</v>
      </c>
      <c r="F3685" s="795">
        <v>1170</v>
      </c>
      <c r="G3685" s="1448" t="s">
        <v>3174</v>
      </c>
      <c r="H3685" s="1165"/>
      <c r="I3685" s="1165">
        <v>45</v>
      </c>
      <c r="J3685" s="1654" t="s">
        <v>1134</v>
      </c>
      <c r="K3685" s="1439"/>
      <c r="L3685" s="1165"/>
      <c r="M3685" s="1165"/>
      <c r="N3685" s="125"/>
      <c r="O3685" s="63"/>
      <c r="P3685" s="63"/>
      <c r="Q3685" s="63"/>
      <c r="R3685" s="63"/>
      <c r="S3685" s="63"/>
      <c r="T3685" s="63"/>
      <c r="V3685" s="63"/>
      <c r="W3685" s="63"/>
      <c r="X3685" s="63"/>
      <c r="Y3685" s="63"/>
      <c r="Z3685" s="63"/>
      <c r="AA3685" s="63"/>
      <c r="AB3685" s="63"/>
      <c r="AC3685" s="63"/>
      <c r="AD3685" s="63"/>
      <c r="AE3685" s="63"/>
      <c r="AF3685" s="63"/>
    </row>
    <row r="3686" spans="1:32" ht="20.399999999999999" customHeight="1">
      <c r="A3686" s="683"/>
      <c r="B3686" s="3129" t="s">
        <v>436</v>
      </c>
      <c r="C3686" s="720" t="s">
        <v>427</v>
      </c>
      <c r="D3686" s="823" t="s">
        <v>1979</v>
      </c>
      <c r="E3686" s="720" t="s">
        <v>1969</v>
      </c>
      <c r="F3686" s="824">
        <v>1210</v>
      </c>
      <c r="G3686" s="800" t="s">
        <v>113</v>
      </c>
      <c r="H3686" s="706">
        <v>65809.985472</v>
      </c>
      <c r="I3686" s="706"/>
      <c r="J3686" s="1654">
        <v>28655.88</v>
      </c>
      <c r="K3686" s="802"/>
      <c r="L3686" s="706">
        <v>65421.311872717495</v>
      </c>
      <c r="M3686" s="706"/>
      <c r="N3686" s="125"/>
      <c r="O3686" s="7"/>
      <c r="P3686" s="7"/>
      <c r="Q3686" s="7"/>
      <c r="R3686" s="3"/>
      <c r="S3686" s="3"/>
      <c r="T3686" s="3"/>
      <c r="U3686" s="3"/>
      <c r="V3686" s="3"/>
      <c r="W3686" s="3"/>
      <c r="X3686" s="3"/>
      <c r="Y3686" s="3"/>
      <c r="Z3686" s="3"/>
      <c r="AA3686" s="3"/>
      <c r="AB3686" s="3"/>
      <c r="AC3686" s="3"/>
      <c r="AD3686" s="3"/>
      <c r="AE3686" s="3"/>
      <c r="AF3686" s="3"/>
    </row>
    <row r="3687" spans="1:32">
      <c r="A3687" s="663"/>
      <c r="B3687" s="3130" t="s">
        <v>436</v>
      </c>
      <c r="C3687" s="700" t="s">
        <v>427</v>
      </c>
      <c r="D3687" s="794" t="s">
        <v>1979</v>
      </c>
      <c r="E3687" s="700" t="s">
        <v>1969</v>
      </c>
      <c r="F3687" s="795">
        <v>1210</v>
      </c>
      <c r="G3687" s="812" t="s">
        <v>436</v>
      </c>
      <c r="H3687" s="701"/>
      <c r="I3687" s="709">
        <v>64000.085184000003</v>
      </c>
      <c r="J3687" s="1654" t="s">
        <v>1134</v>
      </c>
      <c r="K3687" s="792"/>
      <c r="L3687" s="701"/>
      <c r="M3687" s="701">
        <v>63615.548232757494</v>
      </c>
      <c r="N3687" s="125"/>
      <c r="O3687" s="7"/>
      <c r="P3687" s="7"/>
      <c r="Q3687" s="7"/>
      <c r="R3687" s="7"/>
      <c r="S3687" s="7"/>
      <c r="T3687" s="7"/>
      <c r="U3687" s="7"/>
      <c r="V3687" s="7"/>
      <c r="W3687" s="7"/>
      <c r="X3687" s="7"/>
      <c r="Y3687" s="7"/>
      <c r="Z3687" s="7"/>
      <c r="AA3687" s="7"/>
      <c r="AB3687" s="7"/>
      <c r="AC3687" s="7"/>
      <c r="AD3687" s="7"/>
      <c r="AE3687" s="7"/>
      <c r="AF3687" s="7"/>
    </row>
    <row r="3688" spans="1:32">
      <c r="A3688" s="663"/>
      <c r="B3688" s="3130" t="s">
        <v>436</v>
      </c>
      <c r="C3688" s="700" t="s">
        <v>427</v>
      </c>
      <c r="D3688" s="794" t="s">
        <v>1979</v>
      </c>
      <c r="E3688" s="700" t="s">
        <v>1969</v>
      </c>
      <c r="F3688" s="795">
        <v>1210</v>
      </c>
      <c r="G3688" s="2491" t="s">
        <v>2829</v>
      </c>
      <c r="H3688" s="701"/>
      <c r="I3688" s="709">
        <v>1809.9002879999998</v>
      </c>
      <c r="J3688" s="1654" t="s">
        <v>1134</v>
      </c>
      <c r="K3688" s="792"/>
      <c r="L3688" s="701"/>
      <c r="M3688" s="2493">
        <v>1805.7636399599999</v>
      </c>
      <c r="N3688" s="125"/>
      <c r="O3688" s="7"/>
      <c r="P3688" s="7"/>
      <c r="Q3688" s="7"/>
      <c r="R3688" s="7"/>
      <c r="S3688" s="7"/>
      <c r="T3688" s="7"/>
      <c r="U3688" s="7"/>
      <c r="V3688" s="7"/>
      <c r="W3688" s="7"/>
      <c r="X3688" s="7"/>
      <c r="Y3688" s="7"/>
      <c r="Z3688" s="7"/>
      <c r="AA3688" s="7"/>
      <c r="AB3688" s="7"/>
      <c r="AC3688" s="7"/>
      <c r="AD3688" s="7"/>
      <c r="AE3688" s="7"/>
      <c r="AF3688" s="7"/>
    </row>
    <row r="3689" spans="1:32" ht="20.399999999999999" customHeight="1">
      <c r="A3689" s="683"/>
      <c r="B3689" s="3129" t="s">
        <v>436</v>
      </c>
      <c r="C3689" s="720" t="s">
        <v>427</v>
      </c>
      <c r="D3689" s="823" t="s">
        <v>1979</v>
      </c>
      <c r="E3689" s="720" t="s">
        <v>1969</v>
      </c>
      <c r="F3689" s="824">
        <v>1221</v>
      </c>
      <c r="G3689" s="800" t="s">
        <v>114</v>
      </c>
      <c r="H3689" s="706">
        <v>14024.425536000004</v>
      </c>
      <c r="I3689" s="706"/>
      <c r="J3689" s="1654">
        <v>6723.23</v>
      </c>
      <c r="K3689" s="802"/>
      <c r="L3689" s="706">
        <v>13979.8317490925</v>
      </c>
      <c r="M3689" s="706"/>
      <c r="N3689" s="125"/>
      <c r="O3689" s="7"/>
      <c r="P3689" s="7"/>
      <c r="Q3689" s="7"/>
      <c r="R3689" s="7"/>
      <c r="S3689" s="7"/>
      <c r="T3689" s="7"/>
      <c r="U3689" s="7"/>
      <c r="V3689" s="7"/>
      <c r="W3689" s="7"/>
      <c r="X3689" s="7"/>
      <c r="Y3689" s="7"/>
      <c r="Z3689" s="7"/>
      <c r="AA3689" s="7"/>
      <c r="AB3689" s="7"/>
      <c r="AC3689" s="7"/>
      <c r="AD3689" s="7"/>
      <c r="AE3689" s="7"/>
      <c r="AF3689" s="7"/>
    </row>
    <row r="3690" spans="1:32">
      <c r="A3690" s="663"/>
      <c r="B3690" s="3130" t="s">
        <v>436</v>
      </c>
      <c r="C3690" s="700" t="s">
        <v>427</v>
      </c>
      <c r="D3690" s="794" t="s">
        <v>1979</v>
      </c>
      <c r="E3690" s="700" t="s">
        <v>1969</v>
      </c>
      <c r="F3690" s="795">
        <v>1221</v>
      </c>
      <c r="G3690" s="812"/>
      <c r="H3690" s="709"/>
      <c r="I3690" s="709">
        <v>14024.425536000004</v>
      </c>
      <c r="J3690" s="1654" t="s">
        <v>1134</v>
      </c>
      <c r="K3690" s="802"/>
      <c r="L3690" s="709"/>
      <c r="M3690" s="709">
        <v>13979.8317490925</v>
      </c>
      <c r="N3690" s="125"/>
      <c r="O3690" s="7"/>
      <c r="P3690" s="7"/>
      <c r="Q3690" s="7"/>
      <c r="R3690" s="7"/>
      <c r="S3690" s="7"/>
      <c r="T3690" s="7"/>
      <c r="U3690" s="7"/>
      <c r="V3690" s="7"/>
      <c r="W3690" s="7"/>
      <c r="X3690" s="7"/>
      <c r="Y3690" s="7"/>
      <c r="Z3690" s="7"/>
      <c r="AA3690" s="7"/>
      <c r="AB3690" s="7"/>
      <c r="AC3690" s="7"/>
      <c r="AD3690" s="7"/>
      <c r="AE3690" s="7"/>
      <c r="AF3690" s="7"/>
    </row>
    <row r="3691" spans="1:32">
      <c r="A3691" s="683"/>
      <c r="B3691" s="3129" t="s">
        <v>772</v>
      </c>
      <c r="C3691" s="683" t="s">
        <v>427</v>
      </c>
      <c r="D3691" s="719" t="s">
        <v>1979</v>
      </c>
      <c r="E3691" s="720" t="s">
        <v>1969</v>
      </c>
      <c r="F3691" s="685">
        <v>1228</v>
      </c>
      <c r="G3691" s="686" t="s">
        <v>115</v>
      </c>
      <c r="H3691" s="689">
        <v>1384</v>
      </c>
      <c r="I3691" s="689"/>
      <c r="J3691" s="1494">
        <v>129.16</v>
      </c>
      <c r="K3691" s="727"/>
      <c r="L3691" s="689">
        <v>1184</v>
      </c>
      <c r="M3691" s="689"/>
      <c r="N3691" s="125"/>
      <c r="O3691" s="7"/>
      <c r="P3691" s="7"/>
      <c r="Q3691" s="7"/>
      <c r="R3691" s="7"/>
      <c r="S3691" s="7"/>
      <c r="T3691" s="7"/>
      <c r="U3691" s="7"/>
      <c r="V3691" s="7"/>
      <c r="W3691" s="7"/>
      <c r="X3691" s="7"/>
      <c r="Y3691" s="7"/>
      <c r="Z3691" s="7"/>
      <c r="AA3691" s="7"/>
      <c r="AB3691" s="7"/>
      <c r="AC3691" s="7"/>
      <c r="AD3691" s="7"/>
      <c r="AE3691" s="7"/>
      <c r="AF3691" s="7"/>
    </row>
    <row r="3692" spans="1:32">
      <c r="A3692" s="663"/>
      <c r="B3692" s="3130" t="s">
        <v>772</v>
      </c>
      <c r="C3692" s="663" t="s">
        <v>427</v>
      </c>
      <c r="D3692" s="678" t="s">
        <v>1979</v>
      </c>
      <c r="E3692" s="700" t="s">
        <v>1969</v>
      </c>
      <c r="F3692" s="679">
        <v>1228</v>
      </c>
      <c r="G3692" s="1718" t="s">
        <v>3522</v>
      </c>
      <c r="H3692" s="693"/>
      <c r="I3692" s="693">
        <v>400</v>
      </c>
      <c r="J3692" s="1494" t="s">
        <v>1134</v>
      </c>
      <c r="K3692" s="727"/>
      <c r="L3692" s="693"/>
      <c r="M3692" s="693">
        <v>800</v>
      </c>
      <c r="N3692" s="1610" t="s">
        <v>4368</v>
      </c>
      <c r="O3692" s="7"/>
      <c r="P3692" s="7"/>
      <c r="Q3692" s="7"/>
      <c r="R3692" s="7"/>
      <c r="S3692" s="7"/>
      <c r="T3692" s="7"/>
      <c r="U3692" s="7"/>
      <c r="V3692" s="7"/>
      <c r="W3692" s="7"/>
      <c r="X3692" s="7"/>
      <c r="Y3692" s="7"/>
      <c r="Z3692" s="7"/>
      <c r="AA3692" s="7"/>
      <c r="AB3692" s="7"/>
      <c r="AC3692" s="7"/>
      <c r="AD3692" s="7"/>
      <c r="AE3692" s="7"/>
      <c r="AF3692" s="7"/>
    </row>
    <row r="3693" spans="1:32">
      <c r="A3693" s="663"/>
      <c r="B3693" s="3130" t="s">
        <v>772</v>
      </c>
      <c r="C3693" s="663" t="s">
        <v>427</v>
      </c>
      <c r="D3693" s="678" t="s">
        <v>1979</v>
      </c>
      <c r="E3693" s="700" t="s">
        <v>1969</v>
      </c>
      <c r="F3693" s="679">
        <v>1228</v>
      </c>
      <c r="G3693" s="675" t="s">
        <v>1610</v>
      </c>
      <c r="H3693" s="693"/>
      <c r="I3693" s="693">
        <v>384</v>
      </c>
      <c r="J3693" s="1494" t="s">
        <v>1134</v>
      </c>
      <c r="K3693" s="727"/>
      <c r="L3693" s="693"/>
      <c r="M3693" s="693">
        <v>384</v>
      </c>
      <c r="N3693" s="1610" t="s">
        <v>4884</v>
      </c>
      <c r="O3693" s="7"/>
      <c r="P3693" s="7"/>
      <c r="Q3693" s="7"/>
      <c r="R3693" s="7"/>
      <c r="S3693" s="7"/>
      <c r="T3693" s="7"/>
      <c r="U3693" s="7"/>
      <c r="V3693" s="7"/>
      <c r="W3693" s="7"/>
      <c r="X3693" s="7"/>
      <c r="Y3693" s="7"/>
      <c r="Z3693" s="7"/>
      <c r="AA3693" s="7"/>
      <c r="AB3693" s="7"/>
      <c r="AC3693" s="7"/>
      <c r="AD3693" s="7"/>
      <c r="AE3693" s="7"/>
      <c r="AF3693" s="7"/>
    </row>
    <row r="3694" spans="1:32" ht="20.399999999999999">
      <c r="A3694" s="663"/>
      <c r="B3694" s="3130" t="s">
        <v>772</v>
      </c>
      <c r="C3694" s="663" t="s">
        <v>427</v>
      </c>
      <c r="D3694" s="678" t="s">
        <v>1979</v>
      </c>
      <c r="E3694" s="700" t="s">
        <v>1969</v>
      </c>
      <c r="F3694" s="679">
        <v>1228</v>
      </c>
      <c r="G3694" s="608" t="s">
        <v>2725</v>
      </c>
      <c r="H3694" s="1130"/>
      <c r="I3694" s="1130">
        <v>600</v>
      </c>
      <c r="J3694" s="1494" t="s">
        <v>1134</v>
      </c>
      <c r="K3694" s="646"/>
      <c r="L3694" s="1130"/>
      <c r="M3694" s="1130"/>
      <c r="N3694" s="1610"/>
      <c r="O3694" s="7"/>
      <c r="P3694" s="7"/>
      <c r="Q3694" s="7"/>
      <c r="R3694" s="7"/>
      <c r="S3694" s="7"/>
      <c r="T3694" s="7"/>
      <c r="U3694" s="7"/>
      <c r="V3694" s="7"/>
      <c r="W3694" s="7"/>
      <c r="X3694" s="7"/>
      <c r="Y3694" s="7"/>
      <c r="Z3694" s="7"/>
      <c r="AA3694" s="7"/>
      <c r="AB3694" s="7"/>
      <c r="AC3694" s="7"/>
      <c r="AD3694" s="7"/>
      <c r="AE3694" s="7"/>
      <c r="AF3694" s="7"/>
    </row>
    <row r="3695" spans="1:32">
      <c r="A3695" s="683"/>
      <c r="B3695" s="3129" t="s">
        <v>772</v>
      </c>
      <c r="C3695" s="683" t="s">
        <v>322</v>
      </c>
      <c r="D3695" s="719" t="s">
        <v>1979</v>
      </c>
      <c r="E3695" s="720" t="s">
        <v>1969</v>
      </c>
      <c r="F3695" s="685">
        <v>2210</v>
      </c>
      <c r="G3695" s="686" t="s">
        <v>731</v>
      </c>
      <c r="H3695" s="689">
        <v>468</v>
      </c>
      <c r="I3695" s="689"/>
      <c r="J3695" s="1494">
        <v>361.91</v>
      </c>
      <c r="K3695" s="727"/>
      <c r="L3695" s="689">
        <v>1670</v>
      </c>
      <c r="M3695" s="689"/>
      <c r="N3695" s="1610"/>
      <c r="O3695" s="7"/>
      <c r="P3695" s="7"/>
      <c r="Q3695" s="7"/>
      <c r="R3695" s="7"/>
      <c r="S3695" s="7"/>
      <c r="T3695" s="7"/>
      <c r="U3695" s="7"/>
      <c r="V3695" s="7"/>
      <c r="W3695" s="7"/>
      <c r="X3695" s="7"/>
      <c r="Y3695" s="7"/>
      <c r="Z3695" s="7"/>
      <c r="AA3695" s="7"/>
      <c r="AB3695" s="7"/>
      <c r="AC3695" s="7"/>
      <c r="AD3695" s="7"/>
      <c r="AE3695" s="7"/>
      <c r="AF3695" s="7"/>
    </row>
    <row r="3696" spans="1:32" ht="20.399999999999999">
      <c r="A3696" s="663"/>
      <c r="B3696" s="3130" t="s">
        <v>772</v>
      </c>
      <c r="C3696" s="663" t="s">
        <v>322</v>
      </c>
      <c r="D3696" s="678" t="s">
        <v>1979</v>
      </c>
      <c r="E3696" s="700" t="s">
        <v>1969</v>
      </c>
      <c r="F3696" s="679">
        <v>2210</v>
      </c>
      <c r="G3696" s="1719" t="s">
        <v>3525</v>
      </c>
      <c r="H3696" s="660"/>
      <c r="I3696" s="660">
        <v>468</v>
      </c>
      <c r="J3696" s="1494" t="s">
        <v>1134</v>
      </c>
      <c r="K3696" s="667"/>
      <c r="L3696" s="660"/>
      <c r="M3696" s="1130">
        <v>1670</v>
      </c>
      <c r="N3696" s="1610" t="s">
        <v>4885</v>
      </c>
      <c r="O3696" s="7"/>
      <c r="P3696" s="7"/>
      <c r="Q3696" s="7"/>
      <c r="R3696" s="7"/>
      <c r="S3696" s="7"/>
      <c r="T3696" s="7"/>
      <c r="U3696" s="7"/>
      <c r="V3696" s="7"/>
      <c r="W3696" s="7"/>
      <c r="X3696" s="7"/>
      <c r="Y3696" s="7"/>
      <c r="Z3696" s="7"/>
      <c r="AA3696" s="7"/>
      <c r="AB3696" s="7"/>
      <c r="AC3696" s="7"/>
      <c r="AD3696" s="7"/>
      <c r="AE3696" s="7"/>
      <c r="AF3696" s="7"/>
    </row>
    <row r="3697" spans="1:32">
      <c r="A3697" s="683"/>
      <c r="B3697" s="3129" t="s">
        <v>772</v>
      </c>
      <c r="C3697" s="683" t="s">
        <v>322</v>
      </c>
      <c r="D3697" s="719" t="s">
        <v>1979</v>
      </c>
      <c r="E3697" s="720" t="s">
        <v>1969</v>
      </c>
      <c r="F3697" s="685">
        <v>2222</v>
      </c>
      <c r="G3697" s="686" t="s">
        <v>153</v>
      </c>
      <c r="H3697" s="689">
        <v>1000</v>
      </c>
      <c r="I3697" s="689"/>
      <c r="J3697" s="1494">
        <v>0</v>
      </c>
      <c r="K3697" s="727"/>
      <c r="L3697" s="689">
        <v>0</v>
      </c>
      <c r="M3697" s="689"/>
      <c r="N3697" s="1610"/>
      <c r="O3697" s="7"/>
      <c r="P3697" s="7"/>
      <c r="Q3697" s="7"/>
      <c r="R3697" s="7"/>
      <c r="S3697" s="7"/>
      <c r="T3697" s="7"/>
      <c r="U3697" s="7"/>
      <c r="V3697" s="7"/>
      <c r="W3697" s="7"/>
      <c r="X3697" s="7"/>
      <c r="Y3697" s="7"/>
      <c r="Z3697" s="7"/>
      <c r="AA3697" s="7"/>
      <c r="AB3697" s="7"/>
      <c r="AC3697" s="7"/>
      <c r="AD3697" s="7"/>
      <c r="AE3697" s="7"/>
      <c r="AF3697" s="7"/>
    </row>
    <row r="3698" spans="1:32">
      <c r="A3698" s="663"/>
      <c r="B3698" s="3130" t="s">
        <v>772</v>
      </c>
      <c r="C3698" s="663" t="s">
        <v>322</v>
      </c>
      <c r="D3698" s="678" t="s">
        <v>1979</v>
      </c>
      <c r="E3698" s="700" t="s">
        <v>1969</v>
      </c>
      <c r="F3698" s="679">
        <v>2222</v>
      </c>
      <c r="G3698" s="681"/>
      <c r="H3698" s="660"/>
      <c r="I3698" s="660">
        <v>1000</v>
      </c>
      <c r="J3698" s="1494" t="s">
        <v>1134</v>
      </c>
      <c r="K3698" s="667"/>
      <c r="L3698" s="660"/>
      <c r="M3698" s="660"/>
      <c r="N3698" s="1610"/>
      <c r="O3698" s="7"/>
      <c r="P3698" s="7"/>
      <c r="Q3698" s="7"/>
      <c r="R3698" s="7"/>
      <c r="S3698" s="7"/>
      <c r="T3698" s="7"/>
      <c r="U3698" s="7"/>
      <c r="V3698" s="7"/>
      <c r="W3698" s="7"/>
      <c r="X3698" s="7"/>
      <c r="Y3698" s="7"/>
      <c r="Z3698" s="7"/>
      <c r="AA3698" s="7"/>
      <c r="AB3698" s="7"/>
      <c r="AC3698" s="7"/>
      <c r="AD3698" s="7"/>
      <c r="AE3698" s="7"/>
      <c r="AF3698" s="7"/>
    </row>
    <row r="3699" spans="1:32">
      <c r="A3699" s="683"/>
      <c r="B3699" s="3129" t="s">
        <v>772</v>
      </c>
      <c r="C3699" s="683" t="s">
        <v>322</v>
      </c>
      <c r="D3699" s="719" t="s">
        <v>1979</v>
      </c>
      <c r="E3699" s="720" t="s">
        <v>1969</v>
      </c>
      <c r="F3699" s="685">
        <v>2223</v>
      </c>
      <c r="G3699" s="686" t="s">
        <v>154</v>
      </c>
      <c r="H3699" s="689">
        <v>4500</v>
      </c>
      <c r="I3699" s="689"/>
      <c r="J3699" s="1494">
        <v>1806.33</v>
      </c>
      <c r="K3699" s="727"/>
      <c r="L3699" s="689">
        <v>4500</v>
      </c>
      <c r="M3699" s="689"/>
      <c r="N3699" s="1610" t="s">
        <v>1123</v>
      </c>
      <c r="O3699" s="7"/>
      <c r="P3699" s="7"/>
      <c r="Q3699" s="7"/>
      <c r="R3699" s="7"/>
      <c r="S3699" s="7"/>
      <c r="T3699" s="7"/>
      <c r="U3699" s="7"/>
      <c r="V3699" s="7"/>
      <c r="W3699" s="7"/>
      <c r="X3699" s="7"/>
      <c r="Y3699" s="7"/>
      <c r="Z3699" s="7"/>
      <c r="AA3699" s="7"/>
      <c r="AB3699" s="7"/>
      <c r="AC3699" s="7"/>
      <c r="AD3699" s="7"/>
      <c r="AE3699" s="7"/>
      <c r="AF3699" s="7"/>
    </row>
    <row r="3700" spans="1:32">
      <c r="A3700" s="663"/>
      <c r="B3700" s="3130" t="s">
        <v>772</v>
      </c>
      <c r="C3700" s="663" t="s">
        <v>322</v>
      </c>
      <c r="D3700" s="678" t="s">
        <v>1979</v>
      </c>
      <c r="E3700" s="700" t="s">
        <v>1969</v>
      </c>
      <c r="F3700" s="679">
        <v>2223</v>
      </c>
      <c r="G3700" s="681"/>
      <c r="H3700" s="660"/>
      <c r="I3700" s="660">
        <v>4500</v>
      </c>
      <c r="J3700" s="1494" t="s">
        <v>1134</v>
      </c>
      <c r="K3700" s="667"/>
      <c r="L3700" s="660"/>
      <c r="M3700" s="660">
        <v>4500</v>
      </c>
      <c r="N3700" s="1610"/>
      <c r="O3700" s="7"/>
      <c r="P3700" s="7"/>
      <c r="Q3700" s="7"/>
      <c r="R3700" s="7"/>
      <c r="S3700" s="7"/>
      <c r="T3700" s="7"/>
      <c r="U3700" s="7"/>
      <c r="V3700" s="7"/>
      <c r="W3700" s="7"/>
      <c r="X3700" s="7"/>
      <c r="Y3700" s="7"/>
      <c r="Z3700" s="7"/>
      <c r="AA3700" s="7"/>
      <c r="AB3700" s="7"/>
      <c r="AC3700" s="7"/>
      <c r="AD3700" s="7"/>
      <c r="AE3700" s="7"/>
      <c r="AF3700" s="7"/>
    </row>
    <row r="3701" spans="1:32">
      <c r="A3701" s="683"/>
      <c r="B3701" s="3129" t="s">
        <v>772</v>
      </c>
      <c r="C3701" s="683" t="s">
        <v>322</v>
      </c>
      <c r="D3701" s="719" t="s">
        <v>1979</v>
      </c>
      <c r="E3701" s="720" t="s">
        <v>1969</v>
      </c>
      <c r="F3701" s="685">
        <v>2233</v>
      </c>
      <c r="G3701" s="686" t="s">
        <v>145</v>
      </c>
      <c r="H3701" s="689">
        <v>1500</v>
      </c>
      <c r="I3701" s="689"/>
      <c r="J3701" s="1494">
        <v>0</v>
      </c>
      <c r="K3701" s="727"/>
      <c r="L3701" s="689">
        <v>2000</v>
      </c>
      <c r="M3701" s="689"/>
      <c r="N3701" s="1610"/>
      <c r="O3701" s="7"/>
      <c r="P3701" s="7"/>
      <c r="Q3701" s="7"/>
      <c r="R3701" s="7"/>
      <c r="S3701" s="7"/>
      <c r="T3701" s="7"/>
      <c r="U3701" s="7"/>
      <c r="V3701" s="7"/>
      <c r="W3701" s="7"/>
      <c r="X3701" s="7"/>
      <c r="Y3701" s="7"/>
      <c r="Z3701" s="7"/>
      <c r="AA3701" s="7"/>
      <c r="AB3701" s="7"/>
      <c r="AC3701" s="7"/>
      <c r="AD3701" s="7"/>
      <c r="AE3701" s="7"/>
      <c r="AF3701" s="7"/>
    </row>
    <row r="3702" spans="1:32">
      <c r="A3702" s="663"/>
      <c r="B3702" s="3130" t="s">
        <v>772</v>
      </c>
      <c r="C3702" s="663" t="s">
        <v>322</v>
      </c>
      <c r="D3702" s="678" t="s">
        <v>1979</v>
      </c>
      <c r="E3702" s="700" t="s">
        <v>1969</v>
      </c>
      <c r="F3702" s="679">
        <v>2233</v>
      </c>
      <c r="G3702" s="681" t="s">
        <v>1611</v>
      </c>
      <c r="H3702" s="660"/>
      <c r="I3702" s="660">
        <v>1500</v>
      </c>
      <c r="J3702" s="1494" t="s">
        <v>1134</v>
      </c>
      <c r="K3702" s="667"/>
      <c r="L3702" s="660"/>
      <c r="M3702" s="660">
        <v>2000</v>
      </c>
      <c r="N3702" s="1610"/>
      <c r="O3702" s="3"/>
      <c r="P3702" s="3"/>
      <c r="Q3702" s="3"/>
      <c r="R3702" s="3"/>
      <c r="S3702" s="3"/>
      <c r="T3702" s="3"/>
      <c r="U3702" s="3"/>
      <c r="V3702" s="3"/>
      <c r="W3702" s="3"/>
      <c r="X3702" s="3"/>
      <c r="Y3702" s="3"/>
      <c r="Z3702" s="3"/>
      <c r="AA3702" s="3"/>
      <c r="AB3702" s="3"/>
      <c r="AC3702" s="3"/>
      <c r="AD3702" s="3"/>
      <c r="AE3702" s="3"/>
      <c r="AF3702" s="3"/>
    </row>
    <row r="3703" spans="1:32">
      <c r="A3703" s="683"/>
      <c r="B3703" s="3129" t="s">
        <v>772</v>
      </c>
      <c r="C3703" s="683" t="s">
        <v>322</v>
      </c>
      <c r="D3703" s="719" t="s">
        <v>1979</v>
      </c>
      <c r="E3703" s="720" t="s">
        <v>1969</v>
      </c>
      <c r="F3703" s="685">
        <v>2235</v>
      </c>
      <c r="G3703" s="686" t="s">
        <v>931</v>
      </c>
      <c r="H3703" s="689">
        <v>2500</v>
      </c>
      <c r="I3703" s="689"/>
      <c r="J3703" s="1494">
        <v>923.9</v>
      </c>
      <c r="K3703" s="727"/>
      <c r="L3703" s="689">
        <v>4000</v>
      </c>
      <c r="M3703" s="687"/>
      <c r="N3703" s="1610"/>
      <c r="O3703" s="7"/>
      <c r="P3703" s="7"/>
      <c r="Q3703" s="7"/>
      <c r="R3703" s="7"/>
      <c r="S3703" s="7"/>
      <c r="T3703" s="7"/>
      <c r="V3703" s="7"/>
      <c r="W3703" s="7"/>
      <c r="X3703" s="7"/>
      <c r="Y3703" s="7"/>
      <c r="Z3703" s="7"/>
      <c r="AA3703" s="7"/>
      <c r="AB3703" s="7"/>
      <c r="AC3703" s="7"/>
      <c r="AD3703" s="7"/>
      <c r="AE3703" s="7"/>
      <c r="AF3703" s="7"/>
    </row>
    <row r="3704" spans="1:32">
      <c r="A3704" s="663"/>
      <c r="B3704" s="3130" t="s">
        <v>772</v>
      </c>
      <c r="C3704" s="663" t="s">
        <v>322</v>
      </c>
      <c r="D3704" s="678" t="s">
        <v>1979</v>
      </c>
      <c r="E3704" s="700" t="s">
        <v>1969</v>
      </c>
      <c r="F3704" s="679">
        <v>2235</v>
      </c>
      <c r="G3704" s="681" t="s">
        <v>1653</v>
      </c>
      <c r="H3704" s="660"/>
      <c r="I3704" s="660">
        <v>2500</v>
      </c>
      <c r="J3704" s="1494" t="s">
        <v>1134</v>
      </c>
      <c r="K3704" s="667"/>
      <c r="L3704" s="659"/>
      <c r="M3704" s="660">
        <v>4000</v>
      </c>
      <c r="N3704" s="1610"/>
      <c r="O3704" s="3"/>
      <c r="P3704" s="3"/>
      <c r="Q3704" s="3"/>
      <c r="R3704" s="3"/>
      <c r="S3704" s="3"/>
      <c r="T3704" s="3"/>
      <c r="U3704" s="3"/>
      <c r="V3704" s="3"/>
      <c r="W3704" s="3"/>
      <c r="X3704" s="3"/>
      <c r="Y3704" s="3"/>
      <c r="Z3704" s="3"/>
      <c r="AA3704" s="3"/>
      <c r="AB3704" s="3"/>
      <c r="AC3704" s="3"/>
      <c r="AD3704" s="3"/>
      <c r="AE3704" s="3"/>
      <c r="AF3704" s="3"/>
    </row>
    <row r="3705" spans="1:32" ht="20.399999999999999">
      <c r="A3705" s="683"/>
      <c r="B3705" s="3129" t="s">
        <v>772</v>
      </c>
      <c r="C3705" s="683" t="s">
        <v>322</v>
      </c>
      <c r="D3705" s="719" t="s">
        <v>1979</v>
      </c>
      <c r="E3705" s="720" t="s">
        <v>1969</v>
      </c>
      <c r="F3705" s="685">
        <v>2236</v>
      </c>
      <c r="G3705" s="686" t="s">
        <v>1219</v>
      </c>
      <c r="H3705" s="689">
        <v>726</v>
      </c>
      <c r="I3705" s="689"/>
      <c r="J3705" s="1494">
        <v>60.5</v>
      </c>
      <c r="K3705" s="727"/>
      <c r="L3705" s="689">
        <v>730</v>
      </c>
      <c r="M3705" s="689"/>
      <c r="N3705" s="1610"/>
      <c r="O3705" s="7"/>
      <c r="P3705" s="7"/>
      <c r="Q3705" s="7"/>
      <c r="R3705" s="7"/>
      <c r="S3705" s="7"/>
      <c r="T3705" s="7"/>
      <c r="U3705" s="7"/>
      <c r="V3705" s="7"/>
      <c r="W3705" s="7"/>
      <c r="X3705" s="7"/>
      <c r="Y3705" s="7"/>
      <c r="Z3705" s="7"/>
      <c r="AA3705" s="7"/>
      <c r="AB3705" s="7"/>
      <c r="AC3705" s="7"/>
      <c r="AD3705" s="7"/>
      <c r="AE3705" s="7"/>
      <c r="AF3705" s="7"/>
    </row>
    <row r="3706" spans="1:32" ht="20.399999999999999">
      <c r="A3706" s="663"/>
      <c r="B3706" s="3130" t="s">
        <v>772</v>
      </c>
      <c r="C3706" s="663" t="s">
        <v>322</v>
      </c>
      <c r="D3706" s="678" t="s">
        <v>1979</v>
      </c>
      <c r="E3706" s="700" t="s">
        <v>1969</v>
      </c>
      <c r="F3706" s="679">
        <v>2236</v>
      </c>
      <c r="G3706" s="681" t="s">
        <v>2685</v>
      </c>
      <c r="H3706" s="660"/>
      <c r="I3706" s="660">
        <v>726</v>
      </c>
      <c r="J3706" s="1494" t="s">
        <v>1134</v>
      </c>
      <c r="K3706" s="667"/>
      <c r="L3706" s="660"/>
      <c r="M3706" s="660">
        <v>730</v>
      </c>
      <c r="N3706" s="1610"/>
      <c r="O3706" s="7"/>
      <c r="P3706" s="7"/>
      <c r="Q3706" s="7"/>
      <c r="R3706" s="7"/>
      <c r="S3706" s="7"/>
      <c r="T3706" s="7"/>
      <c r="U3706" s="7"/>
      <c r="V3706" s="7"/>
      <c r="W3706" s="7"/>
      <c r="X3706" s="7"/>
      <c r="Y3706" s="7"/>
      <c r="Z3706" s="7"/>
      <c r="AA3706" s="7"/>
      <c r="AB3706" s="7"/>
      <c r="AC3706" s="7"/>
      <c r="AD3706" s="7"/>
      <c r="AE3706" s="7"/>
      <c r="AF3706" s="7"/>
    </row>
    <row r="3707" spans="1:32">
      <c r="A3707" s="683"/>
      <c r="B3707" s="3129" t="s">
        <v>772</v>
      </c>
      <c r="C3707" s="683" t="s">
        <v>322</v>
      </c>
      <c r="D3707" s="719" t="s">
        <v>1979</v>
      </c>
      <c r="E3707" s="720" t="s">
        <v>1969</v>
      </c>
      <c r="F3707" s="685">
        <v>2239</v>
      </c>
      <c r="G3707" s="686" t="s">
        <v>1017</v>
      </c>
      <c r="H3707" s="689">
        <v>199.60000000000002</v>
      </c>
      <c r="I3707" s="689"/>
      <c r="J3707" s="1494">
        <v>39.83</v>
      </c>
      <c r="K3707" s="727"/>
      <c r="L3707" s="689">
        <v>199.60000000000002</v>
      </c>
      <c r="M3707" s="689"/>
      <c r="N3707" s="1610"/>
      <c r="O3707" s="7"/>
      <c r="P3707" s="7"/>
      <c r="Q3707" s="7"/>
      <c r="R3707" s="7"/>
      <c r="S3707" s="7"/>
      <c r="T3707" s="7"/>
      <c r="U3707" s="7"/>
      <c r="V3707" s="7"/>
      <c r="W3707" s="7"/>
      <c r="X3707" s="7"/>
      <c r="Y3707" s="7"/>
      <c r="Z3707" s="7"/>
      <c r="AA3707" s="7"/>
      <c r="AB3707" s="7"/>
      <c r="AC3707" s="7"/>
      <c r="AD3707" s="7"/>
      <c r="AE3707" s="7"/>
      <c r="AF3707" s="7"/>
    </row>
    <row r="3708" spans="1:32" s="9" customFormat="1">
      <c r="A3708" s="663"/>
      <c r="B3708" s="3130" t="s">
        <v>772</v>
      </c>
      <c r="C3708" s="663" t="s">
        <v>322</v>
      </c>
      <c r="D3708" s="678" t="s">
        <v>1979</v>
      </c>
      <c r="E3708" s="700" t="s">
        <v>1969</v>
      </c>
      <c r="F3708" s="679">
        <v>2239</v>
      </c>
      <c r="G3708" s="1719" t="s">
        <v>1612</v>
      </c>
      <c r="H3708" s="660"/>
      <c r="I3708" s="660">
        <v>199.60000000000002</v>
      </c>
      <c r="J3708" s="1494" t="s">
        <v>1134</v>
      </c>
      <c r="K3708" s="667"/>
      <c r="L3708" s="660"/>
      <c r="M3708" s="660">
        <v>199.60000000000002</v>
      </c>
      <c r="N3708" s="1610"/>
      <c r="O3708" s="63"/>
      <c r="P3708" s="63"/>
      <c r="Q3708" s="63"/>
      <c r="R3708" s="63"/>
      <c r="S3708" s="63"/>
      <c r="T3708" s="63"/>
      <c r="V3708" s="63"/>
      <c r="W3708" s="63"/>
      <c r="X3708" s="63"/>
      <c r="Y3708" s="63"/>
      <c r="Z3708" s="63"/>
      <c r="AA3708" s="63"/>
      <c r="AB3708" s="63"/>
      <c r="AC3708" s="63"/>
      <c r="AD3708" s="63"/>
      <c r="AE3708" s="63"/>
      <c r="AF3708" s="63"/>
    </row>
    <row r="3709" spans="1:32" ht="20.399999999999999">
      <c r="A3709" s="683"/>
      <c r="B3709" s="3129" t="s">
        <v>772</v>
      </c>
      <c r="C3709" s="683" t="s">
        <v>322</v>
      </c>
      <c r="D3709" s="719" t="s">
        <v>1979</v>
      </c>
      <c r="E3709" s="720" t="s">
        <v>1969</v>
      </c>
      <c r="F3709" s="685">
        <v>2243</v>
      </c>
      <c r="G3709" s="686" t="s">
        <v>198</v>
      </c>
      <c r="H3709" s="689">
        <v>1700</v>
      </c>
      <c r="I3709" s="689"/>
      <c r="J3709" s="1494">
        <v>320.17</v>
      </c>
      <c r="K3709" s="727"/>
      <c r="L3709" s="689">
        <v>2000</v>
      </c>
      <c r="M3709" s="689"/>
      <c r="N3709" s="1610" t="s">
        <v>4369</v>
      </c>
      <c r="O3709" s="7"/>
      <c r="P3709" s="7"/>
      <c r="Q3709" s="7"/>
      <c r="R3709" s="7"/>
      <c r="S3709" s="7"/>
      <c r="T3709" s="7"/>
      <c r="V3709" s="7"/>
      <c r="W3709" s="7"/>
      <c r="X3709" s="7"/>
      <c r="Y3709" s="7"/>
      <c r="Z3709" s="7"/>
      <c r="AA3709" s="7"/>
      <c r="AB3709" s="7"/>
      <c r="AC3709" s="7"/>
      <c r="AD3709" s="7"/>
      <c r="AE3709" s="7"/>
      <c r="AF3709" s="7"/>
    </row>
    <row r="3710" spans="1:32" s="9" customFormat="1">
      <c r="A3710" s="663"/>
      <c r="B3710" s="3130" t="s">
        <v>772</v>
      </c>
      <c r="C3710" s="663" t="s">
        <v>322</v>
      </c>
      <c r="D3710" s="678" t="s">
        <v>1979</v>
      </c>
      <c r="E3710" s="700" t="s">
        <v>1969</v>
      </c>
      <c r="F3710" s="679">
        <v>2243</v>
      </c>
      <c r="G3710" s="665" t="s">
        <v>2274</v>
      </c>
      <c r="H3710" s="660"/>
      <c r="I3710" s="660">
        <v>800</v>
      </c>
      <c r="J3710" s="1494" t="s">
        <v>1134</v>
      </c>
      <c r="K3710" s="667"/>
      <c r="L3710" s="660"/>
      <c r="M3710" s="660">
        <v>800</v>
      </c>
      <c r="N3710" s="1610"/>
      <c r="O3710" s="63"/>
      <c r="P3710" s="63"/>
      <c r="Q3710" s="63"/>
      <c r="R3710" s="63"/>
      <c r="S3710" s="63"/>
      <c r="T3710" s="63"/>
      <c r="V3710" s="63"/>
      <c r="W3710" s="63"/>
      <c r="X3710" s="63"/>
      <c r="Y3710" s="63"/>
      <c r="Z3710" s="63"/>
      <c r="AA3710" s="63"/>
      <c r="AB3710" s="63"/>
      <c r="AC3710" s="63"/>
      <c r="AD3710" s="63"/>
      <c r="AE3710" s="63"/>
      <c r="AF3710" s="63"/>
    </row>
    <row r="3711" spans="1:32">
      <c r="A3711" s="663"/>
      <c r="B3711" s="3130" t="s">
        <v>772</v>
      </c>
      <c r="C3711" s="663" t="s">
        <v>322</v>
      </c>
      <c r="D3711" s="678" t="s">
        <v>1979</v>
      </c>
      <c r="E3711" s="700" t="s">
        <v>1969</v>
      </c>
      <c r="F3711" s="679">
        <v>2243</v>
      </c>
      <c r="G3711" s="665" t="s">
        <v>3532</v>
      </c>
      <c r="H3711" s="660"/>
      <c r="I3711" s="660">
        <v>900</v>
      </c>
      <c r="J3711" s="1494" t="s">
        <v>1134</v>
      </c>
      <c r="K3711" s="667"/>
      <c r="L3711" s="660"/>
      <c r="M3711" s="660">
        <v>1200</v>
      </c>
      <c r="N3711" s="1610"/>
      <c r="O3711" s="7"/>
      <c r="P3711" s="7"/>
      <c r="Q3711" s="7"/>
      <c r="R3711" s="7"/>
      <c r="S3711" s="7"/>
      <c r="T3711" s="7"/>
      <c r="V3711" s="7"/>
      <c r="W3711" s="7"/>
      <c r="X3711" s="7"/>
      <c r="Y3711" s="7"/>
      <c r="Z3711" s="7"/>
      <c r="AA3711" s="7"/>
      <c r="AB3711" s="7"/>
      <c r="AC3711" s="7"/>
      <c r="AD3711" s="7"/>
      <c r="AE3711" s="7"/>
      <c r="AF3711" s="7"/>
    </row>
    <row r="3712" spans="1:32" s="9" customFormat="1">
      <c r="A3712" s="683" t="s">
        <v>709</v>
      </c>
      <c r="B3712" s="3129" t="s">
        <v>772</v>
      </c>
      <c r="C3712" s="683" t="s">
        <v>322</v>
      </c>
      <c r="D3712" s="719" t="s">
        <v>1979</v>
      </c>
      <c r="E3712" s="720" t="s">
        <v>1969</v>
      </c>
      <c r="F3712" s="685">
        <v>2244</v>
      </c>
      <c r="G3712" s="686" t="s">
        <v>528</v>
      </c>
      <c r="H3712" s="689">
        <v>16320</v>
      </c>
      <c r="I3712" s="689"/>
      <c r="J3712" s="1494">
        <v>11093.31</v>
      </c>
      <c r="K3712" s="727"/>
      <c r="L3712" s="689">
        <v>16320</v>
      </c>
      <c r="M3712" s="689"/>
      <c r="N3712" s="1610"/>
      <c r="O3712" s="63"/>
      <c r="P3712" s="63"/>
      <c r="Q3712" s="63"/>
      <c r="R3712" s="63"/>
      <c r="S3712" s="63"/>
      <c r="T3712" s="63"/>
      <c r="V3712" s="63"/>
      <c r="W3712" s="63"/>
      <c r="X3712" s="63"/>
      <c r="Y3712" s="63"/>
      <c r="Z3712" s="63"/>
      <c r="AA3712" s="63"/>
      <c r="AB3712" s="63"/>
      <c r="AC3712" s="63"/>
      <c r="AD3712" s="63"/>
      <c r="AE3712" s="63"/>
      <c r="AF3712" s="63"/>
    </row>
    <row r="3713" spans="1:32">
      <c r="A3713" s="663" t="s">
        <v>709</v>
      </c>
      <c r="B3713" s="3130" t="s">
        <v>772</v>
      </c>
      <c r="C3713" s="663" t="s">
        <v>322</v>
      </c>
      <c r="D3713" s="678" t="s">
        <v>1979</v>
      </c>
      <c r="E3713" s="700" t="s">
        <v>1969</v>
      </c>
      <c r="F3713" s="679">
        <v>2244</v>
      </c>
      <c r="G3713" s="681" t="s">
        <v>910</v>
      </c>
      <c r="H3713" s="660"/>
      <c r="I3713" s="660">
        <v>12600</v>
      </c>
      <c r="J3713" s="1494" t="s">
        <v>1134</v>
      </c>
      <c r="K3713" s="667"/>
      <c r="L3713" s="660"/>
      <c r="M3713" s="660">
        <v>12600</v>
      </c>
      <c r="N3713" s="1610"/>
      <c r="O3713" s="7"/>
      <c r="P3713" s="7"/>
      <c r="Q3713" s="7"/>
      <c r="R3713" s="7"/>
      <c r="S3713" s="7"/>
      <c r="T3713" s="7"/>
      <c r="V3713" s="7"/>
      <c r="W3713" s="7"/>
      <c r="X3713" s="7"/>
      <c r="Y3713" s="7"/>
      <c r="Z3713" s="7"/>
      <c r="AA3713" s="7"/>
      <c r="AB3713" s="7"/>
      <c r="AC3713" s="7"/>
      <c r="AD3713" s="7"/>
      <c r="AE3713" s="7"/>
      <c r="AF3713" s="7"/>
    </row>
    <row r="3714" spans="1:32">
      <c r="A3714" s="663" t="s">
        <v>709</v>
      </c>
      <c r="B3714" s="3130" t="s">
        <v>772</v>
      </c>
      <c r="C3714" s="663" t="s">
        <v>322</v>
      </c>
      <c r="D3714" s="678" t="s">
        <v>1979</v>
      </c>
      <c r="E3714" s="700" t="s">
        <v>1969</v>
      </c>
      <c r="F3714" s="679">
        <v>2244</v>
      </c>
      <c r="G3714" s="681" t="s">
        <v>1613</v>
      </c>
      <c r="H3714" s="660"/>
      <c r="I3714" s="660">
        <v>3720</v>
      </c>
      <c r="J3714" s="1494" t="s">
        <v>1134</v>
      </c>
      <c r="K3714" s="667"/>
      <c r="L3714" s="660"/>
      <c r="M3714" s="660">
        <v>3720</v>
      </c>
      <c r="N3714" s="1610"/>
      <c r="O3714" s="7"/>
      <c r="P3714" s="7"/>
      <c r="Q3714" s="7"/>
      <c r="R3714" s="7"/>
      <c r="S3714" s="7"/>
      <c r="T3714" s="7"/>
      <c r="V3714" s="7"/>
      <c r="W3714" s="7"/>
      <c r="X3714" s="7"/>
      <c r="Y3714" s="7"/>
      <c r="Z3714" s="7"/>
      <c r="AA3714" s="7"/>
      <c r="AB3714" s="7"/>
      <c r="AC3714" s="7"/>
      <c r="AD3714" s="7"/>
      <c r="AE3714" s="7"/>
      <c r="AF3714" s="7"/>
    </row>
    <row r="3715" spans="1:32" ht="22.5" customHeight="1">
      <c r="A3715" s="683"/>
      <c r="B3715" s="3129" t="s">
        <v>772</v>
      </c>
      <c r="C3715" s="683" t="s">
        <v>322</v>
      </c>
      <c r="D3715" s="719" t="s">
        <v>1979</v>
      </c>
      <c r="E3715" s="720" t="s">
        <v>1969</v>
      </c>
      <c r="F3715" s="685">
        <v>2247</v>
      </c>
      <c r="G3715" s="686" t="s">
        <v>161</v>
      </c>
      <c r="H3715" s="689">
        <v>2000</v>
      </c>
      <c r="I3715" s="689"/>
      <c r="J3715" s="1494">
        <v>0</v>
      </c>
      <c r="K3715" s="727"/>
      <c r="L3715" s="689">
        <v>2000</v>
      </c>
      <c r="M3715" s="689"/>
      <c r="N3715" s="1610"/>
      <c r="O3715" s="7"/>
      <c r="P3715" s="7"/>
      <c r="Q3715" s="7"/>
      <c r="R3715" s="7"/>
      <c r="S3715" s="7"/>
      <c r="T3715" s="7"/>
      <c r="V3715" s="7"/>
      <c r="W3715" s="7"/>
      <c r="X3715" s="7"/>
      <c r="Y3715" s="7"/>
      <c r="Z3715" s="7"/>
      <c r="AA3715" s="7"/>
      <c r="AB3715" s="7"/>
      <c r="AC3715" s="7"/>
      <c r="AD3715" s="7"/>
      <c r="AE3715" s="7"/>
      <c r="AF3715" s="7"/>
    </row>
    <row r="3716" spans="1:32">
      <c r="A3716" s="663"/>
      <c r="B3716" s="3130" t="s">
        <v>772</v>
      </c>
      <c r="C3716" s="663" t="s">
        <v>322</v>
      </c>
      <c r="D3716" s="678" t="s">
        <v>1979</v>
      </c>
      <c r="E3716" s="700" t="s">
        <v>1969</v>
      </c>
      <c r="F3716" s="679">
        <v>2247</v>
      </c>
      <c r="G3716" s="681" t="s">
        <v>2815</v>
      </c>
      <c r="H3716" s="660"/>
      <c r="I3716" s="660">
        <v>2000</v>
      </c>
      <c r="J3716" s="1494" t="s">
        <v>1134</v>
      </c>
      <c r="K3716" s="667"/>
      <c r="L3716" s="660"/>
      <c r="M3716" s="660">
        <v>2000</v>
      </c>
      <c r="N3716" s="1610"/>
      <c r="O3716" s="7"/>
      <c r="P3716" s="7"/>
      <c r="Q3716" s="7"/>
      <c r="R3716" s="7"/>
      <c r="S3716" s="7"/>
      <c r="T3716" s="7"/>
      <c r="V3716" s="7"/>
      <c r="W3716" s="7"/>
      <c r="X3716" s="7"/>
      <c r="Y3716" s="7"/>
      <c r="Z3716" s="7"/>
      <c r="AA3716" s="7"/>
      <c r="AB3716" s="7"/>
      <c r="AC3716" s="7"/>
      <c r="AD3716" s="7"/>
      <c r="AE3716" s="7"/>
      <c r="AF3716" s="7"/>
    </row>
    <row r="3717" spans="1:32">
      <c r="A3717" s="683"/>
      <c r="B3717" s="3129" t="s">
        <v>772</v>
      </c>
      <c r="C3717" s="683" t="s">
        <v>322</v>
      </c>
      <c r="D3717" s="719" t="s">
        <v>1979</v>
      </c>
      <c r="E3717" s="720" t="s">
        <v>1969</v>
      </c>
      <c r="F3717" s="685">
        <v>2264</v>
      </c>
      <c r="G3717" s="686" t="s">
        <v>125</v>
      </c>
      <c r="H3717" s="689">
        <v>350</v>
      </c>
      <c r="I3717" s="689"/>
      <c r="J3717" s="1494">
        <v>194.81</v>
      </c>
      <c r="K3717" s="727"/>
      <c r="L3717" s="689">
        <v>350</v>
      </c>
      <c r="M3717" s="689"/>
      <c r="N3717" s="1610"/>
      <c r="O3717" s="3"/>
      <c r="P3717" s="3"/>
      <c r="Q3717" s="3"/>
      <c r="R3717" s="3"/>
      <c r="S3717" s="3"/>
      <c r="T3717" s="3"/>
      <c r="U3717" s="3"/>
      <c r="V3717" s="3"/>
      <c r="W3717" s="3"/>
      <c r="X3717" s="3"/>
      <c r="Y3717" s="3"/>
      <c r="Z3717" s="3"/>
      <c r="AA3717" s="3"/>
      <c r="AB3717" s="3"/>
      <c r="AC3717" s="3"/>
      <c r="AD3717" s="3"/>
      <c r="AE3717" s="3"/>
      <c r="AF3717" s="3"/>
    </row>
    <row r="3718" spans="1:32">
      <c r="A3718" s="663"/>
      <c r="B3718" s="3130" t="s">
        <v>772</v>
      </c>
      <c r="C3718" s="663" t="s">
        <v>322</v>
      </c>
      <c r="D3718" s="678" t="s">
        <v>1979</v>
      </c>
      <c r="E3718" s="700" t="s">
        <v>1969</v>
      </c>
      <c r="F3718" s="679">
        <v>2264</v>
      </c>
      <c r="G3718" s="681" t="s">
        <v>1614</v>
      </c>
      <c r="H3718" s="660"/>
      <c r="I3718" s="660">
        <v>350</v>
      </c>
      <c r="J3718" s="1494" t="s">
        <v>1134</v>
      </c>
      <c r="K3718" s="667"/>
      <c r="L3718" s="660"/>
      <c r="M3718" s="660">
        <v>350</v>
      </c>
      <c r="N3718" s="1610"/>
      <c r="O3718" s="7"/>
      <c r="P3718" s="7"/>
      <c r="Q3718" s="7"/>
      <c r="R3718" s="7"/>
      <c r="S3718" s="7"/>
      <c r="T3718" s="7"/>
      <c r="U3718" s="7"/>
      <c r="V3718" s="7"/>
      <c r="W3718" s="7"/>
      <c r="X3718" s="7"/>
      <c r="Y3718" s="7"/>
      <c r="Z3718" s="7"/>
      <c r="AA3718" s="7"/>
      <c r="AB3718" s="7"/>
      <c r="AC3718" s="7"/>
      <c r="AD3718" s="7"/>
      <c r="AE3718" s="7"/>
      <c r="AF3718" s="7"/>
    </row>
    <row r="3719" spans="1:32" ht="22.5" customHeight="1">
      <c r="A3719" s="683" t="s">
        <v>518</v>
      </c>
      <c r="B3719" s="3129" t="s">
        <v>772</v>
      </c>
      <c r="C3719" s="683" t="s">
        <v>322</v>
      </c>
      <c r="D3719" s="719" t="s">
        <v>1979</v>
      </c>
      <c r="E3719" s="720" t="s">
        <v>1969</v>
      </c>
      <c r="F3719" s="685">
        <v>2311</v>
      </c>
      <c r="G3719" s="686" t="s">
        <v>206</v>
      </c>
      <c r="H3719" s="689">
        <v>2027</v>
      </c>
      <c r="I3719" s="689"/>
      <c r="J3719" s="1494">
        <v>218.93</v>
      </c>
      <c r="K3719" s="727"/>
      <c r="L3719" s="689">
        <v>3500</v>
      </c>
      <c r="M3719" s="689"/>
      <c r="N3719" s="1610"/>
      <c r="O3719" s="7"/>
      <c r="P3719" s="7"/>
      <c r="Q3719" s="7"/>
      <c r="R3719" s="7"/>
      <c r="S3719" s="7"/>
      <c r="T3719" s="7"/>
      <c r="U3719" s="7"/>
      <c r="V3719" s="7"/>
      <c r="W3719" s="7"/>
      <c r="X3719" s="7"/>
      <c r="Y3719" s="7"/>
      <c r="Z3719" s="7"/>
      <c r="AA3719" s="7"/>
      <c r="AB3719" s="7"/>
      <c r="AC3719" s="7"/>
      <c r="AD3719" s="7"/>
      <c r="AE3719" s="7"/>
      <c r="AF3719" s="7"/>
    </row>
    <row r="3720" spans="1:32" ht="30.6">
      <c r="A3720" s="663"/>
      <c r="B3720" s="3130" t="s">
        <v>772</v>
      </c>
      <c r="C3720" s="663" t="s">
        <v>322</v>
      </c>
      <c r="D3720" s="678" t="s">
        <v>1979</v>
      </c>
      <c r="E3720" s="700" t="s">
        <v>1969</v>
      </c>
      <c r="F3720" s="679">
        <v>2311</v>
      </c>
      <c r="G3720" s="674" t="s">
        <v>2276</v>
      </c>
      <c r="H3720" s="660"/>
      <c r="I3720" s="660">
        <v>600</v>
      </c>
      <c r="J3720" s="1494" t="s">
        <v>1134</v>
      </c>
      <c r="K3720" s="667"/>
      <c r="L3720" s="660"/>
      <c r="M3720" s="660">
        <v>2000</v>
      </c>
      <c r="N3720" s="1610"/>
      <c r="O3720" s="7"/>
      <c r="P3720" s="7"/>
      <c r="Q3720" s="7"/>
      <c r="R3720" s="7"/>
      <c r="S3720" s="7"/>
      <c r="T3720" s="7"/>
      <c r="U3720" s="7"/>
      <c r="V3720" s="7"/>
      <c r="W3720" s="7"/>
      <c r="X3720" s="7"/>
      <c r="Y3720" s="7"/>
      <c r="Z3720" s="7"/>
      <c r="AA3720" s="7"/>
      <c r="AB3720" s="7"/>
      <c r="AC3720" s="7"/>
      <c r="AD3720" s="7"/>
      <c r="AE3720" s="7"/>
      <c r="AF3720" s="7"/>
    </row>
    <row r="3721" spans="1:32" ht="20.399999999999999">
      <c r="A3721" s="1669"/>
      <c r="B3721" s="3130" t="s">
        <v>772</v>
      </c>
      <c r="C3721" s="663" t="s">
        <v>322</v>
      </c>
      <c r="D3721" s="678" t="s">
        <v>1979</v>
      </c>
      <c r="E3721" s="700" t="s">
        <v>1969</v>
      </c>
      <c r="F3721" s="679">
        <v>2311</v>
      </c>
      <c r="G3721" s="1720" t="s">
        <v>3530</v>
      </c>
      <c r="H3721" s="1676"/>
      <c r="I3721" s="1676">
        <v>1500</v>
      </c>
      <c r="J3721" s="1673" t="s">
        <v>1134</v>
      </c>
      <c r="K3721" s="1706"/>
      <c r="L3721" s="1676"/>
      <c r="M3721" s="660">
        <v>1500</v>
      </c>
      <c r="N3721" s="359" t="s">
        <v>4370</v>
      </c>
      <c r="O3721" s="7"/>
      <c r="P3721" s="7"/>
      <c r="Q3721" s="7"/>
      <c r="R3721" s="7"/>
      <c r="S3721" s="7"/>
      <c r="T3721" s="7"/>
      <c r="U3721" s="7"/>
      <c r="V3721" s="7"/>
      <c r="W3721" s="7"/>
      <c r="X3721" s="7"/>
      <c r="Y3721" s="7"/>
      <c r="Z3721" s="7"/>
      <c r="AA3721" s="7"/>
      <c r="AB3721" s="7"/>
      <c r="AC3721" s="7"/>
      <c r="AD3721" s="7"/>
      <c r="AE3721" s="7"/>
      <c r="AF3721" s="7"/>
    </row>
    <row r="3722" spans="1:32" ht="20.399999999999999">
      <c r="A3722" s="663"/>
      <c r="B3722" s="3130" t="s">
        <v>772</v>
      </c>
      <c r="C3722" s="663" t="s">
        <v>322</v>
      </c>
      <c r="D3722" s="678" t="s">
        <v>1979</v>
      </c>
      <c r="E3722" s="700" t="s">
        <v>1969</v>
      </c>
      <c r="F3722" s="679">
        <v>2311</v>
      </c>
      <c r="G3722" s="681" t="s">
        <v>3175</v>
      </c>
      <c r="H3722" s="660"/>
      <c r="I3722" s="660">
        <v>-73</v>
      </c>
      <c r="J3722" s="1494" t="s">
        <v>1134</v>
      </c>
      <c r="K3722" s="667"/>
      <c r="L3722" s="659"/>
      <c r="M3722" s="659"/>
      <c r="N3722" s="1610"/>
      <c r="O3722" s="7"/>
      <c r="P3722" s="7"/>
      <c r="Q3722" s="7"/>
      <c r="R3722" s="7"/>
      <c r="S3722" s="7"/>
      <c r="T3722" s="7"/>
      <c r="U3722" s="7"/>
      <c r="V3722" s="7"/>
      <c r="W3722" s="7"/>
      <c r="X3722" s="7"/>
      <c r="Y3722" s="7"/>
      <c r="Z3722" s="7"/>
      <c r="AA3722" s="7"/>
      <c r="AB3722" s="7"/>
      <c r="AC3722" s="7"/>
      <c r="AD3722" s="7"/>
      <c r="AE3722" s="7"/>
      <c r="AF3722" s="7"/>
    </row>
    <row r="3723" spans="1:32">
      <c r="A3723" s="683" t="s">
        <v>518</v>
      </c>
      <c r="B3723" s="3129" t="s">
        <v>772</v>
      </c>
      <c r="C3723" s="683" t="s">
        <v>322</v>
      </c>
      <c r="D3723" s="719" t="s">
        <v>1979</v>
      </c>
      <c r="E3723" s="720" t="s">
        <v>1969</v>
      </c>
      <c r="F3723" s="685">
        <v>2312</v>
      </c>
      <c r="G3723" s="686" t="s">
        <v>207</v>
      </c>
      <c r="H3723" s="689">
        <v>73</v>
      </c>
      <c r="I3723" s="689"/>
      <c r="J3723" s="1494">
        <v>72.599999999999994</v>
      </c>
      <c r="K3723" s="727"/>
      <c r="L3723" s="689">
        <v>0</v>
      </c>
      <c r="M3723" s="689"/>
      <c r="N3723" s="1610"/>
      <c r="O3723" s="7"/>
      <c r="P3723" s="7"/>
      <c r="Q3723" s="7"/>
      <c r="R3723" s="7"/>
      <c r="S3723" s="7"/>
      <c r="T3723" s="7"/>
      <c r="U3723" s="7"/>
      <c r="V3723" s="7"/>
      <c r="W3723" s="7"/>
      <c r="X3723" s="7"/>
      <c r="Y3723" s="7"/>
      <c r="Z3723" s="7"/>
      <c r="AA3723" s="7"/>
      <c r="AB3723" s="7"/>
      <c r="AC3723" s="7"/>
      <c r="AD3723" s="7"/>
      <c r="AE3723" s="7"/>
      <c r="AF3723" s="7"/>
    </row>
    <row r="3724" spans="1:32" ht="45" customHeight="1">
      <c r="A3724" s="663"/>
      <c r="B3724" s="3130" t="s">
        <v>772</v>
      </c>
      <c r="C3724" s="663" t="s">
        <v>322</v>
      </c>
      <c r="D3724" s="678" t="s">
        <v>1979</v>
      </c>
      <c r="E3724" s="700" t="s">
        <v>1969</v>
      </c>
      <c r="F3724" s="679">
        <v>2312</v>
      </c>
      <c r="G3724" s="665" t="s">
        <v>3175</v>
      </c>
      <c r="H3724" s="660"/>
      <c r="I3724" s="660">
        <v>73</v>
      </c>
      <c r="J3724" s="1494" t="s">
        <v>1134</v>
      </c>
      <c r="K3724" s="667"/>
      <c r="L3724" s="660"/>
      <c r="M3724" s="660"/>
      <c r="N3724" s="1610"/>
      <c r="O3724" s="7"/>
      <c r="P3724" s="7"/>
      <c r="Q3724" s="7"/>
      <c r="R3724" s="7"/>
      <c r="S3724" s="7"/>
      <c r="T3724" s="7"/>
      <c r="V3724" s="7"/>
      <c r="W3724" s="7"/>
      <c r="X3724" s="7"/>
      <c r="Y3724" s="7"/>
      <c r="Z3724" s="7"/>
      <c r="AA3724" s="7"/>
      <c r="AB3724" s="7"/>
      <c r="AC3724" s="7"/>
      <c r="AD3724" s="7"/>
      <c r="AE3724" s="7"/>
      <c r="AF3724" s="7"/>
    </row>
    <row r="3725" spans="1:32" ht="20.399999999999999">
      <c r="A3725" s="683"/>
      <c r="B3725" s="3129" t="s">
        <v>772</v>
      </c>
      <c r="C3725" s="683" t="s">
        <v>322</v>
      </c>
      <c r="D3725" s="719" t="s">
        <v>1979</v>
      </c>
      <c r="E3725" s="720" t="s">
        <v>1969</v>
      </c>
      <c r="F3725" s="685">
        <v>2314</v>
      </c>
      <c r="G3725" s="686" t="s">
        <v>1435</v>
      </c>
      <c r="H3725" s="689">
        <v>400</v>
      </c>
      <c r="I3725" s="689"/>
      <c r="J3725" s="1494">
        <v>194.63</v>
      </c>
      <c r="K3725" s="727"/>
      <c r="L3725" s="689">
        <v>400</v>
      </c>
      <c r="M3725" s="689"/>
      <c r="N3725" s="1610"/>
      <c r="O3725" s="7"/>
      <c r="P3725" s="7"/>
      <c r="Q3725" s="7"/>
      <c r="R3725" s="7"/>
      <c r="S3725" s="7"/>
      <c r="T3725" s="7"/>
      <c r="U3725" s="7"/>
      <c r="V3725" s="7"/>
      <c r="W3725" s="7"/>
      <c r="X3725" s="7"/>
      <c r="Y3725" s="7"/>
      <c r="Z3725" s="7"/>
      <c r="AA3725" s="7"/>
      <c r="AB3725" s="7"/>
      <c r="AC3725" s="7"/>
      <c r="AD3725" s="7"/>
      <c r="AE3725" s="7"/>
      <c r="AF3725" s="7"/>
    </row>
    <row r="3726" spans="1:32">
      <c r="A3726" s="663"/>
      <c r="B3726" s="3130" t="s">
        <v>772</v>
      </c>
      <c r="C3726" s="663" t="s">
        <v>322</v>
      </c>
      <c r="D3726" s="678" t="s">
        <v>1979</v>
      </c>
      <c r="E3726" s="700" t="s">
        <v>1969</v>
      </c>
      <c r="F3726" s="679">
        <v>2314</v>
      </c>
      <c r="G3726" s="665" t="s">
        <v>2278</v>
      </c>
      <c r="H3726" s="660"/>
      <c r="I3726" s="660">
        <v>400</v>
      </c>
      <c r="J3726" s="1494" t="s">
        <v>1134</v>
      </c>
      <c r="K3726" s="667"/>
      <c r="L3726" s="660"/>
      <c r="M3726" s="660">
        <v>400</v>
      </c>
      <c r="N3726" s="75"/>
      <c r="O3726" s="7"/>
      <c r="P3726" s="7"/>
      <c r="Q3726" s="7"/>
      <c r="R3726" s="7"/>
      <c r="S3726" s="7"/>
      <c r="T3726" s="7"/>
      <c r="U3726" s="7"/>
      <c r="V3726" s="7"/>
      <c r="W3726" s="7"/>
      <c r="X3726" s="7"/>
      <c r="Y3726" s="7"/>
      <c r="Z3726" s="7"/>
      <c r="AA3726" s="7"/>
      <c r="AB3726" s="7"/>
      <c r="AC3726" s="7"/>
      <c r="AD3726" s="7"/>
      <c r="AE3726" s="7"/>
      <c r="AF3726" s="7"/>
    </row>
    <row r="3727" spans="1:32" ht="11.4" customHeight="1">
      <c r="A3727" s="683" t="s">
        <v>518</v>
      </c>
      <c r="B3727" s="3129" t="s">
        <v>772</v>
      </c>
      <c r="C3727" s="683" t="s">
        <v>323</v>
      </c>
      <c r="D3727" s="719" t="s">
        <v>1979</v>
      </c>
      <c r="E3727" s="720" t="s">
        <v>1969</v>
      </c>
      <c r="F3727" s="685">
        <v>2322</v>
      </c>
      <c r="G3727" s="686" t="s">
        <v>191</v>
      </c>
      <c r="H3727" s="689">
        <v>675</v>
      </c>
      <c r="I3727" s="689"/>
      <c r="J3727" s="1494">
        <v>413.67</v>
      </c>
      <c r="K3727" s="727"/>
      <c r="L3727" s="689">
        <v>672</v>
      </c>
      <c r="M3727" s="689"/>
      <c r="N3727" s="75"/>
      <c r="O3727" s="7"/>
      <c r="P3727" s="7"/>
      <c r="Q3727" s="7"/>
      <c r="R3727" s="7"/>
      <c r="S3727" s="7"/>
      <c r="T3727" s="7"/>
      <c r="U3727" s="7"/>
      <c r="V3727" s="7"/>
      <c r="W3727" s="7"/>
      <c r="X3727" s="7"/>
      <c r="Y3727" s="7"/>
      <c r="Z3727" s="7"/>
      <c r="AA3727" s="7"/>
      <c r="AB3727" s="7"/>
      <c r="AC3727" s="7"/>
      <c r="AD3727" s="7"/>
      <c r="AE3727" s="7"/>
      <c r="AF3727" s="7"/>
    </row>
    <row r="3728" spans="1:32">
      <c r="A3728" s="663"/>
      <c r="B3728" s="3130" t="s">
        <v>772</v>
      </c>
      <c r="C3728" s="663" t="s">
        <v>323</v>
      </c>
      <c r="D3728" s="678" t="s">
        <v>1979</v>
      </c>
      <c r="E3728" s="700" t="s">
        <v>1969</v>
      </c>
      <c r="F3728" s="679">
        <v>2322</v>
      </c>
      <c r="G3728" s="681" t="s">
        <v>2683</v>
      </c>
      <c r="H3728" s="660"/>
      <c r="I3728" s="660">
        <v>675</v>
      </c>
      <c r="J3728" s="1494" t="s">
        <v>1134</v>
      </c>
      <c r="K3728" s="667"/>
      <c r="L3728" s="660"/>
      <c r="M3728" s="660">
        <v>672</v>
      </c>
      <c r="N3728" s="75"/>
      <c r="O3728" s="7"/>
      <c r="P3728" s="7"/>
      <c r="Q3728" s="7"/>
      <c r="R3728" s="7"/>
      <c r="S3728" s="7"/>
      <c r="T3728" s="7"/>
      <c r="U3728" s="7"/>
      <c r="V3728" s="7"/>
      <c r="W3728" s="7"/>
      <c r="X3728" s="7"/>
      <c r="Y3728" s="7"/>
      <c r="Z3728" s="7"/>
      <c r="AA3728" s="7"/>
      <c r="AB3728" s="7"/>
      <c r="AC3728" s="7"/>
      <c r="AD3728" s="7"/>
      <c r="AE3728" s="7"/>
      <c r="AF3728" s="7"/>
    </row>
    <row r="3729" spans="1:32">
      <c r="A3729" s="683" t="s">
        <v>518</v>
      </c>
      <c r="B3729" s="3129" t="s">
        <v>772</v>
      </c>
      <c r="C3729" s="683" t="s">
        <v>322</v>
      </c>
      <c r="D3729" s="719" t="s">
        <v>1979</v>
      </c>
      <c r="E3729" s="720" t="s">
        <v>1969</v>
      </c>
      <c r="F3729" s="685">
        <v>2350</v>
      </c>
      <c r="G3729" s="686" t="s">
        <v>335</v>
      </c>
      <c r="H3729" s="689">
        <v>3000</v>
      </c>
      <c r="I3729" s="689"/>
      <c r="J3729" s="1494">
        <v>695.64</v>
      </c>
      <c r="K3729" s="727"/>
      <c r="L3729" s="689">
        <v>3000</v>
      </c>
      <c r="M3729" s="689"/>
      <c r="N3729" s="75"/>
      <c r="O3729" s="7"/>
      <c r="P3729" s="7"/>
      <c r="Q3729" s="7"/>
      <c r="R3729" s="7"/>
      <c r="S3729" s="7"/>
      <c r="T3729" s="7"/>
      <c r="U3729" s="7"/>
      <c r="V3729" s="7"/>
      <c r="W3729" s="7"/>
      <c r="X3729" s="7"/>
      <c r="Y3729" s="7"/>
      <c r="Z3729" s="7"/>
      <c r="AA3729" s="7"/>
      <c r="AB3729" s="7"/>
      <c r="AC3729" s="7"/>
      <c r="AD3729" s="7"/>
      <c r="AE3729" s="7"/>
      <c r="AF3729" s="7"/>
    </row>
    <row r="3730" spans="1:32" ht="40.799999999999997">
      <c r="A3730" s="663"/>
      <c r="B3730" s="3130" t="s">
        <v>772</v>
      </c>
      <c r="C3730" s="663" t="s">
        <v>322</v>
      </c>
      <c r="D3730" s="678" t="s">
        <v>1979</v>
      </c>
      <c r="E3730" s="700" t="s">
        <v>1969</v>
      </c>
      <c r="F3730" s="679">
        <v>2350</v>
      </c>
      <c r="G3730" s="665" t="s">
        <v>2279</v>
      </c>
      <c r="H3730" s="660"/>
      <c r="I3730" s="660">
        <v>3000</v>
      </c>
      <c r="J3730" s="1494" t="s">
        <v>1134</v>
      </c>
      <c r="K3730" s="667"/>
      <c r="L3730" s="660"/>
      <c r="M3730" s="660">
        <v>3000</v>
      </c>
      <c r="N3730" s="75"/>
      <c r="O3730" s="7"/>
      <c r="P3730" s="7"/>
      <c r="Q3730" s="7"/>
      <c r="R3730" s="7"/>
      <c r="S3730" s="7"/>
      <c r="T3730" s="7"/>
      <c r="U3730" s="7"/>
      <c r="V3730" s="7"/>
      <c r="W3730" s="7"/>
      <c r="X3730" s="7"/>
      <c r="Y3730" s="7"/>
      <c r="Z3730" s="7"/>
      <c r="AA3730" s="7"/>
      <c r="AB3730" s="7"/>
      <c r="AC3730" s="7"/>
      <c r="AD3730" s="7"/>
      <c r="AE3730" s="7"/>
      <c r="AF3730" s="7"/>
    </row>
    <row r="3731" spans="1:32">
      <c r="A3731" s="663"/>
      <c r="B3731" s="3130" t="s">
        <v>772</v>
      </c>
      <c r="C3731" s="663" t="s">
        <v>322</v>
      </c>
      <c r="D3731" s="678" t="s">
        <v>1979</v>
      </c>
      <c r="E3731" s="700" t="s">
        <v>1969</v>
      </c>
      <c r="F3731" s="679">
        <v>2350</v>
      </c>
      <c r="G3731" s="681"/>
      <c r="H3731" s="660"/>
      <c r="I3731" s="660"/>
      <c r="J3731" s="1494" t="s">
        <v>1134</v>
      </c>
      <c r="K3731" s="667"/>
      <c r="L3731" s="659"/>
      <c r="M3731" s="659"/>
      <c r="N3731" s="75"/>
      <c r="O3731" s="7"/>
      <c r="P3731" s="7"/>
      <c r="Q3731" s="7"/>
      <c r="R3731" s="7"/>
      <c r="S3731" s="7"/>
      <c r="T3731" s="7"/>
      <c r="U3731" s="7"/>
      <c r="V3731" s="7"/>
      <c r="W3731" s="7"/>
      <c r="X3731" s="7"/>
      <c r="Y3731" s="7"/>
      <c r="Z3731" s="7"/>
      <c r="AA3731" s="7"/>
      <c r="AB3731" s="7"/>
      <c r="AC3731" s="7"/>
      <c r="AD3731" s="7"/>
      <c r="AE3731" s="7"/>
      <c r="AF3731" s="7"/>
    </row>
    <row r="3732" spans="1:32">
      <c r="A3732" s="683"/>
      <c r="B3732" s="3129" t="s">
        <v>772</v>
      </c>
      <c r="C3732" s="683" t="s">
        <v>322</v>
      </c>
      <c r="D3732" s="719" t="s">
        <v>1979</v>
      </c>
      <c r="E3732" s="720" t="s">
        <v>1969</v>
      </c>
      <c r="F3732" s="685">
        <v>2390</v>
      </c>
      <c r="G3732" s="686" t="s">
        <v>135</v>
      </c>
      <c r="H3732" s="689">
        <v>4400</v>
      </c>
      <c r="I3732" s="689"/>
      <c r="J3732" s="1494">
        <v>727.22</v>
      </c>
      <c r="K3732" s="727"/>
      <c r="L3732" s="689">
        <v>5210</v>
      </c>
      <c r="M3732" s="689"/>
      <c r="N3732" s="1610" t="s">
        <v>3642</v>
      </c>
      <c r="O3732" s="7"/>
      <c r="P3732" s="7"/>
      <c r="Q3732" s="7"/>
      <c r="R3732" s="7"/>
      <c r="S3732" s="7"/>
      <c r="T3732" s="7"/>
      <c r="U3732" s="7"/>
      <c r="V3732" s="7"/>
      <c r="W3732" s="7"/>
      <c r="X3732" s="7"/>
      <c r="Y3732" s="7"/>
      <c r="Z3732" s="7"/>
      <c r="AA3732" s="7"/>
      <c r="AB3732" s="7"/>
      <c r="AC3732" s="7"/>
      <c r="AD3732" s="7"/>
      <c r="AE3732" s="7"/>
      <c r="AF3732" s="7"/>
    </row>
    <row r="3733" spans="1:32">
      <c r="A3733" s="663"/>
      <c r="B3733" s="3130" t="s">
        <v>772</v>
      </c>
      <c r="C3733" s="663" t="s">
        <v>322</v>
      </c>
      <c r="D3733" s="678" t="s">
        <v>1979</v>
      </c>
      <c r="E3733" s="700" t="s">
        <v>1969</v>
      </c>
      <c r="F3733" s="679">
        <v>2390</v>
      </c>
      <c r="G3733" s="665" t="s">
        <v>2280</v>
      </c>
      <c r="H3733" s="660"/>
      <c r="I3733" s="660">
        <v>3000</v>
      </c>
      <c r="J3733" s="1494" t="s">
        <v>1134</v>
      </c>
      <c r="K3733" s="667"/>
      <c r="L3733" s="660"/>
      <c r="M3733" s="660">
        <v>3000</v>
      </c>
      <c r="N3733" s="1610"/>
      <c r="O3733" s="7"/>
      <c r="P3733" s="7"/>
      <c r="Q3733" s="7"/>
      <c r="R3733" s="7"/>
      <c r="S3733" s="7"/>
      <c r="T3733" s="7"/>
      <c r="U3733" s="7"/>
      <c r="V3733" s="7"/>
      <c r="W3733" s="7"/>
      <c r="X3733" s="7"/>
      <c r="Y3733" s="7"/>
      <c r="Z3733" s="7"/>
      <c r="AA3733" s="7"/>
      <c r="AB3733" s="7"/>
      <c r="AC3733" s="7"/>
      <c r="AD3733" s="7"/>
      <c r="AE3733" s="7"/>
      <c r="AF3733" s="7"/>
    </row>
    <row r="3734" spans="1:32" ht="20.399999999999999">
      <c r="A3734" s="663"/>
      <c r="B3734" s="3130" t="s">
        <v>772</v>
      </c>
      <c r="C3734" s="663" t="s">
        <v>322</v>
      </c>
      <c r="D3734" s="678" t="s">
        <v>1979</v>
      </c>
      <c r="E3734" s="700" t="s">
        <v>1969</v>
      </c>
      <c r="F3734" s="679">
        <v>2390</v>
      </c>
      <c r="G3734" s="665" t="s">
        <v>3535</v>
      </c>
      <c r="H3734" s="660"/>
      <c r="I3734" s="660">
        <v>1400</v>
      </c>
      <c r="J3734" s="1494" t="s">
        <v>1134</v>
      </c>
      <c r="K3734" s="667"/>
      <c r="L3734" s="660"/>
      <c r="M3734" s="660">
        <v>2210</v>
      </c>
      <c r="N3734" s="1610"/>
      <c r="O3734" s="7"/>
      <c r="P3734" s="7"/>
      <c r="Q3734" s="7"/>
      <c r="R3734" s="7"/>
      <c r="S3734" s="7"/>
      <c r="T3734" s="7"/>
      <c r="U3734" s="7"/>
      <c r="V3734" s="7"/>
      <c r="W3734" s="7"/>
      <c r="X3734" s="7"/>
      <c r="Y3734" s="7"/>
      <c r="Z3734" s="7"/>
      <c r="AA3734" s="7"/>
      <c r="AB3734" s="7"/>
      <c r="AC3734" s="7"/>
      <c r="AD3734" s="7"/>
      <c r="AE3734" s="7"/>
      <c r="AF3734" s="7"/>
    </row>
    <row r="3735" spans="1:32" s="386" customFormat="1">
      <c r="A3735" s="683" t="s">
        <v>518</v>
      </c>
      <c r="B3735" s="3129" t="s">
        <v>774</v>
      </c>
      <c r="C3735" s="683" t="s">
        <v>323</v>
      </c>
      <c r="D3735" s="719" t="s">
        <v>1979</v>
      </c>
      <c r="E3735" s="720" t="s">
        <v>1969</v>
      </c>
      <c r="F3735" s="721">
        <v>5238</v>
      </c>
      <c r="G3735" s="686" t="s">
        <v>139</v>
      </c>
      <c r="H3735" s="689">
        <v>0</v>
      </c>
      <c r="I3735" s="689"/>
      <c r="J3735" s="1494" t="s">
        <v>1134</v>
      </c>
      <c r="K3735" s="727"/>
      <c r="L3735" s="687">
        <v>0</v>
      </c>
      <c r="M3735" s="687"/>
      <c r="N3735" s="1610"/>
      <c r="O3735" s="385"/>
      <c r="P3735" s="385"/>
      <c r="Q3735" s="385"/>
      <c r="R3735" s="385"/>
      <c r="S3735" s="385"/>
      <c r="T3735" s="385"/>
      <c r="U3735" s="385"/>
      <c r="V3735" s="385"/>
      <c r="W3735" s="385"/>
      <c r="X3735" s="385"/>
      <c r="Y3735" s="385"/>
      <c r="Z3735" s="385"/>
      <c r="AA3735" s="385"/>
      <c r="AB3735" s="385"/>
      <c r="AC3735" s="385"/>
      <c r="AD3735" s="385"/>
      <c r="AE3735" s="385"/>
      <c r="AF3735" s="385"/>
    </row>
    <row r="3736" spans="1:32">
      <c r="A3736" s="663"/>
      <c r="B3736" s="3130" t="s">
        <v>774</v>
      </c>
      <c r="C3736" s="663" t="s">
        <v>323</v>
      </c>
      <c r="D3736" s="678" t="s">
        <v>1979</v>
      </c>
      <c r="E3736" s="700" t="s">
        <v>1969</v>
      </c>
      <c r="F3736" s="725">
        <v>5238</v>
      </c>
      <c r="G3736" s="665"/>
      <c r="H3736" s="660"/>
      <c r="I3736" s="660"/>
      <c r="J3736" s="1494" t="s">
        <v>1134</v>
      </c>
      <c r="K3736" s="667"/>
      <c r="L3736" s="659"/>
      <c r="M3736" s="659"/>
      <c r="N3736" s="1610"/>
      <c r="O3736" s="7"/>
      <c r="P3736" s="7"/>
      <c r="Q3736" s="7"/>
      <c r="R3736" s="7"/>
      <c r="S3736" s="7"/>
      <c r="T3736" s="7"/>
      <c r="U3736" s="7"/>
      <c r="V3736" s="7"/>
      <c r="W3736" s="7"/>
      <c r="X3736" s="7"/>
      <c r="Y3736" s="7"/>
      <c r="Z3736" s="7"/>
      <c r="AA3736" s="7"/>
      <c r="AB3736" s="7"/>
      <c r="AC3736" s="7"/>
      <c r="AD3736" s="7"/>
      <c r="AE3736" s="7"/>
      <c r="AF3736" s="7"/>
    </row>
    <row r="3737" spans="1:32" ht="20.399999999999999">
      <c r="A3737" s="683" t="s">
        <v>518</v>
      </c>
      <c r="B3737" s="3129" t="s">
        <v>774</v>
      </c>
      <c r="C3737" s="683" t="s">
        <v>323</v>
      </c>
      <c r="D3737" s="719" t="s">
        <v>1979</v>
      </c>
      <c r="E3737" s="720" t="s">
        <v>1969</v>
      </c>
      <c r="F3737" s="721">
        <v>5239</v>
      </c>
      <c r="G3737" s="686" t="s">
        <v>1178</v>
      </c>
      <c r="H3737" s="689">
        <v>1000</v>
      </c>
      <c r="I3737" s="689"/>
      <c r="J3737" s="1494">
        <v>599</v>
      </c>
      <c r="K3737" s="727"/>
      <c r="L3737" s="689">
        <v>1000</v>
      </c>
      <c r="M3737" s="689"/>
      <c r="N3737" s="1610"/>
      <c r="O3737" s="7"/>
      <c r="P3737" s="7"/>
      <c r="Q3737" s="7"/>
      <c r="R3737" s="7"/>
      <c r="S3737" s="7"/>
      <c r="T3737" s="7"/>
      <c r="U3737" s="7"/>
      <c r="V3737" s="7"/>
      <c r="W3737" s="7"/>
      <c r="X3737" s="7"/>
      <c r="Y3737" s="7"/>
      <c r="Z3737" s="7"/>
      <c r="AA3737" s="7"/>
      <c r="AB3737" s="7"/>
      <c r="AC3737" s="7"/>
      <c r="AD3737" s="7"/>
      <c r="AE3737" s="7"/>
      <c r="AF3737" s="7"/>
    </row>
    <row r="3738" spans="1:32">
      <c r="A3738" s="663"/>
      <c r="B3738" s="3130" t="s">
        <v>774</v>
      </c>
      <c r="C3738" s="663" t="s">
        <v>323</v>
      </c>
      <c r="D3738" s="678" t="s">
        <v>1979</v>
      </c>
      <c r="E3738" s="700" t="s">
        <v>1969</v>
      </c>
      <c r="F3738" s="725">
        <v>5239</v>
      </c>
      <c r="G3738" s="665" t="s">
        <v>2688</v>
      </c>
      <c r="H3738" s="660"/>
      <c r="I3738" s="660">
        <v>1000</v>
      </c>
      <c r="J3738" s="1494" t="s">
        <v>1134</v>
      </c>
      <c r="K3738" s="667"/>
      <c r="L3738" s="660"/>
      <c r="M3738" s="660">
        <v>1000</v>
      </c>
      <c r="N3738" s="1610" t="s">
        <v>3644</v>
      </c>
      <c r="O3738" s="7"/>
      <c r="P3738" s="7"/>
      <c r="Q3738" s="7"/>
      <c r="R3738" s="7"/>
      <c r="S3738" s="7"/>
      <c r="T3738" s="7"/>
      <c r="U3738" s="7"/>
      <c r="V3738" s="7"/>
      <c r="W3738" s="7"/>
      <c r="X3738" s="7"/>
      <c r="Y3738" s="7"/>
      <c r="Z3738" s="7"/>
      <c r="AA3738" s="7"/>
      <c r="AB3738" s="7"/>
      <c r="AC3738" s="7"/>
      <c r="AD3738" s="7"/>
      <c r="AE3738" s="7"/>
      <c r="AF3738" s="7"/>
    </row>
    <row r="3739" spans="1:32" ht="20.399999999999999">
      <c r="A3739" s="683" t="s">
        <v>518</v>
      </c>
      <c r="B3739" s="3129" t="s">
        <v>773</v>
      </c>
      <c r="C3739" s="683" t="s">
        <v>323</v>
      </c>
      <c r="D3739" s="719" t="s">
        <v>1979</v>
      </c>
      <c r="E3739" s="720" t="s">
        <v>1969</v>
      </c>
      <c r="F3739" s="721">
        <v>5239</v>
      </c>
      <c r="G3739" s="686" t="s">
        <v>1178</v>
      </c>
      <c r="H3739" s="689">
        <v>0</v>
      </c>
      <c r="I3739" s="689"/>
      <c r="J3739" s="1494" t="s">
        <v>1134</v>
      </c>
      <c r="K3739" s="727"/>
      <c r="L3739" s="689">
        <v>6500</v>
      </c>
      <c r="M3739" s="687"/>
      <c r="N3739" s="75"/>
      <c r="O3739" s="7"/>
      <c r="P3739" s="7"/>
      <c r="Q3739" s="7"/>
      <c r="R3739" s="7"/>
      <c r="S3739" s="7"/>
      <c r="T3739" s="7"/>
      <c r="U3739" s="7"/>
      <c r="V3739" s="7"/>
      <c r="W3739" s="7"/>
      <c r="X3739" s="7"/>
      <c r="Y3739" s="7"/>
      <c r="Z3739" s="7"/>
      <c r="AA3739" s="7"/>
      <c r="AB3739" s="7"/>
      <c r="AC3739" s="7"/>
      <c r="AD3739" s="7"/>
      <c r="AE3739" s="7"/>
      <c r="AF3739" s="7"/>
    </row>
    <row r="3740" spans="1:32" ht="20.399999999999999">
      <c r="A3740" s="668"/>
      <c r="B3740" s="3144" t="s">
        <v>773</v>
      </c>
      <c r="C3740" s="668" t="s">
        <v>323</v>
      </c>
      <c r="D3740" s="669" t="s">
        <v>1979</v>
      </c>
      <c r="E3740" s="670" t="s">
        <v>1969</v>
      </c>
      <c r="F3740" s="718">
        <v>5239</v>
      </c>
      <c r="G3740" s="717" t="s">
        <v>3523</v>
      </c>
      <c r="H3740" s="672"/>
      <c r="I3740" s="672"/>
      <c r="J3740" s="1494" t="s">
        <v>1134</v>
      </c>
      <c r="K3740" s="672"/>
      <c r="L3740" s="730"/>
      <c r="M3740" s="1653">
        <v>6500</v>
      </c>
      <c r="N3740" s="75"/>
      <c r="O3740" s="7"/>
      <c r="P3740" s="7"/>
      <c r="Q3740" s="7"/>
      <c r="R3740" s="7"/>
      <c r="S3740" s="7"/>
      <c r="T3740" s="7"/>
      <c r="U3740" s="7"/>
      <c r="V3740" s="7"/>
      <c r="W3740" s="7"/>
      <c r="X3740" s="7"/>
      <c r="Y3740" s="7"/>
      <c r="Z3740" s="7"/>
      <c r="AA3740" s="7"/>
      <c r="AB3740" s="7"/>
      <c r="AC3740" s="7"/>
      <c r="AD3740" s="7"/>
      <c r="AE3740" s="7"/>
      <c r="AF3740" s="7"/>
    </row>
    <row r="3741" spans="1:32">
      <c r="A3741" s="683" t="s">
        <v>518</v>
      </c>
      <c r="B3741" s="3129" t="s">
        <v>338</v>
      </c>
      <c r="C3741" s="683" t="s">
        <v>644</v>
      </c>
      <c r="D3741" s="719" t="s">
        <v>1979</v>
      </c>
      <c r="E3741" s="720" t="s">
        <v>1969</v>
      </c>
      <c r="F3741" s="685">
        <v>6322</v>
      </c>
      <c r="G3741" s="686" t="s">
        <v>914</v>
      </c>
      <c r="H3741" s="689">
        <v>21000</v>
      </c>
      <c r="I3741" s="689"/>
      <c r="J3741" s="1494">
        <v>10164.4</v>
      </c>
      <c r="K3741" s="727"/>
      <c r="L3741" s="689">
        <v>23000</v>
      </c>
      <c r="M3741" s="689"/>
      <c r="N3741" s="75"/>
      <c r="O3741" s="7"/>
      <c r="P3741" s="7"/>
      <c r="Q3741" s="7"/>
      <c r="R3741" s="7"/>
      <c r="S3741" s="7"/>
      <c r="T3741" s="7"/>
      <c r="U3741" s="7"/>
      <c r="V3741" s="7"/>
      <c r="W3741" s="7"/>
      <c r="X3741" s="7"/>
      <c r="Y3741" s="7"/>
      <c r="Z3741" s="7"/>
      <c r="AA3741" s="7"/>
      <c r="AB3741" s="7"/>
      <c r="AC3741" s="7"/>
      <c r="AD3741" s="7"/>
      <c r="AE3741" s="7"/>
      <c r="AF3741" s="7"/>
    </row>
    <row r="3742" spans="1:32" ht="20.399999999999999">
      <c r="A3742" s="663"/>
      <c r="B3742" s="3130" t="s">
        <v>338</v>
      </c>
      <c r="C3742" s="663" t="s">
        <v>644</v>
      </c>
      <c r="D3742" s="678" t="s">
        <v>1979</v>
      </c>
      <c r="E3742" s="700" t="s">
        <v>1969</v>
      </c>
      <c r="F3742" s="679">
        <v>6322</v>
      </c>
      <c r="G3742" s="665" t="s">
        <v>2281</v>
      </c>
      <c r="H3742" s="660"/>
      <c r="I3742" s="660">
        <v>21000</v>
      </c>
      <c r="J3742" s="1494" t="s">
        <v>1134</v>
      </c>
      <c r="K3742" s="667"/>
      <c r="L3742" s="660"/>
      <c r="M3742" s="660">
        <v>23000</v>
      </c>
      <c r="N3742" s="75"/>
      <c r="O3742" s="7"/>
      <c r="P3742" s="7"/>
      <c r="Q3742" s="7"/>
      <c r="R3742" s="7"/>
      <c r="S3742" s="7"/>
      <c r="T3742" s="7"/>
      <c r="U3742" s="7"/>
      <c r="V3742" s="7"/>
      <c r="W3742" s="7"/>
      <c r="X3742" s="7"/>
      <c r="Y3742" s="7"/>
      <c r="Z3742" s="7"/>
      <c r="AA3742" s="7"/>
      <c r="AB3742" s="7"/>
      <c r="AC3742" s="7"/>
      <c r="AD3742" s="7"/>
      <c r="AE3742" s="7"/>
      <c r="AF3742" s="7"/>
    </row>
    <row r="3743" spans="1:32">
      <c r="A3743" s="683"/>
      <c r="B3743" s="3129" t="s">
        <v>338</v>
      </c>
      <c r="C3743" s="683" t="s">
        <v>644</v>
      </c>
      <c r="D3743" s="719" t="s">
        <v>1979</v>
      </c>
      <c r="E3743" s="720" t="s">
        <v>1969</v>
      </c>
      <c r="F3743" s="685">
        <v>6421</v>
      </c>
      <c r="G3743" s="686" t="s">
        <v>292</v>
      </c>
      <c r="H3743" s="689">
        <v>500</v>
      </c>
      <c r="I3743" s="689"/>
      <c r="J3743" s="1494">
        <v>0</v>
      </c>
      <c r="K3743" s="727"/>
      <c r="L3743" s="689">
        <v>500</v>
      </c>
      <c r="M3743" s="689"/>
      <c r="N3743" s="75"/>
      <c r="O3743" s="7"/>
      <c r="P3743" s="7"/>
      <c r="Q3743" s="7"/>
      <c r="R3743" s="7"/>
      <c r="S3743" s="7"/>
      <c r="T3743" s="7"/>
      <c r="U3743" s="7"/>
      <c r="V3743" s="7"/>
      <c r="W3743" s="7"/>
      <c r="X3743" s="7"/>
      <c r="Y3743" s="7"/>
      <c r="Z3743" s="7"/>
      <c r="AA3743" s="7"/>
      <c r="AB3743" s="7"/>
      <c r="AC3743" s="7"/>
      <c r="AD3743" s="7"/>
      <c r="AE3743" s="7"/>
      <c r="AF3743" s="7"/>
    </row>
    <row r="3744" spans="1:32">
      <c r="A3744" s="663"/>
      <c r="B3744" s="3130" t="s">
        <v>338</v>
      </c>
      <c r="C3744" s="663" t="s">
        <v>644</v>
      </c>
      <c r="D3744" s="678" t="s">
        <v>1979</v>
      </c>
      <c r="E3744" s="700" t="s">
        <v>1969</v>
      </c>
      <c r="F3744" s="679">
        <v>6421</v>
      </c>
      <c r="G3744" s="681"/>
      <c r="H3744" s="660"/>
      <c r="I3744" s="660">
        <v>500</v>
      </c>
      <c r="J3744" s="1494" t="s">
        <v>1134</v>
      </c>
      <c r="K3744" s="667"/>
      <c r="L3744" s="660"/>
      <c r="M3744" s="660">
        <v>500</v>
      </c>
      <c r="N3744" s="75"/>
      <c r="O3744" s="7"/>
      <c r="P3744" s="7"/>
      <c r="Q3744" s="7"/>
      <c r="R3744" s="7"/>
      <c r="S3744" s="7"/>
      <c r="T3744" s="7"/>
      <c r="U3744" s="7"/>
      <c r="V3744" s="7"/>
      <c r="W3744" s="7"/>
      <c r="X3744" s="7"/>
      <c r="Y3744" s="7"/>
      <c r="Z3744" s="7"/>
      <c r="AA3744" s="7"/>
      <c r="AB3744" s="7"/>
      <c r="AC3744" s="7"/>
      <c r="AD3744" s="7"/>
      <c r="AE3744" s="7"/>
      <c r="AF3744" s="7"/>
    </row>
    <row r="3745" spans="1:32" ht="11.4" customHeight="1">
      <c r="A3745" s="683" t="s">
        <v>709</v>
      </c>
      <c r="B3745" s="3129" t="s">
        <v>1211</v>
      </c>
      <c r="C3745" s="683" t="s">
        <v>322</v>
      </c>
      <c r="D3745" s="719" t="s">
        <v>1979</v>
      </c>
      <c r="E3745" s="720" t="s">
        <v>1969</v>
      </c>
      <c r="F3745" s="685">
        <v>7230</v>
      </c>
      <c r="G3745" s="686" t="s">
        <v>1027</v>
      </c>
      <c r="H3745" s="689">
        <v>12664</v>
      </c>
      <c r="I3745" s="689"/>
      <c r="J3745" s="1494">
        <v>8441</v>
      </c>
      <c r="K3745" s="727"/>
      <c r="L3745" s="689">
        <v>11649</v>
      </c>
      <c r="M3745" s="689"/>
      <c r="N3745" s="75"/>
      <c r="O3745" s="7"/>
      <c r="P3745" s="7"/>
      <c r="Q3745" s="7"/>
      <c r="R3745" s="7"/>
      <c r="S3745" s="7"/>
      <c r="T3745" s="7"/>
      <c r="U3745" s="7"/>
      <c r="V3745" s="7"/>
      <c r="W3745" s="7"/>
      <c r="X3745" s="7"/>
      <c r="Y3745" s="7"/>
      <c r="Z3745" s="7"/>
      <c r="AA3745" s="7"/>
      <c r="AB3745" s="7"/>
      <c r="AC3745" s="7"/>
      <c r="AD3745" s="7"/>
      <c r="AE3745" s="7"/>
      <c r="AF3745" s="7"/>
    </row>
    <row r="3746" spans="1:32" ht="33.75" customHeight="1">
      <c r="A3746" s="663" t="s">
        <v>709</v>
      </c>
      <c r="B3746" s="3130" t="s">
        <v>1211</v>
      </c>
      <c r="C3746" s="663" t="s">
        <v>322</v>
      </c>
      <c r="D3746" s="678" t="s">
        <v>1979</v>
      </c>
      <c r="E3746" s="700" t="s">
        <v>1969</v>
      </c>
      <c r="F3746" s="679">
        <v>7230</v>
      </c>
      <c r="G3746" s="681" t="s">
        <v>2550</v>
      </c>
      <c r="H3746" s="660"/>
      <c r="I3746" s="660">
        <v>4792</v>
      </c>
      <c r="J3746" s="1494" t="s">
        <v>1134</v>
      </c>
      <c r="K3746" s="667"/>
      <c r="L3746" s="660"/>
      <c r="M3746" s="660">
        <v>4792</v>
      </c>
      <c r="N3746" s="75"/>
      <c r="O3746" s="7"/>
      <c r="P3746" s="7"/>
      <c r="Q3746" s="7"/>
      <c r="R3746" s="7"/>
      <c r="S3746" s="7"/>
      <c r="T3746" s="7"/>
      <c r="U3746" s="7"/>
      <c r="V3746" s="7"/>
      <c r="W3746" s="7"/>
      <c r="X3746" s="7"/>
      <c r="Y3746" s="7"/>
      <c r="Z3746" s="7"/>
      <c r="AA3746" s="7"/>
      <c r="AB3746" s="7"/>
      <c r="AC3746" s="7"/>
      <c r="AD3746" s="7"/>
      <c r="AE3746" s="7"/>
      <c r="AF3746" s="7"/>
    </row>
    <row r="3747" spans="1:32" s="56" customFormat="1" ht="10.199999999999999">
      <c r="A3747" s="663" t="s">
        <v>709</v>
      </c>
      <c r="B3747" s="3130" t="s">
        <v>1211</v>
      </c>
      <c r="C3747" s="663" t="s">
        <v>322</v>
      </c>
      <c r="D3747" s="678" t="s">
        <v>1979</v>
      </c>
      <c r="E3747" s="700" t="s">
        <v>1969</v>
      </c>
      <c r="F3747" s="679">
        <v>7230</v>
      </c>
      <c r="G3747" s="1262" t="s">
        <v>2840</v>
      </c>
      <c r="H3747" s="1260"/>
      <c r="I3747" s="1260">
        <v>720</v>
      </c>
      <c r="J3747" s="1494" t="s">
        <v>1134</v>
      </c>
      <c r="K3747" s="1261"/>
      <c r="L3747" s="1260"/>
      <c r="M3747" s="1260">
        <v>800</v>
      </c>
      <c r="N3747" s="75"/>
    </row>
    <row r="3748" spans="1:32" s="56" customFormat="1" ht="10.199999999999999">
      <c r="A3748" s="663" t="s">
        <v>709</v>
      </c>
      <c r="B3748" s="3130" t="s">
        <v>1211</v>
      </c>
      <c r="C3748" s="663" t="s">
        <v>322</v>
      </c>
      <c r="D3748" s="678" t="s">
        <v>1979</v>
      </c>
      <c r="E3748" s="700" t="s">
        <v>1969</v>
      </c>
      <c r="F3748" s="679">
        <v>7230</v>
      </c>
      <c r="G3748" s="681" t="s">
        <v>2282</v>
      </c>
      <c r="H3748" s="660"/>
      <c r="I3748" s="660">
        <v>950</v>
      </c>
      <c r="J3748" s="1494" t="s">
        <v>1134</v>
      </c>
      <c r="K3748" s="667"/>
      <c r="L3748" s="660"/>
      <c r="M3748" s="660">
        <v>1100</v>
      </c>
      <c r="N3748" s="75"/>
    </row>
    <row r="3749" spans="1:32">
      <c r="A3749" s="663" t="s">
        <v>709</v>
      </c>
      <c r="B3749" s="3130" t="s">
        <v>1211</v>
      </c>
      <c r="C3749" s="663" t="s">
        <v>322</v>
      </c>
      <c r="D3749" s="678" t="s">
        <v>1979</v>
      </c>
      <c r="E3749" s="700" t="s">
        <v>1969</v>
      </c>
      <c r="F3749" s="679">
        <v>7230</v>
      </c>
      <c r="G3749" s="665" t="s">
        <v>4501</v>
      </c>
      <c r="H3749" s="660"/>
      <c r="I3749" s="660">
        <v>1700</v>
      </c>
      <c r="J3749" s="1494" t="s">
        <v>1134</v>
      </c>
      <c r="K3749" s="667"/>
      <c r="L3749" s="660"/>
      <c r="M3749" s="660">
        <v>0</v>
      </c>
      <c r="N3749" s="75"/>
      <c r="O3749" s="7"/>
      <c r="P3749" s="7"/>
      <c r="Q3749" s="7"/>
      <c r="R3749" s="7"/>
      <c r="S3749" s="7"/>
      <c r="T3749" s="7"/>
      <c r="U3749" s="7"/>
      <c r="V3749" s="7"/>
      <c r="W3749" s="7"/>
      <c r="X3749" s="7"/>
      <c r="Y3749" s="7"/>
      <c r="Z3749" s="7"/>
      <c r="AA3749" s="7"/>
      <c r="AB3749" s="7"/>
      <c r="AC3749" s="7"/>
      <c r="AD3749" s="7"/>
      <c r="AE3749" s="7"/>
      <c r="AF3749" s="7"/>
    </row>
    <row r="3750" spans="1:32">
      <c r="A3750" s="663" t="s">
        <v>709</v>
      </c>
      <c r="B3750" s="3130" t="s">
        <v>1211</v>
      </c>
      <c r="C3750" s="663" t="s">
        <v>322</v>
      </c>
      <c r="D3750" s="678" t="s">
        <v>1979</v>
      </c>
      <c r="E3750" s="700" t="s">
        <v>1969</v>
      </c>
      <c r="F3750" s="679">
        <v>7230</v>
      </c>
      <c r="G3750" s="665" t="s">
        <v>4502</v>
      </c>
      <c r="H3750" s="660"/>
      <c r="I3750" s="660">
        <v>1200</v>
      </c>
      <c r="J3750" s="1494" t="s">
        <v>1134</v>
      </c>
      <c r="K3750" s="667"/>
      <c r="L3750" s="660"/>
      <c r="M3750" s="660">
        <v>500</v>
      </c>
      <c r="N3750" s="75"/>
      <c r="O3750" s="7"/>
      <c r="P3750" s="7"/>
      <c r="Q3750" s="7"/>
      <c r="R3750" s="7"/>
      <c r="S3750" s="7"/>
      <c r="T3750" s="7"/>
      <c r="U3750" s="7"/>
      <c r="V3750" s="7"/>
      <c r="W3750" s="7"/>
      <c r="X3750" s="7"/>
      <c r="Y3750" s="7"/>
      <c r="Z3750" s="7"/>
      <c r="AA3750" s="7"/>
      <c r="AB3750" s="7"/>
      <c r="AC3750" s="7"/>
      <c r="AD3750" s="7"/>
      <c r="AE3750" s="7"/>
      <c r="AF3750" s="7"/>
    </row>
    <row r="3751" spans="1:32" ht="11.4" customHeight="1">
      <c r="A3751" s="663" t="s">
        <v>709</v>
      </c>
      <c r="B3751" s="3130" t="s">
        <v>1211</v>
      </c>
      <c r="C3751" s="663" t="s">
        <v>322</v>
      </c>
      <c r="D3751" s="678" t="s">
        <v>1979</v>
      </c>
      <c r="E3751" s="700" t="s">
        <v>1969</v>
      </c>
      <c r="F3751" s="679">
        <v>7230</v>
      </c>
      <c r="G3751" s="665" t="s">
        <v>2554</v>
      </c>
      <c r="H3751" s="1022"/>
      <c r="I3751" s="1022">
        <v>872</v>
      </c>
      <c r="J3751" s="1494" t="s">
        <v>1134</v>
      </c>
      <c r="K3751" s="667"/>
      <c r="L3751" s="660"/>
      <c r="M3751" s="660">
        <v>872</v>
      </c>
      <c r="N3751" s="75"/>
      <c r="O3751" s="7"/>
      <c r="P3751" s="7"/>
      <c r="Q3751" s="7"/>
      <c r="R3751" s="7"/>
      <c r="S3751" s="7"/>
      <c r="T3751" s="7"/>
      <c r="U3751" s="7"/>
      <c r="V3751" s="7"/>
      <c r="W3751" s="7"/>
      <c r="X3751" s="7"/>
      <c r="Y3751" s="7"/>
      <c r="Z3751" s="7"/>
      <c r="AA3751" s="7"/>
      <c r="AB3751" s="7"/>
      <c r="AC3751" s="7"/>
      <c r="AD3751" s="7"/>
      <c r="AE3751" s="7"/>
      <c r="AF3751" s="7"/>
    </row>
    <row r="3752" spans="1:32" ht="12">
      <c r="A3752" s="663" t="s">
        <v>709</v>
      </c>
      <c r="B3752" s="3130" t="s">
        <v>1211</v>
      </c>
      <c r="C3752" s="663" t="s">
        <v>322</v>
      </c>
      <c r="D3752" s="678" t="s">
        <v>1979</v>
      </c>
      <c r="E3752" s="700" t="s">
        <v>1969</v>
      </c>
      <c r="F3752" s="679">
        <v>7230</v>
      </c>
      <c r="G3752" s="665" t="s">
        <v>2551</v>
      </c>
      <c r="H3752" s="1022"/>
      <c r="I3752" s="1022">
        <v>390</v>
      </c>
      <c r="J3752" s="1494" t="s">
        <v>1134</v>
      </c>
      <c r="K3752" s="667"/>
      <c r="L3752" s="660"/>
      <c r="M3752" s="660">
        <v>390</v>
      </c>
      <c r="N3752" s="645"/>
      <c r="O3752" s="7"/>
      <c r="P3752" s="7"/>
      <c r="Q3752" s="7"/>
      <c r="R3752" s="7"/>
      <c r="S3752" s="7"/>
      <c r="T3752" s="7"/>
      <c r="U3752" s="7"/>
      <c r="V3752" s="7"/>
      <c r="W3752" s="7"/>
      <c r="X3752" s="7"/>
      <c r="Y3752" s="7"/>
      <c r="Z3752" s="7"/>
      <c r="AA3752" s="7"/>
      <c r="AB3752" s="7"/>
      <c r="AC3752" s="7"/>
      <c r="AD3752" s="7"/>
      <c r="AE3752" s="7"/>
      <c r="AF3752" s="7"/>
    </row>
    <row r="3753" spans="1:32" ht="20.399999999999999">
      <c r="A3753" s="663" t="s">
        <v>709</v>
      </c>
      <c r="B3753" s="3130" t="s">
        <v>1211</v>
      </c>
      <c r="C3753" s="663" t="s">
        <v>322</v>
      </c>
      <c r="D3753" s="678" t="s">
        <v>1979</v>
      </c>
      <c r="E3753" s="700" t="s">
        <v>1969</v>
      </c>
      <c r="F3753" s="679">
        <v>7230</v>
      </c>
      <c r="G3753" s="665" t="s">
        <v>2553</v>
      </c>
      <c r="H3753" s="1022"/>
      <c r="I3753" s="1022">
        <v>1290</v>
      </c>
      <c r="J3753" s="1494" t="s">
        <v>1134</v>
      </c>
      <c r="K3753" s="667"/>
      <c r="L3753" s="660"/>
      <c r="M3753" s="660">
        <v>500</v>
      </c>
      <c r="N3753" s="645"/>
      <c r="O3753" s="7"/>
      <c r="P3753" s="7"/>
      <c r="Q3753" s="7"/>
      <c r="R3753" s="7"/>
      <c r="S3753" s="7"/>
      <c r="T3753" s="7"/>
      <c r="U3753" s="7"/>
      <c r="V3753" s="7"/>
      <c r="W3753" s="7"/>
      <c r="X3753" s="7"/>
      <c r="Y3753" s="7"/>
      <c r="Z3753" s="7"/>
      <c r="AA3753" s="7"/>
      <c r="AB3753" s="7"/>
      <c r="AC3753" s="7"/>
      <c r="AD3753" s="7"/>
      <c r="AE3753" s="7"/>
      <c r="AF3753" s="7"/>
    </row>
    <row r="3754" spans="1:32">
      <c r="A3754" s="663" t="s">
        <v>709</v>
      </c>
      <c r="B3754" s="3130" t="s">
        <v>1211</v>
      </c>
      <c r="C3754" s="663" t="s">
        <v>322</v>
      </c>
      <c r="D3754" s="678" t="s">
        <v>1979</v>
      </c>
      <c r="E3754" s="700" t="s">
        <v>1969</v>
      </c>
      <c r="F3754" s="679">
        <v>7230</v>
      </c>
      <c r="G3754" s="2177" t="s">
        <v>4504</v>
      </c>
      <c r="H3754" s="2370"/>
      <c r="I3754" s="2370"/>
      <c r="J3754" s="2170"/>
      <c r="K3754" s="2302"/>
      <c r="L3754" s="2169"/>
      <c r="M3754" s="2169">
        <v>1200</v>
      </c>
      <c r="N3754" s="75"/>
      <c r="O3754" s="7"/>
      <c r="P3754" s="7"/>
      <c r="Q3754" s="7"/>
      <c r="R3754" s="7"/>
      <c r="S3754" s="7"/>
      <c r="T3754" s="7"/>
      <c r="U3754" s="7"/>
      <c r="V3754" s="7"/>
      <c r="W3754" s="7"/>
      <c r="X3754" s="7"/>
      <c r="Y3754" s="7"/>
      <c r="Z3754" s="7"/>
      <c r="AA3754" s="7"/>
      <c r="AB3754" s="7"/>
      <c r="AC3754" s="7"/>
      <c r="AD3754" s="7"/>
      <c r="AE3754" s="7"/>
      <c r="AF3754" s="7"/>
    </row>
    <row r="3755" spans="1:32" ht="12">
      <c r="A3755" s="663" t="s">
        <v>709</v>
      </c>
      <c r="B3755" s="3130" t="s">
        <v>1211</v>
      </c>
      <c r="C3755" s="663" t="s">
        <v>322</v>
      </c>
      <c r="D3755" s="678" t="s">
        <v>1979</v>
      </c>
      <c r="E3755" s="700" t="s">
        <v>1969</v>
      </c>
      <c r="F3755" s="679">
        <v>7230</v>
      </c>
      <c r="G3755" s="2368" t="s">
        <v>4503</v>
      </c>
      <c r="H3755" s="2369"/>
      <c r="I3755" s="2369">
        <v>450</v>
      </c>
      <c r="J3755" s="1494" t="s">
        <v>1134</v>
      </c>
      <c r="K3755" s="667"/>
      <c r="L3755" s="660"/>
      <c r="M3755" s="660">
        <v>470</v>
      </c>
      <c r="N3755" s="645"/>
      <c r="O3755" s="7"/>
      <c r="P3755" s="7"/>
      <c r="Q3755" s="7"/>
      <c r="R3755" s="7"/>
      <c r="S3755" s="7"/>
      <c r="T3755" s="7"/>
      <c r="U3755" s="7"/>
      <c r="V3755" s="7"/>
      <c r="W3755" s="7"/>
      <c r="X3755" s="7"/>
      <c r="Y3755" s="7"/>
      <c r="Z3755" s="7"/>
      <c r="AA3755" s="7"/>
      <c r="AB3755" s="7"/>
      <c r="AC3755" s="7"/>
      <c r="AD3755" s="7"/>
      <c r="AE3755" s="7"/>
      <c r="AF3755" s="7"/>
    </row>
    <row r="3756" spans="1:32">
      <c r="A3756" s="663" t="s">
        <v>709</v>
      </c>
      <c r="B3756" s="3130" t="s">
        <v>1211</v>
      </c>
      <c r="C3756" s="663" t="s">
        <v>322</v>
      </c>
      <c r="D3756" s="678" t="s">
        <v>1979</v>
      </c>
      <c r="E3756" s="700" t="s">
        <v>1969</v>
      </c>
      <c r="F3756" s="679">
        <v>7230</v>
      </c>
      <c r="G3756" s="665" t="s">
        <v>4749</v>
      </c>
      <c r="H3756" s="2369"/>
      <c r="I3756" s="2369"/>
      <c r="J3756" s="2170"/>
      <c r="K3756" s="2302"/>
      <c r="L3756" s="2169"/>
      <c r="M3756" s="2169">
        <v>225</v>
      </c>
      <c r="N3756" s="1799"/>
      <c r="O3756" s="7"/>
      <c r="P3756" s="7"/>
      <c r="Q3756" s="7"/>
      <c r="R3756" s="7"/>
      <c r="S3756" s="7"/>
      <c r="T3756" s="7"/>
      <c r="U3756" s="7"/>
      <c r="V3756" s="7"/>
      <c r="W3756" s="7"/>
      <c r="X3756" s="7"/>
      <c r="Y3756" s="7"/>
      <c r="Z3756" s="7"/>
      <c r="AA3756" s="7"/>
      <c r="AB3756" s="7"/>
      <c r="AC3756" s="7"/>
      <c r="AD3756" s="7"/>
      <c r="AE3756" s="7"/>
      <c r="AF3756" s="7"/>
    </row>
    <row r="3757" spans="1:32">
      <c r="A3757" s="663" t="s">
        <v>709</v>
      </c>
      <c r="B3757" s="3130" t="s">
        <v>1211</v>
      </c>
      <c r="C3757" s="663" t="s">
        <v>322</v>
      </c>
      <c r="D3757" s="678" t="s">
        <v>1979</v>
      </c>
      <c r="E3757" s="700" t="s">
        <v>1969</v>
      </c>
      <c r="F3757" s="679">
        <v>7230</v>
      </c>
      <c r="G3757" s="665" t="s">
        <v>2552</v>
      </c>
      <c r="H3757" s="660"/>
      <c r="I3757" s="660">
        <v>300</v>
      </c>
      <c r="J3757" s="1494" t="s">
        <v>1134</v>
      </c>
      <c r="K3757" s="667"/>
      <c r="L3757" s="660"/>
      <c r="M3757" s="660">
        <v>300</v>
      </c>
      <c r="N3757" s="1799" t="s">
        <v>3651</v>
      </c>
      <c r="O3757" s="7"/>
      <c r="P3757" s="7"/>
      <c r="Q3757" s="7"/>
      <c r="R3757" s="7"/>
      <c r="S3757" s="7"/>
      <c r="T3757" s="7"/>
      <c r="U3757" s="7"/>
      <c r="V3757" s="7"/>
      <c r="W3757" s="7"/>
      <c r="X3757" s="7"/>
      <c r="Y3757" s="7"/>
      <c r="Z3757" s="7"/>
      <c r="AA3757" s="7"/>
      <c r="AB3757" s="7"/>
      <c r="AC3757" s="7"/>
      <c r="AD3757" s="7"/>
      <c r="AE3757" s="7"/>
      <c r="AF3757" s="7"/>
    </row>
    <row r="3758" spans="1:32">
      <c r="A3758" s="663" t="s">
        <v>709</v>
      </c>
      <c r="B3758" s="3130" t="s">
        <v>1211</v>
      </c>
      <c r="C3758" s="663" t="s">
        <v>322</v>
      </c>
      <c r="D3758" s="678" t="s">
        <v>1979</v>
      </c>
      <c r="E3758" s="700" t="s">
        <v>1969</v>
      </c>
      <c r="F3758" s="679">
        <v>7230</v>
      </c>
      <c r="G3758" s="665" t="s">
        <v>133</v>
      </c>
      <c r="H3758" s="660"/>
      <c r="I3758" s="660"/>
      <c r="J3758" s="1494" t="s">
        <v>1134</v>
      </c>
      <c r="K3758" s="667"/>
      <c r="L3758" s="660"/>
      <c r="M3758" s="660">
        <v>500</v>
      </c>
      <c r="N3758" s="1799" t="s">
        <v>3651</v>
      </c>
      <c r="O3758" s="7"/>
      <c r="P3758" s="7"/>
      <c r="Q3758" s="7"/>
      <c r="R3758" s="7"/>
      <c r="S3758" s="7"/>
      <c r="T3758" s="7"/>
      <c r="U3758" s="7"/>
      <c r="V3758" s="7"/>
      <c r="W3758" s="7"/>
      <c r="X3758" s="7"/>
      <c r="Y3758" s="7"/>
      <c r="Z3758" s="7"/>
      <c r="AA3758" s="7"/>
      <c r="AB3758" s="7"/>
      <c r="AC3758" s="7"/>
      <c r="AD3758" s="7"/>
      <c r="AE3758" s="7"/>
      <c r="AF3758" s="7"/>
    </row>
    <row r="3759" spans="1:32">
      <c r="A3759" s="683"/>
      <c r="B3759" s="3129" t="s">
        <v>326</v>
      </c>
      <c r="C3759" s="683" t="s">
        <v>321</v>
      </c>
      <c r="D3759" s="719" t="s">
        <v>1979</v>
      </c>
      <c r="E3759" s="720" t="s">
        <v>1970</v>
      </c>
      <c r="F3759" s="685">
        <v>1147</v>
      </c>
      <c r="G3759" s="686" t="s">
        <v>428</v>
      </c>
      <c r="H3759" s="689">
        <v>6000</v>
      </c>
      <c r="I3759" s="689"/>
      <c r="J3759" s="1494">
        <v>2088.67</v>
      </c>
      <c r="K3759" s="727"/>
      <c r="L3759" s="689">
        <v>0</v>
      </c>
      <c r="M3759" s="689"/>
      <c r="N3759" s="1802"/>
      <c r="O3759" s="7"/>
      <c r="P3759" s="7"/>
      <c r="Q3759" s="7"/>
      <c r="R3759" s="7"/>
      <c r="S3759" s="7"/>
      <c r="T3759" s="7"/>
      <c r="V3759" s="7"/>
      <c r="W3759" s="7"/>
      <c r="X3759" s="7"/>
      <c r="Y3759" s="7"/>
      <c r="Z3759" s="7"/>
      <c r="AA3759" s="7"/>
      <c r="AB3759" s="7"/>
      <c r="AC3759" s="7"/>
      <c r="AD3759" s="7"/>
      <c r="AE3759" s="7"/>
      <c r="AF3759" s="7"/>
    </row>
    <row r="3760" spans="1:32">
      <c r="A3760" s="663"/>
      <c r="B3760" s="3130" t="s">
        <v>326</v>
      </c>
      <c r="C3760" s="663" t="s">
        <v>321</v>
      </c>
      <c r="D3760" s="678" t="s">
        <v>1979</v>
      </c>
      <c r="E3760" s="700" t="s">
        <v>1970</v>
      </c>
      <c r="F3760" s="679">
        <v>1147</v>
      </c>
      <c r="G3760" s="681" t="s">
        <v>1064</v>
      </c>
      <c r="H3760" s="660"/>
      <c r="I3760" s="660">
        <v>6000</v>
      </c>
      <c r="J3760" s="1494" t="s">
        <v>1134</v>
      </c>
      <c r="K3760" s="667"/>
      <c r="L3760" s="660"/>
      <c r="M3760" s="660">
        <v>0</v>
      </c>
      <c r="N3760" s="1802" t="s">
        <v>3652</v>
      </c>
      <c r="O3760" s="7"/>
      <c r="P3760" s="7"/>
      <c r="Q3760" s="7"/>
      <c r="R3760" s="7"/>
      <c r="S3760" s="7"/>
      <c r="T3760" s="7"/>
      <c r="V3760" s="7"/>
      <c r="W3760" s="7"/>
      <c r="X3760" s="7"/>
      <c r="Y3760" s="7"/>
      <c r="Z3760" s="7"/>
      <c r="AA3760" s="7"/>
      <c r="AB3760" s="7"/>
      <c r="AC3760" s="7"/>
      <c r="AD3760" s="7"/>
      <c r="AE3760" s="7"/>
      <c r="AF3760" s="7"/>
    </row>
    <row r="3761" spans="1:32">
      <c r="A3761" s="663"/>
      <c r="B3761" s="3130" t="s">
        <v>326</v>
      </c>
      <c r="C3761" s="663" t="s">
        <v>321</v>
      </c>
      <c r="D3761" s="678" t="s">
        <v>1979</v>
      </c>
      <c r="E3761" s="700" t="s">
        <v>1970</v>
      </c>
      <c r="F3761" s="679">
        <v>1147</v>
      </c>
      <c r="G3761" s="681" t="s">
        <v>1312</v>
      </c>
      <c r="H3761" s="660"/>
      <c r="I3761" s="660"/>
      <c r="J3761" s="1494" t="s">
        <v>1134</v>
      </c>
      <c r="K3761" s="667"/>
      <c r="L3761" s="660"/>
      <c r="M3761" s="660"/>
      <c r="N3761" s="1802"/>
      <c r="O3761" s="7"/>
      <c r="P3761" s="7"/>
      <c r="Q3761" s="7"/>
      <c r="R3761" s="7"/>
      <c r="S3761" s="7"/>
      <c r="T3761" s="7"/>
      <c r="U3761" s="7"/>
      <c r="V3761" s="7"/>
      <c r="W3761" s="7"/>
      <c r="X3761" s="7"/>
      <c r="Y3761" s="7"/>
      <c r="Z3761" s="7"/>
      <c r="AA3761" s="7"/>
      <c r="AB3761" s="7"/>
      <c r="AC3761" s="7"/>
      <c r="AD3761" s="7"/>
      <c r="AE3761" s="7"/>
      <c r="AF3761" s="7"/>
    </row>
    <row r="3762" spans="1:32" ht="20.399999999999999">
      <c r="A3762" s="683"/>
      <c r="B3762" s="3129" t="s">
        <v>326</v>
      </c>
      <c r="C3762" s="683" t="s">
        <v>321</v>
      </c>
      <c r="D3762" s="719" t="s">
        <v>1979</v>
      </c>
      <c r="E3762" s="720" t="s">
        <v>1970</v>
      </c>
      <c r="F3762" s="685">
        <v>1210</v>
      </c>
      <c r="G3762" s="686" t="s">
        <v>402</v>
      </c>
      <c r="H3762" s="689">
        <v>2000</v>
      </c>
      <c r="I3762" s="689"/>
      <c r="J3762" s="1494">
        <v>444.11</v>
      </c>
      <c r="K3762" s="727"/>
      <c r="L3762" s="689">
        <v>0</v>
      </c>
      <c r="M3762" s="689"/>
      <c r="N3762" s="1811"/>
      <c r="O3762" s="7"/>
      <c r="P3762" s="7"/>
      <c r="Q3762" s="7"/>
      <c r="R3762" s="7"/>
      <c r="S3762" s="7"/>
      <c r="T3762" s="7"/>
      <c r="U3762" s="7"/>
      <c r="V3762" s="7"/>
      <c r="W3762" s="7"/>
      <c r="X3762" s="7"/>
      <c r="Y3762" s="7"/>
      <c r="Z3762" s="7"/>
      <c r="AA3762" s="7"/>
      <c r="AB3762" s="7"/>
      <c r="AC3762" s="7"/>
      <c r="AD3762" s="7"/>
      <c r="AE3762" s="7"/>
      <c r="AF3762" s="7"/>
    </row>
    <row r="3763" spans="1:32">
      <c r="A3763" s="663"/>
      <c r="B3763" s="3130" t="s">
        <v>326</v>
      </c>
      <c r="C3763" s="663" t="s">
        <v>321</v>
      </c>
      <c r="D3763" s="678" t="s">
        <v>1979</v>
      </c>
      <c r="E3763" s="700" t="s">
        <v>1970</v>
      </c>
      <c r="F3763" s="679">
        <v>1210</v>
      </c>
      <c r="G3763" s="681" t="s">
        <v>1064</v>
      </c>
      <c r="H3763" s="660"/>
      <c r="I3763" s="660">
        <v>2000</v>
      </c>
      <c r="J3763" s="1494" t="s">
        <v>1134</v>
      </c>
      <c r="K3763" s="667"/>
      <c r="L3763" s="660"/>
      <c r="M3763" s="660">
        <v>0</v>
      </c>
      <c r="N3763" s="1808" t="s">
        <v>3653</v>
      </c>
      <c r="O3763" s="7"/>
      <c r="P3763" s="7"/>
      <c r="Q3763" s="7"/>
      <c r="R3763" s="7"/>
      <c r="S3763" s="7"/>
      <c r="T3763" s="7"/>
      <c r="U3763" s="7"/>
      <c r="V3763" s="7"/>
      <c r="W3763" s="7"/>
      <c r="X3763" s="7"/>
      <c r="Y3763" s="7"/>
      <c r="Z3763" s="7"/>
      <c r="AA3763" s="7"/>
      <c r="AB3763" s="7"/>
      <c r="AC3763" s="7"/>
      <c r="AD3763" s="7"/>
      <c r="AE3763" s="7"/>
      <c r="AF3763" s="7"/>
    </row>
    <row r="3764" spans="1:32">
      <c r="A3764" s="663"/>
      <c r="B3764" s="3130" t="s">
        <v>326</v>
      </c>
      <c r="C3764" s="663" t="s">
        <v>321</v>
      </c>
      <c r="D3764" s="678" t="s">
        <v>1979</v>
      </c>
      <c r="E3764" s="700" t="s">
        <v>1970</v>
      </c>
      <c r="F3764" s="679">
        <v>1210</v>
      </c>
      <c r="G3764" s="681" t="s">
        <v>1312</v>
      </c>
      <c r="H3764" s="660"/>
      <c r="I3764" s="660"/>
      <c r="J3764" s="1494" t="s">
        <v>1134</v>
      </c>
      <c r="K3764" s="667"/>
      <c r="L3764" s="660"/>
      <c r="M3764" s="660"/>
      <c r="N3764" s="1799"/>
      <c r="O3764" s="7"/>
      <c r="P3764" s="7"/>
      <c r="Q3764" s="7"/>
      <c r="R3764" s="7"/>
      <c r="S3764" s="7"/>
      <c r="T3764" s="7"/>
      <c r="U3764" s="7"/>
      <c r="V3764" s="7"/>
      <c r="W3764" s="7"/>
      <c r="X3764" s="7"/>
      <c r="Y3764" s="7"/>
      <c r="Z3764" s="7"/>
      <c r="AA3764" s="7"/>
      <c r="AB3764" s="7"/>
      <c r="AC3764" s="7"/>
      <c r="AD3764" s="7"/>
      <c r="AE3764" s="7"/>
      <c r="AF3764" s="7"/>
    </row>
    <row r="3765" spans="1:32">
      <c r="A3765" s="683"/>
      <c r="B3765" s="3129" t="s">
        <v>326</v>
      </c>
      <c r="C3765" s="683" t="s">
        <v>321</v>
      </c>
      <c r="D3765" s="719" t="s">
        <v>1979</v>
      </c>
      <c r="E3765" s="720" t="s">
        <v>1970</v>
      </c>
      <c r="F3765" s="685">
        <v>2239</v>
      </c>
      <c r="G3765" s="686" t="s">
        <v>1017</v>
      </c>
      <c r="H3765" s="689">
        <v>5000</v>
      </c>
      <c r="I3765" s="689"/>
      <c r="J3765" s="1494">
        <v>0</v>
      </c>
      <c r="K3765" s="727"/>
      <c r="L3765" s="689">
        <v>0</v>
      </c>
      <c r="M3765" s="689"/>
      <c r="N3765" s="1799" t="s">
        <v>3654</v>
      </c>
      <c r="O3765" s="7"/>
      <c r="P3765" s="7"/>
      <c r="Q3765" s="7"/>
      <c r="R3765" s="7"/>
      <c r="S3765" s="7"/>
      <c r="T3765" s="7"/>
      <c r="U3765" s="7"/>
      <c r="V3765" s="7"/>
      <c r="W3765" s="7"/>
      <c r="X3765" s="7"/>
      <c r="Y3765" s="7"/>
      <c r="Z3765" s="7"/>
      <c r="AA3765" s="7"/>
      <c r="AB3765" s="7"/>
      <c r="AC3765" s="7"/>
      <c r="AD3765" s="7"/>
      <c r="AE3765" s="7"/>
      <c r="AF3765" s="7"/>
    </row>
    <row r="3766" spans="1:32">
      <c r="A3766" s="663"/>
      <c r="B3766" s="3130" t="s">
        <v>326</v>
      </c>
      <c r="C3766" s="663" t="s">
        <v>321</v>
      </c>
      <c r="D3766" s="678" t="s">
        <v>1979</v>
      </c>
      <c r="E3766" s="700" t="s">
        <v>1970</v>
      </c>
      <c r="F3766" s="679">
        <v>2239</v>
      </c>
      <c r="G3766" s="681" t="s">
        <v>1323</v>
      </c>
      <c r="H3766" s="660"/>
      <c r="I3766" s="660">
        <v>5000</v>
      </c>
      <c r="J3766" s="1494" t="s">
        <v>1134</v>
      </c>
      <c r="K3766" s="667"/>
      <c r="L3766" s="660"/>
      <c r="M3766" s="660"/>
      <c r="N3766" s="1799" t="s">
        <v>3655</v>
      </c>
      <c r="O3766" s="7"/>
      <c r="P3766" s="7"/>
      <c r="Q3766" s="7"/>
      <c r="R3766" s="7"/>
      <c r="S3766" s="7"/>
      <c r="T3766" s="7"/>
      <c r="U3766" s="7"/>
      <c r="V3766" s="7"/>
      <c r="W3766" s="7"/>
      <c r="X3766" s="7"/>
      <c r="Y3766" s="7"/>
      <c r="Z3766" s="7"/>
      <c r="AA3766" s="7"/>
      <c r="AB3766" s="7"/>
      <c r="AC3766" s="7"/>
      <c r="AD3766" s="7"/>
      <c r="AE3766" s="7"/>
      <c r="AF3766" s="7"/>
    </row>
    <row r="3767" spans="1:32">
      <c r="A3767" s="683"/>
      <c r="B3767" s="3129" t="s">
        <v>326</v>
      </c>
      <c r="C3767" s="683" t="s">
        <v>321</v>
      </c>
      <c r="D3767" s="719" t="s">
        <v>1979</v>
      </c>
      <c r="E3767" s="720" t="s">
        <v>1970</v>
      </c>
      <c r="F3767" s="685">
        <v>2363</v>
      </c>
      <c r="G3767" s="686" t="s">
        <v>934</v>
      </c>
      <c r="H3767" s="689">
        <v>0</v>
      </c>
      <c r="I3767" s="689"/>
      <c r="J3767" s="1494" t="s">
        <v>1134</v>
      </c>
      <c r="K3767" s="727"/>
      <c r="L3767" s="689">
        <v>0</v>
      </c>
      <c r="M3767" s="689"/>
      <c r="N3767" s="1799" t="s">
        <v>3655</v>
      </c>
      <c r="O3767" s="7"/>
      <c r="P3767" s="7"/>
      <c r="Q3767" s="7"/>
      <c r="R3767" s="7"/>
      <c r="S3767" s="7"/>
      <c r="T3767" s="7"/>
      <c r="U3767" s="7"/>
      <c r="V3767" s="7"/>
      <c r="W3767" s="7"/>
      <c r="X3767" s="7"/>
      <c r="Y3767" s="7"/>
      <c r="Z3767" s="7"/>
      <c r="AA3767" s="7"/>
      <c r="AB3767" s="7"/>
      <c r="AC3767" s="7"/>
      <c r="AD3767" s="7"/>
      <c r="AE3767" s="7"/>
      <c r="AF3767" s="7"/>
    </row>
    <row r="3768" spans="1:32">
      <c r="A3768" s="663"/>
      <c r="B3768" s="3130" t="s">
        <v>326</v>
      </c>
      <c r="C3768" s="663" t="s">
        <v>321</v>
      </c>
      <c r="D3768" s="678" t="s">
        <v>1979</v>
      </c>
      <c r="E3768" s="700" t="s">
        <v>1970</v>
      </c>
      <c r="F3768" s="679">
        <v>2363</v>
      </c>
      <c r="G3768" s="681" t="s">
        <v>1323</v>
      </c>
      <c r="H3768" s="660"/>
      <c r="I3768" s="660"/>
      <c r="J3768" s="1494" t="s">
        <v>1134</v>
      </c>
      <c r="K3768" s="667"/>
      <c r="L3768" s="660"/>
      <c r="M3768" s="660"/>
      <c r="N3768" s="1799"/>
      <c r="O3768" s="7"/>
      <c r="P3768" s="7"/>
      <c r="Q3768" s="7"/>
      <c r="R3768" s="7"/>
      <c r="S3768" s="7"/>
      <c r="T3768" s="7"/>
      <c r="U3768" s="7"/>
      <c r="V3768" s="7"/>
      <c r="W3768" s="7"/>
      <c r="X3768" s="7"/>
      <c r="Y3768" s="7"/>
      <c r="Z3768" s="7"/>
      <c r="AA3768" s="7"/>
      <c r="AB3768" s="7"/>
      <c r="AC3768" s="7"/>
      <c r="AD3768" s="7"/>
      <c r="AE3768" s="7"/>
      <c r="AF3768" s="7"/>
    </row>
    <row r="3769" spans="1:32" ht="11.4" customHeight="1">
      <c r="A3769" s="683"/>
      <c r="B3769" s="3129" t="s">
        <v>326</v>
      </c>
      <c r="C3769" s="683" t="s">
        <v>321</v>
      </c>
      <c r="D3769" s="719" t="s">
        <v>1979</v>
      </c>
      <c r="E3769" s="720" t="s">
        <v>1970</v>
      </c>
      <c r="F3769" s="685">
        <v>6252</v>
      </c>
      <c r="G3769" s="686" t="s">
        <v>1322</v>
      </c>
      <c r="H3769" s="689">
        <v>2000</v>
      </c>
      <c r="I3769" s="689"/>
      <c r="J3769" s="1494">
        <v>597.39</v>
      </c>
      <c r="K3769" s="727"/>
      <c r="L3769" s="689">
        <v>1500</v>
      </c>
      <c r="M3769" s="689"/>
      <c r="N3769" s="1799"/>
      <c r="O3769" s="7"/>
      <c r="P3769" s="7"/>
      <c r="Q3769" s="7"/>
      <c r="R3769" s="7"/>
      <c r="S3769" s="7"/>
      <c r="T3769" s="7"/>
      <c r="U3769" s="7"/>
      <c r="V3769" s="7"/>
      <c r="W3769" s="7"/>
      <c r="X3769" s="7"/>
      <c r="Y3769" s="7"/>
      <c r="Z3769" s="7"/>
      <c r="AA3769" s="7"/>
      <c r="AB3769" s="7"/>
      <c r="AC3769" s="7"/>
      <c r="AD3769" s="7"/>
      <c r="AE3769" s="7"/>
      <c r="AF3769" s="7"/>
    </row>
    <row r="3770" spans="1:32">
      <c r="A3770" s="663"/>
      <c r="B3770" s="3130" t="s">
        <v>326</v>
      </c>
      <c r="C3770" s="663" t="s">
        <v>321</v>
      </c>
      <c r="D3770" s="678" t="s">
        <v>1979</v>
      </c>
      <c r="E3770" s="700" t="s">
        <v>1970</v>
      </c>
      <c r="F3770" s="679">
        <v>6252</v>
      </c>
      <c r="G3770" s="681" t="s">
        <v>1323</v>
      </c>
      <c r="H3770" s="660"/>
      <c r="I3770" s="660">
        <v>2000</v>
      </c>
      <c r="J3770" s="1494" t="s">
        <v>1134</v>
      </c>
      <c r="K3770" s="667"/>
      <c r="L3770" s="660"/>
      <c r="M3770" s="660">
        <v>1500</v>
      </c>
      <c r="N3770" s="1811"/>
      <c r="O3770" s="177"/>
      <c r="P3770" s="177"/>
      <c r="Q3770" s="177"/>
      <c r="R3770" s="177"/>
      <c r="S3770" s="177"/>
      <c r="T3770" s="177"/>
      <c r="U3770" s="177"/>
      <c r="V3770" s="177"/>
      <c r="W3770" s="177"/>
      <c r="X3770" s="177"/>
      <c r="Y3770" s="177"/>
      <c r="Z3770" s="177"/>
      <c r="AA3770" s="177"/>
      <c r="AB3770" s="177"/>
      <c r="AC3770" s="177"/>
      <c r="AD3770" s="177"/>
      <c r="AE3770" s="177"/>
      <c r="AF3770" s="177"/>
    </row>
    <row r="3771" spans="1:32">
      <c r="A3771" s="683"/>
      <c r="B3771" s="3129" t="s">
        <v>326</v>
      </c>
      <c r="C3771" s="683" t="s">
        <v>321</v>
      </c>
      <c r="D3771" s="719" t="s">
        <v>1979</v>
      </c>
      <c r="E3771" s="720" t="s">
        <v>1970</v>
      </c>
      <c r="F3771" s="685">
        <v>6254</v>
      </c>
      <c r="G3771" s="686" t="s">
        <v>1018</v>
      </c>
      <c r="H3771" s="689">
        <v>7000</v>
      </c>
      <c r="I3771" s="689"/>
      <c r="J3771" s="1494">
        <v>3167</v>
      </c>
      <c r="K3771" s="727"/>
      <c r="L3771" s="689">
        <v>7000</v>
      </c>
      <c r="M3771" s="689"/>
      <c r="N3771" s="1808"/>
      <c r="O3771" s="7"/>
      <c r="P3771" s="7"/>
      <c r="Q3771" s="7"/>
      <c r="R3771" s="182"/>
      <c r="S3771" s="126"/>
      <c r="T3771" s="126"/>
      <c r="U3771" s="7"/>
      <c r="V3771" s="7"/>
      <c r="W3771" s="7"/>
      <c r="X3771" s="7"/>
      <c r="Y3771" s="7"/>
      <c r="Z3771" s="7"/>
      <c r="AA3771" s="7"/>
      <c r="AB3771" s="7"/>
      <c r="AC3771" s="7"/>
      <c r="AD3771" s="7"/>
      <c r="AE3771" s="7"/>
      <c r="AF3771" s="7"/>
    </row>
    <row r="3772" spans="1:32">
      <c r="A3772" s="663"/>
      <c r="B3772" s="3130" t="s">
        <v>326</v>
      </c>
      <c r="C3772" s="663" t="s">
        <v>321</v>
      </c>
      <c r="D3772" s="678" t="s">
        <v>1979</v>
      </c>
      <c r="E3772" s="700" t="s">
        <v>1970</v>
      </c>
      <c r="F3772" s="679">
        <v>6254</v>
      </c>
      <c r="G3772" s="681" t="s">
        <v>1323</v>
      </c>
      <c r="H3772" s="660"/>
      <c r="I3772" s="660">
        <v>7000</v>
      </c>
      <c r="J3772" s="1494" t="s">
        <v>1134</v>
      </c>
      <c r="K3772" s="667"/>
      <c r="L3772" s="660"/>
      <c r="M3772" s="660">
        <v>7000</v>
      </c>
      <c r="N3772" s="1799" t="s">
        <v>3654</v>
      </c>
      <c r="O3772" s="7"/>
      <c r="P3772" s="7"/>
      <c r="Q3772" s="7"/>
      <c r="R3772" s="7"/>
      <c r="S3772" s="7"/>
      <c r="T3772" s="7"/>
      <c r="U3772" s="7"/>
      <c r="V3772" s="7"/>
      <c r="W3772" s="7"/>
      <c r="X3772" s="7"/>
      <c r="Y3772" s="7"/>
      <c r="Z3772" s="7"/>
      <c r="AA3772" s="7"/>
      <c r="AB3772" s="7"/>
      <c r="AC3772" s="7"/>
      <c r="AD3772" s="7"/>
      <c r="AE3772" s="7"/>
      <c r="AF3772" s="7"/>
    </row>
    <row r="3773" spans="1:32" ht="20.399999999999999">
      <c r="A3773" s="683"/>
      <c r="B3773" s="3129" t="s">
        <v>326</v>
      </c>
      <c r="C3773" s="683" t="s">
        <v>321</v>
      </c>
      <c r="D3773" s="719" t="s">
        <v>1979</v>
      </c>
      <c r="E3773" s="720" t="s">
        <v>1970</v>
      </c>
      <c r="F3773" s="685">
        <v>6255</v>
      </c>
      <c r="G3773" s="686" t="s">
        <v>1324</v>
      </c>
      <c r="H3773" s="689">
        <v>12800</v>
      </c>
      <c r="I3773" s="689"/>
      <c r="J3773" s="1494">
        <v>7163.8</v>
      </c>
      <c r="K3773" s="727"/>
      <c r="L3773" s="689">
        <v>10000</v>
      </c>
      <c r="M3773" s="689"/>
      <c r="N3773" s="1799" t="s">
        <v>3654</v>
      </c>
      <c r="O3773" s="7"/>
      <c r="P3773" s="7"/>
      <c r="Q3773" s="7"/>
      <c r="R3773" s="7"/>
      <c r="S3773" s="7"/>
      <c r="T3773" s="7"/>
      <c r="U3773" s="7"/>
      <c r="V3773" s="7"/>
      <c r="W3773" s="7"/>
      <c r="X3773" s="7"/>
      <c r="Y3773" s="7"/>
      <c r="Z3773" s="7"/>
      <c r="AA3773" s="7"/>
      <c r="AB3773" s="7"/>
      <c r="AC3773" s="7"/>
      <c r="AD3773" s="7"/>
      <c r="AE3773" s="7"/>
      <c r="AF3773" s="7"/>
    </row>
    <row r="3774" spans="1:32">
      <c r="A3774" s="663"/>
      <c r="B3774" s="3130" t="s">
        <v>326</v>
      </c>
      <c r="C3774" s="663" t="s">
        <v>321</v>
      </c>
      <c r="D3774" s="678" t="s">
        <v>1979</v>
      </c>
      <c r="E3774" s="700" t="s">
        <v>1970</v>
      </c>
      <c r="F3774" s="679">
        <v>6255</v>
      </c>
      <c r="G3774" s="681" t="s">
        <v>1323</v>
      </c>
      <c r="H3774" s="660"/>
      <c r="I3774" s="660">
        <v>12800</v>
      </c>
      <c r="J3774" s="1494" t="s">
        <v>1134</v>
      </c>
      <c r="K3774" s="667"/>
      <c r="L3774" s="660"/>
      <c r="M3774" s="660">
        <v>10000</v>
      </c>
      <c r="N3774" s="1799"/>
      <c r="O3774" s="7"/>
      <c r="P3774" s="7"/>
      <c r="Q3774" s="7"/>
      <c r="R3774" s="182"/>
      <c r="S3774" s="126"/>
      <c r="T3774" s="126"/>
      <c r="U3774" s="7"/>
      <c r="V3774" s="7"/>
      <c r="W3774" s="7"/>
      <c r="X3774" s="7"/>
      <c r="Y3774" s="7"/>
      <c r="Z3774" s="7"/>
      <c r="AA3774" s="7"/>
      <c r="AB3774" s="7"/>
      <c r="AC3774" s="7"/>
      <c r="AD3774" s="7"/>
      <c r="AE3774" s="7"/>
      <c r="AF3774" s="7"/>
    </row>
    <row r="3775" spans="1:32" ht="20.399999999999999">
      <c r="A3775" s="683"/>
      <c r="B3775" s="3129" t="s">
        <v>326</v>
      </c>
      <c r="C3775" s="683" t="s">
        <v>321</v>
      </c>
      <c r="D3775" s="719" t="s">
        <v>1979</v>
      </c>
      <c r="E3775" s="720" t="s">
        <v>1970</v>
      </c>
      <c r="F3775" s="685">
        <v>6259</v>
      </c>
      <c r="G3775" s="686" t="s">
        <v>1325</v>
      </c>
      <c r="H3775" s="689">
        <v>150</v>
      </c>
      <c r="I3775" s="689"/>
      <c r="J3775" s="1494">
        <v>120</v>
      </c>
      <c r="K3775" s="727"/>
      <c r="L3775" s="689">
        <v>300</v>
      </c>
      <c r="M3775" s="689"/>
      <c r="N3775" s="1799"/>
      <c r="O3775" s="7"/>
      <c r="P3775" s="7"/>
      <c r="Q3775" s="7"/>
      <c r="R3775" s="182"/>
      <c r="S3775" s="126"/>
      <c r="T3775" s="126"/>
      <c r="U3775" s="7"/>
      <c r="V3775" s="7"/>
      <c r="W3775" s="7"/>
      <c r="X3775" s="7"/>
      <c r="Y3775" s="7"/>
      <c r="Z3775" s="7"/>
      <c r="AA3775" s="7"/>
      <c r="AB3775" s="7"/>
      <c r="AC3775" s="7"/>
      <c r="AD3775" s="7"/>
      <c r="AE3775" s="7"/>
      <c r="AF3775" s="7"/>
    </row>
    <row r="3776" spans="1:32">
      <c r="A3776" s="663"/>
      <c r="B3776" s="3130" t="s">
        <v>326</v>
      </c>
      <c r="C3776" s="663" t="s">
        <v>321</v>
      </c>
      <c r="D3776" s="678" t="s">
        <v>1979</v>
      </c>
      <c r="E3776" s="700" t="s">
        <v>1970</v>
      </c>
      <c r="F3776" s="679">
        <v>6259</v>
      </c>
      <c r="G3776" s="681" t="s">
        <v>1323</v>
      </c>
      <c r="H3776" s="660"/>
      <c r="I3776" s="660">
        <v>150</v>
      </c>
      <c r="J3776" s="1494" t="s">
        <v>1134</v>
      </c>
      <c r="K3776" s="667"/>
      <c r="L3776" s="660"/>
      <c r="M3776" s="660">
        <v>300</v>
      </c>
      <c r="N3776" s="1799"/>
      <c r="O3776" s="7"/>
      <c r="P3776" s="7"/>
      <c r="Q3776" s="7"/>
      <c r="R3776" s="7"/>
      <c r="S3776" s="7"/>
      <c r="T3776" s="7"/>
      <c r="U3776" s="7"/>
      <c r="V3776" s="7"/>
      <c r="W3776" s="7"/>
      <c r="X3776" s="7"/>
      <c r="Y3776" s="7"/>
      <c r="Z3776" s="7"/>
      <c r="AA3776" s="7"/>
      <c r="AB3776" s="7"/>
      <c r="AC3776" s="7"/>
      <c r="AD3776" s="7"/>
      <c r="AE3776" s="7"/>
      <c r="AF3776" s="7"/>
    </row>
    <row r="3777" spans="1:32">
      <c r="A3777" s="683"/>
      <c r="B3777" s="3129" t="s">
        <v>326</v>
      </c>
      <c r="C3777" s="683" t="s">
        <v>321</v>
      </c>
      <c r="D3777" s="719" t="s">
        <v>1979</v>
      </c>
      <c r="E3777" s="720" t="s">
        <v>1970</v>
      </c>
      <c r="F3777" s="685">
        <v>6260</v>
      </c>
      <c r="G3777" s="686" t="s">
        <v>1327</v>
      </c>
      <c r="H3777" s="689">
        <v>12000</v>
      </c>
      <c r="I3777" s="689"/>
      <c r="J3777" s="1494">
        <v>6786.74</v>
      </c>
      <c r="K3777" s="727"/>
      <c r="L3777" s="689">
        <v>12000</v>
      </c>
      <c r="M3777" s="689"/>
      <c r="N3777" s="75"/>
      <c r="O3777" s="7"/>
      <c r="P3777" s="7"/>
      <c r="Q3777" s="7"/>
      <c r="R3777" s="182"/>
      <c r="S3777" s="126"/>
      <c r="T3777" s="126"/>
      <c r="U3777" s="7"/>
      <c r="V3777" s="7"/>
      <c r="W3777" s="7"/>
      <c r="X3777" s="7"/>
      <c r="Y3777" s="7"/>
      <c r="Z3777" s="7"/>
      <c r="AA3777" s="7"/>
      <c r="AB3777" s="7"/>
      <c r="AC3777" s="7"/>
      <c r="AD3777" s="7"/>
      <c r="AE3777" s="7"/>
      <c r="AF3777" s="7"/>
    </row>
    <row r="3778" spans="1:32">
      <c r="A3778" s="663"/>
      <c r="B3778" s="3130" t="s">
        <v>326</v>
      </c>
      <c r="C3778" s="663" t="s">
        <v>321</v>
      </c>
      <c r="D3778" s="678" t="s">
        <v>1979</v>
      </c>
      <c r="E3778" s="700" t="s">
        <v>1970</v>
      </c>
      <c r="F3778" s="679">
        <v>6260</v>
      </c>
      <c r="G3778" s="681" t="s">
        <v>1323</v>
      </c>
      <c r="H3778" s="660"/>
      <c r="I3778" s="660">
        <v>12000</v>
      </c>
      <c r="J3778" s="1494" t="s">
        <v>1134</v>
      </c>
      <c r="K3778" s="667"/>
      <c r="L3778" s="660"/>
      <c r="M3778" s="660">
        <v>12000</v>
      </c>
      <c r="N3778" s="75"/>
      <c r="O3778" s="7"/>
      <c r="P3778" s="7"/>
      <c r="Q3778" s="7"/>
      <c r="R3778" s="182"/>
      <c r="S3778" s="126"/>
      <c r="T3778" s="126"/>
      <c r="U3778" s="7"/>
      <c r="V3778" s="7"/>
      <c r="W3778" s="7"/>
      <c r="X3778" s="7"/>
      <c r="Y3778" s="7"/>
      <c r="Z3778" s="7"/>
      <c r="AA3778" s="7"/>
      <c r="AB3778" s="7"/>
      <c r="AC3778" s="7"/>
      <c r="AD3778" s="7"/>
      <c r="AE3778" s="7"/>
      <c r="AF3778" s="7"/>
    </row>
    <row r="3779" spans="1:32">
      <c r="A3779" s="683"/>
      <c r="B3779" s="3129" t="s">
        <v>326</v>
      </c>
      <c r="C3779" s="683" t="s">
        <v>321</v>
      </c>
      <c r="D3779" s="719" t="s">
        <v>1979</v>
      </c>
      <c r="E3779" s="720" t="s">
        <v>1970</v>
      </c>
      <c r="F3779" s="685">
        <v>6270</v>
      </c>
      <c r="G3779" s="686" t="s">
        <v>1326</v>
      </c>
      <c r="H3779" s="689">
        <v>3000</v>
      </c>
      <c r="I3779" s="689"/>
      <c r="J3779" s="1494">
        <v>943.46</v>
      </c>
      <c r="K3779" s="727"/>
      <c r="L3779" s="689">
        <v>2500</v>
      </c>
      <c r="M3779" s="689"/>
      <c r="N3779" s="75"/>
      <c r="O3779" s="7"/>
      <c r="P3779" s="7"/>
      <c r="Q3779" s="7"/>
      <c r="R3779" s="182"/>
      <c r="S3779" s="126"/>
      <c r="T3779" s="126"/>
      <c r="U3779" s="7"/>
      <c r="V3779" s="7"/>
      <c r="W3779" s="7"/>
      <c r="X3779" s="7"/>
      <c r="Y3779" s="7"/>
      <c r="Z3779" s="7"/>
      <c r="AA3779" s="7"/>
      <c r="AB3779" s="7"/>
      <c r="AC3779" s="7"/>
      <c r="AD3779" s="7"/>
      <c r="AE3779" s="7"/>
      <c r="AF3779" s="7"/>
    </row>
    <row r="3780" spans="1:32">
      <c r="A3780" s="663"/>
      <c r="B3780" s="3130" t="s">
        <v>326</v>
      </c>
      <c r="C3780" s="663" t="s">
        <v>321</v>
      </c>
      <c r="D3780" s="678" t="s">
        <v>1979</v>
      </c>
      <c r="E3780" s="700" t="s">
        <v>1970</v>
      </c>
      <c r="F3780" s="679">
        <v>6270</v>
      </c>
      <c r="G3780" s="681" t="s">
        <v>1323</v>
      </c>
      <c r="H3780" s="660"/>
      <c r="I3780" s="660">
        <v>3000</v>
      </c>
      <c r="J3780" s="1494" t="s">
        <v>1134</v>
      </c>
      <c r="K3780" s="667"/>
      <c r="L3780" s="660"/>
      <c r="M3780" s="660">
        <v>2500</v>
      </c>
      <c r="N3780" s="75"/>
      <c r="O3780" s="7"/>
      <c r="P3780" s="7"/>
      <c r="Q3780" s="7"/>
      <c r="R3780" s="182"/>
      <c r="S3780" s="126"/>
      <c r="T3780" s="126"/>
      <c r="U3780" s="7"/>
      <c r="V3780" s="7"/>
      <c r="W3780" s="7"/>
      <c r="X3780" s="7"/>
      <c r="Y3780" s="7"/>
      <c r="Z3780" s="7"/>
      <c r="AA3780" s="7"/>
      <c r="AB3780" s="7"/>
      <c r="AC3780" s="7"/>
      <c r="AD3780" s="7"/>
      <c r="AE3780" s="7"/>
      <c r="AF3780" s="7"/>
    </row>
    <row r="3781" spans="1:32" ht="30.6">
      <c r="A3781" s="683"/>
      <c r="B3781" s="3129" t="s">
        <v>326</v>
      </c>
      <c r="C3781" s="683" t="s">
        <v>321</v>
      </c>
      <c r="D3781" s="719" t="s">
        <v>1979</v>
      </c>
      <c r="E3781" s="720" t="s">
        <v>1970</v>
      </c>
      <c r="F3781" s="685">
        <v>6299</v>
      </c>
      <c r="G3781" s="686" t="s">
        <v>286</v>
      </c>
      <c r="H3781" s="689">
        <v>3700</v>
      </c>
      <c r="I3781" s="689"/>
      <c r="J3781" s="1494">
        <v>3145.85</v>
      </c>
      <c r="K3781" s="727"/>
      <c r="L3781" s="689">
        <v>4800</v>
      </c>
      <c r="M3781" s="689"/>
      <c r="N3781" s="75"/>
      <c r="O3781" s="7"/>
      <c r="P3781" s="7"/>
      <c r="Q3781" s="7"/>
      <c r="R3781" s="182"/>
      <c r="S3781" s="126"/>
      <c r="T3781" s="126"/>
      <c r="U3781" s="7"/>
      <c r="V3781" s="7"/>
      <c r="W3781" s="7"/>
      <c r="X3781" s="7"/>
      <c r="Y3781" s="7"/>
      <c r="Z3781" s="7"/>
      <c r="AA3781" s="7"/>
      <c r="AB3781" s="7"/>
      <c r="AC3781" s="7"/>
      <c r="AD3781" s="7"/>
      <c r="AE3781" s="7"/>
      <c r="AF3781" s="7"/>
    </row>
    <row r="3782" spans="1:32">
      <c r="A3782" s="663"/>
      <c r="B3782" s="3130" t="s">
        <v>326</v>
      </c>
      <c r="C3782" s="663" t="s">
        <v>321</v>
      </c>
      <c r="D3782" s="678" t="s">
        <v>1979</v>
      </c>
      <c r="E3782" s="700" t="s">
        <v>1970</v>
      </c>
      <c r="F3782" s="679">
        <v>6299</v>
      </c>
      <c r="G3782" s="681" t="s">
        <v>1323</v>
      </c>
      <c r="H3782" s="660"/>
      <c r="I3782" s="660">
        <v>3700</v>
      </c>
      <c r="J3782" s="1494" t="s">
        <v>1134</v>
      </c>
      <c r="K3782" s="667"/>
      <c r="L3782" s="660"/>
      <c r="M3782" s="660">
        <v>4800</v>
      </c>
      <c r="N3782" s="75"/>
      <c r="O3782" s="7"/>
      <c r="P3782" s="7"/>
      <c r="Q3782" s="7"/>
      <c r="R3782" s="7"/>
      <c r="S3782" s="7"/>
      <c r="T3782" s="7"/>
      <c r="U3782" s="7"/>
      <c r="V3782" s="7"/>
      <c r="W3782" s="7"/>
      <c r="X3782" s="7"/>
      <c r="Y3782" s="7"/>
      <c r="Z3782" s="7"/>
      <c r="AA3782" s="7"/>
      <c r="AB3782" s="7"/>
      <c r="AC3782" s="7"/>
      <c r="AD3782" s="7"/>
      <c r="AE3782" s="7"/>
      <c r="AF3782" s="7"/>
    </row>
    <row r="3783" spans="1:32">
      <c r="A3783" s="683"/>
      <c r="B3783" s="3129" t="s">
        <v>326</v>
      </c>
      <c r="C3783" s="683" t="s">
        <v>321</v>
      </c>
      <c r="D3783" s="719" t="s">
        <v>1979</v>
      </c>
      <c r="E3783" s="720" t="s">
        <v>1970</v>
      </c>
      <c r="F3783" s="685">
        <v>6322</v>
      </c>
      <c r="G3783" s="686" t="s">
        <v>1070</v>
      </c>
      <c r="H3783" s="689">
        <v>160</v>
      </c>
      <c r="I3783" s="689"/>
      <c r="J3783" s="1494">
        <v>203.28</v>
      </c>
      <c r="K3783" s="727"/>
      <c r="L3783" s="689">
        <v>400</v>
      </c>
      <c r="M3783" s="689"/>
      <c r="N3783" s="75"/>
      <c r="O3783" s="7"/>
      <c r="P3783" s="7"/>
      <c r="Q3783" s="7"/>
      <c r="R3783" s="7"/>
      <c r="S3783" s="7"/>
      <c r="T3783" s="7"/>
      <c r="U3783" s="7"/>
      <c r="V3783" s="7"/>
      <c r="W3783" s="7"/>
      <c r="X3783" s="7"/>
      <c r="Y3783" s="7"/>
      <c r="Z3783" s="7"/>
      <c r="AA3783" s="7"/>
      <c r="AB3783" s="7"/>
      <c r="AC3783" s="7"/>
      <c r="AD3783" s="7"/>
      <c r="AE3783" s="7"/>
      <c r="AF3783" s="7"/>
    </row>
    <row r="3784" spans="1:32" s="208" customFormat="1">
      <c r="A3784" s="663"/>
      <c r="B3784" s="3130" t="s">
        <v>326</v>
      </c>
      <c r="C3784" s="663" t="s">
        <v>321</v>
      </c>
      <c r="D3784" s="678" t="s">
        <v>1979</v>
      </c>
      <c r="E3784" s="700" t="s">
        <v>1970</v>
      </c>
      <c r="F3784" s="679">
        <v>6322</v>
      </c>
      <c r="G3784" s="681" t="s">
        <v>1323</v>
      </c>
      <c r="H3784" s="660"/>
      <c r="I3784" s="660">
        <v>160</v>
      </c>
      <c r="J3784" s="1494" t="s">
        <v>1134</v>
      </c>
      <c r="K3784" s="667"/>
      <c r="L3784" s="660"/>
      <c r="M3784" s="660">
        <v>400</v>
      </c>
      <c r="N3784" s="75"/>
      <c r="O3784" s="207"/>
      <c r="P3784" s="207"/>
      <c r="Q3784" s="207"/>
      <c r="R3784" s="207"/>
      <c r="S3784" s="207"/>
      <c r="T3784" s="207"/>
      <c r="U3784" s="207"/>
      <c r="V3784" s="207"/>
      <c r="W3784" s="207"/>
      <c r="X3784" s="207"/>
      <c r="Y3784" s="207"/>
      <c r="Z3784" s="207"/>
      <c r="AA3784" s="207"/>
      <c r="AB3784" s="207"/>
      <c r="AC3784" s="207"/>
      <c r="AD3784" s="207"/>
      <c r="AE3784" s="207"/>
      <c r="AF3784" s="207"/>
    </row>
    <row r="3785" spans="1:32" s="208" customFormat="1">
      <c r="A3785" s="683"/>
      <c r="B3785" s="3129" t="s">
        <v>326</v>
      </c>
      <c r="C3785" s="683" t="s">
        <v>321</v>
      </c>
      <c r="D3785" s="719" t="s">
        <v>1979</v>
      </c>
      <c r="E3785" s="720" t="s">
        <v>1970</v>
      </c>
      <c r="F3785" s="685">
        <v>6360</v>
      </c>
      <c r="G3785" s="686" t="s">
        <v>1328</v>
      </c>
      <c r="H3785" s="689">
        <v>10794</v>
      </c>
      <c r="I3785" s="689"/>
      <c r="J3785" s="1494">
        <v>3851.74</v>
      </c>
      <c r="K3785" s="727"/>
      <c r="L3785" s="689">
        <v>9000</v>
      </c>
      <c r="M3785" s="689"/>
      <c r="N3785" s="1490"/>
      <c r="O3785" s="207"/>
      <c r="P3785" s="207"/>
      <c r="Q3785" s="207"/>
      <c r="R3785" s="207"/>
      <c r="S3785" s="207"/>
      <c r="T3785" s="207"/>
      <c r="U3785" s="207"/>
      <c r="V3785" s="207"/>
      <c r="W3785" s="207"/>
      <c r="X3785" s="207"/>
      <c r="Y3785" s="207"/>
      <c r="Z3785" s="207"/>
      <c r="AA3785" s="207"/>
      <c r="AB3785" s="207"/>
      <c r="AC3785" s="207"/>
      <c r="AD3785" s="207"/>
      <c r="AE3785" s="207"/>
      <c r="AF3785" s="207"/>
    </row>
    <row r="3786" spans="1:32">
      <c r="A3786" s="663"/>
      <c r="B3786" s="3130" t="s">
        <v>326</v>
      </c>
      <c r="C3786" s="663" t="s">
        <v>321</v>
      </c>
      <c r="D3786" s="678" t="s">
        <v>1979</v>
      </c>
      <c r="E3786" s="700" t="s">
        <v>1970</v>
      </c>
      <c r="F3786" s="679">
        <v>6360</v>
      </c>
      <c r="G3786" s="681" t="s">
        <v>1323</v>
      </c>
      <c r="H3786" s="660"/>
      <c r="I3786" s="660">
        <v>10794</v>
      </c>
      <c r="J3786" s="1494" t="s">
        <v>1134</v>
      </c>
      <c r="K3786" s="667"/>
      <c r="L3786" s="660"/>
      <c r="M3786" s="660">
        <v>9000</v>
      </c>
      <c r="N3786" s="1490" t="s">
        <v>3657</v>
      </c>
      <c r="O3786" s="7"/>
      <c r="P3786" s="7"/>
      <c r="Q3786" s="7"/>
      <c r="R3786" s="7"/>
      <c r="S3786" s="7"/>
      <c r="T3786" s="7"/>
      <c r="U3786" s="7"/>
      <c r="V3786" s="7"/>
      <c r="W3786" s="7"/>
      <c r="X3786" s="7"/>
      <c r="Y3786" s="7"/>
      <c r="Z3786" s="7"/>
      <c r="AA3786" s="7"/>
      <c r="AB3786" s="7"/>
      <c r="AC3786" s="7"/>
      <c r="AD3786" s="7"/>
      <c r="AE3786" s="7"/>
      <c r="AF3786" s="7"/>
    </row>
    <row r="3787" spans="1:32" ht="20.399999999999999">
      <c r="A3787" s="683"/>
      <c r="B3787" s="3129" t="s">
        <v>326</v>
      </c>
      <c r="C3787" s="683" t="s">
        <v>321</v>
      </c>
      <c r="D3787" s="719" t="s">
        <v>1979</v>
      </c>
      <c r="E3787" s="720" t="s">
        <v>1970</v>
      </c>
      <c r="F3787" s="685">
        <v>6419</v>
      </c>
      <c r="G3787" s="686" t="s">
        <v>1063</v>
      </c>
      <c r="H3787" s="689">
        <v>2000</v>
      </c>
      <c r="I3787" s="689"/>
      <c r="J3787" s="1494">
        <v>0</v>
      </c>
      <c r="K3787" s="727"/>
      <c r="L3787" s="689">
        <v>2000</v>
      </c>
      <c r="M3787" s="689"/>
      <c r="N3787" s="1490"/>
      <c r="O3787" s="7"/>
      <c r="P3787" s="7"/>
      <c r="Q3787" s="7"/>
      <c r="R3787" s="7"/>
      <c r="S3787" s="7"/>
      <c r="T3787" s="7"/>
      <c r="U3787" s="7"/>
      <c r="V3787" s="7"/>
      <c r="W3787" s="7"/>
      <c r="X3787" s="7"/>
      <c r="Y3787" s="7"/>
      <c r="Z3787" s="7"/>
      <c r="AA3787" s="7"/>
      <c r="AB3787" s="7"/>
      <c r="AC3787" s="7"/>
      <c r="AD3787" s="7"/>
      <c r="AE3787" s="7"/>
      <c r="AF3787" s="7"/>
    </row>
    <row r="3788" spans="1:32" ht="22.5" customHeight="1">
      <c r="A3788" s="663"/>
      <c r="B3788" s="3130" t="s">
        <v>326</v>
      </c>
      <c r="C3788" s="663" t="s">
        <v>321</v>
      </c>
      <c r="D3788" s="678" t="s">
        <v>1979</v>
      </c>
      <c r="E3788" s="700" t="s">
        <v>1970</v>
      </c>
      <c r="F3788" s="679">
        <v>6419</v>
      </c>
      <c r="G3788" s="681" t="s">
        <v>1323</v>
      </c>
      <c r="H3788" s="660"/>
      <c r="I3788" s="660">
        <v>2000</v>
      </c>
      <c r="J3788" s="1494" t="s">
        <v>1134</v>
      </c>
      <c r="K3788" s="667"/>
      <c r="L3788" s="660"/>
      <c r="M3788" s="2169">
        <v>2000</v>
      </c>
      <c r="N3788" s="75"/>
      <c r="O3788" s="7"/>
      <c r="P3788" s="7"/>
      <c r="Q3788" s="7"/>
      <c r="R3788" s="7"/>
      <c r="S3788" s="7"/>
      <c r="T3788" s="7"/>
      <c r="U3788" s="7"/>
      <c r="V3788" s="7"/>
      <c r="W3788" s="7"/>
      <c r="X3788" s="7"/>
      <c r="Y3788" s="7"/>
      <c r="Z3788" s="7"/>
      <c r="AA3788" s="7"/>
      <c r="AB3788" s="7"/>
      <c r="AC3788" s="7"/>
      <c r="AD3788" s="7"/>
      <c r="AE3788" s="7"/>
      <c r="AF3788" s="7"/>
    </row>
    <row r="3789" spans="1:32">
      <c r="A3789" s="683"/>
      <c r="B3789" s="3129" t="s">
        <v>326</v>
      </c>
      <c r="C3789" s="683" t="s">
        <v>321</v>
      </c>
      <c r="D3789" s="719" t="s">
        <v>1979</v>
      </c>
      <c r="E3789" s="720" t="s">
        <v>1970</v>
      </c>
      <c r="F3789" s="685">
        <v>6423</v>
      </c>
      <c r="G3789" s="686" t="s">
        <v>293</v>
      </c>
      <c r="H3789" s="689">
        <v>4000</v>
      </c>
      <c r="I3789" s="689"/>
      <c r="J3789" s="1494">
        <v>1230.25</v>
      </c>
      <c r="K3789" s="727"/>
      <c r="L3789" s="689">
        <v>3000</v>
      </c>
      <c r="M3789" s="689"/>
      <c r="N3789" s="75"/>
      <c r="O3789" s="7"/>
      <c r="P3789" s="7"/>
      <c r="Q3789" s="7"/>
      <c r="R3789" s="7"/>
      <c r="S3789" s="7"/>
      <c r="T3789" s="7"/>
      <c r="U3789" s="7"/>
      <c r="V3789" s="7"/>
      <c r="W3789" s="7"/>
      <c r="X3789" s="7"/>
      <c r="Y3789" s="7"/>
      <c r="Z3789" s="7"/>
      <c r="AA3789" s="7"/>
      <c r="AB3789" s="7"/>
      <c r="AC3789" s="7"/>
      <c r="AD3789" s="7"/>
      <c r="AE3789" s="7"/>
      <c r="AF3789" s="7"/>
    </row>
    <row r="3790" spans="1:32" s="208" customFormat="1">
      <c r="A3790" s="663"/>
      <c r="B3790" s="3130" t="s">
        <v>326</v>
      </c>
      <c r="C3790" s="663" t="s">
        <v>321</v>
      </c>
      <c r="D3790" s="678" t="s">
        <v>1979</v>
      </c>
      <c r="E3790" s="700" t="s">
        <v>1970</v>
      </c>
      <c r="F3790" s="679">
        <v>6423</v>
      </c>
      <c r="G3790" s="681" t="s">
        <v>2871</v>
      </c>
      <c r="H3790" s="660"/>
      <c r="I3790" s="660">
        <v>4000</v>
      </c>
      <c r="J3790" s="1494" t="s">
        <v>1134</v>
      </c>
      <c r="K3790" s="667"/>
      <c r="L3790" s="660"/>
      <c r="M3790" s="660">
        <v>3000</v>
      </c>
      <c r="N3790" s="75"/>
      <c r="O3790" s="207"/>
      <c r="P3790" s="207"/>
      <c r="Q3790" s="207"/>
      <c r="R3790" s="207"/>
      <c r="S3790" s="207"/>
      <c r="T3790" s="207"/>
      <c r="U3790" s="207"/>
      <c r="V3790" s="207"/>
      <c r="W3790" s="207"/>
      <c r="X3790" s="207"/>
      <c r="Y3790" s="207"/>
      <c r="Z3790" s="207"/>
      <c r="AA3790" s="207"/>
      <c r="AB3790" s="207"/>
      <c r="AC3790" s="207"/>
      <c r="AD3790" s="207"/>
      <c r="AE3790" s="207"/>
      <c r="AF3790" s="207"/>
    </row>
    <row r="3791" spans="1:32" ht="30.6">
      <c r="A3791" s="683"/>
      <c r="B3791" s="3129" t="s">
        <v>326</v>
      </c>
      <c r="C3791" s="683" t="s">
        <v>321</v>
      </c>
      <c r="D3791" s="719" t="s">
        <v>1979</v>
      </c>
      <c r="E3791" s="720" t="s">
        <v>1970</v>
      </c>
      <c r="F3791" s="685">
        <v>7245</v>
      </c>
      <c r="G3791" s="686" t="s">
        <v>521</v>
      </c>
      <c r="H3791" s="689">
        <v>0</v>
      </c>
      <c r="I3791" s="689"/>
      <c r="J3791" s="1494" t="s">
        <v>1134</v>
      </c>
      <c r="K3791" s="727"/>
      <c r="L3791" s="689">
        <v>0</v>
      </c>
      <c r="M3791" s="689"/>
      <c r="N3791" s="1490"/>
      <c r="O3791" s="7"/>
      <c r="P3791" s="7"/>
      <c r="Q3791" s="7"/>
      <c r="R3791" s="7"/>
      <c r="S3791" s="7"/>
      <c r="T3791" s="7"/>
      <c r="U3791" s="7"/>
      <c r="V3791" s="7"/>
      <c r="W3791" s="7"/>
      <c r="X3791" s="7"/>
      <c r="Y3791" s="7"/>
      <c r="Z3791" s="7"/>
      <c r="AA3791" s="7"/>
      <c r="AB3791" s="7"/>
      <c r="AC3791" s="7"/>
      <c r="AD3791" s="7"/>
      <c r="AE3791" s="7"/>
      <c r="AF3791" s="7"/>
    </row>
    <row r="3792" spans="1:32">
      <c r="A3792" s="663"/>
      <c r="B3792" s="3130" t="s">
        <v>326</v>
      </c>
      <c r="C3792" s="663" t="s">
        <v>321</v>
      </c>
      <c r="D3792" s="678" t="s">
        <v>1979</v>
      </c>
      <c r="E3792" s="700" t="s">
        <v>1970</v>
      </c>
      <c r="F3792" s="679">
        <v>7245</v>
      </c>
      <c r="G3792" s="681" t="s">
        <v>1323</v>
      </c>
      <c r="H3792" s="660"/>
      <c r="I3792" s="660"/>
      <c r="J3792" s="1494" t="s">
        <v>1134</v>
      </c>
      <c r="K3792" s="667"/>
      <c r="L3792" s="660"/>
      <c r="M3792" s="660"/>
      <c r="N3792" s="1490" t="s">
        <v>3657</v>
      </c>
      <c r="O3792" s="7"/>
      <c r="P3792" s="7"/>
      <c r="Q3792" s="7"/>
      <c r="R3792" s="7"/>
      <c r="S3792" s="7"/>
      <c r="T3792" s="7"/>
      <c r="U3792" s="7"/>
      <c r="V3792" s="7"/>
      <c r="W3792" s="7"/>
      <c r="X3792" s="7"/>
      <c r="Y3792" s="7"/>
      <c r="Z3792" s="7"/>
      <c r="AA3792" s="7"/>
      <c r="AB3792" s="7"/>
      <c r="AC3792" s="7"/>
      <c r="AD3792" s="7"/>
      <c r="AE3792" s="7"/>
      <c r="AF3792" s="7"/>
    </row>
    <row r="3793" spans="1:32" ht="22.5" customHeight="1">
      <c r="A3793" s="683"/>
      <c r="B3793" s="720" t="s">
        <v>772</v>
      </c>
      <c r="C3793" s="683" t="s">
        <v>320</v>
      </c>
      <c r="D3793" s="719" t="s">
        <v>1977</v>
      </c>
      <c r="E3793" s="720" t="s">
        <v>1909</v>
      </c>
      <c r="F3793" s="685">
        <v>2221</v>
      </c>
      <c r="G3793" s="686" t="s">
        <v>623</v>
      </c>
      <c r="H3793" s="976"/>
      <c r="I3793" s="976"/>
      <c r="J3793" s="1494">
        <v>-206</v>
      </c>
      <c r="K3793" s="667"/>
      <c r="L3793" s="959"/>
      <c r="M3793" s="959"/>
      <c r="N3793" s="1799"/>
      <c r="O3793" s="7"/>
      <c r="P3793" s="7"/>
      <c r="Q3793" s="7"/>
      <c r="R3793" s="7"/>
      <c r="S3793" s="7"/>
      <c r="T3793" s="7"/>
      <c r="U3793" s="7"/>
      <c r="V3793" s="7"/>
      <c r="W3793" s="7"/>
      <c r="X3793" s="7"/>
      <c r="Y3793" s="7"/>
      <c r="Z3793" s="7"/>
      <c r="AA3793" s="7"/>
      <c r="AB3793" s="7"/>
      <c r="AC3793" s="7"/>
      <c r="AD3793" s="7"/>
      <c r="AE3793" s="7"/>
      <c r="AF3793" s="7"/>
    </row>
    <row r="3794" spans="1:32">
      <c r="A3794" s="663"/>
      <c r="B3794" s="700" t="s">
        <v>772</v>
      </c>
      <c r="C3794" s="663" t="s">
        <v>320</v>
      </c>
      <c r="D3794" s="678" t="s">
        <v>1977</v>
      </c>
      <c r="E3794" s="700" t="s">
        <v>1909</v>
      </c>
      <c r="F3794" s="679">
        <v>2221</v>
      </c>
      <c r="G3794" s="665"/>
      <c r="H3794" s="977"/>
      <c r="I3794" s="977"/>
      <c r="J3794" s="1494"/>
      <c r="K3794" s="667"/>
      <c r="L3794" s="960"/>
      <c r="M3794" s="960"/>
      <c r="N3794" s="1799"/>
      <c r="O3794" s="7"/>
      <c r="P3794" s="7"/>
      <c r="Q3794" s="7"/>
      <c r="R3794" s="7"/>
      <c r="S3794" s="7"/>
      <c r="T3794" s="7"/>
      <c r="U3794" s="7"/>
      <c r="V3794" s="7"/>
      <c r="W3794" s="7"/>
      <c r="X3794" s="7"/>
      <c r="Y3794" s="7"/>
      <c r="Z3794" s="7"/>
      <c r="AA3794" s="7"/>
      <c r="AB3794" s="7"/>
      <c r="AC3794" s="7"/>
      <c r="AD3794" s="7"/>
      <c r="AE3794" s="7"/>
      <c r="AF3794" s="7"/>
    </row>
    <row r="3795" spans="1:32">
      <c r="A3795" s="683"/>
      <c r="B3795" s="720" t="s">
        <v>772</v>
      </c>
      <c r="C3795" s="683" t="s">
        <v>320</v>
      </c>
      <c r="D3795" s="719" t="s">
        <v>1977</v>
      </c>
      <c r="E3795" s="720" t="s">
        <v>1909</v>
      </c>
      <c r="F3795" s="685">
        <v>2222</v>
      </c>
      <c r="G3795" s="686" t="s">
        <v>153</v>
      </c>
      <c r="H3795" s="976"/>
      <c r="I3795" s="976"/>
      <c r="J3795" s="1494">
        <v>-671</v>
      </c>
      <c r="K3795" s="667"/>
      <c r="L3795" s="959"/>
      <c r="M3795" s="959"/>
      <c r="N3795" s="1799"/>
      <c r="O3795" s="7"/>
      <c r="P3795" s="7"/>
      <c r="Q3795" s="7"/>
      <c r="R3795" s="7"/>
      <c r="S3795" s="7"/>
      <c r="T3795" s="7"/>
      <c r="U3795" s="7"/>
      <c r="V3795" s="7"/>
      <c r="W3795" s="7"/>
      <c r="X3795" s="7"/>
      <c r="Y3795" s="7"/>
      <c r="Z3795" s="7"/>
      <c r="AA3795" s="7"/>
      <c r="AB3795" s="7"/>
      <c r="AC3795" s="7"/>
      <c r="AD3795" s="7"/>
      <c r="AE3795" s="7"/>
      <c r="AF3795" s="7"/>
    </row>
    <row r="3796" spans="1:32" ht="12">
      <c r="A3796" s="663"/>
      <c r="B3796" s="700" t="s">
        <v>772</v>
      </c>
      <c r="C3796" s="663" t="s">
        <v>320</v>
      </c>
      <c r="D3796" s="678" t="s">
        <v>1977</v>
      </c>
      <c r="E3796" s="700" t="s">
        <v>1909</v>
      </c>
      <c r="F3796" s="679">
        <v>2222</v>
      </c>
      <c r="G3796" s="665"/>
      <c r="H3796" s="977"/>
      <c r="I3796" s="977"/>
      <c r="J3796" s="1494"/>
      <c r="K3796" s="667"/>
      <c r="L3796" s="960"/>
      <c r="M3796" s="960"/>
      <c r="N3796" s="1816" t="s">
        <v>3658</v>
      </c>
      <c r="O3796" s="7"/>
      <c r="P3796" s="7"/>
      <c r="Q3796" s="7"/>
      <c r="R3796" s="7"/>
      <c r="S3796" s="7"/>
      <c r="T3796" s="7"/>
      <c r="U3796" s="7"/>
      <c r="V3796" s="7"/>
      <c r="W3796" s="7"/>
      <c r="X3796" s="7"/>
      <c r="Y3796" s="7"/>
      <c r="Z3796" s="7"/>
      <c r="AA3796" s="7"/>
      <c r="AB3796" s="7"/>
      <c r="AC3796" s="7"/>
      <c r="AD3796" s="7"/>
      <c r="AE3796" s="7"/>
      <c r="AF3796" s="7"/>
    </row>
    <row r="3797" spans="1:32">
      <c r="A3797" s="683"/>
      <c r="B3797" s="720" t="s">
        <v>772</v>
      </c>
      <c r="C3797" s="683" t="s">
        <v>320</v>
      </c>
      <c r="D3797" s="719" t="s">
        <v>1977</v>
      </c>
      <c r="E3797" s="720" t="s">
        <v>1909</v>
      </c>
      <c r="F3797" s="685">
        <v>2223</v>
      </c>
      <c r="G3797" s="686" t="s">
        <v>154</v>
      </c>
      <c r="H3797" s="976"/>
      <c r="I3797" s="976"/>
      <c r="J3797" s="1494">
        <v>-4725</v>
      </c>
      <c r="K3797" s="667"/>
      <c r="L3797" s="959"/>
      <c r="M3797" s="959"/>
      <c r="N3797" s="75"/>
      <c r="O3797" s="7"/>
      <c r="P3797" s="7"/>
      <c r="Q3797" s="7"/>
      <c r="R3797" s="7"/>
      <c r="S3797" s="7"/>
      <c r="T3797" s="7"/>
      <c r="U3797" s="7"/>
      <c r="V3797" s="7"/>
      <c r="W3797" s="7"/>
      <c r="X3797" s="7"/>
      <c r="Y3797" s="7"/>
      <c r="Z3797" s="7"/>
      <c r="AA3797" s="7"/>
      <c r="AB3797" s="7"/>
      <c r="AC3797" s="7"/>
      <c r="AD3797" s="7"/>
      <c r="AE3797" s="7"/>
      <c r="AF3797" s="7"/>
    </row>
    <row r="3798" spans="1:32">
      <c r="A3798" s="663"/>
      <c r="B3798" s="700" t="s">
        <v>772</v>
      </c>
      <c r="C3798" s="663" t="s">
        <v>320</v>
      </c>
      <c r="D3798" s="678" t="s">
        <v>1977</v>
      </c>
      <c r="E3798" s="700" t="s">
        <v>1909</v>
      </c>
      <c r="F3798" s="679">
        <v>2223</v>
      </c>
      <c r="G3798" s="665"/>
      <c r="H3798" s="977"/>
      <c r="I3798" s="977"/>
      <c r="J3798" s="1494"/>
      <c r="K3798" s="667"/>
      <c r="L3798" s="960"/>
      <c r="M3798" s="960"/>
      <c r="N3798" s="75"/>
      <c r="O3798" s="7"/>
      <c r="P3798" s="7"/>
      <c r="Q3798" s="7"/>
      <c r="R3798" s="7"/>
      <c r="S3798" s="7"/>
      <c r="T3798" s="7"/>
      <c r="U3798" s="7"/>
      <c r="V3798" s="7"/>
      <c r="W3798" s="7"/>
      <c r="X3798" s="7"/>
      <c r="Y3798" s="7"/>
      <c r="Z3798" s="7"/>
      <c r="AA3798" s="7"/>
      <c r="AB3798" s="7"/>
      <c r="AC3798" s="7"/>
      <c r="AD3798" s="7"/>
      <c r="AE3798" s="7"/>
      <c r="AF3798" s="7"/>
    </row>
    <row r="3799" spans="1:32">
      <c r="A3799" s="683"/>
      <c r="B3799" s="720" t="s">
        <v>772</v>
      </c>
      <c r="C3799" s="683" t="s">
        <v>320</v>
      </c>
      <c r="D3799" s="719" t="s">
        <v>1977</v>
      </c>
      <c r="E3799" s="720" t="s">
        <v>1909</v>
      </c>
      <c r="F3799" s="685">
        <v>2244</v>
      </c>
      <c r="G3799" s="686" t="s">
        <v>160</v>
      </c>
      <c r="H3799" s="976">
        <v>9045</v>
      </c>
      <c r="I3799" s="976"/>
      <c r="J3799" s="1494">
        <v>8034.4</v>
      </c>
      <c r="K3799" s="667"/>
      <c r="L3799" s="976">
        <v>0</v>
      </c>
      <c r="M3799" s="976"/>
      <c r="N3799" s="75"/>
      <c r="O3799" s="7"/>
      <c r="P3799" s="7"/>
      <c r="Q3799" s="7"/>
      <c r="R3799" s="7"/>
      <c r="S3799" s="7"/>
      <c r="T3799" s="7"/>
      <c r="U3799" s="7"/>
      <c r="V3799" s="7"/>
      <c r="W3799" s="7"/>
      <c r="X3799" s="7"/>
      <c r="Y3799" s="7"/>
      <c r="Z3799" s="7"/>
      <c r="AA3799" s="7"/>
      <c r="AB3799" s="7"/>
      <c r="AC3799" s="7"/>
      <c r="AD3799" s="7"/>
      <c r="AE3799" s="7"/>
      <c r="AF3799" s="7"/>
    </row>
    <row r="3800" spans="1:32" ht="20.399999999999999">
      <c r="A3800" s="663"/>
      <c r="B3800" s="700" t="s">
        <v>772</v>
      </c>
      <c r="C3800" s="663" t="s">
        <v>320</v>
      </c>
      <c r="D3800" s="678" t="s">
        <v>1977</v>
      </c>
      <c r="E3800" s="700" t="s">
        <v>1909</v>
      </c>
      <c r="F3800" s="679">
        <v>2244</v>
      </c>
      <c r="G3800" s="665" t="s">
        <v>2817</v>
      </c>
      <c r="H3800" s="977"/>
      <c r="I3800" s="977">
        <v>11045</v>
      </c>
      <c r="J3800" s="1494" t="s">
        <v>1134</v>
      </c>
      <c r="K3800" s="667"/>
      <c r="L3800" s="977"/>
      <c r="M3800" s="977"/>
      <c r="N3800" s="75"/>
      <c r="O3800" s="7"/>
      <c r="P3800" s="7"/>
      <c r="Q3800" s="7"/>
      <c r="R3800" s="7"/>
      <c r="S3800" s="7"/>
      <c r="T3800" s="7"/>
      <c r="U3800" s="7"/>
      <c r="V3800" s="7"/>
      <c r="W3800" s="7"/>
      <c r="X3800" s="7"/>
      <c r="Y3800" s="7"/>
      <c r="Z3800" s="7"/>
      <c r="AA3800" s="7"/>
      <c r="AB3800" s="7"/>
      <c r="AC3800" s="7"/>
      <c r="AD3800" s="7"/>
      <c r="AE3800" s="7"/>
      <c r="AF3800" s="7"/>
    </row>
    <row r="3801" spans="1:32" s="306" customFormat="1" ht="20.399999999999999">
      <c r="A3801" s="603"/>
      <c r="B3801" s="700" t="s">
        <v>772</v>
      </c>
      <c r="C3801" s="663" t="s">
        <v>320</v>
      </c>
      <c r="D3801" s="678" t="s">
        <v>1977</v>
      </c>
      <c r="E3801" s="700" t="s">
        <v>1909</v>
      </c>
      <c r="F3801" s="679">
        <v>2244</v>
      </c>
      <c r="G3801" s="1129" t="s">
        <v>3079</v>
      </c>
      <c r="H3801" s="1447"/>
      <c r="I3801" s="1447">
        <v>-2000</v>
      </c>
      <c r="J3801" s="1494" t="s">
        <v>1134</v>
      </c>
      <c r="K3801" s="1132"/>
      <c r="L3801" s="1447"/>
      <c r="M3801" s="1447"/>
      <c r="N3801" s="75"/>
      <c r="O3801" s="57"/>
      <c r="P3801" s="57"/>
      <c r="Q3801" s="57"/>
      <c r="R3801" s="57"/>
      <c r="S3801" s="57"/>
      <c r="T3801" s="57"/>
      <c r="U3801" s="57"/>
      <c r="V3801" s="57"/>
      <c r="W3801" s="57"/>
      <c r="X3801" s="57"/>
      <c r="Y3801" s="57"/>
      <c r="Z3801" s="57"/>
      <c r="AA3801" s="57"/>
      <c r="AB3801" s="57"/>
      <c r="AC3801" s="57"/>
      <c r="AD3801" s="57"/>
      <c r="AE3801" s="57"/>
      <c r="AF3801" s="57"/>
    </row>
    <row r="3802" spans="1:32">
      <c r="A3802" s="683"/>
      <c r="B3802" s="720" t="s">
        <v>772</v>
      </c>
      <c r="C3802" s="683" t="s">
        <v>322</v>
      </c>
      <c r="D3802" s="719" t="s">
        <v>1977</v>
      </c>
      <c r="E3802" s="720" t="s">
        <v>1909</v>
      </c>
      <c r="F3802" s="685">
        <v>2321</v>
      </c>
      <c r="G3802" s="686" t="s">
        <v>973</v>
      </c>
      <c r="H3802" s="976">
        <v>0</v>
      </c>
      <c r="I3802" s="976"/>
      <c r="J3802" s="1494">
        <v>-323</v>
      </c>
      <c r="K3802" s="667"/>
      <c r="L3802" s="976">
        <v>0</v>
      </c>
      <c r="M3802" s="976"/>
      <c r="N3802" s="75"/>
      <c r="O3802" s="7"/>
      <c r="P3802" s="7"/>
      <c r="Q3802" s="7"/>
      <c r="R3802" s="7"/>
      <c r="S3802" s="7"/>
      <c r="T3802" s="7"/>
      <c r="U3802" s="7"/>
      <c r="V3802" s="7"/>
      <c r="W3802" s="7"/>
      <c r="X3802" s="7"/>
      <c r="Y3802" s="7"/>
      <c r="Z3802" s="7"/>
      <c r="AA3802" s="7"/>
      <c r="AB3802" s="7"/>
      <c r="AC3802" s="7"/>
      <c r="AD3802" s="7"/>
      <c r="AE3802" s="7"/>
      <c r="AF3802" s="7"/>
    </row>
    <row r="3803" spans="1:32">
      <c r="A3803" s="663"/>
      <c r="B3803" s="700" t="s">
        <v>772</v>
      </c>
      <c r="C3803" s="663" t="s">
        <v>322</v>
      </c>
      <c r="D3803" s="678" t="s">
        <v>1977</v>
      </c>
      <c r="E3803" s="700" t="s">
        <v>1909</v>
      </c>
      <c r="F3803" s="679">
        <v>2321</v>
      </c>
      <c r="G3803" s="665" t="s">
        <v>1290</v>
      </c>
      <c r="H3803" s="977"/>
      <c r="I3803" s="977"/>
      <c r="J3803" s="1494" t="s">
        <v>1134</v>
      </c>
      <c r="K3803" s="667"/>
      <c r="L3803" s="977"/>
      <c r="M3803" s="977"/>
      <c r="N3803" s="75"/>
      <c r="O3803" s="7"/>
      <c r="P3803" s="7"/>
      <c r="Q3803" s="7"/>
      <c r="R3803" s="7"/>
      <c r="S3803" s="7"/>
      <c r="T3803" s="7"/>
      <c r="U3803" s="7"/>
      <c r="V3803" s="7"/>
      <c r="W3803" s="7"/>
      <c r="X3803" s="7"/>
      <c r="Y3803" s="7"/>
      <c r="Z3803" s="7"/>
      <c r="AA3803" s="7"/>
      <c r="AB3803" s="7"/>
      <c r="AC3803" s="7"/>
      <c r="AD3803" s="7"/>
      <c r="AE3803" s="7"/>
      <c r="AF3803" s="7"/>
    </row>
    <row r="3804" spans="1:32" ht="33.75" customHeight="1">
      <c r="A3804" s="683"/>
      <c r="B3804" s="720" t="s">
        <v>772</v>
      </c>
      <c r="C3804" s="683" t="s">
        <v>322</v>
      </c>
      <c r="D3804" s="719" t="s">
        <v>1977</v>
      </c>
      <c r="E3804" s="720" t="s">
        <v>1909</v>
      </c>
      <c r="F3804" s="685">
        <v>2512</v>
      </c>
      <c r="G3804" s="686" t="s">
        <v>779</v>
      </c>
      <c r="H3804" s="976">
        <v>2000</v>
      </c>
      <c r="I3804" s="976"/>
      <c r="J3804" s="1494">
        <v>1080</v>
      </c>
      <c r="K3804" s="667"/>
      <c r="L3804" s="976">
        <v>2000</v>
      </c>
      <c r="M3804" s="976"/>
      <c r="N3804" s="75"/>
      <c r="O3804" s="7"/>
      <c r="P3804" s="7"/>
      <c r="Q3804" s="7"/>
      <c r="R3804" s="7"/>
      <c r="S3804" s="7"/>
      <c r="T3804" s="7"/>
      <c r="U3804" s="7"/>
      <c r="V3804" s="7"/>
      <c r="W3804" s="7"/>
      <c r="X3804" s="7"/>
      <c r="Y3804" s="7"/>
      <c r="Z3804" s="7"/>
      <c r="AA3804" s="7"/>
      <c r="AB3804" s="7"/>
      <c r="AC3804" s="7"/>
      <c r="AD3804" s="7"/>
      <c r="AE3804" s="7"/>
      <c r="AF3804" s="7"/>
    </row>
    <row r="3805" spans="1:32" ht="20.399999999999999">
      <c r="A3805" s="663"/>
      <c r="B3805" s="700" t="s">
        <v>772</v>
      </c>
      <c r="C3805" s="663" t="s">
        <v>322</v>
      </c>
      <c r="D3805" s="678" t="s">
        <v>1977</v>
      </c>
      <c r="E3805" s="700" t="s">
        <v>1909</v>
      </c>
      <c r="F3805" s="679">
        <v>2512</v>
      </c>
      <c r="G3805" s="1129" t="s">
        <v>3643</v>
      </c>
      <c r="H3805" s="977"/>
      <c r="I3805" s="977">
        <v>2000</v>
      </c>
      <c r="J3805" s="1494" t="s">
        <v>1134</v>
      </c>
      <c r="K3805" s="667"/>
      <c r="L3805" s="977"/>
      <c r="M3805" s="1797">
        <v>2000</v>
      </c>
      <c r="N3805" s="75"/>
      <c r="O3805" s="7"/>
      <c r="P3805" s="7"/>
      <c r="Q3805" s="7"/>
      <c r="R3805" s="7"/>
      <c r="S3805" s="7"/>
      <c r="T3805" s="7"/>
      <c r="U3805" s="7"/>
      <c r="V3805" s="7"/>
      <c r="W3805" s="7"/>
      <c r="X3805" s="7"/>
      <c r="Y3805" s="7"/>
      <c r="Z3805" s="7"/>
      <c r="AA3805" s="7"/>
      <c r="AB3805" s="7"/>
      <c r="AC3805" s="7"/>
      <c r="AD3805" s="7"/>
      <c r="AE3805" s="7"/>
      <c r="AF3805" s="7"/>
    </row>
    <row r="3806" spans="1:32">
      <c r="A3806" s="942"/>
      <c r="B3806" s="720" t="s">
        <v>772</v>
      </c>
      <c r="C3806" s="683" t="s">
        <v>322</v>
      </c>
      <c r="D3806" s="719" t="s">
        <v>1977</v>
      </c>
      <c r="E3806" s="720" t="s">
        <v>1910</v>
      </c>
      <c r="F3806" s="824">
        <v>2210</v>
      </c>
      <c r="G3806" s="800" t="s">
        <v>731</v>
      </c>
      <c r="H3806" s="707">
        <v>253.79999999999998</v>
      </c>
      <c r="I3806" s="707"/>
      <c r="J3806" s="1494">
        <v>212</v>
      </c>
      <c r="K3806" s="961"/>
      <c r="L3806" s="963">
        <v>253.79999999999998</v>
      </c>
      <c r="M3806" s="963"/>
      <c r="N3806" s="75"/>
      <c r="O3806" s="7"/>
      <c r="P3806" s="7"/>
      <c r="Q3806" s="7"/>
      <c r="R3806" s="7"/>
      <c r="S3806" s="7"/>
      <c r="T3806" s="7"/>
      <c r="U3806" s="7"/>
      <c r="V3806" s="7"/>
      <c r="W3806" s="7"/>
      <c r="X3806" s="7"/>
      <c r="Y3806" s="7"/>
      <c r="Z3806" s="7"/>
      <c r="AA3806" s="7"/>
      <c r="AB3806" s="7"/>
      <c r="AC3806" s="7"/>
      <c r="AD3806" s="7"/>
      <c r="AE3806" s="7"/>
      <c r="AF3806" s="7"/>
    </row>
    <row r="3807" spans="1:32">
      <c r="A3807" s="810"/>
      <c r="B3807" s="700" t="s">
        <v>772</v>
      </c>
      <c r="C3807" s="663" t="s">
        <v>322</v>
      </c>
      <c r="D3807" s="678" t="s">
        <v>1977</v>
      </c>
      <c r="E3807" s="700" t="s">
        <v>1910</v>
      </c>
      <c r="F3807" s="795">
        <v>2210</v>
      </c>
      <c r="G3807" s="750" t="s">
        <v>2563</v>
      </c>
      <c r="H3807" s="709"/>
      <c r="I3807" s="709">
        <v>253.79999999999998</v>
      </c>
      <c r="J3807" s="1494" t="s">
        <v>1134</v>
      </c>
      <c r="K3807" s="825"/>
      <c r="L3807" s="693"/>
      <c r="M3807" s="693">
        <v>253.79999999999998</v>
      </c>
      <c r="N3807" s="75"/>
      <c r="O3807" s="7"/>
      <c r="P3807" s="7"/>
      <c r="Q3807" s="7"/>
      <c r="R3807" s="7"/>
      <c r="S3807" s="7"/>
      <c r="T3807" s="7"/>
      <c r="U3807" s="7"/>
      <c r="V3807" s="7"/>
      <c r="W3807" s="7"/>
      <c r="X3807" s="7"/>
      <c r="Y3807" s="7"/>
      <c r="Z3807" s="7"/>
      <c r="AA3807" s="7"/>
      <c r="AB3807" s="7"/>
      <c r="AC3807" s="7"/>
      <c r="AD3807" s="7"/>
      <c r="AE3807" s="7"/>
      <c r="AF3807" s="7"/>
    </row>
    <row r="3808" spans="1:32" ht="33.75" customHeight="1">
      <c r="A3808" s="942"/>
      <c r="B3808" s="720" t="s">
        <v>772</v>
      </c>
      <c r="C3808" s="720" t="s">
        <v>322</v>
      </c>
      <c r="D3808" s="823" t="s">
        <v>1977</v>
      </c>
      <c r="E3808" s="720" t="s">
        <v>1910</v>
      </c>
      <c r="F3808" s="824">
        <v>2222</v>
      </c>
      <c r="G3808" s="800" t="s">
        <v>153</v>
      </c>
      <c r="H3808" s="707">
        <v>0</v>
      </c>
      <c r="I3808" s="707"/>
      <c r="J3808" s="1494">
        <v>-135</v>
      </c>
      <c r="K3808" s="961"/>
      <c r="L3808" s="966">
        <v>0</v>
      </c>
      <c r="M3808" s="966"/>
      <c r="N3808" s="75"/>
      <c r="O3808" s="7"/>
      <c r="P3808" s="7"/>
      <c r="Q3808" s="7"/>
      <c r="R3808" s="7"/>
      <c r="S3808" s="7"/>
      <c r="T3808" s="7"/>
      <c r="U3808" s="7"/>
      <c r="V3808" s="7"/>
      <c r="W3808" s="7"/>
      <c r="X3808" s="7"/>
      <c r="Y3808" s="7"/>
      <c r="Z3808" s="7"/>
      <c r="AA3808" s="7"/>
      <c r="AB3808" s="7"/>
      <c r="AC3808" s="7"/>
      <c r="AD3808" s="7"/>
      <c r="AE3808" s="7"/>
      <c r="AF3808" s="7"/>
    </row>
    <row r="3809" spans="1:32">
      <c r="A3809" s="810"/>
      <c r="B3809" s="700" t="s">
        <v>772</v>
      </c>
      <c r="C3809" s="700" t="s">
        <v>322</v>
      </c>
      <c r="D3809" s="794" t="s">
        <v>1977</v>
      </c>
      <c r="E3809" s="700" t="s">
        <v>1910</v>
      </c>
      <c r="F3809" s="795">
        <v>2222</v>
      </c>
      <c r="G3809" s="750"/>
      <c r="H3809" s="709"/>
      <c r="I3809" s="709"/>
      <c r="J3809" s="1494" t="s">
        <v>1134</v>
      </c>
      <c r="K3809" s="825"/>
      <c r="L3809" s="691"/>
      <c r="M3809" s="691"/>
      <c r="N3809" s="75"/>
      <c r="O3809" s="7"/>
      <c r="P3809" s="7"/>
      <c r="Q3809" s="7"/>
      <c r="R3809" s="7"/>
      <c r="S3809" s="7"/>
      <c r="T3809" s="7"/>
      <c r="U3809" s="7"/>
      <c r="V3809" s="7"/>
      <c r="W3809" s="7"/>
      <c r="X3809" s="7"/>
      <c r="Y3809" s="7"/>
      <c r="Z3809" s="7"/>
      <c r="AA3809" s="7"/>
      <c r="AB3809" s="7"/>
      <c r="AC3809" s="7"/>
      <c r="AD3809" s="7"/>
      <c r="AE3809" s="7"/>
      <c r="AF3809" s="7"/>
    </row>
    <row r="3810" spans="1:32">
      <c r="A3810" s="942"/>
      <c r="B3810" s="720" t="s">
        <v>772</v>
      </c>
      <c r="C3810" s="720" t="s">
        <v>322</v>
      </c>
      <c r="D3810" s="823" t="s">
        <v>1977</v>
      </c>
      <c r="E3810" s="720" t="s">
        <v>1910</v>
      </c>
      <c r="F3810" s="824">
        <v>2223</v>
      </c>
      <c r="G3810" s="800" t="s">
        <v>1225</v>
      </c>
      <c r="H3810" s="707">
        <v>11478</v>
      </c>
      <c r="I3810" s="707"/>
      <c r="J3810" s="1494">
        <v>7524</v>
      </c>
      <c r="K3810" s="961"/>
      <c r="L3810" s="963">
        <v>15478</v>
      </c>
      <c r="M3810" s="963"/>
      <c r="N3810" s="75"/>
      <c r="O3810" s="7"/>
      <c r="P3810" s="7"/>
      <c r="Q3810" s="7"/>
      <c r="R3810" s="7"/>
      <c r="S3810" s="7"/>
      <c r="T3810" s="7"/>
      <c r="U3810" s="7"/>
      <c r="V3810" s="7"/>
      <c r="W3810" s="7"/>
      <c r="X3810" s="7"/>
      <c r="Y3810" s="7"/>
      <c r="Z3810" s="7"/>
      <c r="AA3810" s="7"/>
      <c r="AB3810" s="7"/>
      <c r="AC3810" s="7"/>
      <c r="AD3810" s="7"/>
      <c r="AE3810" s="7"/>
      <c r="AF3810" s="7"/>
    </row>
    <row r="3811" spans="1:32" ht="20.399999999999999">
      <c r="A3811" s="810"/>
      <c r="B3811" s="700" t="s">
        <v>772</v>
      </c>
      <c r="C3811" s="700" t="s">
        <v>322</v>
      </c>
      <c r="D3811" s="794" t="s">
        <v>1977</v>
      </c>
      <c r="E3811" s="700" t="s">
        <v>1910</v>
      </c>
      <c r="F3811" s="795">
        <v>2223</v>
      </c>
      <c r="G3811" s="1703" t="s">
        <v>2564</v>
      </c>
      <c r="H3811" s="709"/>
      <c r="I3811" s="709">
        <v>15478.320000000002</v>
      </c>
      <c r="J3811" s="1494" t="s">
        <v>1134</v>
      </c>
      <c r="K3811" s="825"/>
      <c r="L3811" s="693"/>
      <c r="M3811" s="693">
        <v>15478</v>
      </c>
      <c r="N3811" s="75"/>
      <c r="O3811" s="7"/>
      <c r="P3811" s="7"/>
      <c r="Q3811" s="7"/>
      <c r="R3811" s="7"/>
      <c r="S3811" s="7"/>
      <c r="T3811" s="7"/>
      <c r="U3811" s="7"/>
      <c r="V3811" s="7"/>
      <c r="W3811" s="7"/>
      <c r="X3811" s="7"/>
      <c r="Y3811" s="7"/>
      <c r="Z3811" s="7"/>
      <c r="AA3811" s="7"/>
      <c r="AB3811" s="7"/>
      <c r="AC3811" s="7"/>
      <c r="AD3811" s="7"/>
      <c r="AE3811" s="7"/>
      <c r="AF3811" s="7"/>
    </row>
    <row r="3812" spans="1:32" ht="20.399999999999999">
      <c r="A3812" s="810"/>
      <c r="B3812" s="700" t="s">
        <v>772</v>
      </c>
      <c r="C3812" s="700" t="s">
        <v>320</v>
      </c>
      <c r="D3812" s="794" t="s">
        <v>1977</v>
      </c>
      <c r="E3812" s="700" t="s">
        <v>1910</v>
      </c>
      <c r="F3812" s="795">
        <v>2223</v>
      </c>
      <c r="G3812" s="750" t="s">
        <v>3395</v>
      </c>
      <c r="H3812" s="709"/>
      <c r="I3812" s="709">
        <v>-4000</v>
      </c>
      <c r="J3812" s="1494"/>
      <c r="K3812" s="825"/>
      <c r="L3812" s="693"/>
      <c r="M3812" s="693"/>
      <c r="N3812" s="75"/>
      <c r="O3812" s="7"/>
      <c r="P3812" s="7"/>
      <c r="Q3812" s="7"/>
      <c r="R3812" s="7"/>
      <c r="S3812" s="7"/>
      <c r="T3812" s="7"/>
      <c r="U3812" s="7"/>
      <c r="V3812" s="7"/>
      <c r="W3812" s="7"/>
      <c r="X3812" s="7"/>
      <c r="Y3812" s="7"/>
      <c r="Z3812" s="7"/>
      <c r="AA3812" s="7"/>
      <c r="AB3812" s="7"/>
      <c r="AC3812" s="7"/>
      <c r="AD3812" s="7"/>
      <c r="AE3812" s="7"/>
      <c r="AF3812" s="7"/>
    </row>
    <row r="3813" spans="1:32" ht="33.75" customHeight="1">
      <c r="A3813" s="942"/>
      <c r="B3813" s="720" t="s">
        <v>772</v>
      </c>
      <c r="C3813" s="683" t="s">
        <v>322</v>
      </c>
      <c r="D3813" s="719" t="s">
        <v>1977</v>
      </c>
      <c r="E3813" s="720" t="s">
        <v>1910</v>
      </c>
      <c r="F3813" s="824">
        <v>2224</v>
      </c>
      <c r="G3813" s="800" t="s">
        <v>1061</v>
      </c>
      <c r="H3813" s="707">
        <v>550</v>
      </c>
      <c r="I3813" s="707"/>
      <c r="J3813" s="1494">
        <v>438.5</v>
      </c>
      <c r="K3813" s="961"/>
      <c r="L3813" s="963">
        <v>550</v>
      </c>
      <c r="M3813" s="963"/>
      <c r="N3813" s="75"/>
      <c r="O3813" s="7"/>
      <c r="P3813" s="7"/>
      <c r="Q3813" s="7"/>
      <c r="R3813" s="7"/>
      <c r="S3813" s="7"/>
      <c r="T3813" s="7"/>
      <c r="U3813" s="7"/>
      <c r="V3813" s="7"/>
      <c r="W3813" s="7"/>
      <c r="X3813" s="7"/>
      <c r="Y3813" s="7"/>
      <c r="Z3813" s="7"/>
      <c r="AA3813" s="7"/>
      <c r="AB3813" s="7"/>
      <c r="AC3813" s="7"/>
      <c r="AD3813" s="7"/>
      <c r="AE3813" s="7"/>
      <c r="AF3813" s="7"/>
    </row>
    <row r="3814" spans="1:32">
      <c r="A3814" s="810" t="s">
        <v>709</v>
      </c>
      <c r="B3814" s="700" t="s">
        <v>772</v>
      </c>
      <c r="C3814" s="663" t="s">
        <v>322</v>
      </c>
      <c r="D3814" s="678" t="s">
        <v>1977</v>
      </c>
      <c r="E3814" s="700" t="s">
        <v>1910</v>
      </c>
      <c r="F3814" s="795">
        <v>2224</v>
      </c>
      <c r="G3814" s="750" t="s">
        <v>1942</v>
      </c>
      <c r="H3814" s="709"/>
      <c r="I3814" s="709">
        <v>550</v>
      </c>
      <c r="J3814" s="1494" t="s">
        <v>1134</v>
      </c>
      <c r="K3814" s="825"/>
      <c r="L3814" s="693"/>
      <c r="M3814" s="878">
        <v>550</v>
      </c>
      <c r="N3814" s="75"/>
      <c r="O3814" s="7"/>
      <c r="P3814" s="7"/>
      <c r="Q3814" s="7"/>
      <c r="R3814" s="7"/>
      <c r="S3814" s="7"/>
      <c r="T3814" s="7"/>
      <c r="U3814" s="7"/>
      <c r="V3814" s="7"/>
      <c r="W3814" s="7"/>
      <c r="X3814" s="7"/>
      <c r="Y3814" s="7"/>
      <c r="Z3814" s="7"/>
      <c r="AA3814" s="7"/>
      <c r="AB3814" s="7"/>
      <c r="AC3814" s="7"/>
      <c r="AD3814" s="7"/>
      <c r="AE3814" s="7"/>
      <c r="AF3814" s="7"/>
    </row>
    <row r="3815" spans="1:32" ht="12" customHeight="1">
      <c r="A3815" s="942"/>
      <c r="B3815" s="720" t="s">
        <v>772</v>
      </c>
      <c r="C3815" s="683" t="s">
        <v>322</v>
      </c>
      <c r="D3815" s="719" t="s">
        <v>1977</v>
      </c>
      <c r="E3815" s="720" t="s">
        <v>1910</v>
      </c>
      <c r="F3815" s="685">
        <v>2239</v>
      </c>
      <c r="G3815" s="686" t="s">
        <v>159</v>
      </c>
      <c r="H3815" s="963">
        <v>10469.968000000001</v>
      </c>
      <c r="I3815" s="963"/>
      <c r="J3815" s="1494"/>
      <c r="K3815" s="889"/>
      <c r="L3815" s="963">
        <v>3599.9679999999998</v>
      </c>
      <c r="M3815" s="963"/>
      <c r="N3815" s="75"/>
      <c r="O3815" s="7"/>
      <c r="P3815" s="7"/>
      <c r="Q3815" s="7"/>
      <c r="R3815" s="7"/>
      <c r="S3815" s="7"/>
      <c r="T3815" s="7"/>
      <c r="U3815" s="7"/>
      <c r="V3815" s="7"/>
      <c r="W3815" s="7"/>
      <c r="X3815" s="7"/>
      <c r="Y3815" s="7"/>
      <c r="Z3815" s="7"/>
      <c r="AA3815" s="7"/>
      <c r="AB3815" s="7"/>
      <c r="AC3815" s="7"/>
      <c r="AD3815" s="7"/>
      <c r="AE3815" s="7"/>
      <c r="AF3815" s="7"/>
    </row>
    <row r="3816" spans="1:32" ht="11.4" customHeight="1">
      <c r="A3816" s="810"/>
      <c r="B3816" s="700" t="s">
        <v>772</v>
      </c>
      <c r="C3816" s="663" t="s">
        <v>322</v>
      </c>
      <c r="D3816" s="678" t="s">
        <v>1977</v>
      </c>
      <c r="E3816" s="700" t="s">
        <v>1910</v>
      </c>
      <c r="F3816" s="679">
        <v>2239</v>
      </c>
      <c r="G3816" s="665" t="s">
        <v>1276</v>
      </c>
      <c r="H3816" s="693"/>
      <c r="I3816" s="693">
        <v>2299.9679999999998</v>
      </c>
      <c r="J3816" s="1494" t="s">
        <v>1134</v>
      </c>
      <c r="K3816" s="848"/>
      <c r="L3816" s="693"/>
      <c r="M3816" s="693">
        <v>2299.9679999999998</v>
      </c>
      <c r="N3816" s="75"/>
      <c r="O3816" s="7"/>
      <c r="P3816" s="7"/>
      <c r="Q3816" s="7"/>
      <c r="R3816" s="7"/>
      <c r="S3816" s="7"/>
      <c r="T3816" s="7"/>
      <c r="U3816" s="7"/>
      <c r="V3816" s="7"/>
      <c r="W3816" s="7"/>
      <c r="X3816" s="7"/>
      <c r="Y3816" s="7"/>
      <c r="Z3816" s="7"/>
      <c r="AA3816" s="7"/>
      <c r="AB3816" s="7"/>
      <c r="AC3816" s="7"/>
      <c r="AD3816" s="7"/>
      <c r="AE3816" s="7"/>
      <c r="AF3816" s="7"/>
    </row>
    <row r="3817" spans="1:32" ht="22.5" customHeight="1">
      <c r="A3817" s="810"/>
      <c r="B3817" s="700" t="s">
        <v>772</v>
      </c>
      <c r="C3817" s="663" t="s">
        <v>322</v>
      </c>
      <c r="D3817" s="678" t="s">
        <v>1977</v>
      </c>
      <c r="E3817" s="700" t="s">
        <v>1910</v>
      </c>
      <c r="F3817" s="679">
        <v>2239</v>
      </c>
      <c r="G3817" s="750" t="s">
        <v>2565</v>
      </c>
      <c r="H3817" s="693"/>
      <c r="I3817" s="693">
        <v>500</v>
      </c>
      <c r="J3817" s="1494">
        <v>685</v>
      </c>
      <c r="K3817" s="848"/>
      <c r="L3817" s="693"/>
      <c r="M3817" s="693">
        <v>700</v>
      </c>
      <c r="N3817" s="75" t="s">
        <v>2709</v>
      </c>
      <c r="O3817" s="7"/>
      <c r="P3817" s="7"/>
      <c r="Q3817" s="7"/>
      <c r="R3817" s="7"/>
      <c r="S3817" s="7"/>
      <c r="T3817" s="7"/>
      <c r="U3817" s="7"/>
      <c r="V3817" s="7"/>
      <c r="W3817" s="7"/>
      <c r="X3817" s="7"/>
      <c r="Y3817" s="7"/>
      <c r="Z3817" s="7"/>
      <c r="AA3817" s="7"/>
      <c r="AB3817" s="7"/>
      <c r="AC3817" s="7"/>
      <c r="AD3817" s="7"/>
      <c r="AE3817" s="7"/>
      <c r="AF3817" s="7"/>
    </row>
    <row r="3818" spans="1:32" ht="20.399999999999999">
      <c r="A3818" s="810"/>
      <c r="B3818" s="700" t="s">
        <v>772</v>
      </c>
      <c r="C3818" s="663" t="s">
        <v>322</v>
      </c>
      <c r="D3818" s="678" t="s">
        <v>1977</v>
      </c>
      <c r="E3818" s="700" t="s">
        <v>1910</v>
      </c>
      <c r="F3818" s="679">
        <v>2239</v>
      </c>
      <c r="G3818" s="665" t="s">
        <v>3649</v>
      </c>
      <c r="H3818" s="693"/>
      <c r="I3818" s="693">
        <v>600</v>
      </c>
      <c r="J3818" s="1494">
        <v>300</v>
      </c>
      <c r="K3818" s="848"/>
      <c r="L3818" s="693"/>
      <c r="M3818" s="693">
        <v>600</v>
      </c>
      <c r="N3818" s="75"/>
      <c r="O3818" s="7"/>
      <c r="P3818" s="7"/>
      <c r="Q3818" s="7"/>
      <c r="R3818" s="7"/>
      <c r="S3818" s="7"/>
      <c r="T3818" s="7"/>
      <c r="U3818" s="7"/>
      <c r="V3818" s="7"/>
      <c r="W3818" s="7"/>
      <c r="X3818" s="7"/>
      <c r="Y3818" s="7"/>
      <c r="Z3818" s="7"/>
      <c r="AA3818" s="7"/>
      <c r="AB3818" s="7"/>
      <c r="AC3818" s="7"/>
      <c r="AD3818" s="7"/>
      <c r="AE3818" s="7"/>
      <c r="AF3818" s="7"/>
    </row>
    <row r="3819" spans="1:32" ht="20.399999999999999">
      <c r="A3819" s="810"/>
      <c r="B3819" s="700" t="s">
        <v>772</v>
      </c>
      <c r="C3819" s="663" t="s">
        <v>322</v>
      </c>
      <c r="D3819" s="678" t="s">
        <v>1977</v>
      </c>
      <c r="E3819" s="700" t="s">
        <v>1910</v>
      </c>
      <c r="F3819" s="679">
        <v>2239</v>
      </c>
      <c r="G3819" s="934" t="s">
        <v>2004</v>
      </c>
      <c r="H3819" s="660"/>
      <c r="I3819" s="660">
        <v>2000</v>
      </c>
      <c r="J3819" s="1494" t="s">
        <v>1134</v>
      </c>
      <c r="K3819" s="667"/>
      <c r="L3819" s="660"/>
      <c r="M3819" s="660"/>
      <c r="N3819" s="75"/>
      <c r="O3819" s="7"/>
      <c r="P3819" s="7"/>
      <c r="Q3819" s="7"/>
      <c r="R3819" s="7"/>
      <c r="S3819" s="7"/>
      <c r="T3819" s="7"/>
      <c r="U3819" s="7"/>
      <c r="V3819" s="7"/>
      <c r="W3819" s="7"/>
      <c r="X3819" s="7"/>
      <c r="Y3819" s="7"/>
      <c r="Z3819" s="7"/>
      <c r="AA3819" s="7"/>
      <c r="AB3819" s="7"/>
      <c r="AC3819" s="7"/>
      <c r="AD3819" s="7"/>
      <c r="AE3819" s="7"/>
      <c r="AF3819" s="7"/>
    </row>
    <row r="3820" spans="1:32" ht="40.799999999999997">
      <c r="A3820" s="810"/>
      <c r="B3820" s="700" t="s">
        <v>772</v>
      </c>
      <c r="C3820" s="663" t="s">
        <v>322</v>
      </c>
      <c r="D3820" s="678" t="s">
        <v>1977</v>
      </c>
      <c r="E3820" s="700" t="s">
        <v>1910</v>
      </c>
      <c r="F3820" s="679">
        <v>2239</v>
      </c>
      <c r="G3820" s="618" t="s">
        <v>3046</v>
      </c>
      <c r="H3820" s="1130"/>
      <c r="I3820" s="1130">
        <v>5070</v>
      </c>
      <c r="J3820" s="1494" t="s">
        <v>1134</v>
      </c>
      <c r="K3820" s="1132"/>
      <c r="L3820" s="1130"/>
      <c r="M3820" s="1130"/>
      <c r="N3820" s="1610"/>
      <c r="O3820" s="7"/>
      <c r="P3820" s="7"/>
      <c r="Q3820" s="7"/>
      <c r="R3820" s="7"/>
      <c r="S3820" s="7"/>
      <c r="T3820" s="7"/>
      <c r="U3820" s="7"/>
      <c r="V3820" s="7"/>
      <c r="W3820" s="7"/>
      <c r="X3820" s="7"/>
      <c r="Y3820" s="7"/>
      <c r="Z3820" s="7"/>
      <c r="AA3820" s="7"/>
      <c r="AB3820" s="7"/>
      <c r="AC3820" s="7"/>
      <c r="AD3820" s="7"/>
      <c r="AE3820" s="7"/>
      <c r="AF3820" s="7"/>
    </row>
    <row r="3821" spans="1:32" ht="22.5" customHeight="1">
      <c r="A3821" s="942"/>
      <c r="B3821" s="720" t="s">
        <v>772</v>
      </c>
      <c r="C3821" s="683" t="s">
        <v>322</v>
      </c>
      <c r="D3821" s="719" t="s">
        <v>1977</v>
      </c>
      <c r="E3821" s="1406" t="s">
        <v>1910</v>
      </c>
      <c r="F3821" s="824">
        <v>2241</v>
      </c>
      <c r="G3821" s="800" t="s">
        <v>1303</v>
      </c>
      <c r="H3821" s="707">
        <v>500</v>
      </c>
      <c r="I3821" s="707"/>
      <c r="J3821" s="1494">
        <v>0</v>
      </c>
      <c r="K3821" s="961"/>
      <c r="L3821" s="1798">
        <v>500</v>
      </c>
      <c r="M3821" s="1798"/>
      <c r="N3821" s="1610"/>
      <c r="O3821" s="7"/>
      <c r="P3821" s="7"/>
      <c r="Q3821" s="7"/>
      <c r="R3821" s="7"/>
      <c r="S3821" s="7"/>
      <c r="T3821" s="7"/>
      <c r="U3821" s="7"/>
      <c r="V3821" s="7"/>
      <c r="W3821" s="7"/>
      <c r="X3821" s="7"/>
      <c r="Y3821" s="7"/>
      <c r="Z3821" s="7"/>
      <c r="AA3821" s="7"/>
      <c r="AB3821" s="7"/>
      <c r="AC3821" s="7"/>
      <c r="AD3821" s="7"/>
      <c r="AE3821" s="7"/>
      <c r="AF3821" s="7"/>
    </row>
    <row r="3822" spans="1:32" ht="20.399999999999999">
      <c r="A3822" s="810"/>
      <c r="B3822" s="700" t="s">
        <v>772</v>
      </c>
      <c r="C3822" s="663" t="s">
        <v>320</v>
      </c>
      <c r="D3822" s="678" t="s">
        <v>1977</v>
      </c>
      <c r="E3822" s="1407" t="s">
        <v>1910</v>
      </c>
      <c r="F3822" s="795">
        <v>2241</v>
      </c>
      <c r="G3822" s="812" t="s">
        <v>3650</v>
      </c>
      <c r="H3822" s="701"/>
      <c r="I3822" s="701">
        <v>500</v>
      </c>
      <c r="J3822" s="1494" t="s">
        <v>1134</v>
      </c>
      <c r="K3822" s="792"/>
      <c r="L3822" s="1662"/>
      <c r="M3822" s="1662">
        <v>500</v>
      </c>
      <c r="N3822" s="1610"/>
      <c r="O3822" s="7"/>
      <c r="P3822" s="7"/>
      <c r="Q3822" s="7"/>
      <c r="R3822" s="7"/>
      <c r="S3822" s="7"/>
      <c r="T3822" s="7"/>
      <c r="U3822" s="7"/>
      <c r="V3822" s="7"/>
      <c r="W3822" s="7"/>
      <c r="X3822" s="7"/>
      <c r="Y3822" s="7"/>
      <c r="Z3822" s="7"/>
      <c r="AA3822" s="7"/>
      <c r="AB3822" s="7"/>
      <c r="AC3822" s="7"/>
      <c r="AD3822" s="7"/>
      <c r="AE3822" s="7"/>
      <c r="AF3822" s="7"/>
    </row>
    <row r="3823" spans="1:32">
      <c r="A3823" s="942"/>
      <c r="B3823" s="720" t="s">
        <v>772</v>
      </c>
      <c r="C3823" s="683" t="s">
        <v>320</v>
      </c>
      <c r="D3823" s="719" t="s">
        <v>1977</v>
      </c>
      <c r="E3823" s="1406" t="s">
        <v>1910</v>
      </c>
      <c r="F3823" s="824">
        <v>2242</v>
      </c>
      <c r="G3823" s="800" t="s">
        <v>732</v>
      </c>
      <c r="H3823" s="707">
        <v>3500</v>
      </c>
      <c r="I3823" s="707"/>
      <c r="J3823" s="1494">
        <v>981.23</v>
      </c>
      <c r="K3823" s="961"/>
      <c r="L3823" s="1798">
        <v>0</v>
      </c>
      <c r="M3823" s="1798"/>
      <c r="N3823" s="1610"/>
      <c r="O3823" s="7"/>
      <c r="P3823" s="7"/>
      <c r="Q3823" s="7"/>
      <c r="R3823" s="7"/>
      <c r="S3823" s="7"/>
      <c r="T3823" s="7"/>
      <c r="U3823" s="7"/>
      <c r="V3823" s="7"/>
      <c r="W3823" s="7"/>
      <c r="X3823" s="7"/>
      <c r="Y3823" s="7"/>
      <c r="Z3823" s="7"/>
      <c r="AA3823" s="7"/>
      <c r="AB3823" s="7"/>
      <c r="AC3823" s="7"/>
      <c r="AD3823" s="7"/>
      <c r="AE3823" s="7"/>
      <c r="AF3823" s="7"/>
    </row>
    <row r="3824" spans="1:32" ht="22.5" customHeight="1">
      <c r="A3824" s="760"/>
      <c r="B3824" s="700" t="s">
        <v>772</v>
      </c>
      <c r="C3824" s="663" t="s">
        <v>320</v>
      </c>
      <c r="D3824" s="678" t="s">
        <v>1977</v>
      </c>
      <c r="E3824" s="1407" t="s">
        <v>1910</v>
      </c>
      <c r="F3824" s="795">
        <v>2242</v>
      </c>
      <c r="G3824" s="750" t="s">
        <v>1367</v>
      </c>
      <c r="H3824" s="701"/>
      <c r="I3824" s="701">
        <v>1300</v>
      </c>
      <c r="J3824" s="1494" t="s">
        <v>1134</v>
      </c>
      <c r="K3824" s="792"/>
      <c r="L3824" s="1662"/>
      <c r="M3824" s="1662"/>
      <c r="N3824" s="1610"/>
      <c r="O3824" s="7"/>
      <c r="P3824" s="7"/>
      <c r="Q3824" s="7"/>
      <c r="R3824" s="7"/>
      <c r="S3824" s="7"/>
      <c r="T3824" s="7"/>
      <c r="U3824" s="7"/>
      <c r="V3824" s="7"/>
      <c r="W3824" s="7"/>
      <c r="X3824" s="7"/>
      <c r="Y3824" s="7"/>
      <c r="Z3824" s="7"/>
      <c r="AA3824" s="7"/>
      <c r="AB3824" s="7"/>
      <c r="AC3824" s="7"/>
      <c r="AD3824" s="7"/>
      <c r="AE3824" s="7"/>
      <c r="AF3824" s="7"/>
    </row>
    <row r="3825" spans="1:32" ht="12" customHeight="1">
      <c r="A3825" s="810"/>
      <c r="B3825" s="700" t="s">
        <v>772</v>
      </c>
      <c r="C3825" s="663" t="s">
        <v>320</v>
      </c>
      <c r="D3825" s="678" t="s">
        <v>1977</v>
      </c>
      <c r="E3825" s="1407" t="s">
        <v>1910</v>
      </c>
      <c r="F3825" s="795">
        <v>2242</v>
      </c>
      <c r="G3825" s="750" t="s">
        <v>2566</v>
      </c>
      <c r="H3825" s="709"/>
      <c r="I3825" s="709">
        <v>2200</v>
      </c>
      <c r="J3825" s="1494" t="s">
        <v>1134</v>
      </c>
      <c r="K3825" s="825"/>
      <c r="L3825" s="1677"/>
      <c r="M3825" s="1677"/>
      <c r="N3825" s="305"/>
      <c r="O3825" s="7"/>
      <c r="P3825" s="7"/>
      <c r="Q3825" s="7"/>
      <c r="R3825" s="7"/>
      <c r="S3825" s="7"/>
      <c r="T3825" s="7"/>
      <c r="U3825" s="7"/>
      <c r="V3825" s="7"/>
      <c r="W3825" s="7"/>
      <c r="X3825" s="7"/>
      <c r="Y3825" s="7"/>
      <c r="Z3825" s="7"/>
      <c r="AA3825" s="7"/>
      <c r="AB3825" s="7"/>
      <c r="AC3825" s="7"/>
      <c r="AD3825" s="7"/>
      <c r="AE3825" s="7"/>
      <c r="AF3825" s="7"/>
    </row>
    <row r="3826" spans="1:32" ht="22.5" customHeight="1">
      <c r="A3826" s="942"/>
      <c r="B3826" s="720" t="s">
        <v>772</v>
      </c>
      <c r="C3826" s="683" t="s">
        <v>322</v>
      </c>
      <c r="D3826" s="719" t="s">
        <v>1977</v>
      </c>
      <c r="E3826" s="1406" t="s">
        <v>1910</v>
      </c>
      <c r="F3826" s="1698">
        <v>2247</v>
      </c>
      <c r="G3826" s="1691" t="s">
        <v>1303</v>
      </c>
      <c r="H3826" s="1800">
        <v>39300</v>
      </c>
      <c r="I3826" s="1800"/>
      <c r="J3826" s="1684">
        <v>26658</v>
      </c>
      <c r="K3826" s="1801"/>
      <c r="L3826" s="1800">
        <v>42000</v>
      </c>
      <c r="M3826" s="1800"/>
      <c r="N3826" s="381" t="s">
        <v>3570</v>
      </c>
      <c r="O3826" s="7"/>
      <c r="P3826" s="7"/>
      <c r="Q3826" s="7"/>
      <c r="R3826" s="7"/>
      <c r="S3826" s="7"/>
      <c r="T3826" s="7"/>
      <c r="U3826" s="7"/>
      <c r="V3826" s="7"/>
      <c r="W3826" s="7"/>
      <c r="X3826" s="7"/>
      <c r="Y3826" s="7"/>
      <c r="Z3826" s="7"/>
      <c r="AA3826" s="7"/>
      <c r="AB3826" s="7"/>
      <c r="AC3826" s="7"/>
      <c r="AD3826" s="7"/>
      <c r="AE3826" s="7"/>
      <c r="AF3826" s="7"/>
    </row>
    <row r="3827" spans="1:32">
      <c r="A3827" s="810"/>
      <c r="B3827" s="700" t="s">
        <v>772</v>
      </c>
      <c r="C3827" s="663" t="s">
        <v>320</v>
      </c>
      <c r="D3827" s="678" t="s">
        <v>1977</v>
      </c>
      <c r="E3827" s="1407" t="s">
        <v>1910</v>
      </c>
      <c r="F3827" s="1413">
        <v>2247</v>
      </c>
      <c r="G3827" s="1803" t="s">
        <v>2710</v>
      </c>
      <c r="H3827" s="1683"/>
      <c r="I3827" s="1683">
        <v>24500</v>
      </c>
      <c r="J3827" s="1684" t="s">
        <v>1134</v>
      </c>
      <c r="K3827" s="1685"/>
      <c r="L3827" s="1683"/>
      <c r="M3827" s="1683">
        <v>42000</v>
      </c>
      <c r="N3827" s="305"/>
      <c r="O3827" s="7"/>
      <c r="P3827" s="7"/>
      <c r="Q3827" s="7"/>
      <c r="R3827" s="7"/>
      <c r="S3827" s="7"/>
      <c r="T3827" s="7"/>
      <c r="U3827" s="7"/>
      <c r="V3827" s="7"/>
      <c r="W3827" s="7"/>
      <c r="X3827" s="7"/>
      <c r="Y3827" s="7"/>
      <c r="Z3827" s="7"/>
      <c r="AA3827" s="7"/>
      <c r="AB3827" s="7"/>
      <c r="AC3827" s="7"/>
      <c r="AD3827" s="7"/>
      <c r="AE3827" s="7"/>
      <c r="AF3827" s="7"/>
    </row>
    <row r="3828" spans="1:32" ht="81.599999999999994">
      <c r="A3828" s="1564"/>
      <c r="B3828" s="700" t="s">
        <v>772</v>
      </c>
      <c r="C3828" s="663" t="s">
        <v>320</v>
      </c>
      <c r="D3828" s="678" t="s">
        <v>1977</v>
      </c>
      <c r="E3828" s="1407" t="s">
        <v>1910</v>
      </c>
      <c r="F3828" s="1413">
        <v>2247</v>
      </c>
      <c r="G3828" s="1804" t="s">
        <v>3368</v>
      </c>
      <c r="H3828" s="1805"/>
      <c r="I3828" s="1805">
        <v>14800</v>
      </c>
      <c r="J3828" s="1806"/>
      <c r="K3828" s="1807"/>
      <c r="L3828" s="1805"/>
      <c r="M3828" s="1805"/>
      <c r="N3828" s="305"/>
      <c r="O3828" s="7"/>
      <c r="P3828" s="7"/>
      <c r="Q3828" s="7"/>
      <c r="R3828" s="7"/>
      <c r="S3828" s="7"/>
      <c r="T3828" s="7"/>
      <c r="U3828" s="7"/>
      <c r="V3828" s="7"/>
      <c r="W3828" s="7"/>
      <c r="X3828" s="7"/>
      <c r="Y3828" s="7"/>
      <c r="Z3828" s="7"/>
      <c r="AA3828" s="7"/>
      <c r="AB3828" s="7"/>
      <c r="AC3828" s="7"/>
      <c r="AD3828" s="7"/>
      <c r="AE3828" s="7"/>
      <c r="AF3828" s="7"/>
    </row>
    <row r="3829" spans="1:32" ht="11.4" customHeight="1">
      <c r="A3829" s="683"/>
      <c r="B3829" s="720" t="s">
        <v>772</v>
      </c>
      <c r="C3829" s="683" t="s">
        <v>320</v>
      </c>
      <c r="D3829" s="719" t="s">
        <v>1977</v>
      </c>
      <c r="E3829" s="975" t="s">
        <v>1910</v>
      </c>
      <c r="F3829" s="721">
        <v>2262</v>
      </c>
      <c r="G3829" s="865" t="s">
        <v>400</v>
      </c>
      <c r="H3829" s="1798">
        <v>55829.53</v>
      </c>
      <c r="I3829" s="1798"/>
      <c r="J3829" s="1809">
        <v>67168</v>
      </c>
      <c r="K3829" s="1810"/>
      <c r="L3829" s="1798">
        <v>71277</v>
      </c>
      <c r="M3829" s="1798"/>
      <c r="N3829" s="305"/>
      <c r="O3829" s="7"/>
      <c r="P3829" s="7"/>
      <c r="Q3829" s="7"/>
      <c r="R3829" s="7"/>
      <c r="S3829" s="7"/>
      <c r="T3829" s="7"/>
      <c r="U3829" s="7"/>
      <c r="V3829" s="7"/>
      <c r="W3829" s="7"/>
      <c r="X3829" s="7"/>
      <c r="Y3829" s="7"/>
      <c r="Z3829" s="7"/>
      <c r="AA3829" s="7"/>
      <c r="AB3829" s="7"/>
      <c r="AC3829" s="7"/>
      <c r="AD3829" s="7"/>
      <c r="AE3829" s="7"/>
      <c r="AF3829" s="7"/>
    </row>
    <row r="3830" spans="1:32" ht="30.6">
      <c r="A3830" s="756"/>
      <c r="B3830" s="700" t="s">
        <v>772</v>
      </c>
      <c r="C3830" s="663" t="s">
        <v>320</v>
      </c>
      <c r="D3830" s="678" t="s">
        <v>1977</v>
      </c>
      <c r="E3830" s="861" t="s">
        <v>1910</v>
      </c>
      <c r="F3830" s="861">
        <v>2262</v>
      </c>
      <c r="G3830" s="1812" t="s">
        <v>2568</v>
      </c>
      <c r="H3830" s="1677"/>
      <c r="I3830" s="1677">
        <v>18577</v>
      </c>
      <c r="J3830" s="1809" t="s">
        <v>1134</v>
      </c>
      <c r="K3830" s="1810"/>
      <c r="L3830" s="1677"/>
      <c r="M3830" s="1677">
        <v>0</v>
      </c>
      <c r="N3830" s="305"/>
      <c r="O3830" s="7"/>
      <c r="P3830" s="7"/>
      <c r="Q3830" s="7"/>
      <c r="R3830" s="7"/>
      <c r="S3830" s="7"/>
      <c r="T3830" s="7"/>
      <c r="U3830" s="7"/>
      <c r="V3830" s="7"/>
      <c r="W3830" s="7"/>
      <c r="X3830" s="7"/>
      <c r="Y3830" s="7"/>
      <c r="Z3830" s="7"/>
      <c r="AA3830" s="7"/>
      <c r="AB3830" s="7"/>
      <c r="AC3830" s="7"/>
      <c r="AD3830" s="7"/>
      <c r="AE3830" s="7"/>
      <c r="AF3830" s="7"/>
    </row>
    <row r="3831" spans="1:32" ht="11.4" customHeight="1">
      <c r="A3831" s="756"/>
      <c r="B3831" s="700" t="s">
        <v>772</v>
      </c>
      <c r="C3831" s="663" t="s">
        <v>320</v>
      </c>
      <c r="D3831" s="678" t="s">
        <v>1977</v>
      </c>
      <c r="E3831" s="861" t="s">
        <v>1910</v>
      </c>
      <c r="F3831" s="861">
        <v>2262</v>
      </c>
      <c r="G3831" s="1813" t="s">
        <v>2570</v>
      </c>
      <c r="H3831" s="1814"/>
      <c r="I3831" s="1814">
        <v>27300</v>
      </c>
      <c r="J3831" s="1809" t="s">
        <v>1134</v>
      </c>
      <c r="K3831" s="1815"/>
      <c r="L3831" s="1814"/>
      <c r="M3831" s="1662">
        <v>24672</v>
      </c>
      <c r="N3831" s="381" t="s">
        <v>3571</v>
      </c>
      <c r="O3831" s="7"/>
      <c r="P3831" s="7"/>
      <c r="Q3831" s="7"/>
      <c r="R3831" s="7"/>
      <c r="S3831" s="7"/>
      <c r="T3831" s="7"/>
      <c r="U3831" s="7"/>
      <c r="V3831" s="7"/>
      <c r="W3831" s="7"/>
      <c r="X3831" s="7"/>
      <c r="Y3831" s="7"/>
      <c r="Z3831" s="7"/>
      <c r="AA3831" s="7"/>
      <c r="AB3831" s="7"/>
      <c r="AC3831" s="7"/>
      <c r="AD3831" s="7"/>
      <c r="AE3831" s="7"/>
      <c r="AF3831" s="7"/>
    </row>
    <row r="3832" spans="1:32" ht="30.6">
      <c r="A3832" s="810"/>
      <c r="B3832" s="700" t="s">
        <v>772</v>
      </c>
      <c r="C3832" s="663" t="s">
        <v>320</v>
      </c>
      <c r="D3832" s="678" t="s">
        <v>1977</v>
      </c>
      <c r="E3832" s="861" t="s">
        <v>1910</v>
      </c>
      <c r="F3832" s="725">
        <v>2262</v>
      </c>
      <c r="G3832" s="934" t="s">
        <v>2567</v>
      </c>
      <c r="H3832" s="1662"/>
      <c r="I3832" s="1662">
        <v>12347.529999999999</v>
      </c>
      <c r="J3832" s="1809" t="s">
        <v>1134</v>
      </c>
      <c r="K3832" s="1815"/>
      <c r="L3832" s="1662"/>
      <c r="M3832" s="1662">
        <v>0</v>
      </c>
      <c r="N3832" s="381"/>
      <c r="O3832" s="7"/>
      <c r="P3832" s="7"/>
      <c r="Q3832" s="7"/>
      <c r="R3832" s="7"/>
      <c r="S3832" s="7"/>
      <c r="T3832" s="7"/>
      <c r="U3832" s="7"/>
      <c r="V3832" s="7"/>
      <c r="W3832" s="7"/>
      <c r="X3832" s="7"/>
      <c r="Y3832" s="7"/>
      <c r="Z3832" s="7"/>
      <c r="AA3832" s="7"/>
      <c r="AB3832" s="7"/>
      <c r="AC3832" s="7"/>
      <c r="AD3832" s="7"/>
      <c r="AE3832" s="7"/>
      <c r="AF3832" s="7"/>
    </row>
    <row r="3833" spans="1:32" ht="30.6">
      <c r="A3833" s="810"/>
      <c r="B3833" s="700" t="s">
        <v>772</v>
      </c>
      <c r="C3833" s="700" t="s">
        <v>320</v>
      </c>
      <c r="D3833" s="794" t="s">
        <v>1977</v>
      </c>
      <c r="E3833" s="861" t="s">
        <v>1910</v>
      </c>
      <c r="F3833" s="725">
        <v>2262</v>
      </c>
      <c r="G3833" s="934" t="s">
        <v>1368</v>
      </c>
      <c r="H3833" s="1662"/>
      <c r="I3833" s="1662">
        <v>22360</v>
      </c>
      <c r="J3833" s="1809" t="s">
        <v>1134</v>
      </c>
      <c r="K3833" s="1815"/>
      <c r="L3833" s="1662"/>
      <c r="M3833" s="1681">
        <v>22360</v>
      </c>
      <c r="N3833" s="381"/>
      <c r="O3833" s="7"/>
      <c r="P3833" s="7"/>
      <c r="Q3833" s="7"/>
      <c r="R3833" s="7"/>
      <c r="S3833" s="7"/>
      <c r="T3833" s="7"/>
      <c r="U3833" s="7"/>
      <c r="V3833" s="7"/>
      <c r="W3833" s="7"/>
      <c r="X3833" s="7"/>
      <c r="Y3833" s="7"/>
      <c r="Z3833" s="7"/>
      <c r="AA3833" s="7"/>
      <c r="AB3833" s="7"/>
      <c r="AC3833" s="7"/>
      <c r="AD3833" s="7"/>
      <c r="AE3833" s="7"/>
      <c r="AF3833" s="7"/>
    </row>
    <row r="3834" spans="1:32" ht="11.4" customHeight="1">
      <c r="A3834" s="810"/>
      <c r="B3834" s="700" t="s">
        <v>772</v>
      </c>
      <c r="C3834" s="663" t="s">
        <v>320</v>
      </c>
      <c r="D3834" s="678" t="s">
        <v>1977</v>
      </c>
      <c r="E3834" s="861" t="s">
        <v>1910</v>
      </c>
      <c r="F3834" s="725">
        <v>2262</v>
      </c>
      <c r="G3834" s="934" t="s">
        <v>2569</v>
      </c>
      <c r="H3834" s="1662"/>
      <c r="I3834" s="1662">
        <v>24245</v>
      </c>
      <c r="J3834" s="1809" t="s">
        <v>1134</v>
      </c>
      <c r="K3834" s="1815"/>
      <c r="L3834" s="1662"/>
      <c r="M3834" s="1662">
        <v>24245</v>
      </c>
      <c r="N3834" s="305"/>
      <c r="O3834" s="7"/>
      <c r="P3834" s="7"/>
      <c r="Q3834" s="7"/>
      <c r="R3834" s="7"/>
      <c r="S3834" s="7"/>
      <c r="T3834" s="7"/>
      <c r="U3834" s="7"/>
      <c r="V3834" s="7"/>
      <c r="W3834" s="7"/>
      <c r="X3834" s="7"/>
      <c r="Y3834" s="7"/>
      <c r="Z3834" s="7"/>
      <c r="AA3834" s="7"/>
      <c r="AB3834" s="7"/>
      <c r="AC3834" s="7"/>
      <c r="AD3834" s="7"/>
      <c r="AE3834" s="7"/>
      <c r="AF3834" s="7"/>
    </row>
    <row r="3835" spans="1:32" ht="20.399999999999999">
      <c r="A3835" s="810"/>
      <c r="B3835" s="700" t="s">
        <v>772</v>
      </c>
      <c r="C3835" s="663" t="s">
        <v>320</v>
      </c>
      <c r="D3835" s="678" t="s">
        <v>1977</v>
      </c>
      <c r="E3835" s="861" t="s">
        <v>1910</v>
      </c>
      <c r="F3835" s="725">
        <v>2262</v>
      </c>
      <c r="G3835" s="934" t="s">
        <v>3394</v>
      </c>
      <c r="H3835" s="1662"/>
      <c r="I3835" s="1662">
        <v>-45000</v>
      </c>
      <c r="J3835" s="1809"/>
      <c r="K3835" s="1815"/>
      <c r="L3835" s="1662"/>
      <c r="M3835" s="1662"/>
      <c r="N3835" s="305"/>
      <c r="O3835" s="7"/>
      <c r="P3835" s="7"/>
      <c r="Q3835" s="7"/>
      <c r="R3835" s="7"/>
      <c r="S3835" s="7"/>
      <c r="T3835" s="7"/>
      <c r="U3835" s="7"/>
      <c r="V3835" s="7"/>
      <c r="W3835" s="7"/>
      <c r="X3835" s="7"/>
      <c r="Y3835" s="7"/>
      <c r="Z3835" s="7"/>
      <c r="AA3835" s="7"/>
      <c r="AB3835" s="7"/>
      <c r="AC3835" s="7"/>
      <c r="AD3835" s="7"/>
      <c r="AE3835" s="7"/>
      <c r="AF3835" s="7"/>
    </row>
    <row r="3836" spans="1:32" ht="71.400000000000006">
      <c r="A3836" s="810"/>
      <c r="B3836" s="700" t="s">
        <v>772</v>
      </c>
      <c r="C3836" s="663" t="s">
        <v>320</v>
      </c>
      <c r="D3836" s="678" t="s">
        <v>1977</v>
      </c>
      <c r="E3836" s="861" t="s">
        <v>1910</v>
      </c>
      <c r="F3836" s="725">
        <v>2262</v>
      </c>
      <c r="G3836" s="934" t="s">
        <v>3396</v>
      </c>
      <c r="H3836" s="1662"/>
      <c r="I3836" s="1662">
        <v>-4000</v>
      </c>
      <c r="J3836" s="1809" t="s">
        <v>1134</v>
      </c>
      <c r="K3836" s="1815"/>
      <c r="L3836" s="1662"/>
      <c r="M3836" s="1662"/>
      <c r="N3836" s="381" t="s">
        <v>3573</v>
      </c>
      <c r="O3836" s="7"/>
      <c r="P3836" s="7"/>
      <c r="Q3836" s="7"/>
      <c r="R3836" s="7"/>
      <c r="S3836" s="7"/>
      <c r="T3836" s="7"/>
      <c r="U3836" s="7"/>
      <c r="V3836" s="7"/>
      <c r="W3836" s="7"/>
      <c r="X3836" s="7"/>
      <c r="Y3836" s="7"/>
      <c r="Z3836" s="7"/>
      <c r="AA3836" s="7"/>
      <c r="AB3836" s="7"/>
      <c r="AC3836" s="7"/>
      <c r="AD3836" s="7"/>
      <c r="AE3836" s="7"/>
      <c r="AF3836" s="7"/>
    </row>
    <row r="3837" spans="1:32">
      <c r="A3837" s="683"/>
      <c r="B3837" s="3129" t="s">
        <v>773</v>
      </c>
      <c r="C3837" s="683" t="s">
        <v>320</v>
      </c>
      <c r="D3837" s="719" t="s">
        <v>1977</v>
      </c>
      <c r="E3837" s="1406" t="s">
        <v>1910</v>
      </c>
      <c r="F3837" s="824">
        <v>2262</v>
      </c>
      <c r="G3837" s="800" t="s">
        <v>400</v>
      </c>
      <c r="H3837" s="707">
        <v>58112</v>
      </c>
      <c r="I3837" s="707"/>
      <c r="J3837" s="1494"/>
      <c r="K3837" s="961"/>
      <c r="L3837" s="1798">
        <v>0</v>
      </c>
      <c r="M3837" s="1798"/>
      <c r="N3837" s="305"/>
      <c r="O3837" s="7"/>
      <c r="P3837" s="7"/>
      <c r="Q3837" s="7"/>
      <c r="R3837" s="7"/>
      <c r="S3837" s="7"/>
      <c r="T3837" s="7"/>
      <c r="U3837" s="7"/>
      <c r="V3837" s="7"/>
      <c r="W3837" s="7"/>
      <c r="X3837" s="7"/>
      <c r="Y3837" s="7"/>
      <c r="Z3837" s="7"/>
      <c r="AA3837" s="7"/>
      <c r="AB3837" s="7"/>
      <c r="AC3837" s="7"/>
      <c r="AD3837" s="7"/>
      <c r="AE3837" s="7"/>
      <c r="AF3837" s="7"/>
    </row>
    <row r="3838" spans="1:32" ht="20.399999999999999">
      <c r="A3838" s="756"/>
      <c r="B3838" s="3130" t="s">
        <v>773</v>
      </c>
      <c r="C3838" s="663" t="s">
        <v>320</v>
      </c>
      <c r="D3838" s="678" t="s">
        <v>1977</v>
      </c>
      <c r="E3838" s="1407" t="s">
        <v>1910</v>
      </c>
      <c r="F3838" s="700">
        <v>2262</v>
      </c>
      <c r="G3838" s="1348" t="s">
        <v>2921</v>
      </c>
      <c r="H3838" s="709"/>
      <c r="I3838" s="709">
        <v>35000</v>
      </c>
      <c r="J3838" s="1494" t="s">
        <v>1134</v>
      </c>
      <c r="K3838" s="961"/>
      <c r="L3838" s="1677"/>
      <c r="M3838" s="1677"/>
      <c r="N3838" s="305"/>
      <c r="O3838" s="7"/>
      <c r="P3838" s="7"/>
      <c r="Q3838" s="7"/>
      <c r="R3838" s="7"/>
      <c r="S3838" s="7"/>
      <c r="T3838" s="7"/>
      <c r="U3838" s="7"/>
      <c r="V3838" s="7"/>
      <c r="W3838" s="7"/>
      <c r="X3838" s="7"/>
      <c r="Y3838" s="7"/>
      <c r="Z3838" s="7"/>
      <c r="AA3838" s="7"/>
      <c r="AB3838" s="7"/>
      <c r="AC3838" s="7"/>
      <c r="AD3838" s="7"/>
      <c r="AE3838" s="7"/>
      <c r="AF3838" s="7"/>
    </row>
    <row r="3839" spans="1:32" ht="51">
      <c r="A3839" s="756"/>
      <c r="B3839" s="3130" t="s">
        <v>773</v>
      </c>
      <c r="C3839" s="663" t="s">
        <v>320</v>
      </c>
      <c r="D3839" s="678" t="s">
        <v>1977</v>
      </c>
      <c r="E3839" s="1407" t="s">
        <v>1910</v>
      </c>
      <c r="F3839" s="700">
        <v>2262</v>
      </c>
      <c r="G3839" s="1817" t="s">
        <v>3281</v>
      </c>
      <c r="H3839" s="806"/>
      <c r="I3839" s="806">
        <v>12916</v>
      </c>
      <c r="J3839" s="1494" t="s">
        <v>1134</v>
      </c>
      <c r="K3839" s="792"/>
      <c r="L3839" s="1814"/>
      <c r="M3839" s="1662"/>
      <c r="N3839" s="381" t="s">
        <v>3569</v>
      </c>
      <c r="O3839" s="7"/>
      <c r="P3839" s="7"/>
      <c r="Q3839" s="7"/>
      <c r="R3839" s="7"/>
      <c r="S3839" s="7"/>
      <c r="T3839" s="7"/>
      <c r="V3839" s="7"/>
      <c r="W3839" s="7"/>
      <c r="X3839" s="7"/>
      <c r="Y3839" s="7"/>
      <c r="Z3839" s="7"/>
      <c r="AA3839" s="7"/>
      <c r="AB3839" s="7"/>
      <c r="AC3839" s="7"/>
      <c r="AD3839" s="7"/>
      <c r="AE3839" s="7"/>
      <c r="AF3839" s="7"/>
    </row>
    <row r="3840" spans="1:32" ht="61.2">
      <c r="A3840" s="810"/>
      <c r="B3840" s="3130" t="s">
        <v>773</v>
      </c>
      <c r="C3840" s="663" t="s">
        <v>320</v>
      </c>
      <c r="D3840" s="794" t="s">
        <v>1977</v>
      </c>
      <c r="E3840" s="1407" t="s">
        <v>1910</v>
      </c>
      <c r="F3840" s="795">
        <v>2262</v>
      </c>
      <c r="G3840" s="1818" t="s">
        <v>3282</v>
      </c>
      <c r="H3840" s="701"/>
      <c r="I3840" s="701">
        <v>10196</v>
      </c>
      <c r="J3840" s="1494" t="s">
        <v>1134</v>
      </c>
      <c r="K3840" s="792"/>
      <c r="L3840" s="1662"/>
      <c r="M3840" s="1662"/>
      <c r="N3840" s="305"/>
      <c r="O3840" s="7"/>
      <c r="P3840" s="7"/>
      <c r="Q3840" s="7"/>
      <c r="R3840" s="7"/>
      <c r="S3840" s="7"/>
      <c r="T3840" s="7"/>
      <c r="V3840" s="7"/>
      <c r="W3840" s="7"/>
      <c r="X3840" s="7"/>
      <c r="Y3840" s="7"/>
      <c r="Z3840" s="7"/>
      <c r="AA3840" s="7"/>
      <c r="AB3840" s="7"/>
      <c r="AC3840" s="7"/>
      <c r="AD3840" s="7"/>
      <c r="AE3840" s="7"/>
      <c r="AF3840" s="7"/>
    </row>
    <row r="3841" spans="1:32">
      <c r="A3841" s="942"/>
      <c r="B3841" s="720" t="s">
        <v>772</v>
      </c>
      <c r="C3841" s="683" t="s">
        <v>320</v>
      </c>
      <c r="D3841" s="719" t="s">
        <v>1977</v>
      </c>
      <c r="E3841" s="1406" t="s">
        <v>1910</v>
      </c>
      <c r="F3841" s="824">
        <v>2321</v>
      </c>
      <c r="G3841" s="800" t="s">
        <v>168</v>
      </c>
      <c r="H3841" s="707">
        <v>23244</v>
      </c>
      <c r="I3841" s="965"/>
      <c r="J3841" s="1494">
        <v>6988</v>
      </c>
      <c r="K3841" s="961"/>
      <c r="L3841" s="1798">
        <v>16796</v>
      </c>
      <c r="M3841" s="1819"/>
      <c r="N3841" s="305"/>
      <c r="O3841" s="7"/>
      <c r="P3841" s="7"/>
      <c r="Q3841" s="7"/>
      <c r="R3841" s="7"/>
      <c r="S3841" s="7"/>
      <c r="T3841" s="7"/>
      <c r="V3841" s="7"/>
      <c r="W3841" s="7"/>
      <c r="X3841" s="7"/>
      <c r="Y3841" s="7"/>
      <c r="Z3841" s="7"/>
      <c r="AA3841" s="7"/>
      <c r="AB3841" s="7"/>
      <c r="AC3841" s="7"/>
      <c r="AD3841" s="7"/>
      <c r="AE3841" s="7"/>
      <c r="AF3841" s="7"/>
    </row>
    <row r="3842" spans="1:32">
      <c r="A3842" s="810"/>
      <c r="B3842" s="700" t="s">
        <v>772</v>
      </c>
      <c r="C3842" s="663" t="s">
        <v>320</v>
      </c>
      <c r="D3842" s="678" t="s">
        <v>1977</v>
      </c>
      <c r="E3842" s="1407" t="s">
        <v>1910</v>
      </c>
      <c r="F3842" s="795">
        <v>2321</v>
      </c>
      <c r="G3842" s="750" t="s">
        <v>2533</v>
      </c>
      <c r="H3842" s="806"/>
      <c r="I3842" s="806">
        <v>23100</v>
      </c>
      <c r="J3842" s="1494" t="s">
        <v>1134</v>
      </c>
      <c r="K3842" s="792"/>
      <c r="L3842" s="1814"/>
      <c r="M3842" s="1814">
        <v>16652</v>
      </c>
      <c r="N3842" s="305"/>
      <c r="O3842" s="7"/>
      <c r="P3842" s="7"/>
      <c r="Q3842" s="7"/>
      <c r="R3842" s="7"/>
      <c r="S3842" s="7"/>
      <c r="T3842" s="7"/>
      <c r="V3842" s="7"/>
      <c r="W3842" s="7"/>
      <c r="X3842" s="7"/>
      <c r="Y3842" s="7"/>
      <c r="Z3842" s="7"/>
      <c r="AA3842" s="7"/>
      <c r="AB3842" s="7"/>
      <c r="AC3842" s="7"/>
      <c r="AD3842" s="7"/>
      <c r="AE3842" s="7"/>
      <c r="AF3842" s="7"/>
    </row>
    <row r="3843" spans="1:32">
      <c r="A3843" s="810"/>
      <c r="B3843" s="700" t="s">
        <v>772</v>
      </c>
      <c r="C3843" s="663" t="s">
        <v>320</v>
      </c>
      <c r="D3843" s="678" t="s">
        <v>1977</v>
      </c>
      <c r="E3843" s="1407" t="s">
        <v>1910</v>
      </c>
      <c r="F3843" s="795">
        <v>2321</v>
      </c>
      <c r="G3843" s="750" t="s">
        <v>2571</v>
      </c>
      <c r="H3843" s="806"/>
      <c r="I3843" s="806">
        <v>144</v>
      </c>
      <c r="J3843" s="1494" t="s">
        <v>1134</v>
      </c>
      <c r="K3843" s="792"/>
      <c r="L3843" s="1814"/>
      <c r="M3843" s="1814">
        <v>144</v>
      </c>
      <c r="N3843" s="305" t="s">
        <v>3574</v>
      </c>
      <c r="O3843" s="7"/>
      <c r="P3843" s="7"/>
      <c r="Q3843" s="7"/>
      <c r="R3843" s="7"/>
      <c r="S3843" s="7"/>
      <c r="T3843" s="7"/>
      <c r="V3843" s="7"/>
      <c r="W3843" s="7"/>
      <c r="X3843" s="7"/>
      <c r="Y3843" s="7"/>
      <c r="Z3843" s="7"/>
      <c r="AA3843" s="7"/>
      <c r="AB3843" s="7"/>
      <c r="AC3843" s="7"/>
      <c r="AD3843" s="7"/>
      <c r="AE3843" s="7"/>
      <c r="AF3843" s="7"/>
    </row>
    <row r="3844" spans="1:32" ht="12" customHeight="1">
      <c r="A3844" s="942"/>
      <c r="B3844" s="720" t="s">
        <v>772</v>
      </c>
      <c r="C3844" s="720" t="s">
        <v>322</v>
      </c>
      <c r="D3844" s="823" t="s">
        <v>1977</v>
      </c>
      <c r="E3844" s="1406" t="s">
        <v>1910</v>
      </c>
      <c r="F3844" s="824">
        <v>2512</v>
      </c>
      <c r="G3844" s="800" t="s">
        <v>299</v>
      </c>
      <c r="H3844" s="707">
        <v>66000</v>
      </c>
      <c r="I3844" s="707"/>
      <c r="J3844" s="1494">
        <v>64012</v>
      </c>
      <c r="K3844" s="961"/>
      <c r="L3844" s="1798">
        <v>58200</v>
      </c>
      <c r="M3844" s="1798"/>
      <c r="N3844" s="305"/>
      <c r="O3844" s="7"/>
      <c r="P3844" s="7"/>
      <c r="Q3844" s="7"/>
      <c r="R3844" s="7"/>
      <c r="S3844" s="7"/>
      <c r="T3844" s="7"/>
      <c r="V3844" s="7"/>
      <c r="W3844" s="7"/>
      <c r="X3844" s="7"/>
      <c r="Y3844" s="7"/>
      <c r="Z3844" s="7"/>
      <c r="AA3844" s="7"/>
      <c r="AB3844" s="7"/>
      <c r="AC3844" s="7"/>
      <c r="AD3844" s="7"/>
      <c r="AE3844" s="7"/>
      <c r="AF3844" s="7"/>
    </row>
    <row r="3845" spans="1:32" ht="30.6">
      <c r="A3845" s="810"/>
      <c r="B3845" s="700" t="s">
        <v>772</v>
      </c>
      <c r="C3845" s="700" t="s">
        <v>320</v>
      </c>
      <c r="D3845" s="794" t="s">
        <v>1977</v>
      </c>
      <c r="E3845" s="1407" t="s">
        <v>1910</v>
      </c>
      <c r="F3845" s="795">
        <v>2512</v>
      </c>
      <c r="G3845" s="967" t="s">
        <v>568</v>
      </c>
      <c r="H3845" s="701"/>
      <c r="I3845" s="701">
        <v>30000</v>
      </c>
      <c r="J3845" s="1494" t="s">
        <v>1134</v>
      </c>
      <c r="K3845" s="792"/>
      <c r="L3845" s="1662"/>
      <c r="M3845" s="1662">
        <v>45000</v>
      </c>
      <c r="N3845" s="305"/>
      <c r="O3845" s="7"/>
      <c r="P3845" s="7"/>
      <c r="Q3845" s="7"/>
      <c r="R3845" s="7"/>
      <c r="S3845" s="7"/>
      <c r="T3845" s="7"/>
      <c r="V3845" s="7"/>
      <c r="W3845" s="7"/>
      <c r="X3845" s="7"/>
      <c r="Y3845" s="7"/>
      <c r="Z3845" s="7"/>
      <c r="AA3845" s="7"/>
      <c r="AB3845" s="7"/>
      <c r="AC3845" s="7"/>
      <c r="AD3845" s="7"/>
      <c r="AE3845" s="7"/>
      <c r="AF3845" s="7"/>
    </row>
    <row r="3846" spans="1:32">
      <c r="A3846" s="1564"/>
      <c r="B3846" s="700" t="s">
        <v>772</v>
      </c>
      <c r="C3846" s="700" t="s">
        <v>320</v>
      </c>
      <c r="D3846" s="794" t="s">
        <v>1977</v>
      </c>
      <c r="E3846" s="1407" t="s">
        <v>1910</v>
      </c>
      <c r="F3846" s="795">
        <v>2512</v>
      </c>
      <c r="G3846" s="1616" t="s">
        <v>3645</v>
      </c>
      <c r="H3846" s="1557"/>
      <c r="I3846" s="1557">
        <v>45000</v>
      </c>
      <c r="J3846" s="1550"/>
      <c r="K3846" s="1563"/>
      <c r="L3846" s="1709"/>
      <c r="M3846" s="1709">
        <v>5800</v>
      </c>
      <c r="N3846" s="305"/>
      <c r="O3846" s="7"/>
      <c r="P3846" s="7"/>
      <c r="Q3846" s="7"/>
      <c r="R3846" s="7"/>
      <c r="S3846" s="7"/>
      <c r="T3846" s="7"/>
      <c r="V3846" s="7"/>
      <c r="W3846" s="7"/>
      <c r="X3846" s="7"/>
      <c r="Y3846" s="7"/>
      <c r="Z3846" s="7"/>
      <c r="AA3846" s="7"/>
      <c r="AB3846" s="7"/>
      <c r="AC3846" s="7"/>
      <c r="AD3846" s="7"/>
      <c r="AE3846" s="7"/>
      <c r="AF3846" s="7"/>
    </row>
    <row r="3847" spans="1:32" ht="20.399999999999999">
      <c r="A3847" s="1564"/>
      <c r="B3847" s="700" t="s">
        <v>772</v>
      </c>
      <c r="C3847" s="700" t="s">
        <v>320</v>
      </c>
      <c r="D3847" s="794" t="s">
        <v>1977</v>
      </c>
      <c r="E3847" s="1407" t="s">
        <v>1910</v>
      </c>
      <c r="F3847" s="795">
        <v>2512</v>
      </c>
      <c r="G3847" s="1616" t="s">
        <v>3648</v>
      </c>
      <c r="H3847" s="1557"/>
      <c r="I3847" s="1557">
        <v>4000</v>
      </c>
      <c r="J3847" s="1550"/>
      <c r="K3847" s="1563"/>
      <c r="L3847" s="1709"/>
      <c r="M3847" s="1709">
        <v>7400</v>
      </c>
      <c r="N3847" s="305"/>
      <c r="O3847" s="7"/>
      <c r="P3847" s="7"/>
      <c r="Q3847" s="7"/>
      <c r="R3847" s="7"/>
      <c r="S3847" s="7"/>
      <c r="T3847" s="7"/>
      <c r="V3847" s="7"/>
      <c r="W3847" s="7"/>
      <c r="X3847" s="7"/>
      <c r="Y3847" s="7"/>
      <c r="Z3847" s="7"/>
      <c r="AA3847" s="7"/>
      <c r="AB3847" s="7"/>
      <c r="AC3847" s="7"/>
      <c r="AD3847" s="7"/>
      <c r="AE3847" s="7"/>
      <c r="AF3847" s="7"/>
    </row>
    <row r="3848" spans="1:32">
      <c r="A3848" s="1564"/>
      <c r="B3848" s="700" t="s">
        <v>772</v>
      </c>
      <c r="C3848" s="700" t="s">
        <v>320</v>
      </c>
      <c r="D3848" s="794" t="s">
        <v>1977</v>
      </c>
      <c r="E3848" s="1407" t="s">
        <v>1910</v>
      </c>
      <c r="F3848" s="795">
        <v>2512</v>
      </c>
      <c r="G3848" s="1616"/>
      <c r="H3848" s="1557"/>
      <c r="I3848" s="1557">
        <v>4000</v>
      </c>
      <c r="J3848" s="1550"/>
      <c r="K3848" s="1563"/>
      <c r="L3848" s="1709"/>
      <c r="M3848" s="1709"/>
      <c r="N3848" s="305"/>
      <c r="O3848" s="7"/>
      <c r="P3848" s="7"/>
      <c r="Q3848" s="7"/>
      <c r="R3848" s="7"/>
      <c r="S3848" s="7"/>
      <c r="T3848" s="7"/>
      <c r="V3848" s="7"/>
      <c r="W3848" s="7"/>
      <c r="X3848" s="7"/>
      <c r="Y3848" s="7"/>
      <c r="Z3848" s="7"/>
      <c r="AA3848" s="7"/>
      <c r="AB3848" s="7"/>
      <c r="AC3848" s="7"/>
      <c r="AD3848" s="7"/>
      <c r="AE3848" s="7"/>
      <c r="AF3848" s="7"/>
    </row>
    <row r="3849" spans="1:32" ht="11.4" customHeight="1">
      <c r="A3849" s="810"/>
      <c r="B3849" s="700" t="s">
        <v>772</v>
      </c>
      <c r="C3849" s="700" t="s">
        <v>320</v>
      </c>
      <c r="D3849" s="794" t="s">
        <v>1977</v>
      </c>
      <c r="E3849" s="1407" t="s">
        <v>1910</v>
      </c>
      <c r="F3849" s="795">
        <v>2512</v>
      </c>
      <c r="G3849" s="1616"/>
      <c r="H3849" s="806"/>
      <c r="I3849" s="806">
        <v>-17000</v>
      </c>
      <c r="J3849" s="1494" t="s">
        <v>1134</v>
      </c>
      <c r="K3849" s="792"/>
      <c r="L3849" s="1814"/>
      <c r="M3849" s="1814"/>
      <c r="N3849" s="305"/>
      <c r="O3849" s="7"/>
      <c r="P3849" s="7"/>
      <c r="Q3849" s="7"/>
      <c r="R3849" s="7"/>
      <c r="S3849" s="7"/>
      <c r="T3849" s="7"/>
      <c r="V3849" s="7"/>
      <c r="W3849" s="7"/>
      <c r="X3849" s="7"/>
      <c r="Y3849" s="7"/>
      <c r="Z3849" s="7"/>
      <c r="AA3849" s="7"/>
      <c r="AB3849" s="7"/>
      <c r="AC3849" s="7"/>
      <c r="AD3849" s="7"/>
      <c r="AE3849" s="7"/>
      <c r="AF3849" s="7"/>
    </row>
    <row r="3850" spans="1:32" ht="20.399999999999999">
      <c r="A3850" s="942"/>
      <c r="B3850" s="720" t="s">
        <v>772</v>
      </c>
      <c r="C3850" s="720" t="s">
        <v>322</v>
      </c>
      <c r="D3850" s="823" t="s">
        <v>1977</v>
      </c>
      <c r="E3850" s="1406" t="s">
        <v>1910</v>
      </c>
      <c r="F3850" s="824">
        <v>2519</v>
      </c>
      <c r="G3850" s="800" t="s">
        <v>780</v>
      </c>
      <c r="H3850" s="707">
        <v>132</v>
      </c>
      <c r="I3850" s="707"/>
      <c r="J3850" s="1494">
        <v>132</v>
      </c>
      <c r="K3850" s="961"/>
      <c r="L3850" s="966">
        <v>0</v>
      </c>
      <c r="M3850" s="966"/>
      <c r="N3850" s="305"/>
      <c r="O3850" s="7"/>
      <c r="P3850" s="7"/>
      <c r="Q3850" s="7"/>
      <c r="R3850" s="7"/>
      <c r="S3850" s="7"/>
      <c r="T3850" s="7"/>
      <c r="V3850" s="7"/>
      <c r="W3850" s="7"/>
      <c r="X3850" s="7"/>
      <c r="Y3850" s="7"/>
      <c r="Z3850" s="7"/>
      <c r="AA3850" s="7"/>
      <c r="AB3850" s="7"/>
      <c r="AC3850" s="7"/>
      <c r="AD3850" s="7"/>
      <c r="AE3850" s="7"/>
      <c r="AF3850" s="7"/>
    </row>
    <row r="3851" spans="1:32" ht="40.799999999999997">
      <c r="A3851" s="810"/>
      <c r="B3851" s="700" t="s">
        <v>772</v>
      </c>
      <c r="C3851" s="700" t="s">
        <v>322</v>
      </c>
      <c r="D3851" s="794" t="s">
        <v>1977</v>
      </c>
      <c r="E3851" s="1407" t="s">
        <v>1910</v>
      </c>
      <c r="F3851" s="795">
        <v>2519</v>
      </c>
      <c r="G3851" s="967" t="s">
        <v>3656</v>
      </c>
      <c r="H3851" s="701"/>
      <c r="I3851" s="701">
        <v>132</v>
      </c>
      <c r="J3851" s="1494" t="s">
        <v>1134</v>
      </c>
      <c r="K3851" s="792"/>
      <c r="L3851" s="659"/>
      <c r="M3851" s="659"/>
      <c r="N3851" s="359" t="s">
        <v>3576</v>
      </c>
      <c r="O3851" s="7"/>
      <c r="P3851" s="7"/>
      <c r="Q3851" s="7"/>
      <c r="R3851" s="7"/>
      <c r="S3851" s="7"/>
      <c r="T3851" s="7"/>
      <c r="V3851" s="7"/>
      <c r="W3851" s="7"/>
      <c r="X3851" s="7"/>
      <c r="Y3851" s="7"/>
      <c r="Z3851" s="7"/>
      <c r="AA3851" s="7"/>
      <c r="AB3851" s="7"/>
      <c r="AC3851" s="7"/>
      <c r="AD3851" s="7"/>
      <c r="AE3851" s="7"/>
      <c r="AF3851" s="7"/>
    </row>
    <row r="3852" spans="1:32" ht="51">
      <c r="A3852" s="720"/>
      <c r="B3852" s="3129" t="s">
        <v>773</v>
      </c>
      <c r="C3852" s="720" t="s">
        <v>322</v>
      </c>
      <c r="D3852" s="823" t="s">
        <v>1977</v>
      </c>
      <c r="E3852" s="1406" t="s">
        <v>1910</v>
      </c>
      <c r="F3852" s="824">
        <v>3261</v>
      </c>
      <c r="G3852" s="800" t="s">
        <v>301</v>
      </c>
      <c r="H3852" s="707">
        <v>44465</v>
      </c>
      <c r="I3852" s="707"/>
      <c r="J3852" s="1494">
        <v>44464</v>
      </c>
      <c r="K3852" s="961"/>
      <c r="L3852" s="1798">
        <v>15000</v>
      </c>
      <c r="M3852" s="1798"/>
      <c r="N3852" s="359" t="s">
        <v>3577</v>
      </c>
      <c r="O3852" s="7"/>
      <c r="P3852" s="7"/>
      <c r="Q3852" s="7"/>
      <c r="R3852" s="7"/>
      <c r="S3852" s="7"/>
      <c r="T3852" s="7"/>
      <c r="V3852" s="7"/>
      <c r="W3852" s="7"/>
      <c r="X3852" s="7"/>
      <c r="Y3852" s="7"/>
      <c r="Z3852" s="7"/>
      <c r="AA3852" s="7"/>
      <c r="AB3852" s="7"/>
      <c r="AC3852" s="7"/>
      <c r="AD3852" s="7"/>
      <c r="AE3852" s="7"/>
      <c r="AF3852" s="7"/>
    </row>
    <row r="3853" spans="1:32">
      <c r="A3853" s="700"/>
      <c r="B3853" s="3130" t="s">
        <v>773</v>
      </c>
      <c r="C3853" s="700" t="s">
        <v>320</v>
      </c>
      <c r="D3853" s="794" t="s">
        <v>1977</v>
      </c>
      <c r="E3853" s="1407" t="s">
        <v>1910</v>
      </c>
      <c r="F3853" s="795">
        <v>3261</v>
      </c>
      <c r="G3853" s="750" t="s">
        <v>2572</v>
      </c>
      <c r="H3853" s="701"/>
      <c r="I3853" s="701">
        <v>15000</v>
      </c>
      <c r="J3853" s="1494" t="s">
        <v>1134</v>
      </c>
      <c r="K3853" s="792"/>
      <c r="L3853" s="1662"/>
      <c r="M3853" s="1662">
        <v>15000</v>
      </c>
      <c r="N3853" s="125"/>
      <c r="O3853" s="7"/>
      <c r="P3853" s="7"/>
      <c r="Q3853" s="7"/>
      <c r="R3853" s="7"/>
      <c r="S3853" s="7"/>
      <c r="T3853" s="7"/>
      <c r="V3853" s="7"/>
      <c r="W3853" s="7"/>
      <c r="X3853" s="7"/>
      <c r="Y3853" s="7"/>
      <c r="Z3853" s="7"/>
      <c r="AA3853" s="7"/>
      <c r="AB3853" s="7"/>
      <c r="AC3853" s="7"/>
      <c r="AD3853" s="7"/>
      <c r="AE3853" s="7"/>
      <c r="AF3853" s="7"/>
    </row>
    <row r="3854" spans="1:32" ht="20.399999999999999">
      <c r="A3854" s="1119"/>
      <c r="B3854" s="3130" t="s">
        <v>773</v>
      </c>
      <c r="C3854" s="700" t="s">
        <v>320</v>
      </c>
      <c r="D3854" s="794" t="s">
        <v>1977</v>
      </c>
      <c r="E3854" s="1407" t="s">
        <v>1910</v>
      </c>
      <c r="F3854" s="795">
        <v>3261</v>
      </c>
      <c r="G3854" s="1153" t="s">
        <v>3047</v>
      </c>
      <c r="H3854" s="1165"/>
      <c r="I3854" s="1165">
        <v>680</v>
      </c>
      <c r="J3854" s="1494" t="s">
        <v>1134</v>
      </c>
      <c r="K3854" s="1439"/>
      <c r="L3854" s="1680"/>
      <c r="M3854" s="1680"/>
      <c r="N3854" s="125"/>
      <c r="O3854" s="7"/>
      <c r="P3854" s="7"/>
      <c r="Q3854" s="7"/>
      <c r="R3854" s="7"/>
      <c r="S3854" s="7"/>
      <c r="T3854" s="7"/>
      <c r="V3854" s="7"/>
      <c r="W3854" s="7"/>
      <c r="X3854" s="7"/>
      <c r="Y3854" s="7"/>
      <c r="Z3854" s="7"/>
      <c r="AA3854" s="7"/>
      <c r="AB3854" s="7"/>
      <c r="AC3854" s="7"/>
      <c r="AD3854" s="7"/>
      <c r="AE3854" s="7"/>
      <c r="AF3854" s="7"/>
    </row>
    <row r="3855" spans="1:32" ht="20.399999999999999">
      <c r="A3855" s="1150"/>
      <c r="B3855" s="3130" t="s">
        <v>773</v>
      </c>
      <c r="C3855" s="700" t="s">
        <v>320</v>
      </c>
      <c r="D3855" s="794" t="s">
        <v>1977</v>
      </c>
      <c r="E3855" s="1407" t="s">
        <v>1910</v>
      </c>
      <c r="F3855" s="795">
        <v>3261</v>
      </c>
      <c r="G3855" s="1153" t="s">
        <v>3201</v>
      </c>
      <c r="H3855" s="1151"/>
      <c r="I3855" s="1151">
        <v>1765</v>
      </c>
      <c r="J3855" s="1494" t="s">
        <v>1134</v>
      </c>
      <c r="K3855" s="1464"/>
      <c r="L3855" s="1820"/>
      <c r="M3855" s="1820"/>
      <c r="N3855" s="125"/>
      <c r="O3855" s="7"/>
      <c r="P3855" s="7"/>
      <c r="Q3855" s="7"/>
      <c r="R3855" s="7"/>
      <c r="S3855" s="7"/>
      <c r="T3855" s="7"/>
      <c r="V3855" s="7"/>
      <c r="W3855" s="7"/>
      <c r="X3855" s="7"/>
      <c r="Y3855" s="7"/>
      <c r="Z3855" s="7"/>
      <c r="AA3855" s="7"/>
      <c r="AB3855" s="7"/>
      <c r="AC3855" s="7"/>
      <c r="AD3855" s="7"/>
      <c r="AE3855" s="7"/>
      <c r="AF3855" s="7"/>
    </row>
    <row r="3856" spans="1:32" ht="61.2">
      <c r="A3856" s="1150"/>
      <c r="B3856" s="3130" t="s">
        <v>773</v>
      </c>
      <c r="C3856" s="700" t="s">
        <v>320</v>
      </c>
      <c r="D3856" s="794" t="s">
        <v>1977</v>
      </c>
      <c r="E3856" s="1407" t="s">
        <v>1910</v>
      </c>
      <c r="F3856" s="795">
        <v>3261</v>
      </c>
      <c r="G3856" s="1153" t="s">
        <v>3202</v>
      </c>
      <c r="H3856" s="1151"/>
      <c r="I3856" s="1151">
        <v>14000</v>
      </c>
      <c r="J3856" s="1494" t="s">
        <v>1134</v>
      </c>
      <c r="K3856" s="1464"/>
      <c r="L3856" s="1820"/>
      <c r="M3856" s="1820"/>
      <c r="N3856" s="125"/>
      <c r="O3856" s="7"/>
      <c r="P3856" s="7"/>
      <c r="Q3856" s="7"/>
      <c r="R3856" s="7"/>
      <c r="S3856" s="7"/>
      <c r="T3856" s="7"/>
      <c r="V3856" s="7"/>
      <c r="W3856" s="7"/>
      <c r="X3856" s="7"/>
      <c r="Y3856" s="7"/>
      <c r="Z3856" s="7"/>
      <c r="AA3856" s="7"/>
      <c r="AB3856" s="7"/>
      <c r="AC3856" s="7"/>
      <c r="AD3856" s="7"/>
      <c r="AE3856" s="7"/>
      <c r="AF3856" s="7"/>
    </row>
    <row r="3857" spans="1:32" ht="20.399999999999999">
      <c r="A3857" s="1150"/>
      <c r="B3857" s="3130" t="s">
        <v>773</v>
      </c>
      <c r="C3857" s="700" t="s">
        <v>320</v>
      </c>
      <c r="D3857" s="794" t="s">
        <v>1977</v>
      </c>
      <c r="E3857" s="1407" t="s">
        <v>1910</v>
      </c>
      <c r="F3857" s="795">
        <v>3261</v>
      </c>
      <c r="G3857" s="1153" t="s">
        <v>3224</v>
      </c>
      <c r="H3857" s="1151"/>
      <c r="I3857" s="1151">
        <v>13020</v>
      </c>
      <c r="J3857" s="1494" t="s">
        <v>1134</v>
      </c>
      <c r="K3857" s="1464"/>
      <c r="L3857" s="1820"/>
      <c r="M3857" s="1820"/>
      <c r="N3857" s="125"/>
      <c r="O3857" s="7"/>
      <c r="P3857" s="7"/>
      <c r="Q3857" s="7"/>
      <c r="R3857" s="7"/>
      <c r="S3857" s="7"/>
      <c r="T3857" s="7"/>
      <c r="V3857" s="7"/>
      <c r="W3857" s="7"/>
      <c r="X3857" s="7"/>
      <c r="Y3857" s="7"/>
      <c r="Z3857" s="7"/>
      <c r="AA3857" s="7"/>
      <c r="AB3857" s="7"/>
      <c r="AC3857" s="7"/>
      <c r="AD3857" s="7"/>
      <c r="AE3857" s="7"/>
      <c r="AF3857" s="7"/>
    </row>
    <row r="3858" spans="1:32" ht="20.399999999999999">
      <c r="A3858" s="720"/>
      <c r="B3858" s="3129" t="s">
        <v>773</v>
      </c>
      <c r="C3858" s="720" t="s">
        <v>322</v>
      </c>
      <c r="D3858" s="823" t="s">
        <v>1977</v>
      </c>
      <c r="E3858" s="1406" t="s">
        <v>1910</v>
      </c>
      <c r="F3858" s="1698">
        <v>3263</v>
      </c>
      <c r="G3858" s="1691" t="s">
        <v>187</v>
      </c>
      <c r="H3858" s="1800">
        <v>5555</v>
      </c>
      <c r="I3858" s="1800"/>
      <c r="J3858" s="1684">
        <v>9006</v>
      </c>
      <c r="K3858" s="1801"/>
      <c r="L3858" s="1800">
        <v>8000</v>
      </c>
      <c r="M3858" s="1800"/>
      <c r="N3858" s="125"/>
      <c r="O3858" s="7"/>
      <c r="P3858" s="7"/>
      <c r="Q3858" s="7"/>
      <c r="R3858" s="7"/>
      <c r="S3858" s="7"/>
      <c r="T3858" s="7"/>
      <c r="V3858" s="7"/>
      <c r="W3858" s="7"/>
      <c r="X3858" s="7"/>
      <c r="Y3858" s="7"/>
      <c r="Z3858" s="7"/>
      <c r="AA3858" s="7"/>
      <c r="AB3858" s="7"/>
      <c r="AC3858" s="7"/>
      <c r="AD3858" s="7"/>
      <c r="AE3858" s="7"/>
      <c r="AF3858" s="7"/>
    </row>
    <row r="3859" spans="1:32" ht="40.950000000000003" customHeight="1">
      <c r="A3859" s="700"/>
      <c r="B3859" s="3130" t="s">
        <v>773</v>
      </c>
      <c r="C3859" s="700" t="s">
        <v>320</v>
      </c>
      <c r="D3859" s="794" t="s">
        <v>1977</v>
      </c>
      <c r="E3859" s="1407" t="s">
        <v>1910</v>
      </c>
      <c r="F3859" s="1413">
        <v>3263</v>
      </c>
      <c r="G3859" s="818" t="s">
        <v>2962</v>
      </c>
      <c r="H3859" s="1683"/>
      <c r="I3859" s="1683">
        <v>8000</v>
      </c>
      <c r="J3859" s="1684" t="s">
        <v>1134</v>
      </c>
      <c r="K3859" s="1685"/>
      <c r="L3859" s="1683"/>
      <c r="M3859" s="1683">
        <v>8000</v>
      </c>
      <c r="N3859" s="125"/>
      <c r="O3859" s="7"/>
      <c r="P3859" s="7"/>
      <c r="Q3859" s="7"/>
      <c r="R3859" s="7"/>
      <c r="S3859" s="7"/>
      <c r="T3859" s="7"/>
      <c r="V3859" s="7"/>
      <c r="W3859" s="7"/>
      <c r="X3859" s="7"/>
      <c r="Y3859" s="7"/>
      <c r="Z3859" s="7"/>
      <c r="AA3859" s="7"/>
      <c r="AB3859" s="7"/>
      <c r="AC3859" s="7"/>
      <c r="AD3859" s="7"/>
      <c r="AE3859" s="7"/>
      <c r="AF3859" s="7"/>
    </row>
    <row r="3860" spans="1:32" ht="20.399999999999999">
      <c r="A3860" s="810"/>
      <c r="B3860" s="3130" t="s">
        <v>773</v>
      </c>
      <c r="C3860" s="700" t="s">
        <v>320</v>
      </c>
      <c r="D3860" s="794" t="s">
        <v>1977</v>
      </c>
      <c r="E3860" s="1407" t="s">
        <v>1910</v>
      </c>
      <c r="F3860" s="1413">
        <v>3263</v>
      </c>
      <c r="G3860" s="1821" t="s">
        <v>3047</v>
      </c>
      <c r="H3860" s="1822"/>
      <c r="I3860" s="1822">
        <v>-680</v>
      </c>
      <c r="J3860" s="1684" t="s">
        <v>1134</v>
      </c>
      <c r="K3860" s="1823"/>
      <c r="L3860" s="1822"/>
      <c r="M3860" s="1822"/>
      <c r="N3860" s="125"/>
      <c r="O3860" s="7"/>
      <c r="P3860" s="7"/>
      <c r="Q3860" s="7"/>
      <c r="R3860" s="7"/>
      <c r="S3860" s="7"/>
      <c r="T3860" s="7"/>
      <c r="V3860" s="7"/>
      <c r="W3860" s="7"/>
      <c r="X3860" s="7"/>
      <c r="Y3860" s="7"/>
      <c r="Z3860" s="7"/>
      <c r="AA3860" s="7"/>
      <c r="AB3860" s="7"/>
      <c r="AC3860" s="7"/>
      <c r="AD3860" s="7"/>
      <c r="AE3860" s="7"/>
      <c r="AF3860" s="7"/>
    </row>
    <row r="3861" spans="1:32" ht="20.399999999999999">
      <c r="A3861" s="1150"/>
      <c r="B3861" s="3130" t="s">
        <v>773</v>
      </c>
      <c r="C3861" s="700" t="s">
        <v>320</v>
      </c>
      <c r="D3861" s="794" t="s">
        <v>1977</v>
      </c>
      <c r="E3861" s="1407" t="s">
        <v>1910</v>
      </c>
      <c r="F3861" s="1413">
        <v>3263</v>
      </c>
      <c r="G3861" s="1821" t="s">
        <v>3201</v>
      </c>
      <c r="H3861" s="1824"/>
      <c r="I3861" s="1824">
        <v>-1765</v>
      </c>
      <c r="J3861" s="1684" t="s">
        <v>1134</v>
      </c>
      <c r="K3861" s="1825"/>
      <c r="L3861" s="1824"/>
      <c r="M3861" s="1824"/>
      <c r="N3861" s="125"/>
      <c r="O3861" s="7"/>
      <c r="P3861" s="7"/>
      <c r="Q3861" s="7"/>
      <c r="R3861" s="7"/>
      <c r="S3861" s="7"/>
      <c r="T3861" s="7"/>
      <c r="V3861" s="7"/>
      <c r="W3861" s="7"/>
      <c r="X3861" s="7"/>
      <c r="Y3861" s="7"/>
      <c r="Z3861" s="7"/>
      <c r="AA3861" s="7"/>
      <c r="AB3861" s="7"/>
      <c r="AC3861" s="7"/>
      <c r="AD3861" s="7"/>
      <c r="AE3861" s="7"/>
      <c r="AF3861" s="7"/>
    </row>
    <row r="3862" spans="1:32" ht="40.950000000000003" customHeight="1">
      <c r="A3862" s="720"/>
      <c r="B3862" s="720" t="s">
        <v>772</v>
      </c>
      <c r="C3862" s="720" t="s">
        <v>322</v>
      </c>
      <c r="D3862" s="823" t="s">
        <v>1977</v>
      </c>
      <c r="E3862" s="1406" t="s">
        <v>1910</v>
      </c>
      <c r="F3862" s="824">
        <v>3263</v>
      </c>
      <c r="G3862" s="800" t="s">
        <v>187</v>
      </c>
      <c r="H3862" s="707">
        <v>5070</v>
      </c>
      <c r="I3862" s="707"/>
      <c r="J3862" s="1494">
        <v>5070</v>
      </c>
      <c r="K3862" s="961"/>
      <c r="L3862" s="1798">
        <v>0</v>
      </c>
      <c r="M3862" s="1798"/>
      <c r="N3862" s="125"/>
      <c r="O3862" s="7"/>
      <c r="P3862" s="7"/>
      <c r="Q3862" s="7"/>
      <c r="R3862" s="7"/>
      <c r="S3862" s="7"/>
      <c r="T3862" s="7"/>
      <c r="V3862" s="7"/>
      <c r="W3862" s="7"/>
      <c r="X3862" s="7"/>
      <c r="Y3862" s="7"/>
      <c r="Z3862" s="7"/>
      <c r="AA3862" s="7"/>
      <c r="AB3862" s="7"/>
      <c r="AC3862" s="7"/>
      <c r="AD3862" s="7"/>
      <c r="AE3862" s="7"/>
      <c r="AF3862" s="7"/>
    </row>
    <row r="3863" spans="1:32" ht="40.799999999999997">
      <c r="A3863" s="810"/>
      <c r="B3863" s="700" t="s">
        <v>772</v>
      </c>
      <c r="C3863" s="663" t="s">
        <v>322</v>
      </c>
      <c r="D3863" s="678" t="s">
        <v>1977</v>
      </c>
      <c r="E3863" s="1407" t="s">
        <v>1910</v>
      </c>
      <c r="F3863" s="679">
        <v>3263</v>
      </c>
      <c r="G3863" s="618" t="s">
        <v>3046</v>
      </c>
      <c r="H3863" s="1130"/>
      <c r="I3863" s="1130">
        <v>5070</v>
      </c>
      <c r="J3863" s="1494" t="s">
        <v>1134</v>
      </c>
      <c r="K3863" s="1132"/>
      <c r="L3863" s="1680"/>
      <c r="M3863" s="1680"/>
      <c r="N3863" s="359" t="s">
        <v>2231</v>
      </c>
      <c r="O3863" s="7"/>
      <c r="P3863" s="7"/>
      <c r="Q3863" s="7"/>
      <c r="R3863" s="7"/>
      <c r="S3863" s="7"/>
      <c r="T3863" s="7"/>
      <c r="V3863" s="7"/>
      <c r="W3863" s="7"/>
      <c r="X3863" s="7"/>
      <c r="Y3863" s="7"/>
      <c r="Z3863" s="7"/>
      <c r="AA3863" s="7"/>
      <c r="AB3863" s="7"/>
      <c r="AC3863" s="7"/>
      <c r="AD3863" s="7"/>
      <c r="AE3863" s="7"/>
      <c r="AF3863" s="7"/>
    </row>
    <row r="3864" spans="1:32">
      <c r="A3864" s="942"/>
      <c r="B3864" s="720" t="s">
        <v>772</v>
      </c>
      <c r="C3864" s="683" t="s">
        <v>322</v>
      </c>
      <c r="D3864" s="684" t="s">
        <v>1976</v>
      </c>
      <c r="E3864" s="1415" t="s">
        <v>1901</v>
      </c>
      <c r="F3864" s="824">
        <v>2239</v>
      </c>
      <c r="G3864" s="800" t="s">
        <v>147</v>
      </c>
      <c r="H3864" s="706"/>
      <c r="I3864" s="706"/>
      <c r="J3864" s="1494" t="s">
        <v>1134</v>
      </c>
      <c r="K3864" s="802"/>
      <c r="L3864" s="687"/>
      <c r="M3864" s="687"/>
      <c r="N3864" s="359"/>
      <c r="O3864" s="7"/>
      <c r="P3864" s="7"/>
      <c r="Q3864" s="7"/>
      <c r="R3864" s="7"/>
      <c r="S3864" s="7"/>
      <c r="T3864" s="7"/>
      <c r="V3864" s="7"/>
      <c r="W3864" s="7"/>
      <c r="X3864" s="7"/>
      <c r="Y3864" s="7"/>
      <c r="Z3864" s="7"/>
      <c r="AA3864" s="7"/>
      <c r="AB3864" s="7"/>
      <c r="AC3864" s="7"/>
      <c r="AD3864" s="7"/>
      <c r="AE3864" s="7"/>
      <c r="AF3864" s="7"/>
    </row>
    <row r="3865" spans="1:32">
      <c r="A3865" s="810"/>
      <c r="B3865" s="700" t="s">
        <v>772</v>
      </c>
      <c r="C3865" s="663" t="s">
        <v>322</v>
      </c>
      <c r="D3865" s="678" t="s">
        <v>1976</v>
      </c>
      <c r="E3865" s="1407" t="s">
        <v>1901</v>
      </c>
      <c r="F3865" s="795">
        <v>2239</v>
      </c>
      <c r="G3865" s="957"/>
      <c r="H3865" s="709"/>
      <c r="I3865" s="709"/>
      <c r="J3865" s="1494" t="s">
        <v>1134</v>
      </c>
      <c r="K3865" s="825"/>
      <c r="L3865" s="691"/>
      <c r="M3865" s="691"/>
      <c r="N3865" s="125"/>
      <c r="O3865" s="7"/>
      <c r="P3865" s="7"/>
      <c r="Q3865" s="7"/>
      <c r="R3865" s="7"/>
      <c r="S3865" s="7"/>
      <c r="T3865" s="7"/>
      <c r="V3865" s="7"/>
      <c r="W3865" s="7"/>
      <c r="X3865" s="7"/>
      <c r="Y3865" s="7"/>
      <c r="Z3865" s="7"/>
      <c r="AA3865" s="7"/>
      <c r="AB3865" s="7"/>
      <c r="AC3865" s="7"/>
      <c r="AD3865" s="7"/>
      <c r="AE3865" s="7"/>
      <c r="AF3865" s="7"/>
    </row>
    <row r="3866" spans="1:32">
      <c r="A3866" s="810"/>
      <c r="B3866" s="700" t="s">
        <v>772</v>
      </c>
      <c r="C3866" s="663" t="s">
        <v>322</v>
      </c>
      <c r="D3866" s="678" t="s">
        <v>1976</v>
      </c>
      <c r="E3866" s="1407" t="s">
        <v>1901</v>
      </c>
      <c r="F3866" s="795">
        <v>2239</v>
      </c>
      <c r="G3866" s="957"/>
      <c r="H3866" s="709"/>
      <c r="I3866" s="709"/>
      <c r="J3866" s="1494" t="s">
        <v>1134</v>
      </c>
      <c r="K3866" s="825"/>
      <c r="L3866" s="691"/>
      <c r="M3866" s="691"/>
      <c r="N3866" s="359"/>
      <c r="O3866" s="7"/>
      <c r="P3866" s="7"/>
      <c r="Q3866" s="7"/>
      <c r="R3866" s="7"/>
      <c r="S3866" s="7"/>
      <c r="T3866" s="7"/>
      <c r="V3866" s="7"/>
      <c r="W3866" s="7"/>
      <c r="X3866" s="7"/>
      <c r="Y3866" s="7"/>
      <c r="Z3866" s="7"/>
      <c r="AA3866" s="7"/>
      <c r="AB3866" s="7"/>
      <c r="AC3866" s="7"/>
      <c r="AD3866" s="7"/>
      <c r="AE3866" s="7"/>
      <c r="AF3866" s="7"/>
    </row>
    <row r="3867" spans="1:32">
      <c r="A3867" s="942"/>
      <c r="B3867" s="3129" t="s">
        <v>773</v>
      </c>
      <c r="C3867" s="683" t="s">
        <v>325</v>
      </c>
      <c r="D3867" s="684" t="s">
        <v>1976</v>
      </c>
      <c r="E3867" s="1406" t="s">
        <v>1901</v>
      </c>
      <c r="F3867" s="824">
        <v>2244</v>
      </c>
      <c r="G3867" s="800" t="s">
        <v>294</v>
      </c>
      <c r="H3867" s="707">
        <v>36292.26</v>
      </c>
      <c r="I3867" s="707"/>
      <c r="J3867" s="1494">
        <v>0</v>
      </c>
      <c r="K3867" s="961"/>
      <c r="L3867" s="963">
        <v>0</v>
      </c>
      <c r="M3867" s="963"/>
      <c r="N3867" s="125"/>
      <c r="O3867" s="7"/>
      <c r="P3867" s="7"/>
      <c r="Q3867" s="7"/>
      <c r="R3867" s="7"/>
      <c r="S3867" s="7"/>
      <c r="T3867" s="7"/>
      <c r="V3867" s="7"/>
      <c r="W3867" s="7"/>
      <c r="X3867" s="7"/>
      <c r="Y3867" s="7"/>
      <c r="Z3867" s="7"/>
      <c r="AA3867" s="7"/>
      <c r="AB3867" s="7"/>
      <c r="AC3867" s="7"/>
      <c r="AD3867" s="7"/>
      <c r="AE3867" s="7"/>
      <c r="AF3867" s="7"/>
    </row>
    <row r="3868" spans="1:32" ht="30.6">
      <c r="A3868" s="944" t="s">
        <v>939</v>
      </c>
      <c r="B3868" s="3137" t="s">
        <v>773</v>
      </c>
      <c r="C3868" s="774" t="s">
        <v>325</v>
      </c>
      <c r="D3868" s="873" t="s">
        <v>1976</v>
      </c>
      <c r="E3868" s="1407" t="s">
        <v>1901</v>
      </c>
      <c r="F3868" s="795">
        <v>2244</v>
      </c>
      <c r="G3868" s="750" t="s">
        <v>598</v>
      </c>
      <c r="H3868" s="701"/>
      <c r="I3868" s="701">
        <v>36292.26</v>
      </c>
      <c r="J3868" s="1494" t="s">
        <v>1134</v>
      </c>
      <c r="K3868" s="792"/>
      <c r="L3868" s="660"/>
      <c r="M3868" s="660"/>
      <c r="N3868" s="359" t="s">
        <v>2233</v>
      </c>
      <c r="O3868" s="7"/>
      <c r="P3868" s="7"/>
      <c r="Q3868" s="7"/>
      <c r="R3868" s="7"/>
      <c r="S3868" s="7"/>
      <c r="T3868" s="7"/>
      <c r="V3868" s="7"/>
      <c r="W3868" s="7"/>
      <c r="X3868" s="7"/>
      <c r="Y3868" s="7"/>
      <c r="Z3868" s="7"/>
      <c r="AA3868" s="7"/>
      <c r="AB3868" s="7"/>
      <c r="AC3868" s="7"/>
      <c r="AD3868" s="7"/>
      <c r="AE3868" s="7"/>
      <c r="AF3868" s="7"/>
    </row>
    <row r="3869" spans="1:32" ht="40.799999999999997">
      <c r="A3869" s="944"/>
      <c r="B3869" s="3137" t="s">
        <v>773</v>
      </c>
      <c r="C3869" s="774" t="s">
        <v>325</v>
      </c>
      <c r="D3869" s="873" t="s">
        <v>1976</v>
      </c>
      <c r="E3869" s="1407" t="s">
        <v>1901</v>
      </c>
      <c r="F3869" s="795">
        <v>2244</v>
      </c>
      <c r="G3869" s="812" t="s">
        <v>2674</v>
      </c>
      <c r="H3869" s="701"/>
      <c r="I3869" s="701"/>
      <c r="J3869" s="1494" t="s">
        <v>1134</v>
      </c>
      <c r="K3869" s="792"/>
      <c r="L3869" s="660"/>
      <c r="M3869" s="660"/>
      <c r="N3869" s="125"/>
      <c r="O3869" s="7"/>
      <c r="P3869" s="7"/>
      <c r="Q3869" s="7"/>
      <c r="R3869" s="7"/>
      <c r="S3869" s="7"/>
      <c r="T3869" s="7"/>
      <c r="V3869" s="7"/>
      <c r="W3869" s="7"/>
      <c r="X3869" s="7"/>
      <c r="Y3869" s="7"/>
      <c r="Z3869" s="7"/>
      <c r="AA3869" s="7"/>
      <c r="AB3869" s="7"/>
      <c r="AC3869" s="7"/>
      <c r="AD3869" s="7"/>
      <c r="AE3869" s="7"/>
      <c r="AF3869" s="7"/>
    </row>
    <row r="3870" spans="1:32">
      <c r="A3870" s="942"/>
      <c r="B3870" s="720" t="s">
        <v>772</v>
      </c>
      <c r="C3870" s="720" t="s">
        <v>322</v>
      </c>
      <c r="D3870" s="823" t="s">
        <v>1976</v>
      </c>
      <c r="E3870" s="1406" t="s">
        <v>1901</v>
      </c>
      <c r="F3870" s="824">
        <v>2515</v>
      </c>
      <c r="G3870" s="800" t="s">
        <v>300</v>
      </c>
      <c r="H3870" s="707">
        <v>13200</v>
      </c>
      <c r="I3870" s="707"/>
      <c r="J3870" s="1494">
        <v>10833.68</v>
      </c>
      <c r="K3870" s="961"/>
      <c r="L3870" s="1798">
        <v>11400</v>
      </c>
      <c r="M3870" s="1798"/>
      <c r="N3870" s="7" t="s">
        <v>2233</v>
      </c>
      <c r="O3870" s="7"/>
      <c r="P3870" s="7"/>
      <c r="Q3870" s="7"/>
      <c r="R3870" s="7"/>
      <c r="S3870" s="7"/>
      <c r="U3870" s="7"/>
      <c r="V3870" s="7"/>
      <c r="W3870" s="7"/>
      <c r="X3870" s="7"/>
      <c r="Y3870" s="7"/>
      <c r="Z3870" s="7"/>
      <c r="AA3870" s="7"/>
      <c r="AB3870" s="7"/>
      <c r="AC3870" s="7"/>
      <c r="AD3870" s="7"/>
      <c r="AE3870" s="7"/>
    </row>
    <row r="3871" spans="1:32">
      <c r="A3871" s="810"/>
      <c r="B3871" s="700" t="s">
        <v>772</v>
      </c>
      <c r="C3871" s="700" t="s">
        <v>322</v>
      </c>
      <c r="D3871" s="794" t="s">
        <v>1976</v>
      </c>
      <c r="E3871" s="1407" t="s">
        <v>1901</v>
      </c>
      <c r="F3871" s="795">
        <v>2515</v>
      </c>
      <c r="G3871" s="750" t="s">
        <v>2559</v>
      </c>
      <c r="H3871" s="709"/>
      <c r="I3871" s="709">
        <v>2300</v>
      </c>
      <c r="J3871" s="1494" t="s">
        <v>1134</v>
      </c>
      <c r="K3871" s="825"/>
      <c r="L3871" s="1677"/>
      <c r="M3871" s="1677">
        <v>2000</v>
      </c>
      <c r="N3871" s="7" t="s">
        <v>2233</v>
      </c>
      <c r="O3871" s="7"/>
      <c r="P3871" s="7"/>
      <c r="Q3871" s="7"/>
      <c r="R3871" s="7"/>
      <c r="S3871" s="7"/>
      <c r="U3871" s="7"/>
      <c r="V3871" s="7"/>
      <c r="W3871" s="7"/>
      <c r="X3871" s="7"/>
      <c r="Y3871" s="7"/>
      <c r="Z3871" s="7"/>
      <c r="AA3871" s="7"/>
      <c r="AB3871" s="7"/>
      <c r="AC3871" s="7"/>
      <c r="AD3871" s="7"/>
      <c r="AE3871" s="7"/>
    </row>
    <row r="3872" spans="1:32">
      <c r="A3872" s="810"/>
      <c r="B3872" s="700" t="s">
        <v>772</v>
      </c>
      <c r="C3872" s="700" t="s">
        <v>322</v>
      </c>
      <c r="D3872" s="794" t="s">
        <v>1976</v>
      </c>
      <c r="E3872" s="1407" t="s">
        <v>1901</v>
      </c>
      <c r="F3872" s="795">
        <v>2515</v>
      </c>
      <c r="G3872" s="750" t="s">
        <v>2560</v>
      </c>
      <c r="H3872" s="709"/>
      <c r="I3872" s="709">
        <v>6300</v>
      </c>
      <c r="J3872" s="1494" t="s">
        <v>1134</v>
      </c>
      <c r="K3872" s="825"/>
      <c r="L3872" s="1677"/>
      <c r="M3872" s="1677">
        <v>5500</v>
      </c>
      <c r="N3872" s="125"/>
      <c r="O3872" s="7"/>
      <c r="P3872" s="7"/>
      <c r="Q3872" s="7"/>
      <c r="R3872" s="7"/>
      <c r="S3872" s="7"/>
      <c r="T3872" s="7"/>
      <c r="V3872" s="7"/>
      <c r="W3872" s="7"/>
      <c r="X3872" s="7"/>
      <c r="Y3872" s="7"/>
      <c r="Z3872" s="7"/>
      <c r="AA3872" s="7"/>
      <c r="AB3872" s="7"/>
      <c r="AC3872" s="7"/>
      <c r="AD3872" s="7"/>
      <c r="AE3872" s="7"/>
      <c r="AF3872" s="7"/>
    </row>
    <row r="3873" spans="1:32" ht="20.399999999999999">
      <c r="A3873" s="810"/>
      <c r="B3873" s="700" t="s">
        <v>772</v>
      </c>
      <c r="C3873" s="700" t="s">
        <v>322</v>
      </c>
      <c r="D3873" s="794" t="s">
        <v>1976</v>
      </c>
      <c r="E3873" s="1407" t="s">
        <v>1901</v>
      </c>
      <c r="F3873" s="795">
        <v>2515</v>
      </c>
      <c r="G3873" s="750" t="s">
        <v>2561</v>
      </c>
      <c r="H3873" s="709"/>
      <c r="I3873" s="709">
        <v>3100</v>
      </c>
      <c r="J3873" s="1494" t="s">
        <v>1134</v>
      </c>
      <c r="K3873" s="825"/>
      <c r="L3873" s="1677"/>
      <c r="M3873" s="1677">
        <v>2500</v>
      </c>
      <c r="N3873" s="7" t="s">
        <v>2233</v>
      </c>
      <c r="O3873" s="7"/>
      <c r="P3873" s="7"/>
      <c r="Q3873" s="7"/>
      <c r="R3873" s="7"/>
      <c r="S3873" s="7"/>
      <c r="T3873" s="7"/>
      <c r="U3873" s="7"/>
      <c r="V3873" s="7"/>
      <c r="W3873" s="7"/>
      <c r="X3873" s="7"/>
      <c r="Y3873" s="7"/>
      <c r="Z3873" s="7"/>
      <c r="AA3873" s="7"/>
      <c r="AB3873" s="7"/>
      <c r="AC3873" s="7"/>
      <c r="AD3873" s="7"/>
      <c r="AE3873" s="7"/>
      <c r="AF3873" s="7"/>
    </row>
    <row r="3874" spans="1:32">
      <c r="A3874" s="810"/>
      <c r="B3874" s="700" t="s">
        <v>772</v>
      </c>
      <c r="C3874" s="700" t="s">
        <v>322</v>
      </c>
      <c r="D3874" s="794" t="s">
        <v>1976</v>
      </c>
      <c r="E3874" s="1407" t="s">
        <v>1901</v>
      </c>
      <c r="F3874" s="795">
        <v>2515</v>
      </c>
      <c r="G3874" s="750" t="s">
        <v>2562</v>
      </c>
      <c r="H3874" s="709"/>
      <c r="I3874" s="709">
        <v>1500</v>
      </c>
      <c r="J3874" s="1494" t="s">
        <v>1134</v>
      </c>
      <c r="K3874" s="825"/>
      <c r="L3874" s="1677"/>
      <c r="M3874" s="1677">
        <v>1400</v>
      </c>
      <c r="N3874" s="7"/>
      <c r="O3874" s="7"/>
      <c r="P3874" s="7"/>
      <c r="Q3874" s="7"/>
      <c r="R3874" s="7"/>
      <c r="S3874" s="7"/>
      <c r="T3874" s="7"/>
      <c r="U3874" s="7"/>
      <c r="V3874" s="7"/>
      <c r="W3874" s="7"/>
      <c r="X3874" s="7"/>
      <c r="Y3874" s="7"/>
      <c r="Z3874" s="7"/>
      <c r="AA3874" s="7"/>
      <c r="AB3874" s="7"/>
      <c r="AC3874" s="7"/>
      <c r="AD3874" s="7"/>
      <c r="AE3874" s="7"/>
      <c r="AF3874" s="7"/>
    </row>
    <row r="3875" spans="1:32">
      <c r="A3875" s="942"/>
      <c r="B3875" s="3129" t="s">
        <v>773</v>
      </c>
      <c r="C3875" s="683" t="s">
        <v>325</v>
      </c>
      <c r="D3875" s="684" t="s">
        <v>1976</v>
      </c>
      <c r="E3875" s="1406" t="s">
        <v>1901</v>
      </c>
      <c r="F3875" s="826">
        <v>5110</v>
      </c>
      <c r="G3875" s="800" t="s">
        <v>334</v>
      </c>
      <c r="H3875" s="706">
        <v>0</v>
      </c>
      <c r="I3875" s="706"/>
      <c r="J3875" s="1494" t="s">
        <v>1134</v>
      </c>
      <c r="K3875" s="802"/>
      <c r="L3875" s="687">
        <v>0</v>
      </c>
      <c r="M3875" s="687"/>
      <c r="N3875" s="7" t="s">
        <v>2233</v>
      </c>
    </row>
    <row r="3876" spans="1:32" ht="30.6">
      <c r="A3876" s="810"/>
      <c r="B3876" s="3130" t="s">
        <v>773</v>
      </c>
      <c r="C3876" s="663" t="s">
        <v>325</v>
      </c>
      <c r="D3876" s="678" t="s">
        <v>1976</v>
      </c>
      <c r="E3876" s="1407" t="s">
        <v>1901</v>
      </c>
      <c r="F3876" s="902">
        <v>5110</v>
      </c>
      <c r="G3876" s="957" t="s">
        <v>1301</v>
      </c>
      <c r="H3876" s="709"/>
      <c r="I3876" s="709"/>
      <c r="J3876" s="1494" t="s">
        <v>1134</v>
      </c>
      <c r="K3876" s="825"/>
      <c r="L3876" s="691"/>
      <c r="M3876" s="691"/>
      <c r="N3876" s="125"/>
    </row>
    <row r="3877" spans="1:32">
      <c r="A3877" s="942"/>
      <c r="B3877" s="3129" t="s">
        <v>773</v>
      </c>
      <c r="C3877" s="683" t="s">
        <v>325</v>
      </c>
      <c r="D3877" s="684" t="s">
        <v>1976</v>
      </c>
      <c r="E3877" s="1406" t="s">
        <v>1901</v>
      </c>
      <c r="F3877" s="824">
        <v>5218</v>
      </c>
      <c r="G3877" s="800" t="s">
        <v>303</v>
      </c>
      <c r="H3877" s="706"/>
      <c r="I3877" s="706"/>
      <c r="J3877" s="1494" t="s">
        <v>1134</v>
      </c>
      <c r="K3877" s="802"/>
      <c r="L3877" s="687"/>
      <c r="M3877" s="687"/>
      <c r="N3877" s="7"/>
    </row>
    <row r="3878" spans="1:32" ht="30.6">
      <c r="A3878" s="810"/>
      <c r="B3878" s="3130" t="s">
        <v>773</v>
      </c>
      <c r="C3878" s="663" t="s">
        <v>325</v>
      </c>
      <c r="D3878" s="678" t="s">
        <v>1976</v>
      </c>
      <c r="E3878" s="1407" t="s">
        <v>1901</v>
      </c>
      <c r="F3878" s="795">
        <v>5218</v>
      </c>
      <c r="G3878" s="1149" t="s">
        <v>178</v>
      </c>
      <c r="H3878" s="709"/>
      <c r="I3878" s="709"/>
      <c r="J3878" s="1494" t="s">
        <v>1134</v>
      </c>
      <c r="K3878" s="825"/>
      <c r="L3878" s="691"/>
      <c r="M3878" s="691"/>
      <c r="N3878" s="359" t="s">
        <v>2233</v>
      </c>
    </row>
    <row r="3879" spans="1:32" ht="30.6">
      <c r="A3879" s="942"/>
      <c r="B3879" s="3129" t="s">
        <v>773</v>
      </c>
      <c r="C3879" s="683" t="s">
        <v>325</v>
      </c>
      <c r="D3879" s="684" t="s">
        <v>1976</v>
      </c>
      <c r="E3879" s="1406" t="s">
        <v>1901</v>
      </c>
      <c r="F3879" s="824">
        <v>5240</v>
      </c>
      <c r="G3879" s="800" t="s">
        <v>173</v>
      </c>
      <c r="H3879" s="706">
        <v>90000</v>
      </c>
      <c r="I3879" s="706"/>
      <c r="J3879" s="1494">
        <v>0</v>
      </c>
      <c r="K3879" s="802"/>
      <c r="L3879" s="1661">
        <v>24206</v>
      </c>
      <c r="M3879" s="1661"/>
      <c r="N3879" s="359" t="s">
        <v>2234</v>
      </c>
    </row>
    <row r="3880" spans="1:32">
      <c r="A3880" s="810" t="s">
        <v>939</v>
      </c>
      <c r="B3880" s="3130" t="s">
        <v>773</v>
      </c>
      <c r="C3880" s="663" t="s">
        <v>325</v>
      </c>
      <c r="D3880" s="678" t="s">
        <v>1976</v>
      </c>
      <c r="E3880" s="1407" t="s">
        <v>1901</v>
      </c>
      <c r="F3880" s="795">
        <v>5240</v>
      </c>
      <c r="G3880" s="957" t="s">
        <v>5174</v>
      </c>
      <c r="H3880" s="709"/>
      <c r="I3880" s="709"/>
      <c r="J3880" s="1494" t="s">
        <v>1134</v>
      </c>
      <c r="K3880" s="802"/>
      <c r="L3880" s="1677"/>
      <c r="M3880" s="1677">
        <v>243531</v>
      </c>
      <c r="N3880" s="125"/>
    </row>
    <row r="3881" spans="1:32">
      <c r="A3881" s="1256"/>
      <c r="B3881" s="3130" t="s">
        <v>773</v>
      </c>
      <c r="C3881" s="663" t="s">
        <v>325</v>
      </c>
      <c r="D3881" s="678" t="s">
        <v>1976</v>
      </c>
      <c r="E3881" s="1407" t="s">
        <v>1901</v>
      </c>
      <c r="F3881" s="795">
        <v>5240</v>
      </c>
      <c r="G3881" s="1257" t="s">
        <v>5175</v>
      </c>
      <c r="H3881" s="1258"/>
      <c r="I3881" s="1258">
        <v>60000</v>
      </c>
      <c r="J3881" s="1494" t="s">
        <v>1134</v>
      </c>
      <c r="K3881" s="1259"/>
      <c r="L3881" s="3073"/>
      <c r="M3881" s="3073">
        <v>70000</v>
      </c>
      <c r="N3881" s="7" t="s">
        <v>3585</v>
      </c>
    </row>
    <row r="3882" spans="1:32">
      <c r="A3882" s="2800"/>
      <c r="B3882" s="3130" t="s">
        <v>773</v>
      </c>
      <c r="C3882" s="663" t="s">
        <v>325</v>
      </c>
      <c r="D3882" s="678" t="s">
        <v>1976</v>
      </c>
      <c r="E3882" s="1407" t="s">
        <v>1901</v>
      </c>
      <c r="F3882" s="795">
        <v>5240</v>
      </c>
      <c r="G3882" s="3011" t="s">
        <v>5176</v>
      </c>
      <c r="H3882" s="2784"/>
      <c r="I3882" s="2784"/>
      <c r="J3882" s="2607"/>
      <c r="K3882" s="2786"/>
      <c r="L3882" s="3074"/>
      <c r="M3882" s="3074">
        <v>-11400</v>
      </c>
      <c r="N3882" s="7" t="s">
        <v>3586</v>
      </c>
    </row>
    <row r="3883" spans="1:32" ht="20.399999999999999">
      <c r="A3883" s="1150"/>
      <c r="B3883" s="3130" t="s">
        <v>773</v>
      </c>
      <c r="C3883" s="663" t="s">
        <v>325</v>
      </c>
      <c r="D3883" s="678" t="s">
        <v>1976</v>
      </c>
      <c r="E3883" s="1407" t="s">
        <v>1901</v>
      </c>
      <c r="F3883" s="795">
        <v>5240</v>
      </c>
      <c r="G3883" s="957" t="s">
        <v>5217</v>
      </c>
      <c r="H3883" s="1151"/>
      <c r="I3883" s="1151">
        <v>30000</v>
      </c>
      <c r="J3883" s="1494" t="s">
        <v>1134</v>
      </c>
      <c r="K3883" s="1152"/>
      <c r="L3883" s="1820"/>
      <c r="M3883" s="1820">
        <v>-150000</v>
      </c>
      <c r="N3883" s="7" t="s">
        <v>3586</v>
      </c>
    </row>
    <row r="3884" spans="1:32" ht="20.399999999999999">
      <c r="A3884" s="1150"/>
      <c r="B3884" s="3130" t="s">
        <v>773</v>
      </c>
      <c r="C3884" s="663" t="s">
        <v>325</v>
      </c>
      <c r="D3884" s="678" t="s">
        <v>1976</v>
      </c>
      <c r="E3884" s="1407" t="s">
        <v>1901</v>
      </c>
      <c r="F3884" s="795">
        <v>5240</v>
      </c>
      <c r="G3884" s="957" t="s">
        <v>5218</v>
      </c>
      <c r="H3884" s="1151"/>
      <c r="I3884" s="1151">
        <v>30000</v>
      </c>
      <c r="J3884" s="1494" t="s">
        <v>1134</v>
      </c>
      <c r="K3884" s="1152"/>
      <c r="L3884" s="1820"/>
      <c r="M3884" s="1820">
        <v>-127925</v>
      </c>
      <c r="N3884" s="7" t="s">
        <v>3587</v>
      </c>
    </row>
    <row r="3885" spans="1:32" ht="30.6" customHeight="1">
      <c r="A3885" s="942"/>
      <c r="B3885" s="3129" t="s">
        <v>773</v>
      </c>
      <c r="C3885" s="683" t="s">
        <v>325</v>
      </c>
      <c r="D3885" s="684" t="s">
        <v>1976</v>
      </c>
      <c r="E3885" s="1406" t="s">
        <v>1901</v>
      </c>
      <c r="F3885" s="824">
        <v>7230</v>
      </c>
      <c r="G3885" s="800" t="s">
        <v>1027</v>
      </c>
      <c r="H3885" s="706">
        <v>111645.73999999999</v>
      </c>
      <c r="I3885" s="706"/>
      <c r="J3885" s="1494">
        <v>0</v>
      </c>
      <c r="K3885" s="802"/>
      <c r="L3885" s="1661">
        <v>277925</v>
      </c>
      <c r="M3885" s="1661"/>
      <c r="N3885" s="75"/>
    </row>
    <row r="3886" spans="1:32" ht="20.399999999999999">
      <c r="A3886" s="810" t="s">
        <v>939</v>
      </c>
      <c r="B3886" s="3130" t="s">
        <v>773</v>
      </c>
      <c r="C3886" s="663" t="s">
        <v>325</v>
      </c>
      <c r="D3886" s="678" t="s">
        <v>1976</v>
      </c>
      <c r="E3886" s="1407" t="s">
        <v>1901</v>
      </c>
      <c r="F3886" s="795">
        <v>7230</v>
      </c>
      <c r="G3886" s="957" t="s">
        <v>5217</v>
      </c>
      <c r="H3886" s="709"/>
      <c r="I3886" s="709">
        <v>60500</v>
      </c>
      <c r="J3886" s="1494" t="s">
        <v>1134</v>
      </c>
      <c r="K3886" s="802"/>
      <c r="L3886" s="1677"/>
      <c r="M3886" s="1677">
        <v>150000</v>
      </c>
      <c r="N3886" s="1610" t="s">
        <v>3588</v>
      </c>
    </row>
    <row r="3887" spans="1:32" ht="20.399999999999999">
      <c r="A3887" s="810" t="s">
        <v>939</v>
      </c>
      <c r="B3887" s="3130" t="s">
        <v>773</v>
      </c>
      <c r="C3887" s="663" t="s">
        <v>325</v>
      </c>
      <c r="D3887" s="678" t="s">
        <v>1976</v>
      </c>
      <c r="E3887" s="1407" t="s">
        <v>1901</v>
      </c>
      <c r="F3887" s="795">
        <v>7230</v>
      </c>
      <c r="G3887" s="957" t="s">
        <v>2846</v>
      </c>
      <c r="H3887" s="1258"/>
      <c r="I3887" s="1258">
        <v>51145.739999999991</v>
      </c>
      <c r="J3887" s="1494" t="s">
        <v>1134</v>
      </c>
      <c r="K3887" s="1259"/>
      <c r="L3887" s="3073"/>
      <c r="M3887" s="1677">
        <v>127925</v>
      </c>
      <c r="N3887" s="75"/>
    </row>
    <row r="3888" spans="1:32" ht="40.799999999999997">
      <c r="A3888" s="810" t="s">
        <v>939</v>
      </c>
      <c r="B3888" s="3130" t="s">
        <v>773</v>
      </c>
      <c r="C3888" s="663" t="s">
        <v>325</v>
      </c>
      <c r="D3888" s="678" t="s">
        <v>1976</v>
      </c>
      <c r="E3888" s="1407" t="s">
        <v>1901</v>
      </c>
      <c r="F3888" s="795">
        <v>7230</v>
      </c>
      <c r="G3888" s="957" t="s">
        <v>2845</v>
      </c>
      <c r="H3888" s="709"/>
      <c r="I3888" s="709"/>
      <c r="J3888" s="1494" t="s">
        <v>1134</v>
      </c>
      <c r="K3888" s="802"/>
      <c r="L3888" s="1677"/>
      <c r="M3888" s="1677"/>
      <c r="N3888" s="1610" t="s">
        <v>3588</v>
      </c>
      <c r="O3888" s="7"/>
      <c r="P3888" s="7"/>
      <c r="Q3888" s="7"/>
      <c r="R3888" s="7"/>
      <c r="S3888" s="7"/>
      <c r="T3888" s="7"/>
      <c r="U3888" s="7"/>
      <c r="V3888" s="7"/>
      <c r="W3888" s="7"/>
      <c r="X3888" s="7"/>
      <c r="Y3888" s="7"/>
      <c r="Z3888" s="7"/>
      <c r="AA3888" s="7"/>
      <c r="AB3888" s="7"/>
      <c r="AC3888" s="7"/>
      <c r="AD3888" s="7"/>
      <c r="AE3888" s="7"/>
      <c r="AF3888" s="7"/>
    </row>
    <row r="3889" spans="1:32">
      <c r="A3889" s="683"/>
      <c r="B3889" s="3129" t="s">
        <v>326</v>
      </c>
      <c r="C3889" s="683" t="s">
        <v>322</v>
      </c>
      <c r="D3889" s="684" t="s">
        <v>1975</v>
      </c>
      <c r="E3889" s="720" t="s">
        <v>1898</v>
      </c>
      <c r="F3889" s="824">
        <v>7230</v>
      </c>
      <c r="G3889" s="800" t="s">
        <v>1027</v>
      </c>
      <c r="H3889" s="706">
        <v>445527</v>
      </c>
      <c r="I3889" s="706"/>
      <c r="J3889" s="1494">
        <v>306325.88</v>
      </c>
      <c r="K3889" s="802"/>
      <c r="L3889" s="689">
        <v>482345</v>
      </c>
      <c r="M3889" s="689"/>
      <c r="N3889" s="125"/>
    </row>
    <row r="3890" spans="1:32">
      <c r="A3890" s="663"/>
      <c r="B3890" s="3130" t="s">
        <v>326</v>
      </c>
      <c r="C3890" s="663" t="s">
        <v>322</v>
      </c>
      <c r="D3890" s="678" t="s">
        <v>1975</v>
      </c>
      <c r="E3890" s="700" t="s">
        <v>1898</v>
      </c>
      <c r="F3890" s="795">
        <v>7230</v>
      </c>
      <c r="G3890" s="957" t="s">
        <v>2841</v>
      </c>
      <c r="H3890" s="968"/>
      <c r="I3890" s="969">
        <v>445527</v>
      </c>
      <c r="J3890" s="1494" t="s">
        <v>1134</v>
      </c>
      <c r="K3890" s="970"/>
      <c r="L3890" s="2371"/>
      <c r="M3890" s="2372">
        <v>401002</v>
      </c>
      <c r="N3890" s="1610" t="s">
        <v>3589</v>
      </c>
    </row>
    <row r="3891" spans="1:32" ht="20.399999999999999">
      <c r="A3891" s="663"/>
      <c r="B3891" s="3130" t="s">
        <v>326</v>
      </c>
      <c r="C3891" s="663" t="s">
        <v>322</v>
      </c>
      <c r="D3891" s="678" t="s">
        <v>1975</v>
      </c>
      <c r="E3891" s="700" t="s">
        <v>1898</v>
      </c>
      <c r="F3891" s="795">
        <v>7230</v>
      </c>
      <c r="G3891" s="957" t="s">
        <v>1710</v>
      </c>
      <c r="H3891" s="968"/>
      <c r="I3891" s="969"/>
      <c r="J3891" s="1494" t="s">
        <v>1134</v>
      </c>
      <c r="K3891" s="970"/>
      <c r="L3891" s="2371"/>
      <c r="M3891" s="2372"/>
      <c r="N3891" s="125"/>
    </row>
    <row r="3892" spans="1:32" ht="20.399999999999999">
      <c r="A3892" s="663"/>
      <c r="B3892" s="3130" t="s">
        <v>326</v>
      </c>
      <c r="C3892" s="663" t="s">
        <v>322</v>
      </c>
      <c r="D3892" s="678" t="s">
        <v>1975</v>
      </c>
      <c r="E3892" s="700" t="s">
        <v>1898</v>
      </c>
      <c r="F3892" s="795">
        <v>7230</v>
      </c>
      <c r="G3892" s="957" t="s">
        <v>1862</v>
      </c>
      <c r="H3892" s="968"/>
      <c r="I3892" s="969"/>
      <c r="J3892" s="1494" t="s">
        <v>1134</v>
      </c>
      <c r="K3892" s="970"/>
      <c r="L3892" s="2371"/>
      <c r="M3892" s="2372"/>
      <c r="N3892" s="7"/>
    </row>
    <row r="3893" spans="1:32">
      <c r="A3893" s="663"/>
      <c r="B3893" s="3130" t="s">
        <v>326</v>
      </c>
      <c r="C3893" s="663" t="s">
        <v>322</v>
      </c>
      <c r="D3893" s="678" t="s">
        <v>1975</v>
      </c>
      <c r="E3893" s="700" t="s">
        <v>1898</v>
      </c>
      <c r="F3893" s="795">
        <v>7230</v>
      </c>
      <c r="G3893" s="1268" t="s">
        <v>5075</v>
      </c>
      <c r="H3893" s="968"/>
      <c r="I3893" s="969"/>
      <c r="J3893" s="1494" t="s">
        <v>1134</v>
      </c>
      <c r="K3893" s="970"/>
      <c r="L3893" s="2371"/>
      <c r="M3893" s="2372">
        <v>81343</v>
      </c>
      <c r="N3893" s="7" t="s">
        <v>3591</v>
      </c>
      <c r="O3893" s="7"/>
      <c r="P3893" s="7"/>
      <c r="Q3893" s="7"/>
      <c r="R3893" s="182"/>
      <c r="S3893" s="126"/>
      <c r="T3893" s="126"/>
      <c r="U3893" s="7"/>
      <c r="V3893" s="7"/>
      <c r="W3893" s="7"/>
      <c r="X3893" s="7"/>
      <c r="Y3893" s="7"/>
      <c r="Z3893" s="7"/>
      <c r="AA3893" s="7"/>
      <c r="AB3893" s="7"/>
      <c r="AC3893" s="7"/>
      <c r="AD3893" s="7"/>
      <c r="AE3893" s="7"/>
      <c r="AF3893" s="7"/>
    </row>
    <row r="3894" spans="1:32">
      <c r="A3894" s="720"/>
      <c r="B3894" s="720" t="s">
        <v>436</v>
      </c>
      <c r="C3894" s="720" t="s">
        <v>427</v>
      </c>
      <c r="D3894" s="1210" t="s">
        <v>1977</v>
      </c>
      <c r="E3894" s="1775" t="s">
        <v>1903</v>
      </c>
      <c r="F3894" s="824">
        <v>1119</v>
      </c>
      <c r="G3894" s="800" t="s">
        <v>235</v>
      </c>
      <c r="H3894" s="706">
        <v>218664.95199999999</v>
      </c>
      <c r="I3894" s="706"/>
      <c r="J3894" s="1654">
        <v>151231</v>
      </c>
      <c r="K3894" s="842"/>
      <c r="L3894" s="713">
        <v>262718.16000000003</v>
      </c>
      <c r="M3894" s="713"/>
      <c r="N3894" s="7"/>
      <c r="O3894" s="7"/>
      <c r="P3894" s="7"/>
      <c r="Q3894" s="7"/>
      <c r="R3894" s="182"/>
      <c r="S3894" s="126"/>
      <c r="T3894" s="126"/>
      <c r="U3894" s="7"/>
      <c r="V3894" s="7"/>
      <c r="W3894" s="7"/>
      <c r="X3894" s="7"/>
      <c r="Y3894" s="7"/>
      <c r="Z3894" s="7"/>
      <c r="AA3894" s="7"/>
      <c r="AB3894" s="7"/>
      <c r="AC3894" s="7"/>
      <c r="AD3894" s="7"/>
      <c r="AE3894" s="7"/>
      <c r="AF3894" s="7"/>
    </row>
    <row r="3895" spans="1:32">
      <c r="A3895" s="700"/>
      <c r="B3895" s="700" t="s">
        <v>436</v>
      </c>
      <c r="C3895" s="700" t="s">
        <v>427</v>
      </c>
      <c r="D3895" s="794" t="s">
        <v>1977</v>
      </c>
      <c r="E3895" s="700" t="s">
        <v>1903</v>
      </c>
      <c r="F3895" s="795">
        <v>1119</v>
      </c>
      <c r="G3895" s="812" t="s">
        <v>436</v>
      </c>
      <c r="H3895" s="701"/>
      <c r="I3895" s="701">
        <v>239921.95200000002</v>
      </c>
      <c r="J3895" s="1654" t="s">
        <v>1134</v>
      </c>
      <c r="K3895" s="809"/>
      <c r="L3895" s="714"/>
      <c r="M3895" s="714">
        <v>262718.16000000003</v>
      </c>
      <c r="N3895" s="7" t="s">
        <v>3592</v>
      </c>
      <c r="O3895" s="7"/>
      <c r="P3895" s="7"/>
      <c r="Q3895" s="7"/>
      <c r="R3895" s="182"/>
      <c r="S3895" s="126"/>
      <c r="T3895" s="126"/>
      <c r="U3895" s="7"/>
      <c r="V3895" s="7"/>
      <c r="W3895" s="7"/>
      <c r="X3895" s="7"/>
      <c r="Y3895" s="7"/>
      <c r="Z3895" s="7"/>
      <c r="AA3895" s="7"/>
      <c r="AB3895" s="7"/>
      <c r="AC3895" s="7"/>
      <c r="AD3895" s="7"/>
      <c r="AE3895" s="7"/>
      <c r="AF3895" s="7"/>
    </row>
    <row r="3896" spans="1:32" ht="30.6">
      <c r="A3896" s="1327"/>
      <c r="B3896" s="700" t="s">
        <v>436</v>
      </c>
      <c r="C3896" s="700" t="s">
        <v>427</v>
      </c>
      <c r="D3896" s="794" t="s">
        <v>1977</v>
      </c>
      <c r="E3896" s="700" t="s">
        <v>1903</v>
      </c>
      <c r="F3896" s="795">
        <v>1119</v>
      </c>
      <c r="G3896" s="1372" t="s">
        <v>2980</v>
      </c>
      <c r="H3896" s="1265"/>
      <c r="I3896" s="1265">
        <v>-2057</v>
      </c>
      <c r="J3896" s="1654" t="s">
        <v>1134</v>
      </c>
      <c r="K3896" s="1329"/>
      <c r="L3896" s="1265"/>
      <c r="M3896" s="1265"/>
      <c r="N3896" s="375"/>
      <c r="O3896" s="7"/>
      <c r="P3896" s="7"/>
      <c r="Q3896" s="7"/>
      <c r="R3896" s="182"/>
      <c r="S3896" s="126"/>
      <c r="T3896" s="126"/>
      <c r="U3896" s="7"/>
      <c r="V3896" s="7"/>
      <c r="W3896" s="7"/>
      <c r="X3896" s="7"/>
      <c r="Y3896" s="7"/>
      <c r="Z3896" s="7"/>
      <c r="AA3896" s="7"/>
      <c r="AB3896" s="7"/>
      <c r="AC3896" s="7"/>
      <c r="AD3896" s="7"/>
      <c r="AE3896" s="7"/>
      <c r="AF3896" s="7"/>
    </row>
    <row r="3897" spans="1:32" ht="33.75" customHeight="1">
      <c r="A3897" s="700"/>
      <c r="B3897" s="700" t="s">
        <v>436</v>
      </c>
      <c r="C3897" s="700" t="s">
        <v>427</v>
      </c>
      <c r="D3897" s="794" t="s">
        <v>1977</v>
      </c>
      <c r="E3897" s="700" t="s">
        <v>1903</v>
      </c>
      <c r="F3897" s="795">
        <v>1119</v>
      </c>
      <c r="G3897" s="812" t="s">
        <v>3265</v>
      </c>
      <c r="H3897" s="701"/>
      <c r="I3897" s="701">
        <v>-2200</v>
      </c>
      <c r="J3897" s="1654" t="s">
        <v>1134</v>
      </c>
      <c r="K3897" s="809"/>
      <c r="L3897" s="714"/>
      <c r="M3897" s="714"/>
      <c r="N3897" s="1793" t="s">
        <v>3623</v>
      </c>
    </row>
    <row r="3898" spans="1:32" ht="51">
      <c r="A3898" s="700"/>
      <c r="B3898" s="700" t="s">
        <v>436</v>
      </c>
      <c r="C3898" s="700" t="s">
        <v>427</v>
      </c>
      <c r="D3898" s="794" t="s">
        <v>1977</v>
      </c>
      <c r="E3898" s="700" t="s">
        <v>1903</v>
      </c>
      <c r="F3898" s="795">
        <v>1119</v>
      </c>
      <c r="G3898" s="812" t="s">
        <v>3266</v>
      </c>
      <c r="H3898" s="701"/>
      <c r="I3898" s="701">
        <v>-7000</v>
      </c>
      <c r="J3898" s="1654" t="s">
        <v>1134</v>
      </c>
      <c r="K3898" s="809"/>
      <c r="L3898" s="714"/>
      <c r="M3898" s="714"/>
      <c r="N3898" s="1671" t="s">
        <v>3595</v>
      </c>
    </row>
    <row r="3899" spans="1:32" ht="20.399999999999999">
      <c r="A3899" s="2797"/>
      <c r="B3899" s="700" t="s">
        <v>436</v>
      </c>
      <c r="C3899" s="700" t="s">
        <v>427</v>
      </c>
      <c r="D3899" s="794" t="s">
        <v>1977</v>
      </c>
      <c r="E3899" s="700" t="s">
        <v>1903</v>
      </c>
      <c r="F3899" s="795">
        <v>1119</v>
      </c>
      <c r="G3899" s="812" t="s">
        <v>5003</v>
      </c>
      <c r="H3899" s="2615"/>
      <c r="I3899" s="2615">
        <v>-10000</v>
      </c>
      <c r="J3899" s="2621"/>
      <c r="K3899" s="2798"/>
      <c r="L3899" s="2698"/>
      <c r="M3899" s="2698"/>
      <c r="N3899" s="176"/>
    </row>
    <row r="3900" spans="1:32" ht="40.799999999999997">
      <c r="A3900" s="720"/>
      <c r="B3900" s="720" t="s">
        <v>436</v>
      </c>
      <c r="C3900" s="720" t="s">
        <v>427</v>
      </c>
      <c r="D3900" s="1210" t="s">
        <v>1977</v>
      </c>
      <c r="E3900" s="1775" t="s">
        <v>1903</v>
      </c>
      <c r="F3900" s="824">
        <v>1142</v>
      </c>
      <c r="G3900" s="800" t="s">
        <v>110</v>
      </c>
      <c r="H3900" s="706">
        <v>3803</v>
      </c>
      <c r="I3900" s="706"/>
      <c r="J3900" s="1654">
        <v>2850</v>
      </c>
      <c r="K3900" s="842"/>
      <c r="L3900" s="713">
        <v>338</v>
      </c>
      <c r="M3900" s="713"/>
      <c r="N3900" s="1777" t="s">
        <v>3596</v>
      </c>
    </row>
    <row r="3901" spans="1:32" ht="33.75" customHeight="1">
      <c r="A3901" s="700"/>
      <c r="B3901" s="700" t="s">
        <v>436</v>
      </c>
      <c r="C3901" s="700" t="s">
        <v>427</v>
      </c>
      <c r="D3901" s="794" t="s">
        <v>1977</v>
      </c>
      <c r="E3901" s="700" t="s">
        <v>1903</v>
      </c>
      <c r="F3901" s="795">
        <v>1142</v>
      </c>
      <c r="G3901" s="750" t="s">
        <v>3572</v>
      </c>
      <c r="H3901" s="701"/>
      <c r="I3901" s="701">
        <v>3564</v>
      </c>
      <c r="J3901" s="1654" t="s">
        <v>1134</v>
      </c>
      <c r="K3901" s="809"/>
      <c r="L3901" s="714"/>
      <c r="M3901" s="714">
        <v>338</v>
      </c>
      <c r="N3901" s="1784" t="s">
        <v>3597</v>
      </c>
    </row>
    <row r="3902" spans="1:32" ht="20.399999999999999">
      <c r="A3902" s="1327"/>
      <c r="B3902" s="700" t="s">
        <v>436</v>
      </c>
      <c r="C3902" s="700" t="s">
        <v>427</v>
      </c>
      <c r="D3902" s="794" t="s">
        <v>1977</v>
      </c>
      <c r="E3902" s="700" t="s">
        <v>1903</v>
      </c>
      <c r="F3902" s="795">
        <v>1142</v>
      </c>
      <c r="G3902" s="1330" t="s">
        <v>2979</v>
      </c>
      <c r="H3902" s="1265"/>
      <c r="I3902" s="1265">
        <v>-242</v>
      </c>
      <c r="J3902" s="1654" t="s">
        <v>1134</v>
      </c>
      <c r="K3902" s="2342"/>
      <c r="L3902" s="1381"/>
      <c r="M3902" s="1381"/>
      <c r="N3902" s="1784" t="s">
        <v>3599</v>
      </c>
    </row>
    <row r="3903" spans="1:32" ht="30.6" customHeight="1">
      <c r="A3903" s="1327"/>
      <c r="B3903" s="700" t="s">
        <v>436</v>
      </c>
      <c r="C3903" s="700" t="s">
        <v>427</v>
      </c>
      <c r="D3903" s="794" t="s">
        <v>1977</v>
      </c>
      <c r="E3903" s="700" t="s">
        <v>1903</v>
      </c>
      <c r="F3903" s="795">
        <v>1142</v>
      </c>
      <c r="G3903" s="1330" t="s">
        <v>3032</v>
      </c>
      <c r="H3903" s="1265"/>
      <c r="I3903" s="1265">
        <v>-1519</v>
      </c>
      <c r="J3903" s="1654" t="s">
        <v>1134</v>
      </c>
      <c r="K3903" s="2342"/>
      <c r="L3903" s="1381"/>
      <c r="M3903" s="1381"/>
      <c r="N3903" s="305"/>
    </row>
    <row r="3904" spans="1:32" ht="40.950000000000003" customHeight="1">
      <c r="A3904" s="1590"/>
      <c r="B3904" s="1590" t="s">
        <v>436</v>
      </c>
      <c r="C3904" s="1590" t="s">
        <v>427</v>
      </c>
      <c r="D3904" s="1560" t="s">
        <v>1977</v>
      </c>
      <c r="E3904" s="1590" t="s">
        <v>1903</v>
      </c>
      <c r="F3904" s="1562">
        <v>1142</v>
      </c>
      <c r="G3904" s="1569" t="s">
        <v>1999</v>
      </c>
      <c r="H3904" s="1557"/>
      <c r="I3904" s="1557">
        <v>2000</v>
      </c>
      <c r="J3904" s="1557"/>
      <c r="K3904" s="1640"/>
      <c r="L3904" s="1596"/>
      <c r="M3904" s="1596"/>
      <c r="N3904" s="1784" t="s">
        <v>3601</v>
      </c>
    </row>
    <row r="3905" spans="1:14">
      <c r="A3905" s="720"/>
      <c r="B3905" s="720" t="s">
        <v>436</v>
      </c>
      <c r="C3905" s="720" t="s">
        <v>427</v>
      </c>
      <c r="D3905" s="1210" t="s">
        <v>1977</v>
      </c>
      <c r="E3905" s="1775" t="s">
        <v>1903</v>
      </c>
      <c r="F3905" s="824">
        <v>1147</v>
      </c>
      <c r="G3905" s="800" t="s">
        <v>111</v>
      </c>
      <c r="H3905" s="706">
        <v>13994</v>
      </c>
      <c r="I3905" s="706"/>
      <c r="J3905" s="1654">
        <v>9139</v>
      </c>
      <c r="K3905" s="842"/>
      <c r="L3905" s="713">
        <v>7471.2030000000013</v>
      </c>
      <c r="M3905" s="713"/>
      <c r="N3905" s="305"/>
    </row>
    <row r="3906" spans="1:14" ht="33.75" customHeight="1">
      <c r="A3906" s="700"/>
      <c r="B3906" s="700" t="s">
        <v>436</v>
      </c>
      <c r="C3906" s="700" t="s">
        <v>427</v>
      </c>
      <c r="D3906" s="794" t="s">
        <v>1977</v>
      </c>
      <c r="E3906" s="700" t="s">
        <v>1903</v>
      </c>
      <c r="F3906" s="795">
        <v>1147</v>
      </c>
      <c r="G3906" s="812" t="s">
        <v>436</v>
      </c>
      <c r="H3906" s="701"/>
      <c r="I3906" s="701">
        <v>17994.146400000001</v>
      </c>
      <c r="J3906" s="1654" t="s">
        <v>1134</v>
      </c>
      <c r="K3906" s="809"/>
      <c r="L3906" s="714"/>
      <c r="M3906" s="714">
        <v>7471.2030000000013</v>
      </c>
      <c r="N3906" s="7"/>
    </row>
    <row r="3907" spans="1:14" ht="20.399999999999999">
      <c r="A3907" s="700"/>
      <c r="B3907" s="700" t="s">
        <v>436</v>
      </c>
      <c r="C3907" s="700" t="s">
        <v>427</v>
      </c>
      <c r="D3907" s="794" t="s">
        <v>1977</v>
      </c>
      <c r="E3907" s="700" t="s">
        <v>1903</v>
      </c>
      <c r="F3907" s="795">
        <v>1147</v>
      </c>
      <c r="G3907" s="812" t="s">
        <v>4785</v>
      </c>
      <c r="H3907" s="701"/>
      <c r="I3907" s="701">
        <v>-4000</v>
      </c>
      <c r="J3907" s="1654" t="s">
        <v>1134</v>
      </c>
      <c r="K3907" s="809"/>
      <c r="L3907" s="714"/>
      <c r="M3907" s="714"/>
      <c r="N3907" s="7"/>
    </row>
    <row r="3908" spans="1:14">
      <c r="A3908" s="720"/>
      <c r="B3908" s="720" t="s">
        <v>436</v>
      </c>
      <c r="C3908" s="720" t="s">
        <v>427</v>
      </c>
      <c r="D3908" s="1210" t="s">
        <v>1977</v>
      </c>
      <c r="E3908" s="1775" t="s">
        <v>1903</v>
      </c>
      <c r="F3908" s="824">
        <v>1148</v>
      </c>
      <c r="G3908" s="800" t="s">
        <v>112</v>
      </c>
      <c r="H3908" s="706">
        <v>12300</v>
      </c>
      <c r="I3908" s="706"/>
      <c r="J3908" s="1654">
        <v>1410.5</v>
      </c>
      <c r="K3908" s="842"/>
      <c r="L3908" s="713">
        <v>10800</v>
      </c>
      <c r="M3908" s="713"/>
      <c r="N3908" s="1777" t="s">
        <v>3597</v>
      </c>
    </row>
    <row r="3909" spans="1:14" ht="40.799999999999997">
      <c r="A3909" s="700"/>
      <c r="B3909" s="700" t="s">
        <v>436</v>
      </c>
      <c r="C3909" s="700" t="s">
        <v>427</v>
      </c>
      <c r="D3909" s="794" t="s">
        <v>1977</v>
      </c>
      <c r="E3909" s="700" t="s">
        <v>1903</v>
      </c>
      <c r="F3909" s="795">
        <v>1148</v>
      </c>
      <c r="G3909" s="750" t="s">
        <v>3569</v>
      </c>
      <c r="H3909" s="701"/>
      <c r="I3909" s="701"/>
      <c r="J3909" s="1654" t="s">
        <v>1134</v>
      </c>
      <c r="K3909" s="809"/>
      <c r="L3909" s="714"/>
      <c r="M3909" s="714">
        <v>2800</v>
      </c>
      <c r="N3909" s="1777" t="s">
        <v>3604</v>
      </c>
    </row>
    <row r="3910" spans="1:14" ht="40.799999999999997">
      <c r="A3910" s="700"/>
      <c r="B3910" s="700" t="s">
        <v>436</v>
      </c>
      <c r="C3910" s="700" t="s">
        <v>427</v>
      </c>
      <c r="D3910" s="794" t="s">
        <v>1977</v>
      </c>
      <c r="E3910" s="700" t="s">
        <v>1903</v>
      </c>
      <c r="F3910" s="795">
        <v>1148</v>
      </c>
      <c r="G3910" s="750" t="s">
        <v>2229</v>
      </c>
      <c r="H3910" s="701"/>
      <c r="I3910" s="701">
        <v>300</v>
      </c>
      <c r="J3910" s="1654" t="s">
        <v>1134</v>
      </c>
      <c r="K3910" s="809"/>
      <c r="L3910" s="714"/>
      <c r="M3910" s="714"/>
      <c r="N3910" s="1671" t="s">
        <v>3606</v>
      </c>
    </row>
    <row r="3911" spans="1:14" ht="20.399999999999999">
      <c r="A3911" s="700"/>
      <c r="B3911" s="700" t="s">
        <v>436</v>
      </c>
      <c r="C3911" s="700" t="s">
        <v>427</v>
      </c>
      <c r="D3911" s="794" t="s">
        <v>1977</v>
      </c>
      <c r="E3911" s="700" t="s">
        <v>1903</v>
      </c>
      <c r="F3911" s="795">
        <v>1148</v>
      </c>
      <c r="G3911" s="750" t="s">
        <v>2031</v>
      </c>
      <c r="H3911" s="701"/>
      <c r="I3911" s="701">
        <v>2000</v>
      </c>
      <c r="J3911" s="1654" t="s">
        <v>1134</v>
      </c>
      <c r="K3911" s="809"/>
      <c r="L3911" s="714"/>
      <c r="M3911" s="714"/>
      <c r="N3911" s="1777" t="s">
        <v>3608</v>
      </c>
    </row>
    <row r="3912" spans="1:14" ht="20.399999999999999">
      <c r="A3912" s="2797"/>
      <c r="B3912" s="700" t="s">
        <v>436</v>
      </c>
      <c r="C3912" s="700" t="s">
        <v>427</v>
      </c>
      <c r="D3912" s="794" t="s">
        <v>1977</v>
      </c>
      <c r="E3912" s="700" t="s">
        <v>1903</v>
      </c>
      <c r="F3912" s="795">
        <v>1148</v>
      </c>
      <c r="G3912" s="812" t="s">
        <v>5003</v>
      </c>
      <c r="H3912" s="2615"/>
      <c r="I3912" s="2615">
        <v>10000</v>
      </c>
      <c r="J3912" s="2621"/>
      <c r="K3912" s="2798"/>
      <c r="L3912" s="2698"/>
      <c r="M3912" s="2698">
        <v>8000</v>
      </c>
      <c r="N3912" s="125"/>
    </row>
    <row r="3913" spans="1:14">
      <c r="A3913" s="720"/>
      <c r="B3913" s="720" t="s">
        <v>436</v>
      </c>
      <c r="C3913" s="720" t="s">
        <v>427</v>
      </c>
      <c r="D3913" s="1210" t="s">
        <v>1977</v>
      </c>
      <c r="E3913" s="1775" t="s">
        <v>1903</v>
      </c>
      <c r="F3913" s="824">
        <v>1170</v>
      </c>
      <c r="G3913" s="800" t="s">
        <v>475</v>
      </c>
      <c r="H3913" s="706">
        <v>150</v>
      </c>
      <c r="I3913" s="706"/>
      <c r="J3913" s="1654">
        <v>150</v>
      </c>
      <c r="K3913" s="842"/>
      <c r="L3913" s="713">
        <v>150</v>
      </c>
      <c r="M3913" s="713"/>
      <c r="N3913" s="1777" t="s">
        <v>3589</v>
      </c>
    </row>
    <row r="3914" spans="1:14" ht="20.399999999999999">
      <c r="A3914" s="700"/>
      <c r="B3914" s="700" t="s">
        <v>436</v>
      </c>
      <c r="C3914" s="700" t="s">
        <v>427</v>
      </c>
      <c r="D3914" s="794" t="s">
        <v>1977</v>
      </c>
      <c r="E3914" s="700" t="s">
        <v>1903</v>
      </c>
      <c r="F3914" s="795">
        <v>1170</v>
      </c>
      <c r="G3914" s="750" t="s">
        <v>2230</v>
      </c>
      <c r="H3914" s="701"/>
      <c r="I3914" s="701">
        <v>150</v>
      </c>
      <c r="J3914" s="1654" t="s">
        <v>1134</v>
      </c>
      <c r="K3914" s="809"/>
      <c r="L3914" s="714"/>
      <c r="M3914" s="714">
        <v>150</v>
      </c>
      <c r="N3914" s="176"/>
    </row>
    <row r="3915" spans="1:14" ht="33.75" customHeight="1">
      <c r="A3915" s="720"/>
      <c r="B3915" s="720" t="s">
        <v>436</v>
      </c>
      <c r="C3915" s="720" t="s">
        <v>427</v>
      </c>
      <c r="D3915" s="1210" t="s">
        <v>1977</v>
      </c>
      <c r="E3915" s="1775" t="s">
        <v>1903</v>
      </c>
      <c r="F3915" s="824">
        <v>1210</v>
      </c>
      <c r="G3915" s="800" t="s">
        <v>113</v>
      </c>
      <c r="H3915" s="706">
        <v>60040.608442472003</v>
      </c>
      <c r="I3915" s="706"/>
      <c r="J3915" s="1654">
        <v>42919</v>
      </c>
      <c r="K3915" s="842"/>
      <c r="L3915" s="713">
        <v>65500.054237064993</v>
      </c>
      <c r="M3915" s="713"/>
      <c r="N3915" s="1777" t="s">
        <v>3609</v>
      </c>
    </row>
    <row r="3916" spans="1:14">
      <c r="A3916" s="700"/>
      <c r="B3916" s="700" t="s">
        <v>436</v>
      </c>
      <c r="C3916" s="700" t="s">
        <v>427</v>
      </c>
      <c r="D3916" s="794" t="s">
        <v>1977</v>
      </c>
      <c r="E3916" s="700" t="s">
        <v>1903</v>
      </c>
      <c r="F3916" s="795">
        <v>1210</v>
      </c>
      <c r="G3916" s="812" t="s">
        <v>436</v>
      </c>
      <c r="H3916" s="701"/>
      <c r="I3916" s="701">
        <v>60040.608442472003</v>
      </c>
      <c r="J3916" s="1654" t="s">
        <v>1134</v>
      </c>
      <c r="K3916" s="809"/>
      <c r="L3916" s="714"/>
      <c r="M3916" s="714">
        <v>65500.054237064993</v>
      </c>
      <c r="N3916" s="125"/>
    </row>
    <row r="3917" spans="1:14">
      <c r="A3917" s="700"/>
      <c r="B3917" s="700" t="s">
        <v>436</v>
      </c>
      <c r="C3917" s="700" t="s">
        <v>427</v>
      </c>
      <c r="D3917" s="794" t="s">
        <v>1977</v>
      </c>
      <c r="E3917" s="700" t="s">
        <v>1903</v>
      </c>
      <c r="F3917" s="795">
        <v>1210</v>
      </c>
      <c r="G3917" s="812"/>
      <c r="H3917" s="701"/>
      <c r="I3917" s="701"/>
      <c r="J3917" s="1654" t="s">
        <v>1134</v>
      </c>
      <c r="K3917" s="809"/>
      <c r="L3917" s="714"/>
      <c r="M3917" s="714"/>
      <c r="N3917" s="1777" t="s">
        <v>3611</v>
      </c>
    </row>
    <row r="3918" spans="1:14" ht="20.399999999999999">
      <c r="A3918" s="720"/>
      <c r="B3918" s="720" t="s">
        <v>436</v>
      </c>
      <c r="C3918" s="720" t="s">
        <v>427</v>
      </c>
      <c r="D3918" s="1210" t="s">
        <v>1977</v>
      </c>
      <c r="E3918" s="1775" t="s">
        <v>1903</v>
      </c>
      <c r="F3918" s="824">
        <v>1221</v>
      </c>
      <c r="G3918" s="800" t="s">
        <v>120</v>
      </c>
      <c r="H3918" s="706">
        <v>20156.780023288</v>
      </c>
      <c r="I3918" s="706"/>
      <c r="J3918" s="1654">
        <v>19986</v>
      </c>
      <c r="K3918" s="842"/>
      <c r="L3918" s="713">
        <v>14393.961275634998</v>
      </c>
      <c r="M3918" s="713"/>
      <c r="N3918" s="1777" t="s">
        <v>3613</v>
      </c>
    </row>
    <row r="3919" spans="1:14" ht="61.2">
      <c r="A3919" s="700"/>
      <c r="B3919" s="700" t="s">
        <v>436</v>
      </c>
      <c r="C3919" s="700" t="s">
        <v>427</v>
      </c>
      <c r="D3919" s="794" t="s">
        <v>1977</v>
      </c>
      <c r="E3919" s="700" t="s">
        <v>1903</v>
      </c>
      <c r="F3919" s="795">
        <v>1221</v>
      </c>
      <c r="G3919" s="812" t="s">
        <v>436</v>
      </c>
      <c r="H3919" s="701"/>
      <c r="I3919" s="701">
        <v>13156.780023288</v>
      </c>
      <c r="J3919" s="1654" t="s">
        <v>1134</v>
      </c>
      <c r="K3919" s="809"/>
      <c r="L3919" s="714"/>
      <c r="M3919" s="714">
        <v>14393.961275634998</v>
      </c>
      <c r="N3919" s="1777" t="s">
        <v>3615</v>
      </c>
    </row>
    <row r="3920" spans="1:14" ht="20.399999999999999">
      <c r="A3920" s="700"/>
      <c r="B3920" s="700" t="s">
        <v>436</v>
      </c>
      <c r="C3920" s="700" t="s">
        <v>427</v>
      </c>
      <c r="D3920" s="794" t="s">
        <v>1977</v>
      </c>
      <c r="E3920" s="700" t="s">
        <v>1903</v>
      </c>
      <c r="F3920" s="795">
        <v>1221</v>
      </c>
      <c r="G3920" s="812" t="s">
        <v>3266</v>
      </c>
      <c r="H3920" s="701"/>
      <c r="I3920" s="701">
        <v>7000</v>
      </c>
      <c r="J3920" s="1654" t="s">
        <v>1134</v>
      </c>
      <c r="K3920" s="809"/>
      <c r="L3920" s="714"/>
      <c r="M3920" s="714"/>
      <c r="N3920" s="125"/>
    </row>
    <row r="3921" spans="1:14" ht="30.6">
      <c r="A3921" s="720"/>
      <c r="B3921" s="720" t="s">
        <v>772</v>
      </c>
      <c r="C3921" s="720" t="s">
        <v>427</v>
      </c>
      <c r="D3921" s="1210" t="s">
        <v>1977</v>
      </c>
      <c r="E3921" s="1775" t="s">
        <v>1903</v>
      </c>
      <c r="F3921" s="824">
        <v>1228</v>
      </c>
      <c r="G3921" s="800" t="s">
        <v>151</v>
      </c>
      <c r="H3921" s="706">
        <v>3594.6666666666679</v>
      </c>
      <c r="I3921" s="706"/>
      <c r="J3921" s="1654">
        <v>419</v>
      </c>
      <c r="K3921" s="842"/>
      <c r="L3921" s="713">
        <v>3150.5000000000009</v>
      </c>
      <c r="M3921" s="713"/>
      <c r="N3921" s="176"/>
    </row>
    <row r="3922" spans="1:14" ht="20.399999999999999">
      <c r="A3922" s="663"/>
      <c r="B3922" s="700" t="s">
        <v>772</v>
      </c>
      <c r="C3922" s="663" t="s">
        <v>427</v>
      </c>
      <c r="D3922" s="678" t="s">
        <v>1977</v>
      </c>
      <c r="E3922" s="700" t="s">
        <v>1903</v>
      </c>
      <c r="F3922" s="679">
        <v>1228</v>
      </c>
      <c r="G3922" s="665" t="s">
        <v>3575</v>
      </c>
      <c r="H3922" s="701"/>
      <c r="I3922" s="701">
        <v>1600</v>
      </c>
      <c r="J3922" s="1494" t="s">
        <v>1134</v>
      </c>
      <c r="K3922" s="661"/>
      <c r="L3922" s="659"/>
      <c r="M3922" s="660">
        <v>1000</v>
      </c>
      <c r="N3922" s="176"/>
    </row>
    <row r="3923" spans="1:14">
      <c r="A3923" s="663"/>
      <c r="B3923" s="700" t="s">
        <v>772</v>
      </c>
      <c r="C3923" s="663" t="s">
        <v>427</v>
      </c>
      <c r="D3923" s="678" t="s">
        <v>1977</v>
      </c>
      <c r="E3923" s="700" t="s">
        <v>1903</v>
      </c>
      <c r="F3923" s="679">
        <v>1228</v>
      </c>
      <c r="G3923" s="665" t="s">
        <v>423</v>
      </c>
      <c r="H3923" s="701"/>
      <c r="I3923" s="701"/>
      <c r="J3923" s="1494" t="s">
        <v>1134</v>
      </c>
      <c r="K3923" s="661"/>
      <c r="L3923" s="659"/>
      <c r="M3923" s="659"/>
      <c r="N3923" s="810"/>
    </row>
    <row r="3924" spans="1:14" ht="20.399999999999999">
      <c r="A3924" s="663"/>
      <c r="B3924" s="700" t="s">
        <v>772</v>
      </c>
      <c r="C3924" s="663" t="s">
        <v>427</v>
      </c>
      <c r="D3924" s="678" t="s">
        <v>1977</v>
      </c>
      <c r="E3924" s="700" t="s">
        <v>1903</v>
      </c>
      <c r="F3924" s="679">
        <v>1228</v>
      </c>
      <c r="G3924" s="675" t="s">
        <v>4923</v>
      </c>
      <c r="H3924" s="701"/>
      <c r="I3924" s="701">
        <v>374</v>
      </c>
      <c r="J3924" s="1494" t="s">
        <v>1134</v>
      </c>
      <c r="K3924" s="661"/>
      <c r="L3924" s="659"/>
      <c r="M3924" s="660">
        <v>374</v>
      </c>
      <c r="N3924" s="305"/>
    </row>
    <row r="3925" spans="1:14" ht="30.6">
      <c r="A3925" s="663"/>
      <c r="B3925" s="700" t="s">
        <v>772</v>
      </c>
      <c r="C3925" s="663" t="s">
        <v>427</v>
      </c>
      <c r="D3925" s="678" t="s">
        <v>1977</v>
      </c>
      <c r="E3925" s="700" t="s">
        <v>1903</v>
      </c>
      <c r="F3925" s="679">
        <v>1228</v>
      </c>
      <c r="G3925" s="675" t="s">
        <v>4924</v>
      </c>
      <c r="H3925" s="701"/>
      <c r="I3925" s="701">
        <v>249.33333333333331</v>
      </c>
      <c r="J3925" s="1494" t="s">
        <v>1134</v>
      </c>
      <c r="K3925" s="661"/>
      <c r="L3925" s="659"/>
      <c r="M3925" s="660">
        <v>249.33333333333331</v>
      </c>
      <c r="N3925" s="305" t="s">
        <v>3616</v>
      </c>
    </row>
    <row r="3926" spans="1:14" ht="30.6">
      <c r="A3926" s="663"/>
      <c r="B3926" s="700" t="s">
        <v>772</v>
      </c>
      <c r="C3926" s="663" t="s">
        <v>427</v>
      </c>
      <c r="D3926" s="678" t="s">
        <v>1977</v>
      </c>
      <c r="E3926" s="700" t="s">
        <v>1903</v>
      </c>
      <c r="F3926" s="679">
        <v>1228</v>
      </c>
      <c r="G3926" s="675" t="s">
        <v>4925</v>
      </c>
      <c r="H3926" s="701"/>
      <c r="I3926" s="701">
        <v>249.33333333333331</v>
      </c>
      <c r="J3926" s="1494" t="s">
        <v>1134</v>
      </c>
      <c r="K3926" s="661"/>
      <c r="L3926" s="659"/>
      <c r="M3926" s="660">
        <v>249.33333333333331</v>
      </c>
      <c r="N3926" s="125"/>
    </row>
    <row r="3927" spans="1:14" ht="30.6">
      <c r="A3927" s="663"/>
      <c r="B3927" s="700" t="s">
        <v>772</v>
      </c>
      <c r="C3927" s="663" t="s">
        <v>427</v>
      </c>
      <c r="D3927" s="678" t="s">
        <v>1977</v>
      </c>
      <c r="E3927" s="700" t="s">
        <v>1903</v>
      </c>
      <c r="F3927" s="679">
        <v>1228</v>
      </c>
      <c r="G3927" s="675" t="s">
        <v>4926</v>
      </c>
      <c r="H3927" s="701"/>
      <c r="I3927" s="701">
        <v>249.33333333333331</v>
      </c>
      <c r="J3927" s="1494" t="s">
        <v>1134</v>
      </c>
      <c r="K3927" s="661"/>
      <c r="L3927" s="659"/>
      <c r="M3927" s="660">
        <v>249.33333333333331</v>
      </c>
      <c r="N3927" s="125"/>
    </row>
    <row r="3928" spans="1:14" ht="30.6">
      <c r="A3928" s="663"/>
      <c r="B3928" s="700" t="s">
        <v>772</v>
      </c>
      <c r="C3928" s="663" t="s">
        <v>427</v>
      </c>
      <c r="D3928" s="678" t="s">
        <v>1977</v>
      </c>
      <c r="E3928" s="700" t="s">
        <v>1903</v>
      </c>
      <c r="F3928" s="679">
        <v>1228</v>
      </c>
      <c r="G3928" s="675" t="s">
        <v>4927</v>
      </c>
      <c r="H3928" s="701"/>
      <c r="I3928" s="701">
        <v>155.83333333333334</v>
      </c>
      <c r="J3928" s="1494" t="s">
        <v>1134</v>
      </c>
      <c r="K3928" s="661"/>
      <c r="L3928" s="659"/>
      <c r="M3928" s="660">
        <v>155.83333333333334</v>
      </c>
      <c r="N3928" s="305"/>
    </row>
    <row r="3929" spans="1:14" ht="30.6">
      <c r="A3929" s="663"/>
      <c r="B3929" s="700" t="s">
        <v>772</v>
      </c>
      <c r="C3929" s="663" t="s">
        <v>427</v>
      </c>
      <c r="D3929" s="678" t="s">
        <v>1977</v>
      </c>
      <c r="E3929" s="700" t="s">
        <v>1903</v>
      </c>
      <c r="F3929" s="679">
        <v>1228</v>
      </c>
      <c r="G3929" s="675" t="s">
        <v>4928</v>
      </c>
      <c r="H3929" s="701"/>
      <c r="I3929" s="701">
        <v>155.83333333333334</v>
      </c>
      <c r="J3929" s="1494" t="s">
        <v>1134</v>
      </c>
      <c r="K3929" s="661"/>
      <c r="L3929" s="659"/>
      <c r="M3929" s="660">
        <v>155.83333333333334</v>
      </c>
      <c r="N3929" s="381" t="s">
        <v>3618</v>
      </c>
    </row>
    <row r="3930" spans="1:14" ht="30.6">
      <c r="A3930" s="663"/>
      <c r="B3930" s="700" t="s">
        <v>772</v>
      </c>
      <c r="C3930" s="663" t="s">
        <v>427</v>
      </c>
      <c r="D3930" s="678" t="s">
        <v>1977</v>
      </c>
      <c r="E3930" s="700" t="s">
        <v>1903</v>
      </c>
      <c r="F3930" s="679">
        <v>1228</v>
      </c>
      <c r="G3930" s="675" t="s">
        <v>4929</v>
      </c>
      <c r="H3930" s="701"/>
      <c r="I3930" s="701">
        <v>155.83333333333334</v>
      </c>
      <c r="J3930" s="1494" t="s">
        <v>1134</v>
      </c>
      <c r="K3930" s="661"/>
      <c r="L3930" s="659"/>
      <c r="M3930" s="660">
        <v>155.83333333333334</v>
      </c>
      <c r="N3930" s="381"/>
    </row>
    <row r="3931" spans="1:14" ht="30.6">
      <c r="A3931" s="663"/>
      <c r="B3931" s="700" t="s">
        <v>772</v>
      </c>
      <c r="C3931" s="663" t="s">
        <v>427</v>
      </c>
      <c r="D3931" s="678" t="s">
        <v>1977</v>
      </c>
      <c r="E3931" s="700" t="s">
        <v>1903</v>
      </c>
      <c r="F3931" s="679">
        <v>1228</v>
      </c>
      <c r="G3931" s="675" t="s">
        <v>4930</v>
      </c>
      <c r="H3931" s="701"/>
      <c r="I3931" s="701">
        <v>155.83333333333334</v>
      </c>
      <c r="J3931" s="1494" t="s">
        <v>1134</v>
      </c>
      <c r="K3931" s="661"/>
      <c r="L3931" s="659"/>
      <c r="M3931" s="660">
        <v>155.83333333333334</v>
      </c>
      <c r="N3931" s="7"/>
    </row>
    <row r="3932" spans="1:14" ht="20.399999999999999">
      <c r="A3932" s="2679"/>
      <c r="B3932" s="700" t="s">
        <v>772</v>
      </c>
      <c r="C3932" s="663" t="s">
        <v>427</v>
      </c>
      <c r="D3932" s="678" t="s">
        <v>1977</v>
      </c>
      <c r="E3932" s="700" t="s">
        <v>1903</v>
      </c>
      <c r="F3932" s="679">
        <v>1228</v>
      </c>
      <c r="G3932" s="2723" t="s">
        <v>4931</v>
      </c>
      <c r="H3932" s="2615"/>
      <c r="I3932" s="2615"/>
      <c r="J3932" s="2607"/>
      <c r="K3932" s="2608"/>
      <c r="L3932" s="2609"/>
      <c r="M3932" s="660">
        <v>155.83333333333334</v>
      </c>
      <c r="N3932" s="359" t="s">
        <v>3619</v>
      </c>
    </row>
    <row r="3933" spans="1:14" ht="71.400000000000006" customHeight="1">
      <c r="A3933" s="663"/>
      <c r="B3933" s="700" t="s">
        <v>772</v>
      </c>
      <c r="C3933" s="663" t="s">
        <v>427</v>
      </c>
      <c r="D3933" s="678" t="s">
        <v>1977</v>
      </c>
      <c r="E3933" s="700" t="s">
        <v>1903</v>
      </c>
      <c r="F3933" s="679">
        <v>1228</v>
      </c>
      <c r="G3933" s="675" t="s">
        <v>4932</v>
      </c>
      <c r="H3933" s="701"/>
      <c r="I3933" s="701">
        <v>249.33333333333331</v>
      </c>
      <c r="J3933" s="1494" t="s">
        <v>1134</v>
      </c>
      <c r="K3933" s="661"/>
      <c r="L3933" s="659"/>
      <c r="M3933" s="660">
        <v>249.33333333333331</v>
      </c>
      <c r="N3933" s="305"/>
    </row>
    <row r="3934" spans="1:14">
      <c r="A3934" s="683"/>
      <c r="B3934" s="720" t="s">
        <v>772</v>
      </c>
      <c r="C3934" s="683" t="s">
        <v>320</v>
      </c>
      <c r="D3934" s="684" t="s">
        <v>1977</v>
      </c>
      <c r="E3934" s="1775" t="s">
        <v>1903</v>
      </c>
      <c r="F3934" s="685">
        <v>2111</v>
      </c>
      <c r="G3934" s="686" t="s">
        <v>347</v>
      </c>
      <c r="H3934" s="706">
        <v>100</v>
      </c>
      <c r="I3934" s="706"/>
      <c r="J3934" s="1494">
        <v>88</v>
      </c>
      <c r="K3934" s="690"/>
      <c r="L3934" s="689">
        <v>100</v>
      </c>
      <c r="M3934" s="689"/>
      <c r="N3934" s="1790" t="s">
        <v>3621</v>
      </c>
    </row>
    <row r="3935" spans="1:14" ht="30.6">
      <c r="A3935" s="663"/>
      <c r="B3935" s="700" t="s">
        <v>772</v>
      </c>
      <c r="C3935" s="663" t="s">
        <v>320</v>
      </c>
      <c r="D3935" s="678" t="s">
        <v>1977</v>
      </c>
      <c r="E3935" s="700" t="s">
        <v>1903</v>
      </c>
      <c r="F3935" s="679">
        <v>2111</v>
      </c>
      <c r="G3935" s="665" t="s">
        <v>3578</v>
      </c>
      <c r="H3935" s="701"/>
      <c r="I3935" s="701">
        <v>160</v>
      </c>
      <c r="J3935" s="1494" t="s">
        <v>1134</v>
      </c>
      <c r="K3935" s="661"/>
      <c r="L3935" s="660"/>
      <c r="M3935" s="877">
        <v>100</v>
      </c>
      <c r="N3935" s="381"/>
    </row>
    <row r="3936" spans="1:14" ht="71.400000000000006" customHeight="1">
      <c r="A3936" s="1669"/>
      <c r="B3936" s="700" t="s">
        <v>772</v>
      </c>
      <c r="C3936" s="663" t="s">
        <v>320</v>
      </c>
      <c r="D3936" s="678" t="s">
        <v>1977</v>
      </c>
      <c r="E3936" s="700" t="s">
        <v>1903</v>
      </c>
      <c r="F3936" s="679">
        <v>2111</v>
      </c>
      <c r="G3936" s="1671" t="s">
        <v>3579</v>
      </c>
      <c r="H3936" s="1672"/>
      <c r="I3936" s="1672">
        <v>-60</v>
      </c>
      <c r="J3936" s="1673"/>
      <c r="K3936" s="1674"/>
      <c r="L3936" s="1676"/>
      <c r="M3936" s="1676"/>
    </row>
    <row r="3937" spans="1:17" ht="20.399999999999999">
      <c r="A3937" s="683"/>
      <c r="B3937" s="720" t="s">
        <v>772</v>
      </c>
      <c r="C3937" s="683" t="s">
        <v>320</v>
      </c>
      <c r="D3937" s="684" t="s">
        <v>1977</v>
      </c>
      <c r="E3937" s="1775" t="s">
        <v>1903</v>
      </c>
      <c r="F3937" s="685">
        <v>2112</v>
      </c>
      <c r="G3937" s="686" t="s">
        <v>1043</v>
      </c>
      <c r="H3937" s="706">
        <v>660</v>
      </c>
      <c r="I3937" s="706"/>
      <c r="J3937" s="1494">
        <v>60</v>
      </c>
      <c r="K3937" s="690"/>
      <c r="L3937" s="689">
        <v>660</v>
      </c>
      <c r="M3937" s="689"/>
      <c r="N3937" s="1791" t="s">
        <v>3622</v>
      </c>
    </row>
    <row r="3938" spans="1:17" ht="20.399999999999999">
      <c r="A3938" s="663"/>
      <c r="B3938" s="700" t="s">
        <v>772</v>
      </c>
      <c r="C3938" s="663" t="s">
        <v>320</v>
      </c>
      <c r="D3938" s="678" t="s">
        <v>1977</v>
      </c>
      <c r="E3938" s="700" t="s">
        <v>1903</v>
      </c>
      <c r="F3938" s="679">
        <v>2112</v>
      </c>
      <c r="G3938" s="665" t="s">
        <v>3579</v>
      </c>
      <c r="H3938" s="701"/>
      <c r="I3938" s="701">
        <v>60</v>
      </c>
      <c r="J3938" s="1494" t="s">
        <v>1134</v>
      </c>
      <c r="K3938" s="661"/>
      <c r="L3938" s="660"/>
      <c r="M3938" s="877">
        <v>60</v>
      </c>
      <c r="N3938" s="125"/>
    </row>
    <row r="3939" spans="1:17" ht="30.6">
      <c r="A3939" s="663"/>
      <c r="B3939" s="700" t="s">
        <v>772</v>
      </c>
      <c r="C3939" s="663" t="s">
        <v>320</v>
      </c>
      <c r="D3939" s="678" t="s">
        <v>1977</v>
      </c>
      <c r="E3939" s="700" t="s">
        <v>1903</v>
      </c>
      <c r="F3939" s="679">
        <v>2112</v>
      </c>
      <c r="G3939" s="665" t="s">
        <v>3584</v>
      </c>
      <c r="H3939" s="701"/>
      <c r="I3939" s="701">
        <v>600</v>
      </c>
      <c r="J3939" s="1494" t="s">
        <v>1134</v>
      </c>
      <c r="K3939" s="661"/>
      <c r="L3939" s="660"/>
      <c r="M3939" s="660">
        <v>600</v>
      </c>
      <c r="N3939" s="1777" t="s">
        <v>3589</v>
      </c>
      <c r="O3939" s="202"/>
      <c r="P3939" s="202"/>
      <c r="Q3939" s="202"/>
    </row>
    <row r="3940" spans="1:17" ht="11.4" customHeight="1">
      <c r="A3940" s="683"/>
      <c r="B3940" s="720" t="s">
        <v>772</v>
      </c>
      <c r="C3940" s="683" t="s">
        <v>320</v>
      </c>
      <c r="D3940" s="684" t="s">
        <v>1977</v>
      </c>
      <c r="E3940" s="1775" t="s">
        <v>1903</v>
      </c>
      <c r="F3940" s="685">
        <v>2121</v>
      </c>
      <c r="G3940" s="686" t="s">
        <v>348</v>
      </c>
      <c r="H3940" s="706">
        <v>240</v>
      </c>
      <c r="I3940" s="706"/>
      <c r="J3940" s="1494">
        <v>715</v>
      </c>
      <c r="K3940" s="690"/>
      <c r="L3940" s="689">
        <v>240</v>
      </c>
      <c r="M3940" s="689"/>
      <c r="N3940" s="1777" t="s">
        <v>3636</v>
      </c>
      <c r="O3940" s="202"/>
      <c r="P3940" s="202"/>
      <c r="Q3940" s="202"/>
    </row>
    <row r="3941" spans="1:17" ht="30.6">
      <c r="A3941" s="663"/>
      <c r="B3941" s="700" t="s">
        <v>772</v>
      </c>
      <c r="C3941" s="663" t="s">
        <v>320</v>
      </c>
      <c r="D3941" s="678" t="s">
        <v>1977</v>
      </c>
      <c r="E3941" s="700" t="s">
        <v>1903</v>
      </c>
      <c r="F3941" s="679">
        <v>2121</v>
      </c>
      <c r="G3941" s="665" t="s">
        <v>2232</v>
      </c>
      <c r="H3941" s="701"/>
      <c r="I3941" s="701">
        <v>240</v>
      </c>
      <c r="J3941" s="1494" t="s">
        <v>1134</v>
      </c>
      <c r="K3941" s="661"/>
      <c r="L3941" s="660"/>
      <c r="M3941" s="660">
        <v>240</v>
      </c>
      <c r="N3941" s="125"/>
      <c r="O3941" s="202"/>
      <c r="P3941" s="202"/>
      <c r="Q3941" s="202"/>
    </row>
    <row r="3942" spans="1:17" ht="51">
      <c r="A3942" s="683"/>
      <c r="B3942" s="3129" t="s">
        <v>365</v>
      </c>
      <c r="C3942" s="683" t="s">
        <v>323</v>
      </c>
      <c r="D3942" s="684" t="s">
        <v>1977</v>
      </c>
      <c r="E3942" s="1775" t="s">
        <v>1903</v>
      </c>
      <c r="F3942" s="685">
        <v>2121</v>
      </c>
      <c r="G3942" s="686" t="s">
        <v>1037</v>
      </c>
      <c r="H3942" s="706">
        <v>700</v>
      </c>
      <c r="I3942" s="706"/>
      <c r="J3942" s="1494"/>
      <c r="K3942" s="690"/>
      <c r="L3942" s="689">
        <v>855</v>
      </c>
      <c r="M3942" s="687"/>
      <c r="N3942" s="1777" t="s">
        <v>3624</v>
      </c>
      <c r="O3942" s="202"/>
      <c r="P3942" s="202"/>
      <c r="Q3942" s="202"/>
    </row>
    <row r="3943" spans="1:17" ht="71.400000000000006">
      <c r="A3943" s="663"/>
      <c r="B3943" s="3130" t="s">
        <v>365</v>
      </c>
      <c r="C3943" s="663" t="s">
        <v>323</v>
      </c>
      <c r="D3943" s="678" t="s">
        <v>1977</v>
      </c>
      <c r="E3943" s="700" t="s">
        <v>1903</v>
      </c>
      <c r="F3943" s="679">
        <v>2121</v>
      </c>
      <c r="G3943" s="665" t="s">
        <v>3580</v>
      </c>
      <c r="H3943" s="701"/>
      <c r="I3943" s="701">
        <v>460</v>
      </c>
      <c r="J3943" s="1494" t="s">
        <v>1134</v>
      </c>
      <c r="K3943" s="661"/>
      <c r="L3943" s="659"/>
      <c r="M3943" s="660">
        <v>570</v>
      </c>
      <c r="N3943" s="1777" t="s">
        <v>3589</v>
      </c>
    </row>
    <row r="3944" spans="1:17" ht="71.400000000000006">
      <c r="A3944" s="663"/>
      <c r="B3944" s="3130" t="s">
        <v>365</v>
      </c>
      <c r="C3944" s="663" t="s">
        <v>323</v>
      </c>
      <c r="D3944" s="678" t="s">
        <v>1977</v>
      </c>
      <c r="E3944" s="700" t="s">
        <v>1903</v>
      </c>
      <c r="F3944" s="679">
        <v>2121</v>
      </c>
      <c r="G3944" s="665" t="s">
        <v>3581</v>
      </c>
      <c r="H3944" s="701"/>
      <c r="I3944" s="701">
        <v>240</v>
      </c>
      <c r="J3944" s="1494" t="s">
        <v>1134</v>
      </c>
      <c r="K3944" s="661"/>
      <c r="L3944" s="659"/>
      <c r="M3944" s="660">
        <v>285</v>
      </c>
      <c r="N3944" s="125"/>
    </row>
    <row r="3945" spans="1:17">
      <c r="A3945" s="683"/>
      <c r="B3945" s="3129" t="s">
        <v>365</v>
      </c>
      <c r="C3945" s="683" t="s">
        <v>323</v>
      </c>
      <c r="D3945" s="684" t="s">
        <v>1977</v>
      </c>
      <c r="E3945" s="1775" t="s">
        <v>1903</v>
      </c>
      <c r="F3945" s="685">
        <v>2122</v>
      </c>
      <c r="G3945" s="686" t="s">
        <v>399</v>
      </c>
      <c r="H3945" s="706">
        <v>236</v>
      </c>
      <c r="I3945" s="706"/>
      <c r="J3945" s="1494"/>
      <c r="K3945" s="690"/>
      <c r="L3945" s="689">
        <v>3720</v>
      </c>
      <c r="M3945" s="687"/>
      <c r="N3945" s="125"/>
    </row>
    <row r="3946" spans="1:17" ht="153">
      <c r="A3946" s="663"/>
      <c r="B3946" s="3130" t="s">
        <v>365</v>
      </c>
      <c r="C3946" s="663" t="s">
        <v>323</v>
      </c>
      <c r="D3946" s="678" t="s">
        <v>1977</v>
      </c>
      <c r="E3946" s="700" t="s">
        <v>1903</v>
      </c>
      <c r="F3946" s="679">
        <v>2122</v>
      </c>
      <c r="G3946" s="665" t="s">
        <v>3582</v>
      </c>
      <c r="H3946" s="701"/>
      <c r="I3946" s="701">
        <v>2740</v>
      </c>
      <c r="J3946" s="1494" t="s">
        <v>1134</v>
      </c>
      <c r="K3946" s="661"/>
      <c r="L3946" s="659"/>
      <c r="M3946" s="660">
        <v>2480</v>
      </c>
      <c r="N3946" s="125"/>
    </row>
    <row r="3947" spans="1:17" ht="51">
      <c r="A3947" s="1649"/>
      <c r="B3947" s="3130" t="s">
        <v>365</v>
      </c>
      <c r="C3947" s="663" t="s">
        <v>323</v>
      </c>
      <c r="D3947" s="678" t="s">
        <v>1977</v>
      </c>
      <c r="E3947" s="700" t="s">
        <v>1903</v>
      </c>
      <c r="F3947" s="679">
        <v>2122</v>
      </c>
      <c r="G3947" s="1650" t="s">
        <v>3451</v>
      </c>
      <c r="H3947" s="1557"/>
      <c r="I3947" s="1557">
        <v>-2264</v>
      </c>
      <c r="J3947" s="1557"/>
      <c r="K3947" s="1558"/>
      <c r="L3947" s="1557"/>
      <c r="M3947" s="1557"/>
      <c r="N3947" s="305"/>
    </row>
    <row r="3948" spans="1:17" ht="153">
      <c r="A3948" s="663"/>
      <c r="B3948" s="3130" t="s">
        <v>365</v>
      </c>
      <c r="C3948" s="663" t="s">
        <v>323</v>
      </c>
      <c r="D3948" s="678" t="s">
        <v>1977</v>
      </c>
      <c r="E3948" s="700" t="s">
        <v>1903</v>
      </c>
      <c r="F3948" s="679">
        <v>2122</v>
      </c>
      <c r="G3948" s="665" t="s">
        <v>3583</v>
      </c>
      <c r="H3948" s="701"/>
      <c r="I3948" s="701">
        <v>1320</v>
      </c>
      <c r="J3948" s="1494" t="s">
        <v>1134</v>
      </c>
      <c r="K3948" s="661"/>
      <c r="L3948" s="659"/>
      <c r="M3948" s="660">
        <v>1240</v>
      </c>
      <c r="N3948" s="381"/>
    </row>
    <row r="3949" spans="1:17" ht="51">
      <c r="A3949" s="663"/>
      <c r="B3949" s="3130" t="s">
        <v>365</v>
      </c>
      <c r="C3949" s="663" t="s">
        <v>323</v>
      </c>
      <c r="D3949" s="678" t="s">
        <v>1977</v>
      </c>
      <c r="E3949" s="700" t="s">
        <v>1903</v>
      </c>
      <c r="F3949" s="679">
        <v>2122</v>
      </c>
      <c r="G3949" s="665" t="s">
        <v>3455</v>
      </c>
      <c r="H3949" s="701"/>
      <c r="I3949" s="701">
        <v>-1560</v>
      </c>
      <c r="J3949" s="1494" t="s">
        <v>1134</v>
      </c>
      <c r="K3949" s="661"/>
      <c r="L3949" s="659"/>
      <c r="M3949" s="659"/>
      <c r="N3949" s="1784" t="s">
        <v>3626</v>
      </c>
    </row>
    <row r="3950" spans="1:17" ht="40.799999999999997">
      <c r="A3950" s="683"/>
      <c r="B3950" s="720" t="s">
        <v>772</v>
      </c>
      <c r="C3950" s="683" t="s">
        <v>320</v>
      </c>
      <c r="D3950" s="684" t="s">
        <v>1977</v>
      </c>
      <c r="E3950" s="1775" t="s">
        <v>1903</v>
      </c>
      <c r="F3950" s="685">
        <v>2122</v>
      </c>
      <c r="G3950" s="686" t="s">
        <v>399</v>
      </c>
      <c r="H3950" s="706">
        <v>1420</v>
      </c>
      <c r="I3950" s="706"/>
      <c r="J3950" s="1494">
        <v>180</v>
      </c>
      <c r="K3950" s="690"/>
      <c r="L3950" s="689">
        <v>1420</v>
      </c>
      <c r="M3950" s="689"/>
      <c r="N3950" s="1703" t="s">
        <v>3606</v>
      </c>
    </row>
    <row r="3951" spans="1:17" ht="30.6">
      <c r="A3951" s="663"/>
      <c r="B3951" s="700" t="s">
        <v>772</v>
      </c>
      <c r="C3951" s="663" t="s">
        <v>320</v>
      </c>
      <c r="D3951" s="678" t="s">
        <v>1977</v>
      </c>
      <c r="E3951" s="700" t="s">
        <v>1903</v>
      </c>
      <c r="F3951" s="679">
        <v>2122</v>
      </c>
      <c r="G3951" s="665" t="s">
        <v>1521</v>
      </c>
      <c r="H3951" s="701"/>
      <c r="I3951" s="701">
        <v>1420</v>
      </c>
      <c r="J3951" s="1494" t="s">
        <v>1134</v>
      </c>
      <c r="K3951" s="661"/>
      <c r="L3951" s="660"/>
      <c r="M3951" s="660">
        <v>1420</v>
      </c>
      <c r="N3951" s="381"/>
    </row>
    <row r="3952" spans="1:17">
      <c r="A3952" s="683"/>
      <c r="B3952" s="720" t="s">
        <v>772</v>
      </c>
      <c r="C3952" s="683" t="s">
        <v>322</v>
      </c>
      <c r="D3952" s="684" t="s">
        <v>1977</v>
      </c>
      <c r="E3952" s="1775" t="s">
        <v>1903</v>
      </c>
      <c r="F3952" s="685">
        <v>2210</v>
      </c>
      <c r="G3952" s="686" t="s">
        <v>572</v>
      </c>
      <c r="H3952" s="706">
        <v>1966.0600000000002</v>
      </c>
      <c r="I3952" s="706"/>
      <c r="J3952" s="1494">
        <v>1493</v>
      </c>
      <c r="K3952" s="690"/>
      <c r="L3952" s="689">
        <v>1650.4600000000003</v>
      </c>
      <c r="M3952" s="687"/>
      <c r="N3952" s="305"/>
    </row>
    <row r="3953" spans="1:14" ht="20.399999999999999">
      <c r="A3953" s="663"/>
      <c r="B3953" s="700" t="s">
        <v>772</v>
      </c>
      <c r="C3953" s="663" t="s">
        <v>322</v>
      </c>
      <c r="D3953" s="678" t="s">
        <v>1977</v>
      </c>
      <c r="E3953" s="700" t="s">
        <v>1903</v>
      </c>
      <c r="F3953" s="679">
        <v>2210</v>
      </c>
      <c r="G3953" s="682" t="s">
        <v>2235</v>
      </c>
      <c r="H3953" s="701"/>
      <c r="I3953" s="701">
        <v>1154.3400000000001</v>
      </c>
      <c r="J3953" s="1494" t="s">
        <v>1134</v>
      </c>
      <c r="K3953" s="680"/>
      <c r="L3953" s="798"/>
      <c r="M3953" s="660">
        <v>1154.3400000000001</v>
      </c>
      <c r="N3953" s="305"/>
    </row>
    <row r="3954" spans="1:14" ht="40.799999999999997">
      <c r="A3954" s="663"/>
      <c r="B3954" s="700" t="s">
        <v>772</v>
      </c>
      <c r="C3954" s="663" t="s">
        <v>322</v>
      </c>
      <c r="D3954" s="678" t="s">
        <v>1977</v>
      </c>
      <c r="E3954" s="700" t="s">
        <v>1903</v>
      </c>
      <c r="F3954" s="679">
        <v>2210</v>
      </c>
      <c r="G3954" s="682" t="s">
        <v>2236</v>
      </c>
      <c r="H3954" s="701"/>
      <c r="I3954" s="701">
        <v>108.89999999999999</v>
      </c>
      <c r="J3954" s="1494" t="s">
        <v>1134</v>
      </c>
      <c r="K3954" s="661"/>
      <c r="L3954" s="659"/>
      <c r="M3954" s="660">
        <v>108.89999999999999</v>
      </c>
      <c r="N3954" s="359" t="s">
        <v>3311</v>
      </c>
    </row>
    <row r="3955" spans="1:14" ht="30.6">
      <c r="A3955" s="663"/>
      <c r="B3955" s="700" t="s">
        <v>772</v>
      </c>
      <c r="C3955" s="663" t="s">
        <v>322</v>
      </c>
      <c r="D3955" s="678" t="s">
        <v>1977</v>
      </c>
      <c r="E3955" s="700" t="s">
        <v>1903</v>
      </c>
      <c r="F3955" s="679">
        <v>2210</v>
      </c>
      <c r="G3955" s="682" t="s">
        <v>2237</v>
      </c>
      <c r="H3955" s="701"/>
      <c r="I3955" s="701">
        <v>302.5</v>
      </c>
      <c r="J3955" s="1494" t="s">
        <v>1134</v>
      </c>
      <c r="K3955" s="680"/>
      <c r="L3955" s="798"/>
      <c r="M3955" s="660">
        <v>302.5</v>
      </c>
      <c r="N3955" s="125" t="s">
        <v>4832</v>
      </c>
    </row>
    <row r="3956" spans="1:14" ht="11.4" customHeight="1">
      <c r="A3956" s="663"/>
      <c r="B3956" s="700" t="s">
        <v>772</v>
      </c>
      <c r="C3956" s="663" t="s">
        <v>322</v>
      </c>
      <c r="D3956" s="678" t="s">
        <v>1977</v>
      </c>
      <c r="E3956" s="700" t="s">
        <v>1903</v>
      </c>
      <c r="F3956" s="679">
        <v>2210</v>
      </c>
      <c r="G3956" s="682" t="s">
        <v>4933</v>
      </c>
      <c r="H3956" s="660"/>
      <c r="I3956" s="660">
        <v>400.32</v>
      </c>
      <c r="J3956" s="1494" t="s">
        <v>1134</v>
      </c>
      <c r="K3956" s="667"/>
      <c r="L3956" s="659"/>
      <c r="M3956" s="660">
        <v>84.72</v>
      </c>
      <c r="N3956" s="7"/>
    </row>
    <row r="3957" spans="1:14">
      <c r="A3957" s="683"/>
      <c r="B3957" s="720" t="s">
        <v>772</v>
      </c>
      <c r="C3957" s="683" t="s">
        <v>320</v>
      </c>
      <c r="D3957" s="684" t="s">
        <v>1977</v>
      </c>
      <c r="E3957" s="1775" t="s">
        <v>1903</v>
      </c>
      <c r="F3957" s="824">
        <v>2221</v>
      </c>
      <c r="G3957" s="800" t="s">
        <v>623</v>
      </c>
      <c r="H3957" s="706">
        <v>2000</v>
      </c>
      <c r="I3957" s="706"/>
      <c r="J3957" s="1494">
        <v>0</v>
      </c>
      <c r="K3957" s="802"/>
      <c r="L3957" s="689">
        <v>0</v>
      </c>
      <c r="M3957" s="689"/>
      <c r="N3957" s="7"/>
    </row>
    <row r="3958" spans="1:14">
      <c r="A3958" s="663"/>
      <c r="B3958" s="700" t="s">
        <v>772</v>
      </c>
      <c r="C3958" s="663" t="s">
        <v>320</v>
      </c>
      <c r="D3958" s="678" t="s">
        <v>1977</v>
      </c>
      <c r="E3958" s="700" t="s">
        <v>1903</v>
      </c>
      <c r="F3958" s="795">
        <v>2221</v>
      </c>
      <c r="G3958" s="750" t="s">
        <v>2855</v>
      </c>
      <c r="H3958" s="701"/>
      <c r="I3958" s="701">
        <v>2000</v>
      </c>
      <c r="J3958" s="1494" t="s">
        <v>1134</v>
      </c>
      <c r="K3958" s="792"/>
      <c r="L3958" s="660"/>
      <c r="M3958" s="877">
        <v>0</v>
      </c>
      <c r="N3958" s="7"/>
    </row>
    <row r="3959" spans="1:14" ht="33.75" customHeight="1">
      <c r="A3959" s="683"/>
      <c r="B3959" s="720" t="s">
        <v>772</v>
      </c>
      <c r="C3959" s="683" t="s">
        <v>320</v>
      </c>
      <c r="D3959" s="684" t="s">
        <v>1977</v>
      </c>
      <c r="E3959" s="1775" t="s">
        <v>1903</v>
      </c>
      <c r="F3959" s="824">
        <v>2222</v>
      </c>
      <c r="G3959" s="800" t="s">
        <v>153</v>
      </c>
      <c r="H3959" s="706">
        <v>100</v>
      </c>
      <c r="I3959" s="706"/>
      <c r="J3959" s="1494">
        <v>0</v>
      </c>
      <c r="K3959" s="802"/>
      <c r="L3959" s="689">
        <v>0</v>
      </c>
      <c r="M3959" s="689"/>
      <c r="N3959" s="7"/>
    </row>
    <row r="3960" spans="1:14">
      <c r="A3960" s="663"/>
      <c r="B3960" s="700" t="s">
        <v>772</v>
      </c>
      <c r="C3960" s="663" t="s">
        <v>320</v>
      </c>
      <c r="D3960" s="678" t="s">
        <v>1977</v>
      </c>
      <c r="E3960" s="700" t="s">
        <v>1903</v>
      </c>
      <c r="F3960" s="795">
        <v>2222</v>
      </c>
      <c r="G3960" s="750" t="s">
        <v>2855</v>
      </c>
      <c r="H3960" s="701"/>
      <c r="I3960" s="701">
        <v>100</v>
      </c>
      <c r="J3960" s="1494" t="s">
        <v>1134</v>
      </c>
      <c r="K3960" s="792"/>
      <c r="L3960" s="660"/>
      <c r="M3960" s="877">
        <v>0</v>
      </c>
      <c r="N3960" s="7"/>
    </row>
    <row r="3961" spans="1:14">
      <c r="A3961" s="683"/>
      <c r="B3961" s="720" t="s">
        <v>772</v>
      </c>
      <c r="C3961" s="683" t="s">
        <v>322</v>
      </c>
      <c r="D3961" s="684" t="s">
        <v>1977</v>
      </c>
      <c r="E3961" s="1775" t="s">
        <v>1903</v>
      </c>
      <c r="F3961" s="685">
        <v>2223</v>
      </c>
      <c r="G3961" s="686" t="s">
        <v>154</v>
      </c>
      <c r="H3961" s="707">
        <v>800</v>
      </c>
      <c r="I3961" s="707"/>
      <c r="J3961" s="1494">
        <v>456.39</v>
      </c>
      <c r="K3961" s="690"/>
      <c r="L3961" s="963">
        <v>800</v>
      </c>
      <c r="M3961" s="963"/>
      <c r="N3961" s="7"/>
    </row>
    <row r="3962" spans="1:14">
      <c r="A3962" s="663"/>
      <c r="B3962" s="700" t="s">
        <v>772</v>
      </c>
      <c r="C3962" s="663" t="s">
        <v>320</v>
      </c>
      <c r="D3962" s="678" t="s">
        <v>1977</v>
      </c>
      <c r="E3962" s="700" t="s">
        <v>1903</v>
      </c>
      <c r="F3962" s="679">
        <v>2223</v>
      </c>
      <c r="G3962" s="750" t="s">
        <v>2855</v>
      </c>
      <c r="H3962" s="660"/>
      <c r="I3962" s="660">
        <v>800</v>
      </c>
      <c r="J3962" s="1494" t="s">
        <v>1134</v>
      </c>
      <c r="K3962" s="667"/>
      <c r="L3962" s="660"/>
      <c r="M3962" s="877">
        <v>800</v>
      </c>
      <c r="N3962" s="7"/>
    </row>
    <row r="3963" spans="1:14" ht="33.75" customHeight="1">
      <c r="A3963" s="663"/>
      <c r="B3963" s="700" t="s">
        <v>772</v>
      </c>
      <c r="C3963" s="663" t="s">
        <v>322</v>
      </c>
      <c r="D3963" s="678" t="s">
        <v>1977</v>
      </c>
      <c r="E3963" s="700" t="s">
        <v>1903</v>
      </c>
      <c r="F3963" s="679">
        <v>2223</v>
      </c>
      <c r="G3963" s="665" t="s">
        <v>601</v>
      </c>
      <c r="H3963" s="701"/>
      <c r="I3963" s="701"/>
      <c r="J3963" s="1494" t="s">
        <v>1134</v>
      </c>
      <c r="K3963" s="661"/>
      <c r="L3963" s="660"/>
      <c r="M3963" s="660"/>
      <c r="N3963" s="7"/>
    </row>
    <row r="3964" spans="1:14" ht="33.75" customHeight="1">
      <c r="A3964" s="683"/>
      <c r="B3964" s="720" t="s">
        <v>772</v>
      </c>
      <c r="C3964" s="683" t="s">
        <v>320</v>
      </c>
      <c r="D3964" s="684" t="s">
        <v>1977</v>
      </c>
      <c r="E3964" s="1775" t="s">
        <v>1903</v>
      </c>
      <c r="F3964" s="685">
        <v>2234</v>
      </c>
      <c r="G3964" s="686" t="s">
        <v>120</v>
      </c>
      <c r="H3964" s="706">
        <v>250</v>
      </c>
      <c r="I3964" s="706"/>
      <c r="J3964" s="1494">
        <v>77</v>
      </c>
      <c r="K3964" s="690"/>
      <c r="L3964" s="689">
        <v>150</v>
      </c>
      <c r="M3964" s="689"/>
      <c r="N3964" s="125"/>
    </row>
    <row r="3965" spans="1:14" ht="30.6">
      <c r="A3965" s="663"/>
      <c r="B3965" s="700" t="s">
        <v>772</v>
      </c>
      <c r="C3965" s="663" t="s">
        <v>320</v>
      </c>
      <c r="D3965" s="678" t="s">
        <v>1977</v>
      </c>
      <c r="E3965" s="700" t="s">
        <v>1903</v>
      </c>
      <c r="F3965" s="679">
        <v>2234</v>
      </c>
      <c r="G3965" s="665" t="s">
        <v>3590</v>
      </c>
      <c r="H3965" s="701"/>
      <c r="I3965" s="701">
        <v>250</v>
      </c>
      <c r="J3965" s="1494" t="s">
        <v>1134</v>
      </c>
      <c r="K3965" s="661"/>
      <c r="L3965" s="660"/>
      <c r="M3965" s="660">
        <v>150</v>
      </c>
      <c r="N3965" s="125"/>
    </row>
    <row r="3966" spans="1:14">
      <c r="A3966" s="683"/>
      <c r="B3966" s="720" t="s">
        <v>772</v>
      </c>
      <c r="C3966" s="683" t="s">
        <v>320</v>
      </c>
      <c r="D3966" s="684" t="s">
        <v>1977</v>
      </c>
      <c r="E3966" s="1775" t="s">
        <v>1903</v>
      </c>
      <c r="F3966" s="685">
        <v>2235</v>
      </c>
      <c r="G3966" s="686" t="s">
        <v>1139</v>
      </c>
      <c r="H3966" s="706">
        <v>850</v>
      </c>
      <c r="I3966" s="706"/>
      <c r="J3966" s="1494">
        <v>69.42</v>
      </c>
      <c r="K3966" s="690"/>
      <c r="L3966" s="689">
        <v>500</v>
      </c>
      <c r="M3966" s="689"/>
      <c r="N3966" s="125"/>
    </row>
    <row r="3967" spans="1:14" ht="20.399999999999999">
      <c r="A3967" s="663"/>
      <c r="B3967" s="700" t="s">
        <v>772</v>
      </c>
      <c r="C3967" s="663" t="s">
        <v>320</v>
      </c>
      <c r="D3967" s="678" t="s">
        <v>1977</v>
      </c>
      <c r="E3967" s="700" t="s">
        <v>1903</v>
      </c>
      <c r="F3967" s="679">
        <v>2235</v>
      </c>
      <c r="G3967" s="665" t="s">
        <v>2238</v>
      </c>
      <c r="H3967" s="701"/>
      <c r="I3967" s="701">
        <v>850</v>
      </c>
      <c r="J3967" s="1494" t="s">
        <v>1134</v>
      </c>
      <c r="K3967" s="661"/>
      <c r="L3967" s="660"/>
      <c r="M3967" s="877">
        <v>500</v>
      </c>
      <c r="N3967" s="7"/>
    </row>
    <row r="3968" spans="1:14" ht="30.6">
      <c r="A3968" s="683"/>
      <c r="B3968" s="720" t="s">
        <v>772</v>
      </c>
      <c r="C3968" s="683" t="s">
        <v>322</v>
      </c>
      <c r="D3968" s="684" t="s">
        <v>1977</v>
      </c>
      <c r="E3968" s="1775" t="s">
        <v>1903</v>
      </c>
      <c r="F3968" s="685">
        <v>2239</v>
      </c>
      <c r="G3968" s="686" t="s">
        <v>122</v>
      </c>
      <c r="H3968" s="706">
        <v>77508.039999999994</v>
      </c>
      <c r="I3968" s="706"/>
      <c r="J3968" s="1494"/>
      <c r="K3968" s="690"/>
      <c r="L3968" s="689">
        <v>80317</v>
      </c>
      <c r="M3968" s="687"/>
      <c r="N3968" s="7"/>
    </row>
    <row r="3969" spans="1:14" ht="30.6">
      <c r="A3969" s="663"/>
      <c r="B3969" s="700" t="s">
        <v>772</v>
      </c>
      <c r="C3969" s="663" t="s">
        <v>322</v>
      </c>
      <c r="D3969" s="678" t="s">
        <v>1977</v>
      </c>
      <c r="E3969" s="700" t="s">
        <v>1903</v>
      </c>
      <c r="F3969" s="679">
        <v>2239</v>
      </c>
      <c r="G3969" s="665" t="s">
        <v>3593</v>
      </c>
      <c r="H3969" s="701"/>
      <c r="I3969" s="701">
        <v>286.04000000000002</v>
      </c>
      <c r="J3969" s="1494" t="s">
        <v>1134</v>
      </c>
      <c r="K3969" s="661"/>
      <c r="L3969" s="659"/>
      <c r="M3969" s="1792">
        <v>0</v>
      </c>
      <c r="N3969" s="1777" t="s">
        <v>3628</v>
      </c>
    </row>
    <row r="3970" spans="1:14" ht="61.2">
      <c r="A3970" s="663"/>
      <c r="B3970" s="700" t="s">
        <v>772</v>
      </c>
      <c r="C3970" s="663" t="s">
        <v>322</v>
      </c>
      <c r="D3970" s="678" t="s">
        <v>1977</v>
      </c>
      <c r="E3970" s="700" t="s">
        <v>1903</v>
      </c>
      <c r="F3970" s="679">
        <v>2239</v>
      </c>
      <c r="G3970" s="1671" t="s">
        <v>3594</v>
      </c>
      <c r="H3970" s="1672"/>
      <c r="I3970" s="1672">
        <v>750</v>
      </c>
      <c r="J3970" s="1673" t="s">
        <v>1134</v>
      </c>
      <c r="K3970" s="1674"/>
      <c r="L3970" s="1675"/>
      <c r="M3970" s="1776">
        <v>525</v>
      </c>
      <c r="N3970" s="7"/>
    </row>
    <row r="3971" spans="1:14" ht="20.399999999999999">
      <c r="A3971" s="1263"/>
      <c r="B3971" s="700" t="s">
        <v>772</v>
      </c>
      <c r="C3971" s="663" t="s">
        <v>322</v>
      </c>
      <c r="D3971" s="678" t="s">
        <v>1977</v>
      </c>
      <c r="E3971" s="700" t="s">
        <v>1903</v>
      </c>
      <c r="F3971" s="679">
        <v>2239</v>
      </c>
      <c r="G3971" s="1264" t="s">
        <v>2843</v>
      </c>
      <c r="H3971" s="1265"/>
      <c r="I3971" s="1265">
        <v>600</v>
      </c>
      <c r="J3971" s="1494" t="s">
        <v>1134</v>
      </c>
      <c r="K3971" s="1267"/>
      <c r="L3971" s="1306"/>
      <c r="M3971" s="1306"/>
      <c r="N3971" s="7"/>
    </row>
    <row r="3972" spans="1:14" ht="51">
      <c r="A3972" s="663"/>
      <c r="B3972" s="700" t="s">
        <v>772</v>
      </c>
      <c r="C3972" s="663" t="s">
        <v>322</v>
      </c>
      <c r="D3972" s="678" t="s">
        <v>1977</v>
      </c>
      <c r="E3972" s="700" t="s">
        <v>1903</v>
      </c>
      <c r="F3972" s="679">
        <v>2239</v>
      </c>
      <c r="G3972" s="1671" t="s">
        <v>2239</v>
      </c>
      <c r="H3972" s="1672"/>
      <c r="I3972" s="1778">
        <v>1750.0000000000002</v>
      </c>
      <c r="J3972" s="1673" t="s">
        <v>1134</v>
      </c>
      <c r="K3972" s="1674"/>
      <c r="L3972" s="1675"/>
      <c r="M3972" s="1776">
        <v>1750.0000000000002</v>
      </c>
      <c r="N3972" s="125"/>
    </row>
    <row r="3973" spans="1:14" ht="40.799999999999997">
      <c r="A3973" s="663" t="s">
        <v>331</v>
      </c>
      <c r="B3973" s="700" t="s">
        <v>772</v>
      </c>
      <c r="C3973" s="663" t="s">
        <v>322</v>
      </c>
      <c r="D3973" s="678" t="s">
        <v>1977</v>
      </c>
      <c r="E3973" s="700" t="s">
        <v>1903</v>
      </c>
      <c r="F3973" s="679">
        <v>2239</v>
      </c>
      <c r="G3973" s="1671" t="s">
        <v>3027</v>
      </c>
      <c r="H3973" s="1672"/>
      <c r="I3973" s="1778">
        <v>31800</v>
      </c>
      <c r="J3973" s="1673"/>
      <c r="K3973" s="1674"/>
      <c r="L3973" s="1675"/>
      <c r="M3973" s="2717">
        <v>15900</v>
      </c>
      <c r="N3973" s="1777" t="s">
        <v>3589</v>
      </c>
    </row>
    <row r="3974" spans="1:14">
      <c r="A3974" s="663" t="s">
        <v>331</v>
      </c>
      <c r="B3974" s="700" t="s">
        <v>772</v>
      </c>
      <c r="C3974" s="663" t="s">
        <v>322</v>
      </c>
      <c r="D3974" s="678" t="s">
        <v>1977</v>
      </c>
      <c r="E3974" s="700" t="s">
        <v>1903</v>
      </c>
      <c r="F3974" s="679">
        <v>2239</v>
      </c>
      <c r="G3974" s="1671" t="s">
        <v>3598</v>
      </c>
      <c r="H3974" s="1672"/>
      <c r="I3974" s="1778">
        <v>15435</v>
      </c>
      <c r="J3974" s="1673">
        <v>18676</v>
      </c>
      <c r="K3974" s="1674"/>
      <c r="L3974" s="1675"/>
      <c r="M3974" s="1672">
        <v>31800</v>
      </c>
      <c r="N3974" s="1777" t="s">
        <v>3589</v>
      </c>
    </row>
    <row r="3975" spans="1:14" ht="40.799999999999997">
      <c r="A3975" s="663" t="s">
        <v>331</v>
      </c>
      <c r="B3975" s="700" t="s">
        <v>772</v>
      </c>
      <c r="C3975" s="663" t="s">
        <v>322</v>
      </c>
      <c r="D3975" s="678" t="s">
        <v>1977</v>
      </c>
      <c r="E3975" s="700" t="s">
        <v>1903</v>
      </c>
      <c r="F3975" s="679">
        <v>2239</v>
      </c>
      <c r="G3975" s="1264" t="s">
        <v>2842</v>
      </c>
      <c r="H3975" s="1265"/>
      <c r="I3975" s="1266">
        <v>1815</v>
      </c>
      <c r="J3975" s="1494">
        <v>833</v>
      </c>
      <c r="K3975" s="1267"/>
      <c r="L3975" s="1306"/>
      <c r="M3975" s="1265"/>
      <c r="N3975" s="1777" t="s">
        <v>3589</v>
      </c>
    </row>
    <row r="3976" spans="1:14" ht="40.799999999999997">
      <c r="A3976" s="663" t="s">
        <v>331</v>
      </c>
      <c r="B3976" s="700" t="s">
        <v>772</v>
      </c>
      <c r="C3976" s="663" t="s">
        <v>322</v>
      </c>
      <c r="D3976" s="678" t="s">
        <v>1977</v>
      </c>
      <c r="E3976" s="700" t="s">
        <v>1903</v>
      </c>
      <c r="F3976" s="679">
        <v>2239</v>
      </c>
      <c r="G3976" s="1671" t="s">
        <v>3600</v>
      </c>
      <c r="H3976" s="1779"/>
      <c r="I3976" s="1780">
        <v>18872</v>
      </c>
      <c r="J3976" s="1673">
        <v>5815</v>
      </c>
      <c r="K3976" s="1781"/>
      <c r="L3976" s="1782"/>
      <c r="M3976" s="1778">
        <v>20160</v>
      </c>
      <c r="N3976" s="1777" t="s">
        <v>3632</v>
      </c>
    </row>
    <row r="3977" spans="1:14" ht="20.399999999999999">
      <c r="A3977" s="1495" t="s">
        <v>331</v>
      </c>
      <c r="B3977" s="700" t="s">
        <v>772</v>
      </c>
      <c r="C3977" s="663" t="s">
        <v>322</v>
      </c>
      <c r="D3977" s="678" t="s">
        <v>1977</v>
      </c>
      <c r="E3977" s="700" t="s">
        <v>1903</v>
      </c>
      <c r="F3977" s="679">
        <v>2239</v>
      </c>
      <c r="G3977" s="1548" t="s">
        <v>3389</v>
      </c>
      <c r="H3977" s="1554"/>
      <c r="I3977" s="1597">
        <v>-2400</v>
      </c>
      <c r="J3977" s="1554"/>
      <c r="K3977" s="1598"/>
      <c r="L3977" s="1554"/>
      <c r="M3977" s="1785"/>
      <c r="N3977" s="1777" t="s">
        <v>3634</v>
      </c>
    </row>
    <row r="3978" spans="1:14">
      <c r="A3978" s="663" t="s">
        <v>331</v>
      </c>
      <c r="B3978" s="700" t="s">
        <v>772</v>
      </c>
      <c r="C3978" s="663" t="s">
        <v>322</v>
      </c>
      <c r="D3978" s="678" t="s">
        <v>1977</v>
      </c>
      <c r="E3978" s="700" t="s">
        <v>1903</v>
      </c>
      <c r="F3978" s="679">
        <v>2239</v>
      </c>
      <c r="G3978" s="665" t="s">
        <v>2240</v>
      </c>
      <c r="H3978" s="709"/>
      <c r="I3978" s="710">
        <v>4000</v>
      </c>
      <c r="J3978" s="1494" t="s">
        <v>1134</v>
      </c>
      <c r="K3978" s="692"/>
      <c r="L3978" s="691"/>
      <c r="M3978" s="912"/>
      <c r="N3978" s="7"/>
    </row>
    <row r="3979" spans="1:14" ht="30.6">
      <c r="A3979" s="603"/>
      <c r="B3979" s="700" t="s">
        <v>772</v>
      </c>
      <c r="C3979" s="663" t="s">
        <v>322</v>
      </c>
      <c r="D3979" s="678" t="s">
        <v>1977</v>
      </c>
      <c r="E3979" s="700" t="s">
        <v>1903</v>
      </c>
      <c r="F3979" s="679">
        <v>2239</v>
      </c>
      <c r="G3979" s="1129" t="s">
        <v>3039</v>
      </c>
      <c r="H3979" s="1151"/>
      <c r="I3979" s="1436">
        <v>-3136</v>
      </c>
      <c r="J3979" s="1494" t="s">
        <v>1134</v>
      </c>
      <c r="K3979" s="1437"/>
      <c r="L3979" s="1470"/>
      <c r="M3979" s="1787"/>
      <c r="N3979" s="7"/>
    </row>
    <row r="3980" spans="1:14" ht="30.6">
      <c r="A3980" s="663" t="s">
        <v>331</v>
      </c>
      <c r="B3980" s="700" t="s">
        <v>772</v>
      </c>
      <c r="C3980" s="663" t="s">
        <v>322</v>
      </c>
      <c r="D3980" s="678" t="s">
        <v>1977</v>
      </c>
      <c r="E3980" s="700" t="s">
        <v>1903</v>
      </c>
      <c r="F3980" s="679">
        <v>2239</v>
      </c>
      <c r="G3980" s="1752" t="s">
        <v>3602</v>
      </c>
      <c r="H3980" s="1779"/>
      <c r="I3980" s="1780">
        <v>3000</v>
      </c>
      <c r="J3980" s="1673" t="s">
        <v>1134</v>
      </c>
      <c r="K3980" s="1781"/>
      <c r="L3980" s="1782"/>
      <c r="M3980" s="1786">
        <v>3000</v>
      </c>
      <c r="N3980" s="7"/>
    </row>
    <row r="3981" spans="1:14">
      <c r="A3981" s="663"/>
      <c r="B3981" s="700" t="s">
        <v>772</v>
      </c>
      <c r="C3981" s="663" t="s">
        <v>322</v>
      </c>
      <c r="D3981" s="678" t="s">
        <v>1977</v>
      </c>
      <c r="E3981" s="700" t="s">
        <v>1903</v>
      </c>
      <c r="F3981" s="679">
        <v>2239</v>
      </c>
      <c r="G3981" s="1760" t="s">
        <v>3603</v>
      </c>
      <c r="H3981" s="1672"/>
      <c r="I3981" s="1778">
        <v>242</v>
      </c>
      <c r="J3981" s="1673">
        <v>696.96</v>
      </c>
      <c r="K3981" s="1674"/>
      <c r="L3981" s="1675"/>
      <c r="M3981" s="1783">
        <v>242</v>
      </c>
      <c r="N3981" s="305"/>
    </row>
    <row r="3982" spans="1:14" ht="33.75" customHeight="1">
      <c r="A3982" s="663"/>
      <c r="B3982" s="700" t="s">
        <v>772</v>
      </c>
      <c r="C3982" s="663" t="s">
        <v>320</v>
      </c>
      <c r="D3982" s="678" t="s">
        <v>1977</v>
      </c>
      <c r="E3982" s="700" t="s">
        <v>1903</v>
      </c>
      <c r="F3982" s="679">
        <v>2239</v>
      </c>
      <c r="G3982" s="1671" t="s">
        <v>3605</v>
      </c>
      <c r="H3982" s="1672"/>
      <c r="I3982" s="1778">
        <v>350</v>
      </c>
      <c r="J3982" s="1673" t="s">
        <v>1134</v>
      </c>
      <c r="K3982" s="1674"/>
      <c r="L3982" s="1675"/>
      <c r="M3982" s="1776">
        <v>600</v>
      </c>
      <c r="N3982" s="1784" t="s">
        <v>3635</v>
      </c>
    </row>
    <row r="3983" spans="1:14" ht="20.399999999999999">
      <c r="A3983" s="663"/>
      <c r="B3983" s="700" t="s">
        <v>772</v>
      </c>
      <c r="C3983" s="663" t="s">
        <v>320</v>
      </c>
      <c r="D3983" s="678" t="s">
        <v>1977</v>
      </c>
      <c r="E3983" s="700" t="s">
        <v>1903</v>
      </c>
      <c r="F3983" s="679">
        <v>2239</v>
      </c>
      <c r="G3983" s="1671" t="s">
        <v>3607</v>
      </c>
      <c r="H3983" s="1672"/>
      <c r="I3983" s="1778">
        <v>4000</v>
      </c>
      <c r="J3983" s="1673">
        <v>1262</v>
      </c>
      <c r="K3983" s="1674"/>
      <c r="L3983" s="1675"/>
      <c r="M3983" s="1783">
        <v>2000</v>
      </c>
      <c r="N3983" s="305"/>
    </row>
    <row r="3984" spans="1:14" ht="30.6">
      <c r="A3984" s="603"/>
      <c r="B3984" s="700" t="s">
        <v>772</v>
      </c>
      <c r="C3984" s="663" t="s">
        <v>320</v>
      </c>
      <c r="D3984" s="678" t="s">
        <v>1977</v>
      </c>
      <c r="E3984" s="700" t="s">
        <v>1903</v>
      </c>
      <c r="F3984" s="679">
        <v>2239</v>
      </c>
      <c r="G3984" s="1129" t="s">
        <v>3040</v>
      </c>
      <c r="H3984" s="1165"/>
      <c r="I3984" s="1438">
        <v>-186</v>
      </c>
      <c r="J3984" s="1494" t="s">
        <v>1134</v>
      </c>
      <c r="K3984" s="646"/>
      <c r="L3984" s="1115"/>
      <c r="M3984" s="1478"/>
      <c r="N3984" s="1644"/>
    </row>
    <row r="3985" spans="1:14" ht="30.6">
      <c r="A3985" s="663"/>
      <c r="B3985" s="700" t="s">
        <v>772</v>
      </c>
      <c r="C3985" s="663" t="s">
        <v>320</v>
      </c>
      <c r="D3985" s="678" t="s">
        <v>1977</v>
      </c>
      <c r="E3985" s="700" t="s">
        <v>1903</v>
      </c>
      <c r="F3985" s="679">
        <v>2239</v>
      </c>
      <c r="G3985" s="1671" t="s">
        <v>2241</v>
      </c>
      <c r="H3985" s="1672"/>
      <c r="I3985" s="1672">
        <v>120</v>
      </c>
      <c r="J3985" s="1673" t="s">
        <v>1134</v>
      </c>
      <c r="K3985" s="1674"/>
      <c r="L3985" s="1675"/>
      <c r="M3985" s="1783">
        <v>120</v>
      </c>
      <c r="N3985" s="7"/>
    </row>
    <row r="3986" spans="1:14" ht="40.799999999999997">
      <c r="A3986" s="663"/>
      <c r="B3986" s="700" t="s">
        <v>772</v>
      </c>
      <c r="C3986" s="663" t="s">
        <v>320</v>
      </c>
      <c r="D3986" s="678" t="s">
        <v>1977</v>
      </c>
      <c r="E3986" s="700" t="s">
        <v>1903</v>
      </c>
      <c r="F3986" s="679">
        <v>2239</v>
      </c>
      <c r="G3986" s="665" t="s">
        <v>2242</v>
      </c>
      <c r="H3986" s="701"/>
      <c r="I3986" s="701">
        <v>210</v>
      </c>
      <c r="J3986" s="1494" t="s">
        <v>1134</v>
      </c>
      <c r="K3986" s="661"/>
      <c r="L3986" s="659"/>
      <c r="M3986" s="1345"/>
      <c r="N3986" s="1777" t="s">
        <v>3589</v>
      </c>
    </row>
    <row r="3987" spans="1:14" ht="40.799999999999997">
      <c r="A3987" s="663"/>
      <c r="B3987" s="700" t="s">
        <v>772</v>
      </c>
      <c r="C3987" s="663" t="s">
        <v>320</v>
      </c>
      <c r="D3987" s="678" t="s">
        <v>1977</v>
      </c>
      <c r="E3987" s="700" t="s">
        <v>1903</v>
      </c>
      <c r="F3987" s="795">
        <v>2239</v>
      </c>
      <c r="G3987" s="1671" t="s">
        <v>1522</v>
      </c>
      <c r="H3987" s="1672"/>
      <c r="I3987" s="1672"/>
      <c r="J3987" s="1673"/>
      <c r="K3987" s="1674"/>
      <c r="L3987" s="1675"/>
      <c r="M3987" s="1783">
        <v>220</v>
      </c>
      <c r="N3987" s="1777" t="s">
        <v>3638</v>
      </c>
    </row>
    <row r="3988" spans="1:14" ht="132.6">
      <c r="A3988" s="1669"/>
      <c r="B3988" s="700" t="s">
        <v>772</v>
      </c>
      <c r="C3988" s="663" t="s">
        <v>320</v>
      </c>
      <c r="D3988" s="678" t="s">
        <v>1977</v>
      </c>
      <c r="E3988" s="700" t="s">
        <v>1903</v>
      </c>
      <c r="F3988" s="795">
        <v>2239</v>
      </c>
      <c r="G3988" s="1671" t="s">
        <v>3612</v>
      </c>
      <c r="H3988" s="1672"/>
      <c r="I3988" s="1672"/>
      <c r="J3988" s="1673"/>
      <c r="K3988" s="1674"/>
      <c r="L3988" s="1675"/>
      <c r="M3988" s="1783">
        <v>4000</v>
      </c>
      <c r="N3988" s="7"/>
    </row>
    <row r="3989" spans="1:14">
      <c r="A3989" s="683"/>
      <c r="B3989" s="3136" t="s">
        <v>773</v>
      </c>
      <c r="C3989" s="683" t="s">
        <v>369</v>
      </c>
      <c r="D3989" s="684" t="s">
        <v>1977</v>
      </c>
      <c r="E3989" s="1775" t="s">
        <v>1903</v>
      </c>
      <c r="F3989" s="694">
        <v>2239</v>
      </c>
      <c r="G3989" s="686" t="s">
        <v>147</v>
      </c>
      <c r="H3989" s="706">
        <v>11076</v>
      </c>
      <c r="I3989" s="711"/>
      <c r="J3989" s="1494"/>
      <c r="K3989" s="690"/>
      <c r="L3989" s="689">
        <v>8000</v>
      </c>
      <c r="M3989" s="972"/>
      <c r="N3989" s="7"/>
    </row>
    <row r="3990" spans="1:14" ht="20.399999999999999">
      <c r="A3990" s="1263"/>
      <c r="B3990" s="3130" t="s">
        <v>773</v>
      </c>
      <c r="C3990" s="663" t="s">
        <v>369</v>
      </c>
      <c r="D3990" s="678" t="s">
        <v>1977</v>
      </c>
      <c r="E3990" s="700" t="s">
        <v>1903</v>
      </c>
      <c r="F3990" s="679">
        <v>2239</v>
      </c>
      <c r="G3990" s="1671" t="s">
        <v>3610</v>
      </c>
      <c r="H3990" s="1672"/>
      <c r="I3990" s="1672"/>
      <c r="J3990" s="1673"/>
      <c r="K3990" s="1674"/>
      <c r="L3990" s="1675"/>
      <c r="M3990" s="1783">
        <v>4000</v>
      </c>
      <c r="N3990" s="7"/>
    </row>
    <row r="3991" spans="1:14" ht="20.399999999999999">
      <c r="A3991" s="1669"/>
      <c r="B3991" s="3130" t="s">
        <v>773</v>
      </c>
      <c r="C3991" s="663" t="s">
        <v>369</v>
      </c>
      <c r="D3991" s="678" t="s">
        <v>1977</v>
      </c>
      <c r="E3991" s="700" t="s">
        <v>1903</v>
      </c>
      <c r="F3991" s="679">
        <v>2239</v>
      </c>
      <c r="G3991" s="1671" t="s">
        <v>3614</v>
      </c>
      <c r="H3991" s="1672"/>
      <c r="I3991" s="1672"/>
      <c r="J3991" s="1673"/>
      <c r="K3991" s="1674"/>
      <c r="L3991" s="1675"/>
      <c r="M3991" s="1783">
        <v>4000</v>
      </c>
      <c r="N3991" s="7"/>
    </row>
    <row r="3992" spans="1:14" ht="30.6">
      <c r="A3992" s="1263"/>
      <c r="B3992" s="3130" t="s">
        <v>773</v>
      </c>
      <c r="C3992" s="663" t="s">
        <v>369</v>
      </c>
      <c r="D3992" s="678" t="s">
        <v>1977</v>
      </c>
      <c r="E3992" s="700" t="s">
        <v>1903</v>
      </c>
      <c r="F3992" s="679">
        <v>2239</v>
      </c>
      <c r="G3992" s="1269" t="s">
        <v>2980</v>
      </c>
      <c r="H3992" s="1265"/>
      <c r="I3992" s="1265">
        <v>2057</v>
      </c>
      <c r="J3992" s="1494">
        <v>2057</v>
      </c>
      <c r="K3992" s="1267"/>
      <c r="L3992" s="1306"/>
      <c r="M3992" s="1306"/>
      <c r="N3992" s="7"/>
    </row>
    <row r="3993" spans="1:14" ht="20.399999999999999">
      <c r="A3993" s="1263"/>
      <c r="B3993" s="3130" t="s">
        <v>773</v>
      </c>
      <c r="C3993" s="663" t="s">
        <v>369</v>
      </c>
      <c r="D3993" s="678" t="s">
        <v>1977</v>
      </c>
      <c r="E3993" s="700" t="s">
        <v>1903</v>
      </c>
      <c r="F3993" s="679">
        <v>2239</v>
      </c>
      <c r="G3993" s="1264" t="s">
        <v>3032</v>
      </c>
      <c r="H3993" s="1265"/>
      <c r="I3993" s="1265">
        <v>1519</v>
      </c>
      <c r="J3993" s="1494" t="s">
        <v>1134</v>
      </c>
      <c r="K3993" s="1299"/>
      <c r="L3993" s="1467"/>
      <c r="M3993" s="1467"/>
      <c r="N3993" s="7"/>
    </row>
    <row r="3994" spans="1:14" ht="30.6">
      <c r="A3994" s="603"/>
      <c r="B3994" s="3130" t="s">
        <v>773</v>
      </c>
      <c r="C3994" s="663" t="s">
        <v>369</v>
      </c>
      <c r="D3994" s="678" t="s">
        <v>1977</v>
      </c>
      <c r="E3994" s="700" t="s">
        <v>1903</v>
      </c>
      <c r="F3994" s="679">
        <v>2239</v>
      </c>
      <c r="G3994" s="1129" t="s">
        <v>3110</v>
      </c>
      <c r="H3994" s="1165"/>
      <c r="I3994" s="1165">
        <v>7500</v>
      </c>
      <c r="J3994" s="1494" t="s">
        <v>1134</v>
      </c>
      <c r="K3994" s="1144"/>
      <c r="L3994" s="609"/>
      <c r="M3994" s="609"/>
      <c r="N3994" s="7"/>
    </row>
    <row r="3995" spans="1:14">
      <c r="A3995" s="663"/>
      <c r="B3995" s="3130" t="s">
        <v>773</v>
      </c>
      <c r="C3995" s="663" t="s">
        <v>369</v>
      </c>
      <c r="D3995" s="678" t="s">
        <v>1977</v>
      </c>
      <c r="E3995" s="700" t="s">
        <v>1903</v>
      </c>
      <c r="F3995" s="679">
        <v>2239</v>
      </c>
      <c r="G3995" s="665" t="s">
        <v>1665</v>
      </c>
      <c r="H3995" s="701"/>
      <c r="I3995" s="701"/>
      <c r="J3995" s="1494" t="s">
        <v>1134</v>
      </c>
      <c r="K3995" s="661"/>
      <c r="L3995" s="659"/>
      <c r="M3995" s="1345"/>
      <c r="N3995" s="7"/>
    </row>
    <row r="3996" spans="1:14">
      <c r="A3996" s="683"/>
      <c r="B3996" s="3129" t="s">
        <v>326</v>
      </c>
      <c r="C3996" s="683" t="s">
        <v>321</v>
      </c>
      <c r="D3996" s="684" t="s">
        <v>1977</v>
      </c>
      <c r="E3996" s="1775" t="s">
        <v>1903</v>
      </c>
      <c r="F3996" s="826">
        <v>2239</v>
      </c>
      <c r="G3996" s="800" t="s">
        <v>147</v>
      </c>
      <c r="H3996" s="706">
        <v>0</v>
      </c>
      <c r="I3996" s="711"/>
      <c r="J3996" s="1654" t="s">
        <v>1134</v>
      </c>
      <c r="K3996" s="802"/>
      <c r="L3996" s="706">
        <v>1300</v>
      </c>
      <c r="M3996" s="711"/>
      <c r="N3996" s="305"/>
    </row>
    <row r="3997" spans="1:14">
      <c r="A3997" s="663" t="s">
        <v>920</v>
      </c>
      <c r="B3997" s="3130" t="s">
        <v>326</v>
      </c>
      <c r="C3997" s="663" t="s">
        <v>321</v>
      </c>
      <c r="D3997" s="678" t="s">
        <v>1977</v>
      </c>
      <c r="E3997" s="700" t="s">
        <v>1903</v>
      </c>
      <c r="F3997" s="795">
        <v>2239</v>
      </c>
      <c r="G3997" s="750" t="s">
        <v>5183</v>
      </c>
      <c r="H3997" s="701"/>
      <c r="I3997" s="708">
        <v>0</v>
      </c>
      <c r="J3997" s="1654" t="s">
        <v>1134</v>
      </c>
      <c r="K3997" s="792"/>
      <c r="L3997" s="701"/>
      <c r="M3997" s="708">
        <v>300</v>
      </c>
      <c r="N3997" s="305"/>
    </row>
    <row r="3998" spans="1:14">
      <c r="A3998" s="663" t="s">
        <v>920</v>
      </c>
      <c r="B3998" s="3130" t="s">
        <v>326</v>
      </c>
      <c r="C3998" s="663" t="s">
        <v>321</v>
      </c>
      <c r="D3998" s="678" t="s">
        <v>1977</v>
      </c>
      <c r="E3998" s="700" t="s">
        <v>1903</v>
      </c>
      <c r="F3998" s="795">
        <v>2239</v>
      </c>
      <c r="G3998" s="750" t="s">
        <v>5184</v>
      </c>
      <c r="H3998" s="701"/>
      <c r="I3998" s="708">
        <v>0</v>
      </c>
      <c r="J3998" s="1654" t="s">
        <v>1134</v>
      </c>
      <c r="K3998" s="792"/>
      <c r="L3998" s="701"/>
      <c r="M3998" s="708">
        <v>1000</v>
      </c>
      <c r="N3998" s="1490"/>
    </row>
    <row r="3999" spans="1:14">
      <c r="A3999" s="683"/>
      <c r="B3999" s="720" t="s">
        <v>772</v>
      </c>
      <c r="C3999" s="683" t="s">
        <v>320</v>
      </c>
      <c r="D3999" s="684" t="s">
        <v>1977</v>
      </c>
      <c r="E3999" s="1775" t="s">
        <v>1903</v>
      </c>
      <c r="F3999" s="694">
        <v>2242</v>
      </c>
      <c r="G3999" s="686" t="s">
        <v>732</v>
      </c>
      <c r="H3999" s="706">
        <v>28</v>
      </c>
      <c r="I3999" s="711"/>
      <c r="J3999" s="1494">
        <v>18</v>
      </c>
      <c r="K3999" s="690"/>
      <c r="L3999" s="689">
        <v>20</v>
      </c>
      <c r="M3999" s="1788"/>
      <c r="N3999" s="1490"/>
    </row>
    <row r="4000" spans="1:14">
      <c r="A4000" s="663"/>
      <c r="B4000" s="700" t="s">
        <v>772</v>
      </c>
      <c r="C4000" s="663" t="s">
        <v>320</v>
      </c>
      <c r="D4000" s="678" t="s">
        <v>1977</v>
      </c>
      <c r="E4000" s="700" t="s">
        <v>1903</v>
      </c>
      <c r="F4000" s="679">
        <v>2242</v>
      </c>
      <c r="G4000" s="682" t="s">
        <v>5345</v>
      </c>
      <c r="H4000" s="701"/>
      <c r="I4000" s="708">
        <v>28</v>
      </c>
      <c r="J4000" s="1494" t="s">
        <v>1134</v>
      </c>
      <c r="K4000" s="661"/>
      <c r="L4000" s="660"/>
      <c r="M4000" s="877">
        <v>20</v>
      </c>
      <c r="N4000" s="1490"/>
    </row>
    <row r="4001" spans="1:14" ht="20.399999999999999">
      <c r="A4001" s="683"/>
      <c r="B4001" s="720" t="s">
        <v>772</v>
      </c>
      <c r="C4001" s="683" t="s">
        <v>320</v>
      </c>
      <c r="D4001" s="684" t="s">
        <v>1977</v>
      </c>
      <c r="E4001" s="1775" t="s">
        <v>1903</v>
      </c>
      <c r="F4001" s="824">
        <v>2243</v>
      </c>
      <c r="G4001" s="800" t="s">
        <v>198</v>
      </c>
      <c r="H4001" s="706">
        <v>122</v>
      </c>
      <c r="I4001" s="706"/>
      <c r="J4001" s="1654">
        <v>0</v>
      </c>
      <c r="K4001" s="802"/>
      <c r="L4001" s="706">
        <v>130</v>
      </c>
      <c r="M4001" s="706"/>
      <c r="N4001" s="1490"/>
    </row>
    <row r="4002" spans="1:14">
      <c r="A4002" s="663"/>
      <c r="B4002" s="700" t="s">
        <v>772</v>
      </c>
      <c r="C4002" s="663" t="s">
        <v>320</v>
      </c>
      <c r="D4002" s="678" t="s">
        <v>1977</v>
      </c>
      <c r="E4002" s="700" t="s">
        <v>1903</v>
      </c>
      <c r="F4002" s="795">
        <v>2243</v>
      </c>
      <c r="G4002" s="745" t="s">
        <v>2243</v>
      </c>
      <c r="H4002" s="701"/>
      <c r="I4002" s="701">
        <v>150</v>
      </c>
      <c r="J4002" s="1654" t="s">
        <v>1134</v>
      </c>
      <c r="K4002" s="792"/>
      <c r="L4002" s="701"/>
      <c r="M4002" s="1789">
        <v>130</v>
      </c>
      <c r="N4002" s="1490"/>
    </row>
    <row r="4003" spans="1:14" ht="20.399999999999999">
      <c r="A4003" s="663"/>
      <c r="B4003" s="700" t="s">
        <v>772</v>
      </c>
      <c r="C4003" s="663" t="s">
        <v>320</v>
      </c>
      <c r="D4003" s="678" t="s">
        <v>1977</v>
      </c>
      <c r="E4003" s="700" t="s">
        <v>1903</v>
      </c>
      <c r="F4003" s="795">
        <v>2243</v>
      </c>
      <c r="G4003" s="745" t="s">
        <v>3617</v>
      </c>
      <c r="H4003" s="701"/>
      <c r="I4003" s="701">
        <v>-28</v>
      </c>
      <c r="J4003" s="1654" t="s">
        <v>1134</v>
      </c>
      <c r="K4003" s="792"/>
      <c r="L4003" s="701"/>
      <c r="M4003" s="715"/>
      <c r="N4003" s="1490"/>
    </row>
    <row r="4004" spans="1:14">
      <c r="A4004" s="683"/>
      <c r="B4004" s="720" t="s">
        <v>772</v>
      </c>
      <c r="C4004" s="683" t="s">
        <v>322</v>
      </c>
      <c r="D4004" s="684" t="s">
        <v>1977</v>
      </c>
      <c r="E4004" s="1775" t="s">
        <v>1903</v>
      </c>
      <c r="F4004" s="685">
        <v>2247</v>
      </c>
      <c r="G4004" s="686" t="s">
        <v>1181</v>
      </c>
      <c r="H4004" s="706">
        <v>2000</v>
      </c>
      <c r="I4004" s="706"/>
      <c r="J4004" s="1494">
        <v>1127</v>
      </c>
      <c r="K4004" s="690"/>
      <c r="L4004" s="689">
        <v>2000</v>
      </c>
      <c r="M4004" s="689"/>
      <c r="N4004" s="1490"/>
    </row>
    <row r="4005" spans="1:14" ht="20.399999999999999">
      <c r="A4005" s="663"/>
      <c r="B4005" s="700" t="s">
        <v>772</v>
      </c>
      <c r="C4005" s="663" t="s">
        <v>322</v>
      </c>
      <c r="D4005" s="678" t="s">
        <v>1977</v>
      </c>
      <c r="E4005" s="700" t="s">
        <v>1903</v>
      </c>
      <c r="F4005" s="679">
        <v>2247</v>
      </c>
      <c r="G4005" s="664" t="s">
        <v>2244</v>
      </c>
      <c r="H4005" s="701"/>
      <c r="I4005" s="701">
        <v>2000</v>
      </c>
      <c r="J4005" s="1494" t="s">
        <v>1134</v>
      </c>
      <c r="K4005" s="661"/>
      <c r="L4005" s="660"/>
      <c r="M4005" s="660">
        <v>2000</v>
      </c>
      <c r="N4005" s="1644"/>
    </row>
    <row r="4006" spans="1:14">
      <c r="A4006" s="683"/>
      <c r="B4006" s="720" t="s">
        <v>772</v>
      </c>
      <c r="C4006" s="683" t="s">
        <v>322</v>
      </c>
      <c r="D4006" s="684" t="s">
        <v>1977</v>
      </c>
      <c r="E4006" s="1775" t="s">
        <v>1903</v>
      </c>
      <c r="F4006" s="685">
        <v>2250</v>
      </c>
      <c r="G4006" s="686" t="s">
        <v>1142</v>
      </c>
      <c r="H4006" s="706">
        <v>1720</v>
      </c>
      <c r="I4006" s="706"/>
      <c r="J4006" s="1494">
        <v>1137</v>
      </c>
      <c r="K4006" s="661"/>
      <c r="L4006" s="706">
        <v>1800</v>
      </c>
      <c r="M4006" s="706"/>
      <c r="N4006" s="1644"/>
    </row>
    <row r="4007" spans="1:14" ht="20.399999999999999">
      <c r="A4007" s="663"/>
      <c r="B4007" s="700" t="s">
        <v>772</v>
      </c>
      <c r="C4007" s="663" t="s">
        <v>322</v>
      </c>
      <c r="D4007" s="678" t="s">
        <v>1977</v>
      </c>
      <c r="E4007" s="700" t="s">
        <v>1903</v>
      </c>
      <c r="F4007" s="679">
        <v>2250</v>
      </c>
      <c r="G4007" s="1752" t="s">
        <v>3620</v>
      </c>
      <c r="H4007" s="1672"/>
      <c r="I4007" s="1672">
        <v>1200</v>
      </c>
      <c r="J4007" s="1673" t="s">
        <v>1134</v>
      </c>
      <c r="K4007" s="1674"/>
      <c r="L4007" s="1672"/>
      <c r="M4007" s="1672">
        <v>1800</v>
      </c>
      <c r="N4007" s="1644"/>
    </row>
    <row r="4008" spans="1:14" ht="30.6">
      <c r="A4008" s="1495"/>
      <c r="B4008" s="1590" t="s">
        <v>772</v>
      </c>
      <c r="C4008" s="1495" t="s">
        <v>322</v>
      </c>
      <c r="D4008" s="1561" t="s">
        <v>1977</v>
      </c>
      <c r="E4008" s="1590" t="s">
        <v>1903</v>
      </c>
      <c r="F4008" s="1574">
        <v>2250</v>
      </c>
      <c r="G4008" s="1548" t="s">
        <v>3387</v>
      </c>
      <c r="H4008" s="1557"/>
      <c r="I4008" s="1557">
        <v>520</v>
      </c>
      <c r="J4008" s="1557"/>
      <c r="K4008" s="1558"/>
      <c r="L4008" s="1557"/>
      <c r="M4008" s="1557"/>
      <c r="N4008" s="1644"/>
    </row>
    <row r="4009" spans="1:14">
      <c r="A4009" s="1575"/>
      <c r="B4009" s="1586" t="s">
        <v>772</v>
      </c>
      <c r="C4009" s="1575" t="s">
        <v>322</v>
      </c>
      <c r="D4009" s="1599" t="s">
        <v>1977</v>
      </c>
      <c r="E4009" s="1600" t="s">
        <v>1903</v>
      </c>
      <c r="F4009" s="1577">
        <v>2264</v>
      </c>
      <c r="G4009" s="1578" t="s">
        <v>1288</v>
      </c>
      <c r="H4009" s="1601">
        <v>2400</v>
      </c>
      <c r="I4009" s="1601"/>
      <c r="J4009" s="1601">
        <v>2400</v>
      </c>
      <c r="K4009" s="1595"/>
      <c r="L4009" s="1601">
        <v>0</v>
      </c>
      <c r="M4009" s="1601"/>
      <c r="N4009" s="1644"/>
    </row>
    <row r="4010" spans="1:14" ht="20.399999999999999">
      <c r="A4010" s="1495"/>
      <c r="B4010" s="1590" t="s">
        <v>772</v>
      </c>
      <c r="C4010" s="1495" t="s">
        <v>322</v>
      </c>
      <c r="D4010" s="1561" t="s">
        <v>1977</v>
      </c>
      <c r="E4010" s="1590" t="s">
        <v>1903</v>
      </c>
      <c r="F4010" s="1574">
        <v>2264</v>
      </c>
      <c r="G4010" s="1593" t="s">
        <v>3389</v>
      </c>
      <c r="H4010" s="1557"/>
      <c r="I4010" s="1557">
        <v>2400</v>
      </c>
      <c r="J4010" s="1557"/>
      <c r="K4010" s="1558"/>
      <c r="L4010" s="1557"/>
      <c r="M4010" s="1557">
        <v>0</v>
      </c>
      <c r="N4010" s="1644"/>
    </row>
    <row r="4011" spans="1:14">
      <c r="A4011" s="683"/>
      <c r="B4011" s="720" t="s">
        <v>772</v>
      </c>
      <c r="C4011" s="683" t="s">
        <v>322</v>
      </c>
      <c r="D4011" s="684" t="s">
        <v>1977</v>
      </c>
      <c r="E4011" s="1775" t="s">
        <v>1903</v>
      </c>
      <c r="F4011" s="685">
        <v>2311</v>
      </c>
      <c r="G4011" s="686" t="s">
        <v>129</v>
      </c>
      <c r="H4011" s="706">
        <v>1440</v>
      </c>
      <c r="I4011" s="711"/>
      <c r="J4011" s="1494">
        <v>370.83</v>
      </c>
      <c r="K4011" s="690"/>
      <c r="L4011" s="689">
        <v>1440</v>
      </c>
      <c r="M4011" s="972"/>
      <c r="N4011" s="1490"/>
    </row>
    <row r="4012" spans="1:14" ht="20.399999999999999">
      <c r="A4012" s="663"/>
      <c r="B4012" s="700" t="s">
        <v>772</v>
      </c>
      <c r="C4012" s="663" t="s">
        <v>322</v>
      </c>
      <c r="D4012" s="678" t="s">
        <v>1977</v>
      </c>
      <c r="E4012" s="700" t="s">
        <v>1903</v>
      </c>
      <c r="F4012" s="679">
        <v>2311</v>
      </c>
      <c r="G4012" s="1752" t="s">
        <v>2245</v>
      </c>
      <c r="H4012" s="1672"/>
      <c r="I4012" s="1778">
        <v>600</v>
      </c>
      <c r="J4012" s="1673" t="s">
        <v>1134</v>
      </c>
      <c r="K4012" s="1674"/>
      <c r="L4012" s="1675"/>
      <c r="M4012" s="1783">
        <v>600</v>
      </c>
      <c r="N4012" s="7"/>
    </row>
    <row r="4013" spans="1:14" ht="30.6">
      <c r="A4013" s="663"/>
      <c r="B4013" s="700" t="s">
        <v>772</v>
      </c>
      <c r="C4013" s="663" t="s">
        <v>322</v>
      </c>
      <c r="D4013" s="678" t="s">
        <v>1977</v>
      </c>
      <c r="E4013" s="700" t="s">
        <v>1903</v>
      </c>
      <c r="F4013" s="679">
        <v>2311</v>
      </c>
      <c r="G4013" s="665" t="s">
        <v>3593</v>
      </c>
      <c r="H4013" s="701"/>
      <c r="I4013" s="708">
        <v>840</v>
      </c>
      <c r="J4013" s="1494" t="s">
        <v>1134</v>
      </c>
      <c r="K4013" s="661"/>
      <c r="L4013" s="659"/>
      <c r="M4013" s="1792">
        <v>840</v>
      </c>
      <c r="N4013" s="603"/>
    </row>
    <row r="4014" spans="1:14">
      <c r="A4014" s="683"/>
      <c r="B4014" s="720" t="s">
        <v>772</v>
      </c>
      <c r="C4014" s="683" t="s">
        <v>322</v>
      </c>
      <c r="D4014" s="684" t="s">
        <v>1977</v>
      </c>
      <c r="E4014" s="1775" t="s">
        <v>1903</v>
      </c>
      <c r="F4014" s="685">
        <v>2312</v>
      </c>
      <c r="G4014" s="686" t="s">
        <v>200</v>
      </c>
      <c r="H4014" s="706">
        <v>6653</v>
      </c>
      <c r="I4014" s="711"/>
      <c r="J4014" s="1494">
        <v>6237</v>
      </c>
      <c r="K4014" s="690"/>
      <c r="L4014" s="689">
        <v>13350</v>
      </c>
      <c r="M4014" s="1788"/>
      <c r="N4014" s="7"/>
    </row>
    <row r="4015" spans="1:14">
      <c r="A4015" s="663"/>
      <c r="B4015" s="700" t="s">
        <v>772</v>
      </c>
      <c r="C4015" s="663" t="s">
        <v>322</v>
      </c>
      <c r="D4015" s="678" t="s">
        <v>1977</v>
      </c>
      <c r="E4015" s="700" t="s">
        <v>1903</v>
      </c>
      <c r="F4015" s="679">
        <v>2312</v>
      </c>
      <c r="G4015" s="1752" t="s">
        <v>2246</v>
      </c>
      <c r="H4015" s="1672"/>
      <c r="I4015" s="1778">
        <v>6000</v>
      </c>
      <c r="J4015" s="1673" t="s">
        <v>1134</v>
      </c>
      <c r="K4015" s="1674"/>
      <c r="L4015" s="1676"/>
      <c r="M4015" s="1794">
        <v>10050</v>
      </c>
      <c r="N4015" s="663"/>
    </row>
    <row r="4016" spans="1:14">
      <c r="A4016" s="663" t="s">
        <v>331</v>
      </c>
      <c r="B4016" s="700" t="s">
        <v>772</v>
      </c>
      <c r="C4016" s="663" t="s">
        <v>322</v>
      </c>
      <c r="D4016" s="678" t="s">
        <v>1977</v>
      </c>
      <c r="E4016" s="700" t="s">
        <v>1903</v>
      </c>
      <c r="F4016" s="679">
        <v>2312</v>
      </c>
      <c r="G4016" s="1752" t="s">
        <v>195</v>
      </c>
      <c r="H4016" s="1672"/>
      <c r="I4016" s="1778">
        <v>1000</v>
      </c>
      <c r="J4016" s="1673" t="s">
        <v>1134</v>
      </c>
      <c r="K4016" s="1674"/>
      <c r="L4016" s="1676"/>
      <c r="M4016" s="1794">
        <v>1000</v>
      </c>
      <c r="N4016" s="5"/>
    </row>
    <row r="4017" spans="1:14" ht="20.399999999999999">
      <c r="A4017" s="603"/>
      <c r="B4017" s="700" t="s">
        <v>772</v>
      </c>
      <c r="C4017" s="663" t="s">
        <v>322</v>
      </c>
      <c r="D4017" s="678" t="s">
        <v>1977</v>
      </c>
      <c r="E4017" s="700" t="s">
        <v>1903</v>
      </c>
      <c r="F4017" s="679">
        <v>2312</v>
      </c>
      <c r="G4017" s="1120" t="s">
        <v>2008</v>
      </c>
      <c r="H4017" s="1165"/>
      <c r="I4017" s="1438">
        <v>-500</v>
      </c>
      <c r="J4017" s="1494" t="s">
        <v>1134</v>
      </c>
      <c r="K4017" s="646"/>
      <c r="L4017" s="1130"/>
      <c r="M4017" s="1787"/>
      <c r="N4017" s="7"/>
    </row>
    <row r="4018" spans="1:14" ht="30.6">
      <c r="A4018" s="663"/>
      <c r="B4018" s="700" t="s">
        <v>772</v>
      </c>
      <c r="C4018" s="663" t="s">
        <v>320</v>
      </c>
      <c r="D4018" s="678" t="s">
        <v>1977</v>
      </c>
      <c r="E4018" s="700" t="s">
        <v>1903</v>
      </c>
      <c r="F4018" s="679">
        <v>2312</v>
      </c>
      <c r="G4018" s="2724" t="s">
        <v>4946</v>
      </c>
      <c r="H4018" s="701"/>
      <c r="I4018" s="701">
        <v>350</v>
      </c>
      <c r="J4018" s="1494" t="s">
        <v>1134</v>
      </c>
      <c r="K4018" s="661"/>
      <c r="L4018" s="660"/>
      <c r="M4018" s="660">
        <v>1800</v>
      </c>
      <c r="N4018" s="663"/>
    </row>
    <row r="4019" spans="1:14">
      <c r="A4019" s="2679"/>
      <c r="B4019" s="700" t="s">
        <v>772</v>
      </c>
      <c r="C4019" s="663" t="s">
        <v>320</v>
      </c>
      <c r="D4019" s="678" t="s">
        <v>1977</v>
      </c>
      <c r="E4019" s="700" t="s">
        <v>1903</v>
      </c>
      <c r="F4019" s="679">
        <v>2312</v>
      </c>
      <c r="G4019" s="2724" t="s">
        <v>4934</v>
      </c>
      <c r="H4019" s="2615"/>
      <c r="I4019" s="2615"/>
      <c r="J4019" s="2607"/>
      <c r="K4019" s="2608"/>
      <c r="L4019" s="2606"/>
      <c r="M4019" s="2606">
        <v>500</v>
      </c>
      <c r="N4019" s="1669"/>
    </row>
    <row r="4020" spans="1:14" ht="30.6">
      <c r="A4020" s="663"/>
      <c r="B4020" s="700" t="s">
        <v>772</v>
      </c>
      <c r="C4020" s="663" t="s">
        <v>320</v>
      </c>
      <c r="D4020" s="678" t="s">
        <v>1977</v>
      </c>
      <c r="E4020" s="700" t="s">
        <v>1903</v>
      </c>
      <c r="F4020" s="679">
        <v>2312</v>
      </c>
      <c r="G4020" s="665" t="s">
        <v>3453</v>
      </c>
      <c r="H4020" s="701"/>
      <c r="I4020" s="701">
        <v>-197</v>
      </c>
      <c r="J4020" s="1494" t="s">
        <v>1134</v>
      </c>
      <c r="K4020" s="661"/>
      <c r="L4020" s="660"/>
      <c r="M4020" s="660"/>
      <c r="N4020" s="1150"/>
    </row>
    <row r="4021" spans="1:14" ht="20.399999999999999">
      <c r="A4021" s="683"/>
      <c r="B4021" s="720" t="s">
        <v>772</v>
      </c>
      <c r="C4021" s="683" t="s">
        <v>320</v>
      </c>
      <c r="D4021" s="684" t="s">
        <v>1977</v>
      </c>
      <c r="E4021" s="1775" t="s">
        <v>1903</v>
      </c>
      <c r="F4021" s="685">
        <v>2314</v>
      </c>
      <c r="G4021" s="686" t="s">
        <v>1435</v>
      </c>
      <c r="H4021" s="706">
        <v>1050</v>
      </c>
      <c r="I4021" s="706"/>
      <c r="J4021" s="1494">
        <v>682</v>
      </c>
      <c r="K4021" s="690"/>
      <c r="L4021" s="706">
        <v>1677</v>
      </c>
      <c r="M4021" s="706"/>
      <c r="N4021" s="810"/>
    </row>
    <row r="4022" spans="1:14" ht="20.399999999999999">
      <c r="A4022" s="663"/>
      <c r="B4022" s="700" t="s">
        <v>772</v>
      </c>
      <c r="C4022" s="663" t="s">
        <v>320</v>
      </c>
      <c r="D4022" s="678" t="s">
        <v>1977</v>
      </c>
      <c r="E4022" s="700" t="s">
        <v>1903</v>
      </c>
      <c r="F4022" s="679">
        <v>2314</v>
      </c>
      <c r="G4022" s="665" t="s">
        <v>2247</v>
      </c>
      <c r="H4022" s="701"/>
      <c r="I4022" s="701">
        <v>800</v>
      </c>
      <c r="J4022" s="1494" t="s">
        <v>1134</v>
      </c>
      <c r="K4022" s="661"/>
      <c r="L4022" s="701"/>
      <c r="M4022" s="701"/>
      <c r="N4022" s="1150"/>
    </row>
    <row r="4023" spans="1:14" ht="173.4">
      <c r="A4023" s="1669"/>
      <c r="B4023" s="700" t="s">
        <v>772</v>
      </c>
      <c r="C4023" s="663" t="s">
        <v>320</v>
      </c>
      <c r="D4023" s="678" t="s">
        <v>1977</v>
      </c>
      <c r="E4023" s="700" t="s">
        <v>1903</v>
      </c>
      <c r="F4023" s="679">
        <v>2314</v>
      </c>
      <c r="G4023" s="1671" t="s">
        <v>3625</v>
      </c>
      <c r="H4023" s="1672"/>
      <c r="I4023" s="1672">
        <v>1050</v>
      </c>
      <c r="J4023" s="1673"/>
      <c r="K4023" s="1674"/>
      <c r="L4023" s="1672"/>
      <c r="M4023" s="1672">
        <v>1277</v>
      </c>
      <c r="N4023" s="663"/>
    </row>
    <row r="4024" spans="1:14" ht="30.6">
      <c r="A4024" s="1669"/>
      <c r="B4024" s="700" t="s">
        <v>772</v>
      </c>
      <c r="C4024" s="663" t="s">
        <v>320</v>
      </c>
      <c r="D4024" s="678" t="s">
        <v>1977</v>
      </c>
      <c r="E4024" s="700" t="s">
        <v>1903</v>
      </c>
      <c r="F4024" s="679">
        <v>2314</v>
      </c>
      <c r="G4024" s="1671" t="s">
        <v>2675</v>
      </c>
      <c r="H4024" s="1672"/>
      <c r="I4024" s="1672">
        <v>500</v>
      </c>
      <c r="J4024" s="1673"/>
      <c r="K4024" s="1674"/>
      <c r="L4024" s="1672"/>
      <c r="M4024" s="1672">
        <v>400</v>
      </c>
      <c r="N4024" s="663"/>
    </row>
    <row r="4025" spans="1:14" ht="30.6">
      <c r="A4025" s="1495"/>
      <c r="B4025" s="700" t="s">
        <v>772</v>
      </c>
      <c r="C4025" s="663" t="s">
        <v>320</v>
      </c>
      <c r="D4025" s="678" t="s">
        <v>1977</v>
      </c>
      <c r="E4025" s="700" t="s">
        <v>1903</v>
      </c>
      <c r="F4025" s="679">
        <v>2314</v>
      </c>
      <c r="G4025" s="1548" t="s">
        <v>3387</v>
      </c>
      <c r="H4025" s="1557"/>
      <c r="I4025" s="1557">
        <v>-520</v>
      </c>
      <c r="J4025" s="1557"/>
      <c r="K4025" s="1558"/>
      <c r="L4025" s="1557"/>
      <c r="M4025" s="1557"/>
      <c r="N4025" s="663"/>
    </row>
    <row r="4026" spans="1:14" ht="30.6">
      <c r="A4026" s="663"/>
      <c r="B4026" s="700" t="s">
        <v>772</v>
      </c>
      <c r="C4026" s="663" t="s">
        <v>320</v>
      </c>
      <c r="D4026" s="678" t="s">
        <v>1977</v>
      </c>
      <c r="E4026" s="700" t="s">
        <v>1903</v>
      </c>
      <c r="F4026" s="679">
        <v>2314</v>
      </c>
      <c r="G4026" s="665" t="s">
        <v>3452</v>
      </c>
      <c r="H4026" s="701"/>
      <c r="I4026" s="701">
        <v>-280</v>
      </c>
      <c r="J4026" s="1494"/>
      <c r="K4026" s="661"/>
      <c r="L4026" s="701"/>
      <c r="M4026" s="701"/>
      <c r="N4026" s="663"/>
    </row>
    <row r="4027" spans="1:14" ht="51">
      <c r="A4027" s="663"/>
      <c r="B4027" s="700" t="s">
        <v>772</v>
      </c>
      <c r="C4027" s="663" t="s">
        <v>320</v>
      </c>
      <c r="D4027" s="678" t="s">
        <v>1977</v>
      </c>
      <c r="E4027" s="700" t="s">
        <v>1903</v>
      </c>
      <c r="F4027" s="679">
        <v>2314</v>
      </c>
      <c r="G4027" s="1548" t="s">
        <v>3454</v>
      </c>
      <c r="H4027" s="701"/>
      <c r="I4027" s="708">
        <v>-500</v>
      </c>
      <c r="J4027" s="1494" t="s">
        <v>1134</v>
      </c>
      <c r="K4027" s="661"/>
      <c r="L4027" s="701"/>
      <c r="M4027" s="701"/>
      <c r="N4027" s="75"/>
    </row>
    <row r="4028" spans="1:14">
      <c r="A4028" s="696"/>
      <c r="B4028" s="994" t="s">
        <v>772</v>
      </c>
      <c r="C4028" s="696" t="s">
        <v>322</v>
      </c>
      <c r="D4028" s="684" t="s">
        <v>1977</v>
      </c>
      <c r="E4028" s="1775" t="s">
        <v>1903</v>
      </c>
      <c r="F4028" s="696">
        <v>2322</v>
      </c>
      <c r="G4028" s="686" t="s">
        <v>169</v>
      </c>
      <c r="H4028" s="712">
        <v>2984.5199999999995</v>
      </c>
      <c r="I4028" s="712" t="s">
        <v>1362</v>
      </c>
      <c r="J4028" s="1494">
        <v>986</v>
      </c>
      <c r="K4028" s="697"/>
      <c r="L4028" s="1795">
        <v>2710.3999999999992</v>
      </c>
      <c r="M4028" s="1795" t="s">
        <v>1362</v>
      </c>
      <c r="N4028" s="75"/>
    </row>
    <row r="4029" spans="1:14" ht="30.6">
      <c r="A4029" s="663"/>
      <c r="B4029" s="700" t="s">
        <v>772</v>
      </c>
      <c r="C4029" s="663" t="s">
        <v>322</v>
      </c>
      <c r="D4029" s="678" t="s">
        <v>1977</v>
      </c>
      <c r="E4029" s="700" t="s">
        <v>1903</v>
      </c>
      <c r="F4029" s="679">
        <v>2322</v>
      </c>
      <c r="G4029" s="675" t="s">
        <v>4816</v>
      </c>
      <c r="H4029" s="701"/>
      <c r="I4029" s="701">
        <v>710.6</v>
      </c>
      <c r="J4029" s="1494" t="s">
        <v>1134</v>
      </c>
      <c r="K4029" s="661"/>
      <c r="L4029" s="659"/>
      <c r="M4029" s="660">
        <v>616</v>
      </c>
      <c r="N4029" s="75"/>
    </row>
    <row r="4030" spans="1:14" ht="30.6">
      <c r="A4030" s="663"/>
      <c r="B4030" s="700" t="s">
        <v>772</v>
      </c>
      <c r="C4030" s="663" t="s">
        <v>322</v>
      </c>
      <c r="D4030" s="678" t="s">
        <v>1977</v>
      </c>
      <c r="E4030" s="700" t="s">
        <v>1903</v>
      </c>
      <c r="F4030" s="679">
        <v>2322</v>
      </c>
      <c r="G4030" s="675" t="s">
        <v>4924</v>
      </c>
      <c r="H4030" s="701"/>
      <c r="I4030" s="701">
        <v>426.35999999999996</v>
      </c>
      <c r="J4030" s="1494" t="s">
        <v>1134</v>
      </c>
      <c r="K4030" s="661"/>
      <c r="L4030" s="659"/>
      <c r="M4030" s="660">
        <v>369.59999999999997</v>
      </c>
      <c r="N4030" s="75"/>
    </row>
    <row r="4031" spans="1:14" ht="30.6">
      <c r="A4031" s="663"/>
      <c r="B4031" s="700" t="s">
        <v>772</v>
      </c>
      <c r="C4031" s="663" t="s">
        <v>322</v>
      </c>
      <c r="D4031" s="678" t="s">
        <v>1977</v>
      </c>
      <c r="E4031" s="700" t="s">
        <v>1903</v>
      </c>
      <c r="F4031" s="679">
        <v>2322</v>
      </c>
      <c r="G4031" s="675" t="s">
        <v>4925</v>
      </c>
      <c r="H4031" s="701"/>
      <c r="I4031" s="701">
        <v>426.35999999999996</v>
      </c>
      <c r="J4031" s="1494" t="s">
        <v>1134</v>
      </c>
      <c r="K4031" s="661"/>
      <c r="L4031" s="659"/>
      <c r="M4031" s="660">
        <v>369.59999999999997</v>
      </c>
      <c r="N4031" s="1490"/>
    </row>
    <row r="4032" spans="1:14" ht="30.6">
      <c r="A4032" s="663"/>
      <c r="B4032" s="700" t="s">
        <v>772</v>
      </c>
      <c r="C4032" s="663" t="s">
        <v>322</v>
      </c>
      <c r="D4032" s="678" t="s">
        <v>1977</v>
      </c>
      <c r="E4032" s="700" t="s">
        <v>1903</v>
      </c>
      <c r="F4032" s="679">
        <v>2322</v>
      </c>
      <c r="G4032" s="675" t="s">
        <v>4926</v>
      </c>
      <c r="H4032" s="701"/>
      <c r="I4032" s="701">
        <v>426.35999999999996</v>
      </c>
      <c r="J4032" s="1494" t="s">
        <v>1134</v>
      </c>
      <c r="K4032" s="661"/>
      <c r="L4032" s="659"/>
      <c r="M4032" s="660">
        <v>369.59999999999997</v>
      </c>
      <c r="N4032" s="1490"/>
    </row>
    <row r="4033" spans="1:14" ht="30.6">
      <c r="A4033" s="663"/>
      <c r="B4033" s="700" t="s">
        <v>772</v>
      </c>
      <c r="C4033" s="663" t="s">
        <v>322</v>
      </c>
      <c r="D4033" s="678" t="s">
        <v>1977</v>
      </c>
      <c r="E4033" s="700" t="s">
        <v>1903</v>
      </c>
      <c r="F4033" s="679">
        <v>2322</v>
      </c>
      <c r="G4033" s="675" t="s">
        <v>4935</v>
      </c>
      <c r="H4033" s="701"/>
      <c r="I4033" s="701">
        <v>142.12</v>
      </c>
      <c r="J4033" s="1494" t="s">
        <v>1134</v>
      </c>
      <c r="K4033" s="661"/>
      <c r="L4033" s="659"/>
      <c r="M4033" s="660">
        <v>123.19999999999999</v>
      </c>
      <c r="N4033" s="1490"/>
    </row>
    <row r="4034" spans="1:14" ht="30.6">
      <c r="A4034" s="663"/>
      <c r="B4034" s="700" t="s">
        <v>772</v>
      </c>
      <c r="C4034" s="663" t="s">
        <v>322</v>
      </c>
      <c r="D4034" s="678" t="s">
        <v>1977</v>
      </c>
      <c r="E4034" s="700" t="s">
        <v>1903</v>
      </c>
      <c r="F4034" s="679">
        <v>2322</v>
      </c>
      <c r="G4034" s="675" t="s">
        <v>4936</v>
      </c>
      <c r="H4034" s="701"/>
      <c r="I4034" s="701">
        <v>142.12</v>
      </c>
      <c r="J4034" s="1494" t="s">
        <v>1134</v>
      </c>
      <c r="K4034" s="661"/>
      <c r="L4034" s="659"/>
      <c r="M4034" s="660">
        <v>123.19999999999999</v>
      </c>
      <c r="N4034" s="1490"/>
    </row>
    <row r="4035" spans="1:14" ht="30.6">
      <c r="A4035" s="663"/>
      <c r="B4035" s="700" t="s">
        <v>772</v>
      </c>
      <c r="C4035" s="663" t="s">
        <v>322</v>
      </c>
      <c r="D4035" s="678" t="s">
        <v>1977</v>
      </c>
      <c r="E4035" s="700" t="s">
        <v>1903</v>
      </c>
      <c r="F4035" s="679">
        <v>2322</v>
      </c>
      <c r="G4035" s="675" t="s">
        <v>4937</v>
      </c>
      <c r="H4035" s="701"/>
      <c r="I4035" s="701">
        <v>142.12</v>
      </c>
      <c r="J4035" s="1494" t="s">
        <v>1134</v>
      </c>
      <c r="K4035" s="661"/>
      <c r="L4035" s="659"/>
      <c r="M4035" s="660">
        <v>123.19999999999999</v>
      </c>
      <c r="N4035" s="75"/>
    </row>
    <row r="4036" spans="1:14" ht="30.6">
      <c r="A4036" s="663"/>
      <c r="B4036" s="700" t="s">
        <v>772</v>
      </c>
      <c r="C4036" s="663" t="s">
        <v>322</v>
      </c>
      <c r="D4036" s="678" t="s">
        <v>1977</v>
      </c>
      <c r="E4036" s="700" t="s">
        <v>1903</v>
      </c>
      <c r="F4036" s="679">
        <v>2322</v>
      </c>
      <c r="G4036" s="675" t="s">
        <v>4938</v>
      </c>
      <c r="H4036" s="701"/>
      <c r="I4036" s="701">
        <v>142.12</v>
      </c>
      <c r="J4036" s="1494" t="s">
        <v>1134</v>
      </c>
      <c r="K4036" s="661"/>
      <c r="L4036" s="659"/>
      <c r="M4036" s="660">
        <v>123.19999999999999</v>
      </c>
      <c r="N4036" s="75"/>
    </row>
    <row r="4037" spans="1:14" ht="11.4" customHeight="1">
      <c r="A4037" s="2679"/>
      <c r="B4037" s="700" t="s">
        <v>772</v>
      </c>
      <c r="C4037" s="663" t="s">
        <v>322</v>
      </c>
      <c r="D4037" s="678" t="s">
        <v>1977</v>
      </c>
      <c r="E4037" s="700" t="s">
        <v>1903</v>
      </c>
      <c r="F4037" s="679">
        <v>2322</v>
      </c>
      <c r="G4037" s="2723" t="s">
        <v>4939</v>
      </c>
      <c r="H4037" s="2615"/>
      <c r="I4037" s="2615"/>
      <c r="J4037" s="2607"/>
      <c r="K4037" s="2608"/>
      <c r="L4037" s="2609"/>
      <c r="M4037" s="660">
        <v>123.19999999999999</v>
      </c>
      <c r="N4037" s="75"/>
    </row>
    <row r="4038" spans="1:14" ht="30.6">
      <c r="A4038" s="663"/>
      <c r="B4038" s="700" t="s">
        <v>772</v>
      </c>
      <c r="C4038" s="663" t="s">
        <v>322</v>
      </c>
      <c r="D4038" s="678" t="s">
        <v>1977</v>
      </c>
      <c r="E4038" s="700" t="s">
        <v>1903</v>
      </c>
      <c r="F4038" s="679">
        <v>2322</v>
      </c>
      <c r="G4038" s="675" t="s">
        <v>4940</v>
      </c>
      <c r="H4038" s="701"/>
      <c r="I4038" s="701">
        <v>426.35999999999996</v>
      </c>
      <c r="J4038" s="1494" t="s">
        <v>1134</v>
      </c>
      <c r="K4038" s="661"/>
      <c r="L4038" s="659"/>
      <c r="M4038" s="660">
        <v>369.59999999999997</v>
      </c>
      <c r="N4038" s="75"/>
    </row>
    <row r="4039" spans="1:14">
      <c r="A4039" s="683"/>
      <c r="B4039" s="720" t="s">
        <v>772</v>
      </c>
      <c r="C4039" s="683" t="s">
        <v>322</v>
      </c>
      <c r="D4039" s="684" t="s">
        <v>1977</v>
      </c>
      <c r="E4039" s="1775" t="s">
        <v>1903</v>
      </c>
      <c r="F4039" s="685">
        <v>2350</v>
      </c>
      <c r="G4039" s="686" t="s">
        <v>133</v>
      </c>
      <c r="H4039" s="706">
        <v>500</v>
      </c>
      <c r="I4039" s="706"/>
      <c r="J4039" s="1494">
        <v>353</v>
      </c>
      <c r="K4039" s="690"/>
      <c r="L4039" s="689">
        <v>500</v>
      </c>
      <c r="M4039" s="689"/>
      <c r="N4039" s="75"/>
    </row>
    <row r="4040" spans="1:14" ht="11.4" customHeight="1">
      <c r="A4040" s="603"/>
      <c r="B4040" s="700" t="s">
        <v>772</v>
      </c>
      <c r="C4040" s="663" t="s">
        <v>322</v>
      </c>
      <c r="D4040" s="678" t="s">
        <v>1977</v>
      </c>
      <c r="E4040" s="700" t="s">
        <v>1903</v>
      </c>
      <c r="F4040" s="679">
        <v>2350</v>
      </c>
      <c r="G4040" s="1796" t="s">
        <v>3627</v>
      </c>
      <c r="H4040" s="1165"/>
      <c r="I4040" s="1438">
        <v>500</v>
      </c>
      <c r="J4040" s="1494" t="s">
        <v>1134</v>
      </c>
      <c r="K4040" s="646"/>
      <c r="L4040" s="1130"/>
      <c r="M4040" s="1787">
        <v>500</v>
      </c>
      <c r="N4040" s="75"/>
    </row>
    <row r="4041" spans="1:14">
      <c r="A4041" s="683"/>
      <c r="B4041" s="3136" t="s">
        <v>773</v>
      </c>
      <c r="C4041" s="683" t="s">
        <v>369</v>
      </c>
      <c r="D4041" s="684" t="s">
        <v>1977</v>
      </c>
      <c r="E4041" s="1775" t="s">
        <v>1903</v>
      </c>
      <c r="F4041" s="685">
        <v>2390</v>
      </c>
      <c r="G4041" s="686" t="s">
        <v>135</v>
      </c>
      <c r="H4041" s="706">
        <v>1560</v>
      </c>
      <c r="I4041" s="706"/>
      <c r="J4041" s="1494">
        <v>360</v>
      </c>
      <c r="K4041" s="690"/>
      <c r="L4041" s="689">
        <v>1420</v>
      </c>
      <c r="M4041" s="687"/>
      <c r="N4041" s="75"/>
    </row>
    <row r="4042" spans="1:14" ht="40.799999999999997">
      <c r="A4042" s="663" t="s">
        <v>921</v>
      </c>
      <c r="B4042" s="3130" t="s">
        <v>773</v>
      </c>
      <c r="C4042" s="663" t="s">
        <v>369</v>
      </c>
      <c r="D4042" s="678" t="s">
        <v>1977</v>
      </c>
      <c r="E4042" s="700" t="s">
        <v>1903</v>
      </c>
      <c r="F4042" s="679">
        <v>2390</v>
      </c>
      <c r="G4042" s="1671" t="s">
        <v>2731</v>
      </c>
      <c r="H4042" s="1672"/>
      <c r="I4042" s="1672">
        <v>870</v>
      </c>
      <c r="J4042" s="1673" t="s">
        <v>1134</v>
      </c>
      <c r="K4042" s="1674"/>
      <c r="L4042" s="1675"/>
      <c r="M4042" s="1776">
        <v>870</v>
      </c>
      <c r="N4042" s="75"/>
    </row>
    <row r="4043" spans="1:14" ht="40.799999999999997">
      <c r="A4043" s="663" t="s">
        <v>922</v>
      </c>
      <c r="B4043" s="3130" t="s">
        <v>773</v>
      </c>
      <c r="C4043" s="663" t="s">
        <v>369</v>
      </c>
      <c r="D4043" s="678" t="s">
        <v>1977</v>
      </c>
      <c r="E4043" s="700" t="s">
        <v>1903</v>
      </c>
      <c r="F4043" s="679">
        <v>2390</v>
      </c>
      <c r="G4043" s="1671" t="s">
        <v>2732</v>
      </c>
      <c r="H4043" s="1672"/>
      <c r="I4043" s="1672">
        <v>540</v>
      </c>
      <c r="J4043" s="1673" t="s">
        <v>1134</v>
      </c>
      <c r="K4043" s="1674"/>
      <c r="L4043" s="1675"/>
      <c r="M4043" s="1776">
        <v>550</v>
      </c>
      <c r="N4043" s="75"/>
    </row>
    <row r="4044" spans="1:14" ht="30.6">
      <c r="A4044" s="663" t="s">
        <v>922</v>
      </c>
      <c r="B4044" s="3130" t="s">
        <v>773</v>
      </c>
      <c r="C4044" s="663" t="s">
        <v>369</v>
      </c>
      <c r="D4044" s="678" t="s">
        <v>1977</v>
      </c>
      <c r="E4044" s="700" t="s">
        <v>1903</v>
      </c>
      <c r="F4044" s="679">
        <v>2390</v>
      </c>
      <c r="G4044" s="1671" t="s">
        <v>2733</v>
      </c>
      <c r="H4044" s="1672"/>
      <c r="I4044" s="1672">
        <v>150</v>
      </c>
      <c r="J4044" s="1673" t="s">
        <v>1134</v>
      </c>
      <c r="K4044" s="1674"/>
      <c r="L4044" s="1675"/>
      <c r="M4044" s="1675"/>
      <c r="N4044" s="75"/>
    </row>
    <row r="4045" spans="1:14" ht="20.399999999999999">
      <c r="A4045" s="929"/>
      <c r="B4045" s="3136" t="s">
        <v>773</v>
      </c>
      <c r="C4045" s="929" t="s">
        <v>369</v>
      </c>
      <c r="D4045" s="684" t="s">
        <v>1977</v>
      </c>
      <c r="E4045" s="1775" t="s">
        <v>1903</v>
      </c>
      <c r="F4045" s="685">
        <v>2519</v>
      </c>
      <c r="G4045" s="686" t="s">
        <v>780</v>
      </c>
      <c r="H4045" s="706">
        <v>186</v>
      </c>
      <c r="I4045" s="706"/>
      <c r="J4045" s="1494">
        <v>135</v>
      </c>
      <c r="K4045" s="690"/>
      <c r="L4045" s="689">
        <v>0</v>
      </c>
      <c r="M4045" s="689"/>
      <c r="N4045" s="75"/>
    </row>
    <row r="4046" spans="1:14" ht="30.6">
      <c r="A4046" s="603"/>
      <c r="B4046" s="3130" t="s">
        <v>773</v>
      </c>
      <c r="C4046" s="663" t="s">
        <v>320</v>
      </c>
      <c r="D4046" s="678" t="s">
        <v>1977</v>
      </c>
      <c r="E4046" s="700" t="s">
        <v>1903</v>
      </c>
      <c r="F4046" s="679">
        <v>2519</v>
      </c>
      <c r="G4046" s="1129" t="s">
        <v>3040</v>
      </c>
      <c r="H4046" s="1165"/>
      <c r="I4046" s="1438">
        <v>186</v>
      </c>
      <c r="J4046" s="1494" t="s">
        <v>1134</v>
      </c>
      <c r="K4046" s="646"/>
      <c r="L4046" s="1130"/>
      <c r="M4046" s="1787"/>
      <c r="N4046" s="1490"/>
    </row>
    <row r="4047" spans="1:14">
      <c r="A4047" s="929"/>
      <c r="B4047" s="3136" t="s">
        <v>773</v>
      </c>
      <c r="C4047" s="929" t="s">
        <v>369</v>
      </c>
      <c r="D4047" s="684" t="s">
        <v>1977</v>
      </c>
      <c r="E4047" s="1775" t="s">
        <v>1903</v>
      </c>
      <c r="F4047" s="685">
        <v>3262</v>
      </c>
      <c r="G4047" s="686" t="s">
        <v>446</v>
      </c>
      <c r="H4047" s="706">
        <v>26200</v>
      </c>
      <c r="I4047" s="706"/>
      <c r="J4047" s="1494">
        <v>0</v>
      </c>
      <c r="K4047" s="690"/>
      <c r="L4047" s="689">
        <v>41500</v>
      </c>
      <c r="M4047" s="687"/>
      <c r="N4047" s="1490"/>
    </row>
    <row r="4048" spans="1:14" ht="30.6">
      <c r="A4048" s="663"/>
      <c r="B4048" s="3130" t="s">
        <v>773</v>
      </c>
      <c r="C4048" s="663" t="s">
        <v>369</v>
      </c>
      <c r="D4048" s="678" t="s">
        <v>1977</v>
      </c>
      <c r="E4048" s="700" t="s">
        <v>1903</v>
      </c>
      <c r="F4048" s="679">
        <v>3262</v>
      </c>
      <c r="G4048" s="1671" t="s">
        <v>3629</v>
      </c>
      <c r="H4048" s="1672"/>
      <c r="I4048" s="1672">
        <v>9000</v>
      </c>
      <c r="J4048" s="1673" t="s">
        <v>1134</v>
      </c>
      <c r="K4048" s="1674"/>
      <c r="L4048" s="1776"/>
      <c r="M4048" s="1776">
        <v>6000</v>
      </c>
      <c r="N4048" s="1490"/>
    </row>
    <row r="4049" spans="1:17" ht="20.399999999999999">
      <c r="A4049" s="2679"/>
      <c r="B4049" s="3130" t="s">
        <v>773</v>
      </c>
      <c r="C4049" s="663" t="s">
        <v>369</v>
      </c>
      <c r="D4049" s="678" t="s">
        <v>1977</v>
      </c>
      <c r="E4049" s="700" t="s">
        <v>1903</v>
      </c>
      <c r="F4049" s="679">
        <v>3262</v>
      </c>
      <c r="G4049" s="2694" t="s">
        <v>5004</v>
      </c>
      <c r="H4049" s="2615"/>
      <c r="I4049" s="2615">
        <v>-4800</v>
      </c>
      <c r="J4049" s="2607"/>
      <c r="K4049" s="2608"/>
      <c r="L4049" s="2799"/>
      <c r="M4049" s="2799"/>
      <c r="N4049" s="1490"/>
    </row>
    <row r="4050" spans="1:17" ht="30.6">
      <c r="A4050" s="663"/>
      <c r="B4050" s="3130" t="s">
        <v>773</v>
      </c>
      <c r="C4050" s="663" t="s">
        <v>369</v>
      </c>
      <c r="D4050" s="678" t="s">
        <v>1977</v>
      </c>
      <c r="E4050" s="700" t="s">
        <v>1903</v>
      </c>
      <c r="F4050" s="679">
        <v>3262</v>
      </c>
      <c r="G4050" s="1671" t="s">
        <v>3630</v>
      </c>
      <c r="H4050" s="1672"/>
      <c r="I4050" s="1672">
        <v>18000</v>
      </c>
      <c r="J4050" s="1673" t="s">
        <v>1134</v>
      </c>
      <c r="K4050" s="1674"/>
      <c r="L4050" s="1776"/>
      <c r="M4050" s="1776">
        <v>12000</v>
      </c>
      <c r="N4050" s="1490"/>
    </row>
    <row r="4051" spans="1:17">
      <c r="A4051" s="1263"/>
      <c r="B4051" s="3130" t="s">
        <v>773</v>
      </c>
      <c r="C4051" s="663" t="s">
        <v>369</v>
      </c>
      <c r="D4051" s="678" t="s">
        <v>1977</v>
      </c>
      <c r="E4051" s="700" t="s">
        <v>1903</v>
      </c>
      <c r="F4051" s="679">
        <v>3262</v>
      </c>
      <c r="G4051" s="1671" t="s">
        <v>2844</v>
      </c>
      <c r="H4051" s="1672"/>
      <c r="I4051" s="1672">
        <v>4000</v>
      </c>
      <c r="J4051" s="1673" t="s">
        <v>1134</v>
      </c>
      <c r="K4051" s="1674"/>
      <c r="L4051" s="1776"/>
      <c r="M4051" s="3241">
        <v>10000</v>
      </c>
      <c r="N4051" s="1490"/>
    </row>
    <row r="4052" spans="1:17">
      <c r="A4052" s="1669"/>
      <c r="B4052" s="3130" t="s">
        <v>773</v>
      </c>
      <c r="C4052" s="663" t="s">
        <v>369</v>
      </c>
      <c r="D4052" s="678" t="s">
        <v>1977</v>
      </c>
      <c r="E4052" s="700" t="s">
        <v>1903</v>
      </c>
      <c r="F4052" s="679">
        <v>3262</v>
      </c>
      <c r="G4052" s="1671" t="s">
        <v>3631</v>
      </c>
      <c r="H4052" s="1672"/>
      <c r="I4052" s="1672"/>
      <c r="J4052" s="1673"/>
      <c r="K4052" s="1674"/>
      <c r="L4052" s="1776"/>
      <c r="M4052" s="1792">
        <v>0</v>
      </c>
      <c r="N4052" s="1490"/>
    </row>
    <row r="4053" spans="1:17">
      <c r="A4053" s="1669"/>
      <c r="B4053" s="3130" t="s">
        <v>773</v>
      </c>
      <c r="C4053" s="663" t="s">
        <v>369</v>
      </c>
      <c r="D4053" s="678" t="s">
        <v>1977</v>
      </c>
      <c r="E4053" s="700" t="s">
        <v>1903</v>
      </c>
      <c r="F4053" s="679">
        <v>3262</v>
      </c>
      <c r="G4053" s="1671" t="s">
        <v>3633</v>
      </c>
      <c r="H4053" s="1672"/>
      <c r="I4053" s="1672"/>
      <c r="J4053" s="1673"/>
      <c r="K4053" s="1674"/>
      <c r="L4053" s="1776"/>
      <c r="M4053" s="1776">
        <v>13500</v>
      </c>
      <c r="N4053" s="1490"/>
    </row>
    <row r="4054" spans="1:17" ht="20.399999999999999">
      <c r="A4054" s="683"/>
      <c r="B4054" s="3129" t="s">
        <v>773</v>
      </c>
      <c r="C4054" s="683" t="s">
        <v>324</v>
      </c>
      <c r="D4054" s="684" t="s">
        <v>1977</v>
      </c>
      <c r="E4054" s="1775" t="s">
        <v>1903</v>
      </c>
      <c r="F4054" s="685">
        <v>5120</v>
      </c>
      <c r="G4054" s="686" t="s">
        <v>588</v>
      </c>
      <c r="H4054" s="706">
        <v>6295</v>
      </c>
      <c r="I4054" s="706"/>
      <c r="J4054" s="1494">
        <v>6243.6</v>
      </c>
      <c r="K4054" s="690"/>
      <c r="L4054" s="689">
        <v>0</v>
      </c>
      <c r="M4054" s="689"/>
      <c r="N4054" s="1490"/>
    </row>
    <row r="4055" spans="1:17" ht="30.6">
      <c r="A4055" s="1263"/>
      <c r="B4055" s="3130" t="s">
        <v>773</v>
      </c>
      <c r="C4055" s="663" t="s">
        <v>324</v>
      </c>
      <c r="D4055" s="678" t="s">
        <v>1977</v>
      </c>
      <c r="E4055" s="700" t="s">
        <v>1903</v>
      </c>
      <c r="F4055" s="679">
        <v>5120</v>
      </c>
      <c r="G4055" s="1264" t="s">
        <v>2860</v>
      </c>
      <c r="H4055" s="1265"/>
      <c r="I4055" s="1265">
        <v>8295</v>
      </c>
      <c r="J4055" s="1494" t="s">
        <v>1134</v>
      </c>
      <c r="K4055" s="1267"/>
      <c r="L4055" s="1260"/>
      <c r="M4055" s="1260"/>
      <c r="N4055" s="1490"/>
    </row>
    <row r="4056" spans="1:17" ht="40.799999999999997">
      <c r="A4056" s="1263"/>
      <c r="B4056" s="3130" t="s">
        <v>773</v>
      </c>
      <c r="C4056" s="663" t="s">
        <v>324</v>
      </c>
      <c r="D4056" s="678" t="s">
        <v>1977</v>
      </c>
      <c r="E4056" s="700" t="s">
        <v>1903</v>
      </c>
      <c r="F4056" s="679">
        <v>5120</v>
      </c>
      <c r="G4056" s="1264" t="s">
        <v>3024</v>
      </c>
      <c r="H4056" s="1265"/>
      <c r="I4056" s="1265">
        <v>-2000</v>
      </c>
      <c r="J4056" s="1494" t="s">
        <v>1134</v>
      </c>
      <c r="K4056" s="1267"/>
      <c r="L4056" s="1260"/>
      <c r="M4056" s="1260"/>
      <c r="N4056" s="1490"/>
    </row>
    <row r="4057" spans="1:17">
      <c r="A4057" s="683"/>
      <c r="B4057" s="720" t="s">
        <v>774</v>
      </c>
      <c r="C4057" s="683" t="s">
        <v>324</v>
      </c>
      <c r="D4057" s="684" t="s">
        <v>1977</v>
      </c>
      <c r="E4057" s="1775" t="s">
        <v>1903</v>
      </c>
      <c r="F4057" s="685">
        <v>5238</v>
      </c>
      <c r="G4057" s="686" t="s">
        <v>139</v>
      </c>
      <c r="H4057" s="706">
        <v>8624</v>
      </c>
      <c r="I4057" s="706"/>
      <c r="J4057" s="1494">
        <v>3824</v>
      </c>
      <c r="K4057" s="690"/>
      <c r="L4057" s="706">
        <v>798</v>
      </c>
      <c r="M4057" s="706"/>
      <c r="N4057" s="1490"/>
    </row>
    <row r="4058" spans="1:17">
      <c r="A4058" s="1649"/>
      <c r="B4058" s="1590" t="s">
        <v>774</v>
      </c>
      <c r="C4058" s="1495" t="s">
        <v>320</v>
      </c>
      <c r="D4058" s="1561" t="s">
        <v>1977</v>
      </c>
      <c r="E4058" s="1590" t="s">
        <v>1903</v>
      </c>
      <c r="F4058" s="1574">
        <v>5238</v>
      </c>
      <c r="G4058" s="1650" t="s">
        <v>5346</v>
      </c>
      <c r="H4058" s="1557"/>
      <c r="I4058" s="1557"/>
      <c r="J4058" s="1557"/>
      <c r="K4058" s="1558"/>
      <c r="L4058" s="1557"/>
      <c r="M4058" s="1557">
        <v>798</v>
      </c>
      <c r="N4058" s="75"/>
    </row>
    <row r="4059" spans="1:17" ht="51">
      <c r="A4059" s="1649"/>
      <c r="B4059" s="1590" t="s">
        <v>774</v>
      </c>
      <c r="C4059" s="1495" t="s">
        <v>320</v>
      </c>
      <c r="D4059" s="1561" t="s">
        <v>1977</v>
      </c>
      <c r="E4059" s="1590" t="s">
        <v>1903</v>
      </c>
      <c r="F4059" s="1574">
        <v>5238</v>
      </c>
      <c r="G4059" s="1650" t="s">
        <v>3451</v>
      </c>
      <c r="H4059" s="1557"/>
      <c r="I4059" s="1557">
        <v>2264</v>
      </c>
      <c r="J4059" s="1557"/>
      <c r="K4059" s="1558"/>
      <c r="L4059" s="1557"/>
      <c r="M4059" s="1557"/>
      <c r="N4059" s="75"/>
    </row>
    <row r="4060" spans="1:17" ht="51">
      <c r="A4060" s="663"/>
      <c r="B4060" s="700" t="s">
        <v>774</v>
      </c>
      <c r="C4060" s="663" t="s">
        <v>320</v>
      </c>
      <c r="D4060" s="678" t="s">
        <v>1977</v>
      </c>
      <c r="E4060" s="700" t="s">
        <v>1903</v>
      </c>
      <c r="F4060" s="795">
        <v>5238</v>
      </c>
      <c r="G4060" s="750" t="s">
        <v>3455</v>
      </c>
      <c r="H4060" s="701"/>
      <c r="I4060" s="701">
        <v>1560</v>
      </c>
      <c r="J4060" s="1494" t="s">
        <v>1134</v>
      </c>
      <c r="K4060" s="792"/>
      <c r="L4060" s="701"/>
      <c r="M4060" s="701"/>
      <c r="N4060" s="75" t="s">
        <v>1524</v>
      </c>
    </row>
    <row r="4061" spans="1:17" ht="20.399999999999999">
      <c r="A4061" s="2679"/>
      <c r="B4061" s="700" t="s">
        <v>774</v>
      </c>
      <c r="C4061" s="663" t="s">
        <v>320</v>
      </c>
      <c r="D4061" s="678" t="s">
        <v>1977</v>
      </c>
      <c r="E4061" s="700" t="s">
        <v>1903</v>
      </c>
      <c r="F4061" s="795">
        <v>5238</v>
      </c>
      <c r="G4061" s="2694" t="s">
        <v>5004</v>
      </c>
      <c r="H4061" s="2615"/>
      <c r="I4061" s="2615">
        <v>4800</v>
      </c>
      <c r="J4061" s="2607"/>
      <c r="K4061" s="2608"/>
      <c r="L4061" s="2799"/>
      <c r="M4061" s="2799"/>
      <c r="N4061" s="1610"/>
    </row>
    <row r="4062" spans="1:17">
      <c r="A4062" s="683"/>
      <c r="B4062" s="720" t="s">
        <v>774</v>
      </c>
      <c r="C4062" s="683" t="s">
        <v>324</v>
      </c>
      <c r="D4062" s="684" t="s">
        <v>1977</v>
      </c>
      <c r="E4062" s="1775" t="s">
        <v>1903</v>
      </c>
      <c r="F4062" s="685">
        <v>5239</v>
      </c>
      <c r="G4062" s="686" t="s">
        <v>138</v>
      </c>
      <c r="H4062" s="706">
        <v>4136</v>
      </c>
      <c r="I4062" s="706"/>
      <c r="J4062" s="1494">
        <v>3136.32</v>
      </c>
      <c r="K4062" s="690"/>
      <c r="L4062" s="689">
        <v>4000</v>
      </c>
      <c r="M4062" s="687"/>
      <c r="N4062" s="1490"/>
      <c r="O4062" s="7"/>
      <c r="P4062" s="7"/>
      <c r="Q4062" s="7"/>
    </row>
    <row r="4063" spans="1:17">
      <c r="A4063" s="663"/>
      <c r="B4063" s="700" t="s">
        <v>774</v>
      </c>
      <c r="C4063" s="663" t="s">
        <v>324</v>
      </c>
      <c r="D4063" s="678" t="s">
        <v>1977</v>
      </c>
      <c r="E4063" s="700" t="s">
        <v>1903</v>
      </c>
      <c r="F4063" s="679">
        <v>5239</v>
      </c>
      <c r="G4063" s="1671" t="s">
        <v>1523</v>
      </c>
      <c r="H4063" s="1672"/>
      <c r="I4063" s="1672">
        <v>1000</v>
      </c>
      <c r="J4063" s="1673" t="s">
        <v>1134</v>
      </c>
      <c r="K4063" s="1674"/>
      <c r="L4063" s="1675"/>
      <c r="M4063" s="1776">
        <v>1000</v>
      </c>
      <c r="N4063" s="75"/>
      <c r="O4063" s="7"/>
      <c r="P4063" s="7"/>
      <c r="Q4063" s="7"/>
    </row>
    <row r="4064" spans="1:17">
      <c r="A4064" s="603"/>
      <c r="B4064" s="700" t="s">
        <v>774</v>
      </c>
      <c r="C4064" s="663" t="s">
        <v>324</v>
      </c>
      <c r="D4064" s="678" t="s">
        <v>1977</v>
      </c>
      <c r="E4064" s="700" t="s">
        <v>1903</v>
      </c>
      <c r="F4064" s="679">
        <v>5239</v>
      </c>
      <c r="G4064" s="1671" t="s">
        <v>3637</v>
      </c>
      <c r="H4064" s="1779"/>
      <c r="I4064" s="1780">
        <v>3136</v>
      </c>
      <c r="J4064" s="1673" t="s">
        <v>1134</v>
      </c>
      <c r="K4064" s="1781"/>
      <c r="L4064" s="1782"/>
      <c r="M4064" s="1783">
        <v>3000</v>
      </c>
      <c r="N4064" s="75" t="s">
        <v>1700</v>
      </c>
      <c r="O4064" s="7"/>
      <c r="P4064" s="7"/>
      <c r="Q4064" s="7"/>
    </row>
    <row r="4065" spans="1:32">
      <c r="A4065" s="683"/>
      <c r="B4065" s="3129" t="s">
        <v>773</v>
      </c>
      <c r="C4065" s="683" t="s">
        <v>324</v>
      </c>
      <c r="D4065" s="684" t="s">
        <v>1977</v>
      </c>
      <c r="E4065" s="1775" t="s">
        <v>1903</v>
      </c>
      <c r="F4065" s="685">
        <v>5239</v>
      </c>
      <c r="G4065" s="686" t="s">
        <v>138</v>
      </c>
      <c r="H4065" s="706"/>
      <c r="I4065" s="706"/>
      <c r="J4065" s="1494"/>
      <c r="K4065" s="690"/>
      <c r="L4065" s="689">
        <v>20000</v>
      </c>
      <c r="M4065" s="687"/>
      <c r="N4065" s="75"/>
      <c r="O4065" s="7"/>
      <c r="P4065" s="7"/>
      <c r="Q4065" s="7"/>
    </row>
    <row r="4066" spans="1:32">
      <c r="A4066" s="663"/>
      <c r="B4066" s="3130" t="s">
        <v>773</v>
      </c>
      <c r="C4066" s="663" t="s">
        <v>324</v>
      </c>
      <c r="D4066" s="678" t="s">
        <v>1977</v>
      </c>
      <c r="E4066" s="700" t="s">
        <v>1903</v>
      </c>
      <c r="F4066" s="679">
        <v>5239</v>
      </c>
      <c r="G4066" s="1671" t="s">
        <v>1523</v>
      </c>
      <c r="H4066" s="1672"/>
      <c r="I4066" s="1672"/>
      <c r="J4066" s="1673"/>
      <c r="K4066" s="1674"/>
      <c r="L4066" s="1675"/>
      <c r="M4066" s="3241">
        <v>20000</v>
      </c>
      <c r="N4066" s="75"/>
      <c r="O4066" s="7"/>
      <c r="P4066" s="7"/>
      <c r="Q4066" s="7"/>
    </row>
    <row r="4067" spans="1:32">
      <c r="A4067" s="683"/>
      <c r="B4067" s="3129" t="s">
        <v>365</v>
      </c>
      <c r="C4067" s="683" t="s">
        <v>325</v>
      </c>
      <c r="D4067" s="684" t="s">
        <v>1977</v>
      </c>
      <c r="E4067" s="1775" t="s">
        <v>1903</v>
      </c>
      <c r="F4067" s="685">
        <v>5240</v>
      </c>
      <c r="G4067" s="686" t="s">
        <v>197</v>
      </c>
      <c r="H4067" s="706">
        <v>29687</v>
      </c>
      <c r="I4067" s="706"/>
      <c r="J4067" s="1494">
        <v>0</v>
      </c>
      <c r="K4067" s="690"/>
      <c r="L4067" s="689">
        <v>0</v>
      </c>
      <c r="M4067" s="689"/>
      <c r="N4067" s="75"/>
      <c r="O4067" s="7"/>
      <c r="P4067" s="7"/>
      <c r="Q4067" s="7"/>
    </row>
    <row r="4068" spans="1:32" ht="30.6">
      <c r="A4068" s="663"/>
      <c r="B4068" s="3130" t="s">
        <v>365</v>
      </c>
      <c r="C4068" s="663" t="s">
        <v>325</v>
      </c>
      <c r="D4068" s="678" t="s">
        <v>1977</v>
      </c>
      <c r="E4068" s="700" t="s">
        <v>1903</v>
      </c>
      <c r="F4068" s="679">
        <v>5240</v>
      </c>
      <c r="G4068" s="664" t="s">
        <v>1699</v>
      </c>
      <c r="H4068" s="701"/>
      <c r="I4068" s="701">
        <v>10622</v>
      </c>
      <c r="J4068" s="1494" t="s">
        <v>1134</v>
      </c>
      <c r="K4068" s="661"/>
      <c r="L4068" s="660"/>
      <c r="M4068" s="660"/>
      <c r="N4068" s="75"/>
      <c r="O4068" s="7"/>
      <c r="P4068" s="7"/>
      <c r="Q4068" s="7"/>
    </row>
    <row r="4069" spans="1:32" ht="20.399999999999999">
      <c r="A4069" s="663"/>
      <c r="B4069" s="3130" t="s">
        <v>365</v>
      </c>
      <c r="C4069" s="663" t="s">
        <v>325</v>
      </c>
      <c r="D4069" s="678" t="s">
        <v>1977</v>
      </c>
      <c r="E4069" s="700" t="s">
        <v>1903</v>
      </c>
      <c r="F4069" s="679">
        <v>5240</v>
      </c>
      <c r="G4069" s="664" t="s">
        <v>2890</v>
      </c>
      <c r="H4069" s="701"/>
      <c r="I4069" s="701">
        <v>19065</v>
      </c>
      <c r="J4069" s="1494" t="s">
        <v>1134</v>
      </c>
      <c r="K4069" s="661"/>
      <c r="L4069" s="660"/>
      <c r="M4069" s="660"/>
      <c r="N4069" s="75"/>
      <c r="O4069" s="7"/>
      <c r="P4069" s="7"/>
      <c r="Q4069" s="7"/>
    </row>
    <row r="4070" spans="1:32">
      <c r="A4070" s="683"/>
      <c r="B4070" s="3129" t="s">
        <v>773</v>
      </c>
      <c r="C4070" s="683" t="s">
        <v>325</v>
      </c>
      <c r="D4070" s="684" t="s">
        <v>1977</v>
      </c>
      <c r="E4070" s="1775" t="s">
        <v>1903</v>
      </c>
      <c r="F4070" s="685">
        <v>5240</v>
      </c>
      <c r="G4070" s="686" t="s">
        <v>197</v>
      </c>
      <c r="H4070" s="706">
        <v>5213</v>
      </c>
      <c r="I4070" s="706"/>
      <c r="J4070" s="1494">
        <v>5212</v>
      </c>
      <c r="K4070" s="690"/>
      <c r="L4070" s="689">
        <v>987119.77750000008</v>
      </c>
      <c r="M4070" s="689"/>
      <c r="N4070" s="75"/>
      <c r="O4070" s="7"/>
      <c r="P4070" s="7"/>
      <c r="Q4070" s="7"/>
    </row>
    <row r="4071" spans="1:32" ht="30.6">
      <c r="A4071" s="668"/>
      <c r="B4071" s="3144" t="s">
        <v>773</v>
      </c>
      <c r="C4071" s="668" t="s">
        <v>325</v>
      </c>
      <c r="D4071" s="669" t="s">
        <v>1977</v>
      </c>
      <c r="E4071" s="670" t="s">
        <v>1903</v>
      </c>
      <c r="F4071" s="671">
        <v>5240</v>
      </c>
      <c r="G4071" s="717" t="s">
        <v>5197</v>
      </c>
      <c r="H4071" s="705"/>
      <c r="I4071" s="705">
        <v>4236</v>
      </c>
      <c r="J4071" s="1494"/>
      <c r="K4071" s="730"/>
      <c r="L4071" s="672"/>
      <c r="M4071" s="672">
        <v>768794.7790000001</v>
      </c>
      <c r="N4071" s="75"/>
    </row>
    <row r="4072" spans="1:32" ht="30.6">
      <c r="A4072" s="668"/>
      <c r="B4072" s="3144" t="s">
        <v>773</v>
      </c>
      <c r="C4072" s="668" t="s">
        <v>325</v>
      </c>
      <c r="D4072" s="669" t="s">
        <v>1977</v>
      </c>
      <c r="E4072" s="670" t="s">
        <v>1903</v>
      </c>
      <c r="F4072" s="671">
        <v>5240</v>
      </c>
      <c r="G4072" s="717" t="s">
        <v>5198</v>
      </c>
      <c r="H4072" s="705"/>
      <c r="I4072" s="705">
        <v>280</v>
      </c>
      <c r="J4072" s="1494" t="s">
        <v>1134</v>
      </c>
      <c r="K4072" s="730"/>
      <c r="L4072" s="672"/>
      <c r="M4072" s="672">
        <v>218324.99849999999</v>
      </c>
      <c r="N4072" s="75"/>
    </row>
    <row r="4073" spans="1:32" ht="30.6">
      <c r="A4073" s="668"/>
      <c r="B4073" s="3144" t="s">
        <v>773</v>
      </c>
      <c r="C4073" s="668" t="s">
        <v>325</v>
      </c>
      <c r="D4073" s="669" t="s">
        <v>1977</v>
      </c>
      <c r="E4073" s="670" t="s">
        <v>1903</v>
      </c>
      <c r="F4073" s="671">
        <v>5240</v>
      </c>
      <c r="G4073" s="717" t="s">
        <v>3453</v>
      </c>
      <c r="H4073" s="705"/>
      <c r="I4073" s="705">
        <v>197</v>
      </c>
      <c r="J4073" s="1494" t="s">
        <v>1134</v>
      </c>
      <c r="K4073" s="730"/>
      <c r="L4073" s="672"/>
      <c r="M4073" s="672"/>
      <c r="N4073" s="75"/>
      <c r="O4073" s="3"/>
      <c r="P4073" s="3"/>
      <c r="Q4073" s="3"/>
      <c r="R4073" s="3"/>
      <c r="S4073" s="3"/>
      <c r="T4073" s="3"/>
      <c r="U4073" s="3"/>
      <c r="V4073" s="3"/>
      <c r="W4073" s="3"/>
      <c r="X4073" s="3"/>
      <c r="Y4073" s="3"/>
      <c r="Z4073" s="3"/>
      <c r="AA4073" s="3"/>
      <c r="AB4073" s="3"/>
      <c r="AC4073" s="3"/>
      <c r="AD4073" s="3"/>
      <c r="AE4073" s="3"/>
      <c r="AF4073" s="3"/>
    </row>
    <row r="4074" spans="1:32" ht="51">
      <c r="A4074" s="668"/>
      <c r="B4074" s="3144" t="s">
        <v>773</v>
      </c>
      <c r="C4074" s="668" t="s">
        <v>325</v>
      </c>
      <c r="D4074" s="669" t="s">
        <v>1977</v>
      </c>
      <c r="E4074" s="670" t="s">
        <v>1903</v>
      </c>
      <c r="F4074" s="671">
        <v>5240</v>
      </c>
      <c r="G4074" s="717" t="s">
        <v>3454</v>
      </c>
      <c r="H4074" s="705"/>
      <c r="I4074" s="705">
        <v>500</v>
      </c>
      <c r="J4074" s="1494" t="s">
        <v>1134</v>
      </c>
      <c r="K4074" s="730"/>
      <c r="L4074" s="672"/>
      <c r="M4074" s="672"/>
      <c r="N4074" s="75"/>
      <c r="O4074" s="4"/>
      <c r="P4074" s="4"/>
      <c r="Q4074" s="4"/>
      <c r="R4074" s="4"/>
      <c r="S4074" s="4"/>
      <c r="T4074" s="4"/>
      <c r="U4074" s="4"/>
      <c r="V4074" s="4"/>
      <c r="W4074" s="4"/>
      <c r="X4074" s="4"/>
      <c r="Y4074" s="4"/>
      <c r="Z4074" s="4"/>
      <c r="AA4074" s="4"/>
      <c r="AB4074" s="4"/>
      <c r="AC4074" s="4"/>
      <c r="AD4074" s="4"/>
      <c r="AE4074" s="4"/>
      <c r="AF4074" s="4"/>
    </row>
    <row r="4075" spans="1:32">
      <c r="A4075" s="683"/>
      <c r="B4075" s="3129" t="s">
        <v>773</v>
      </c>
      <c r="C4075" s="683" t="s">
        <v>325</v>
      </c>
      <c r="D4075" s="684" t="s">
        <v>1977</v>
      </c>
      <c r="E4075" s="1775" t="s">
        <v>1903</v>
      </c>
      <c r="F4075" s="685">
        <v>5240</v>
      </c>
      <c r="G4075" s="686" t="s">
        <v>197</v>
      </c>
      <c r="H4075" s="706"/>
      <c r="I4075" s="706"/>
      <c r="J4075" s="1494">
        <v>5212</v>
      </c>
      <c r="K4075" s="690"/>
      <c r="L4075" s="689">
        <v>115193.98999999999</v>
      </c>
      <c r="M4075" s="689"/>
      <c r="N4075" s="75"/>
    </row>
    <row r="4076" spans="1:32" ht="20.399999999999999">
      <c r="A4076" s="668"/>
      <c r="B4076" s="3144" t="s">
        <v>773</v>
      </c>
      <c r="C4076" s="668" t="s">
        <v>325</v>
      </c>
      <c r="D4076" s="669" t="s">
        <v>1977</v>
      </c>
      <c r="E4076" s="670" t="s">
        <v>1903</v>
      </c>
      <c r="F4076" s="671">
        <v>5240</v>
      </c>
      <c r="G4076" s="717" t="s">
        <v>5201</v>
      </c>
      <c r="H4076" s="705"/>
      <c r="I4076" s="705"/>
      <c r="J4076" s="1494"/>
      <c r="K4076" s="730"/>
      <c r="L4076" s="672"/>
      <c r="M4076" s="672">
        <v>97352.5</v>
      </c>
      <c r="N4076" s="75"/>
      <c r="O4076" s="4"/>
      <c r="P4076" s="4"/>
      <c r="Q4076" s="4"/>
      <c r="R4076" s="4"/>
      <c r="S4076" s="4"/>
      <c r="T4076" s="4"/>
      <c r="U4076" s="4"/>
      <c r="V4076" s="4"/>
      <c r="W4076" s="4"/>
      <c r="X4076" s="4"/>
      <c r="Y4076" s="4"/>
      <c r="Z4076" s="4"/>
      <c r="AA4076" s="4"/>
      <c r="AB4076" s="4"/>
      <c r="AC4076" s="4"/>
      <c r="AD4076" s="4"/>
      <c r="AE4076" s="4"/>
      <c r="AF4076" s="4"/>
    </row>
    <row r="4077" spans="1:32" ht="20.399999999999999">
      <c r="A4077" s="668"/>
      <c r="B4077" s="3144" t="s">
        <v>773</v>
      </c>
      <c r="C4077" s="668" t="s">
        <v>325</v>
      </c>
      <c r="D4077" s="669" t="s">
        <v>1977</v>
      </c>
      <c r="E4077" s="670" t="s">
        <v>1903</v>
      </c>
      <c r="F4077" s="671">
        <v>5240</v>
      </c>
      <c r="G4077" s="717" t="s">
        <v>5202</v>
      </c>
      <c r="H4077" s="705"/>
      <c r="I4077" s="705"/>
      <c r="J4077" s="1494" t="s">
        <v>1134</v>
      </c>
      <c r="K4077" s="730"/>
      <c r="L4077" s="672"/>
      <c r="M4077" s="672">
        <v>17841.489999999991</v>
      </c>
      <c r="N4077" s="75"/>
    </row>
    <row r="4078" spans="1:32">
      <c r="A4078" s="1575"/>
      <c r="B4078" s="3147" t="s">
        <v>773</v>
      </c>
      <c r="C4078" s="1575" t="s">
        <v>369</v>
      </c>
      <c r="D4078" s="1599" t="s">
        <v>1977</v>
      </c>
      <c r="E4078" s="1600" t="s">
        <v>1903</v>
      </c>
      <c r="F4078" s="1577">
        <v>5250</v>
      </c>
      <c r="G4078" s="1608" t="s">
        <v>295</v>
      </c>
      <c r="H4078" s="1601"/>
      <c r="I4078" s="1601"/>
      <c r="J4078" s="1601"/>
      <c r="K4078" s="1595"/>
      <c r="L4078" s="1601">
        <v>326348.11</v>
      </c>
      <c r="M4078" s="1601"/>
      <c r="N4078" s="75"/>
    </row>
    <row r="4079" spans="1:32" ht="20.399999999999999">
      <c r="A4079" s="1495"/>
      <c r="B4079" s="3158" t="s">
        <v>773</v>
      </c>
      <c r="C4079" s="1602" t="s">
        <v>369</v>
      </c>
      <c r="D4079" s="1603" t="s">
        <v>1977</v>
      </c>
      <c r="E4079" s="1609" t="s">
        <v>1903</v>
      </c>
      <c r="F4079" s="1604">
        <v>5250</v>
      </c>
      <c r="G4079" s="1605" t="s">
        <v>4617</v>
      </c>
      <c r="H4079" s="1606"/>
      <c r="I4079" s="1606"/>
      <c r="J4079" s="1606"/>
      <c r="K4079" s="1607"/>
      <c r="L4079" s="1606"/>
      <c r="M4079" s="1606">
        <v>36542</v>
      </c>
      <c r="N4079" s="75"/>
    </row>
    <row r="4080" spans="1:32" ht="20.399999999999999">
      <c r="A4080" s="1495"/>
      <c r="B4080" s="3158" t="s">
        <v>773</v>
      </c>
      <c r="C4080" s="1602" t="s">
        <v>369</v>
      </c>
      <c r="D4080" s="1603" t="s">
        <v>1977</v>
      </c>
      <c r="E4080" s="1609" t="s">
        <v>1903</v>
      </c>
      <c r="F4080" s="1604">
        <v>5250</v>
      </c>
      <c r="G4080" s="1605" t="s">
        <v>4618</v>
      </c>
      <c r="H4080" s="1606"/>
      <c r="I4080" s="1606"/>
      <c r="J4080" s="1606"/>
      <c r="K4080" s="1607"/>
      <c r="L4080" s="1606"/>
      <c r="M4080" s="1606">
        <v>76315</v>
      </c>
      <c r="N4080" s="75"/>
    </row>
    <row r="4081" spans="1:32" ht="20.399999999999999">
      <c r="A4081" s="1495"/>
      <c r="B4081" s="3158" t="s">
        <v>773</v>
      </c>
      <c r="C4081" s="1602" t="s">
        <v>369</v>
      </c>
      <c r="D4081" s="1603" t="s">
        <v>1977</v>
      </c>
      <c r="E4081" s="1609" t="s">
        <v>1903</v>
      </c>
      <c r="F4081" s="1604">
        <v>5250</v>
      </c>
      <c r="G4081" s="1605" t="s">
        <v>4619</v>
      </c>
      <c r="H4081" s="1606"/>
      <c r="I4081" s="1606"/>
      <c r="J4081" s="1606"/>
      <c r="K4081" s="1607"/>
      <c r="L4081" s="1606"/>
      <c r="M4081" s="1606">
        <v>35684.11</v>
      </c>
      <c r="N4081" s="75"/>
    </row>
    <row r="4082" spans="1:32" ht="20.399999999999999">
      <c r="A4082" s="1495"/>
      <c r="B4082" s="3158" t="s">
        <v>773</v>
      </c>
      <c r="C4082" s="1602" t="s">
        <v>369</v>
      </c>
      <c r="D4082" s="1603" t="s">
        <v>1977</v>
      </c>
      <c r="E4082" s="1609" t="s">
        <v>1903</v>
      </c>
      <c r="F4082" s="1604">
        <v>5250</v>
      </c>
      <c r="G4082" s="1605" t="s">
        <v>5199</v>
      </c>
      <c r="H4082" s="1606"/>
      <c r="I4082" s="1606"/>
      <c r="J4082" s="1606"/>
      <c r="K4082" s="1607"/>
      <c r="L4082" s="1606"/>
      <c r="M4082" s="1606">
        <v>8941</v>
      </c>
      <c r="N4082" s="1490"/>
    </row>
    <row r="4083" spans="1:32" ht="20.399999999999999">
      <c r="A4083" s="1495"/>
      <c r="B4083" s="3158" t="s">
        <v>773</v>
      </c>
      <c r="C4083" s="1602" t="s">
        <v>369</v>
      </c>
      <c r="D4083" s="1603" t="s">
        <v>1977</v>
      </c>
      <c r="E4083" s="1609" t="s">
        <v>1903</v>
      </c>
      <c r="F4083" s="1604">
        <v>5250</v>
      </c>
      <c r="G4083" s="1605" t="s">
        <v>4620</v>
      </c>
      <c r="H4083" s="1606"/>
      <c r="I4083" s="1606"/>
      <c r="J4083" s="1606"/>
      <c r="K4083" s="1607"/>
      <c r="L4083" s="1606"/>
      <c r="M4083" s="1606">
        <v>63719</v>
      </c>
      <c r="N4083" s="1490"/>
    </row>
    <row r="4084" spans="1:32" ht="20.399999999999999">
      <c r="A4084" s="1495"/>
      <c r="B4084" s="3158" t="s">
        <v>773</v>
      </c>
      <c r="C4084" s="1602" t="s">
        <v>369</v>
      </c>
      <c r="D4084" s="1603" t="s">
        <v>1977</v>
      </c>
      <c r="E4084" s="1609" t="s">
        <v>1903</v>
      </c>
      <c r="F4084" s="1604">
        <v>5250</v>
      </c>
      <c r="G4084" s="1605" t="s">
        <v>5200</v>
      </c>
      <c r="H4084" s="1606"/>
      <c r="I4084" s="1606"/>
      <c r="J4084" s="1606"/>
      <c r="K4084" s="1607"/>
      <c r="L4084" s="1606"/>
      <c r="M4084" s="1606">
        <v>7500</v>
      </c>
      <c r="N4084" s="1490"/>
    </row>
    <row r="4085" spans="1:32" ht="20.399999999999999">
      <c r="A4085" s="1495"/>
      <c r="B4085" s="3158" t="s">
        <v>773</v>
      </c>
      <c r="C4085" s="1602" t="s">
        <v>369</v>
      </c>
      <c r="D4085" s="1603" t="s">
        <v>1977</v>
      </c>
      <c r="E4085" s="1609" t="s">
        <v>1903</v>
      </c>
      <c r="F4085" s="1604">
        <v>5250</v>
      </c>
      <c r="G4085" s="1605" t="s">
        <v>4621</v>
      </c>
      <c r="H4085" s="1606"/>
      <c r="I4085" s="1606"/>
      <c r="J4085" s="1606"/>
      <c r="K4085" s="1607"/>
      <c r="L4085" s="1606"/>
      <c r="M4085" s="1606">
        <v>58080</v>
      </c>
      <c r="N4085" s="1490"/>
    </row>
    <row r="4086" spans="1:32" ht="20.399999999999999">
      <c r="A4086" s="1495"/>
      <c r="B4086" s="3158" t="s">
        <v>773</v>
      </c>
      <c r="C4086" s="1602" t="s">
        <v>369</v>
      </c>
      <c r="D4086" s="1603" t="s">
        <v>1977</v>
      </c>
      <c r="E4086" s="1609" t="s">
        <v>1903</v>
      </c>
      <c r="F4086" s="1604">
        <v>5250</v>
      </c>
      <c r="G4086" s="1605" t="s">
        <v>4622</v>
      </c>
      <c r="H4086" s="1606"/>
      <c r="I4086" s="1606"/>
      <c r="J4086" s="1606"/>
      <c r="K4086" s="1607"/>
      <c r="L4086" s="1606"/>
      <c r="M4086" s="1606">
        <v>39567</v>
      </c>
      <c r="N4086" s="1490"/>
    </row>
    <row r="4087" spans="1:32">
      <c r="A4087" s="1575"/>
      <c r="B4087" s="3147" t="s">
        <v>773</v>
      </c>
      <c r="C4087" s="1575" t="s">
        <v>369</v>
      </c>
      <c r="D4087" s="1599" t="s">
        <v>1977</v>
      </c>
      <c r="E4087" s="1600" t="s">
        <v>1903</v>
      </c>
      <c r="F4087" s="1577">
        <v>5250</v>
      </c>
      <c r="G4087" s="1608" t="s">
        <v>295</v>
      </c>
      <c r="H4087" s="1601"/>
      <c r="I4087" s="1601"/>
      <c r="J4087" s="1601"/>
      <c r="K4087" s="1595"/>
      <c r="L4087" s="1601">
        <v>0</v>
      </c>
      <c r="M4087" s="1601"/>
      <c r="N4087" s="1490"/>
    </row>
    <row r="4088" spans="1:32" ht="20.399999999999999">
      <c r="A4088" s="1495"/>
      <c r="B4088" s="3158" t="s">
        <v>773</v>
      </c>
      <c r="C4088" s="1602" t="s">
        <v>369</v>
      </c>
      <c r="D4088" s="1603" t="s">
        <v>1977</v>
      </c>
      <c r="E4088" s="1609" t="s">
        <v>1903</v>
      </c>
      <c r="F4088" s="1604">
        <v>5250</v>
      </c>
      <c r="G4088" s="1605" t="s">
        <v>5083</v>
      </c>
      <c r="H4088" s="1606"/>
      <c r="I4088" s="1606"/>
      <c r="J4088" s="1606"/>
      <c r="K4088" s="1607"/>
      <c r="L4088" s="1606"/>
      <c r="M4088" s="3216">
        <v>0</v>
      </c>
      <c r="N4088" s="1490"/>
    </row>
    <row r="4089" spans="1:32">
      <c r="A4089" s="1495"/>
      <c r="B4089" s="3158" t="s">
        <v>773</v>
      </c>
      <c r="C4089" s="1602" t="s">
        <v>369</v>
      </c>
      <c r="D4089" s="1603" t="s">
        <v>1977</v>
      </c>
      <c r="E4089" s="1609" t="s">
        <v>1903</v>
      </c>
      <c r="F4089" s="1604">
        <v>5250</v>
      </c>
      <c r="G4089" s="1605"/>
      <c r="H4089" s="1606"/>
      <c r="I4089" s="1606"/>
      <c r="J4089" s="1606"/>
      <c r="K4089" s="1607"/>
      <c r="L4089" s="1606"/>
      <c r="M4089" s="1606"/>
      <c r="N4089" s="75"/>
    </row>
    <row r="4090" spans="1:32" ht="30.6" customHeight="1">
      <c r="A4090" s="1495"/>
      <c r="B4090" s="3158" t="s">
        <v>773</v>
      </c>
      <c r="C4090" s="1602" t="s">
        <v>369</v>
      </c>
      <c r="D4090" s="1603" t="s">
        <v>1977</v>
      </c>
      <c r="E4090" s="1609" t="s">
        <v>1903</v>
      </c>
      <c r="F4090" s="1604">
        <v>5250</v>
      </c>
      <c r="G4090" s="1605"/>
      <c r="H4090" s="1606"/>
      <c r="I4090" s="1606"/>
      <c r="J4090" s="1606"/>
      <c r="K4090" s="1607"/>
      <c r="L4090" s="1606"/>
      <c r="M4090" s="1606"/>
      <c r="N4090" s="75"/>
      <c r="O4090" s="3"/>
      <c r="P4090" s="3"/>
      <c r="Q4090" s="3"/>
      <c r="R4090" s="3"/>
      <c r="S4090" s="3"/>
      <c r="T4090" s="3"/>
      <c r="U4090" s="3"/>
      <c r="V4090" s="3"/>
      <c r="W4090" s="3"/>
      <c r="X4090" s="3"/>
      <c r="Y4090" s="3"/>
      <c r="Z4090" s="3"/>
      <c r="AA4090" s="3"/>
      <c r="AB4090" s="3"/>
      <c r="AC4090" s="3"/>
      <c r="AD4090" s="3"/>
      <c r="AE4090" s="3"/>
      <c r="AF4090" s="3"/>
    </row>
    <row r="4091" spans="1:32">
      <c r="A4091" s="1575"/>
      <c r="B4091" s="3147" t="s">
        <v>773</v>
      </c>
      <c r="C4091" s="1575" t="s">
        <v>369</v>
      </c>
      <c r="D4091" s="1599" t="s">
        <v>1977</v>
      </c>
      <c r="E4091" s="1600" t="s">
        <v>1903</v>
      </c>
      <c r="F4091" s="1577">
        <v>5250</v>
      </c>
      <c r="G4091" s="1608" t="s">
        <v>295</v>
      </c>
      <c r="H4091" s="1601">
        <v>2200</v>
      </c>
      <c r="I4091" s="1601"/>
      <c r="J4091" s="1601">
        <v>2200</v>
      </c>
      <c r="K4091" s="1595"/>
      <c r="L4091" s="1601">
        <v>0</v>
      </c>
      <c r="M4091" s="1601"/>
      <c r="N4091" s="1490" t="s">
        <v>776</v>
      </c>
    </row>
    <row r="4092" spans="1:32" ht="40.799999999999997">
      <c r="A4092" s="1495"/>
      <c r="B4092" s="3158" t="s">
        <v>773</v>
      </c>
      <c r="C4092" s="1602" t="s">
        <v>369</v>
      </c>
      <c r="D4092" s="1603" t="s">
        <v>1977</v>
      </c>
      <c r="E4092" s="1609" t="s">
        <v>1903</v>
      </c>
      <c r="F4092" s="1604">
        <v>5250</v>
      </c>
      <c r="G4092" s="1605" t="s">
        <v>3390</v>
      </c>
      <c r="H4092" s="1606"/>
      <c r="I4092" s="1606">
        <v>2200</v>
      </c>
      <c r="J4092" s="1606"/>
      <c r="K4092" s="1607"/>
      <c r="L4092" s="1606"/>
      <c r="M4092" s="1606"/>
      <c r="N4092" s="1491"/>
    </row>
    <row r="4093" spans="1:32">
      <c r="A4093" s="720"/>
      <c r="B4093" s="3129" t="s">
        <v>365</v>
      </c>
      <c r="C4093" s="720" t="s">
        <v>323</v>
      </c>
      <c r="D4093" s="1210" t="s">
        <v>1979</v>
      </c>
      <c r="E4093" s="971" t="s">
        <v>1972</v>
      </c>
      <c r="F4093" s="824">
        <v>2239</v>
      </c>
      <c r="G4093" s="800" t="s">
        <v>1017</v>
      </c>
      <c r="H4093" s="706">
        <v>170</v>
      </c>
      <c r="I4093" s="706"/>
      <c r="J4093" s="1494">
        <v>170</v>
      </c>
      <c r="K4093" s="802"/>
      <c r="L4093" s="687">
        <v>170</v>
      </c>
      <c r="M4093" s="687"/>
      <c r="N4093" s="1490" t="s">
        <v>776</v>
      </c>
    </row>
    <row r="4094" spans="1:32" ht="20.399999999999999">
      <c r="A4094" s="700"/>
      <c r="B4094" s="3130" t="s">
        <v>365</v>
      </c>
      <c r="C4094" s="700" t="s">
        <v>323</v>
      </c>
      <c r="D4094" s="794" t="s">
        <v>1979</v>
      </c>
      <c r="E4094" s="839" t="s">
        <v>1972</v>
      </c>
      <c r="F4094" s="795">
        <v>2239</v>
      </c>
      <c r="G4094" s="967" t="s">
        <v>3304</v>
      </c>
      <c r="H4094" s="701"/>
      <c r="I4094" s="701">
        <v>170</v>
      </c>
      <c r="J4094" s="1494" t="s">
        <v>1134</v>
      </c>
      <c r="K4094" s="792"/>
      <c r="L4094" s="659"/>
      <c r="M4094" s="659">
        <v>170</v>
      </c>
      <c r="N4094" s="1491"/>
    </row>
    <row r="4095" spans="1:32" ht="20.399999999999999">
      <c r="A4095" s="720"/>
      <c r="B4095" s="3129" t="s">
        <v>365</v>
      </c>
      <c r="C4095" s="720" t="s">
        <v>323</v>
      </c>
      <c r="D4095" s="1210" t="s">
        <v>1979</v>
      </c>
      <c r="E4095" s="971" t="s">
        <v>1972</v>
      </c>
      <c r="F4095" s="824">
        <v>5240</v>
      </c>
      <c r="G4095" s="800" t="s">
        <v>1187</v>
      </c>
      <c r="H4095" s="706">
        <v>0</v>
      </c>
      <c r="I4095" s="706"/>
      <c r="J4095" s="1494">
        <v>-3964.41</v>
      </c>
      <c r="K4095" s="802"/>
      <c r="L4095" s="687">
        <v>0</v>
      </c>
      <c r="M4095" s="687"/>
      <c r="N4095" s="1490" t="s">
        <v>776</v>
      </c>
    </row>
    <row r="4096" spans="1:32" ht="11.4" customHeight="1">
      <c r="A4096" s="700"/>
      <c r="B4096" s="3130" t="s">
        <v>365</v>
      </c>
      <c r="C4096" s="700" t="s">
        <v>323</v>
      </c>
      <c r="D4096" s="794" t="s">
        <v>1979</v>
      </c>
      <c r="E4096" s="839" t="s">
        <v>1972</v>
      </c>
      <c r="F4096" s="795">
        <v>5240</v>
      </c>
      <c r="G4096" s="967" t="s">
        <v>2911</v>
      </c>
      <c r="H4096" s="701"/>
      <c r="I4096" s="701">
        <v>22142</v>
      </c>
      <c r="J4096" s="1494" t="s">
        <v>1134</v>
      </c>
      <c r="K4096" s="792"/>
      <c r="L4096" s="659"/>
      <c r="M4096" s="659">
        <v>22142</v>
      </c>
      <c r="N4096" s="1491"/>
    </row>
    <row r="4097" spans="1:32" ht="30.6">
      <c r="A4097" s="700"/>
      <c r="B4097" s="3130" t="s">
        <v>365</v>
      </c>
      <c r="C4097" s="700" t="s">
        <v>323</v>
      </c>
      <c r="D4097" s="794" t="s">
        <v>1979</v>
      </c>
      <c r="E4097" s="839" t="s">
        <v>1972</v>
      </c>
      <c r="F4097" s="795">
        <v>5240</v>
      </c>
      <c r="G4097" s="967" t="s">
        <v>2912</v>
      </c>
      <c r="H4097" s="701"/>
      <c r="I4097" s="701">
        <v>22170</v>
      </c>
      <c r="J4097" s="1494" t="s">
        <v>1134</v>
      </c>
      <c r="K4097" s="792"/>
      <c r="L4097" s="659"/>
      <c r="M4097" s="659">
        <v>22170</v>
      </c>
      <c r="N4097" s="1490" t="s">
        <v>776</v>
      </c>
    </row>
    <row r="4098" spans="1:32" ht="20.399999999999999">
      <c r="A4098" s="700"/>
      <c r="B4098" s="3130" t="s">
        <v>365</v>
      </c>
      <c r="C4098" s="700" t="s">
        <v>323</v>
      </c>
      <c r="D4098" s="794" t="s">
        <v>1979</v>
      </c>
      <c r="E4098" s="839" t="s">
        <v>1972</v>
      </c>
      <c r="F4098" s="795">
        <v>5240</v>
      </c>
      <c r="G4098" s="967" t="s">
        <v>3304</v>
      </c>
      <c r="H4098" s="701"/>
      <c r="I4098" s="701">
        <v>-170</v>
      </c>
      <c r="J4098" s="1494" t="s">
        <v>1134</v>
      </c>
      <c r="K4098" s="792"/>
      <c r="L4098" s="659"/>
      <c r="M4098" s="659">
        <v>-170</v>
      </c>
      <c r="N4098" s="1491" t="s">
        <v>3312</v>
      </c>
    </row>
    <row r="4099" spans="1:32" ht="30.6">
      <c r="A4099" s="700"/>
      <c r="B4099" s="3130" t="s">
        <v>365</v>
      </c>
      <c r="C4099" s="700" t="s">
        <v>323</v>
      </c>
      <c r="D4099" s="794" t="s">
        <v>1979</v>
      </c>
      <c r="E4099" s="839" t="s">
        <v>1972</v>
      </c>
      <c r="F4099" s="795">
        <v>5240</v>
      </c>
      <c r="G4099" s="967" t="s">
        <v>3305</v>
      </c>
      <c r="H4099" s="701"/>
      <c r="I4099" s="701">
        <v>-23985</v>
      </c>
      <c r="J4099" s="1494" t="s">
        <v>1134</v>
      </c>
      <c r="K4099" s="792"/>
      <c r="L4099" s="659"/>
      <c r="M4099" s="659">
        <v>-23985</v>
      </c>
      <c r="N4099" s="1491" t="s">
        <v>1711</v>
      </c>
    </row>
    <row r="4100" spans="1:32" ht="20.399999999999999">
      <c r="A4100" s="1590"/>
      <c r="B4100" s="3138" t="s">
        <v>365</v>
      </c>
      <c r="C4100" s="1590" t="s">
        <v>323</v>
      </c>
      <c r="D4100" s="1560" t="s">
        <v>1979</v>
      </c>
      <c r="E4100" s="1590" t="s">
        <v>1972</v>
      </c>
      <c r="F4100" s="1562">
        <v>5240</v>
      </c>
      <c r="G4100" s="1616" t="s">
        <v>3445</v>
      </c>
      <c r="H4100" s="1557"/>
      <c r="I4100" s="1557">
        <v>-20157</v>
      </c>
      <c r="J4100" s="1643"/>
      <c r="K4100" s="1563"/>
      <c r="L4100" s="1557"/>
      <c r="M4100" s="1557">
        <v>-20157</v>
      </c>
      <c r="N4100" s="1490"/>
    </row>
    <row r="4101" spans="1:32" ht="11.4" customHeight="1">
      <c r="A4101" s="1586"/>
      <c r="B4101" s="3147" t="s">
        <v>365</v>
      </c>
      <c r="C4101" s="1586" t="s">
        <v>323</v>
      </c>
      <c r="D4101" s="1645" t="s">
        <v>1979</v>
      </c>
      <c r="E4101" s="1600" t="s">
        <v>1972</v>
      </c>
      <c r="F4101" s="1646">
        <v>5250</v>
      </c>
      <c r="G4101" s="1647" t="s">
        <v>1187</v>
      </c>
      <c r="H4101" s="1601">
        <v>20025</v>
      </c>
      <c r="I4101" s="1601"/>
      <c r="J4101" s="1601"/>
      <c r="K4101" s="1621"/>
      <c r="L4101" s="1601">
        <v>20025</v>
      </c>
      <c r="M4101" s="1601"/>
      <c r="N4101" s="1491"/>
    </row>
    <row r="4102" spans="1:32" ht="20.399999999999999">
      <c r="A4102" s="1590"/>
      <c r="B4102" s="3138" t="s">
        <v>365</v>
      </c>
      <c r="C4102" s="1590" t="s">
        <v>323</v>
      </c>
      <c r="D4102" s="1560" t="s">
        <v>1979</v>
      </c>
      <c r="E4102" s="1590" t="s">
        <v>1972</v>
      </c>
      <c r="F4102" s="1562">
        <v>5250</v>
      </c>
      <c r="G4102" s="1616" t="s">
        <v>3445</v>
      </c>
      <c r="H4102" s="1557"/>
      <c r="I4102" s="1557">
        <v>20157</v>
      </c>
      <c r="J4102" s="1643"/>
      <c r="K4102" s="1563"/>
      <c r="L4102" s="1557"/>
      <c r="M4102" s="1557">
        <v>20157</v>
      </c>
      <c r="N4102" s="1491"/>
    </row>
    <row r="4103" spans="1:32" ht="20.399999999999999">
      <c r="A4103" s="1590"/>
      <c r="B4103" s="3138" t="s">
        <v>365</v>
      </c>
      <c r="C4103" s="1590" t="s">
        <v>323</v>
      </c>
      <c r="D4103" s="1560" t="s">
        <v>1979</v>
      </c>
      <c r="E4103" s="1590" t="s">
        <v>1972</v>
      </c>
      <c r="F4103" s="1562">
        <v>5250</v>
      </c>
      <c r="G4103" s="1616" t="s">
        <v>3446</v>
      </c>
      <c r="H4103" s="1557"/>
      <c r="I4103" s="1557">
        <v>-132</v>
      </c>
      <c r="J4103" s="1643"/>
      <c r="K4103" s="1563"/>
      <c r="L4103" s="1557"/>
      <c r="M4103" s="1557">
        <v>-132</v>
      </c>
      <c r="N4103" s="1491"/>
    </row>
    <row r="4104" spans="1:32">
      <c r="A4104" s="1586"/>
      <c r="B4104" s="3147" t="s">
        <v>365</v>
      </c>
      <c r="C4104" s="1586" t="s">
        <v>323</v>
      </c>
      <c r="D4104" s="1645" t="s">
        <v>1979</v>
      </c>
      <c r="E4104" s="1600" t="s">
        <v>1972</v>
      </c>
      <c r="F4104" s="1646">
        <v>6330</v>
      </c>
      <c r="G4104" s="1647" t="s">
        <v>1891</v>
      </c>
      <c r="H4104" s="1601">
        <v>24117</v>
      </c>
      <c r="I4104" s="1601"/>
      <c r="J4104" s="1601"/>
      <c r="K4104" s="1621"/>
      <c r="L4104" s="1601">
        <v>24117</v>
      </c>
      <c r="M4104" s="1601"/>
      <c r="N4104" s="1491"/>
    </row>
    <row r="4105" spans="1:32" ht="30.6">
      <c r="A4105" s="1590"/>
      <c r="B4105" s="3138" t="s">
        <v>365</v>
      </c>
      <c r="C4105" s="1590" t="s">
        <v>323</v>
      </c>
      <c r="D4105" s="1560" t="s">
        <v>1979</v>
      </c>
      <c r="E4105" s="1590" t="s">
        <v>1972</v>
      </c>
      <c r="F4105" s="1562">
        <v>6330</v>
      </c>
      <c r="G4105" s="1616" t="s">
        <v>3305</v>
      </c>
      <c r="H4105" s="1557"/>
      <c r="I4105" s="1557">
        <v>23985</v>
      </c>
      <c r="J4105" s="1643"/>
      <c r="K4105" s="1563"/>
      <c r="L4105" s="1557"/>
      <c r="M4105" s="1557">
        <v>23985</v>
      </c>
      <c r="N4105" s="1490"/>
      <c r="O4105" s="3"/>
      <c r="P4105" s="3"/>
      <c r="Q4105" s="3"/>
      <c r="R4105" s="3"/>
      <c r="S4105" s="3"/>
      <c r="T4105" s="3"/>
      <c r="U4105" s="3"/>
      <c r="V4105" s="3"/>
      <c r="W4105" s="3"/>
      <c r="X4105" s="3"/>
      <c r="Y4105" s="3"/>
      <c r="Z4105" s="3"/>
      <c r="AA4105" s="3"/>
      <c r="AB4105" s="3"/>
      <c r="AC4105" s="3"/>
      <c r="AD4105" s="3"/>
      <c r="AE4105" s="3"/>
      <c r="AF4105" s="3"/>
    </row>
    <row r="4106" spans="1:32" ht="20.399999999999999">
      <c r="A4106" s="700"/>
      <c r="B4106" s="3130" t="s">
        <v>365</v>
      </c>
      <c r="C4106" s="700" t="s">
        <v>323</v>
      </c>
      <c r="D4106" s="794" t="s">
        <v>1979</v>
      </c>
      <c r="E4106" s="839" t="s">
        <v>1972</v>
      </c>
      <c r="F4106" s="795">
        <v>6330</v>
      </c>
      <c r="G4106" s="967" t="s">
        <v>3446</v>
      </c>
      <c r="H4106" s="701"/>
      <c r="I4106" s="701">
        <v>132</v>
      </c>
      <c r="J4106" s="1643" t="s">
        <v>1134</v>
      </c>
      <c r="K4106" s="792"/>
      <c r="L4106" s="659"/>
      <c r="M4106" s="659">
        <v>132</v>
      </c>
      <c r="N4106" s="1490"/>
      <c r="O4106" s="3"/>
      <c r="P4106" s="3"/>
      <c r="Q4106" s="3"/>
      <c r="R4106" s="3"/>
      <c r="S4106" s="3"/>
      <c r="T4106" s="3"/>
      <c r="U4106" s="3"/>
      <c r="V4106" s="3"/>
      <c r="W4106" s="3"/>
      <c r="X4106" s="3"/>
      <c r="Y4106" s="3"/>
      <c r="Z4106" s="3"/>
      <c r="AA4106" s="3"/>
      <c r="AB4106" s="3"/>
      <c r="AC4106" s="3"/>
      <c r="AD4106" s="3"/>
      <c r="AE4106" s="3"/>
      <c r="AF4106" s="3"/>
    </row>
    <row r="4107" spans="1:32" ht="12" customHeight="1">
      <c r="A4107" s="929"/>
      <c r="B4107" s="3136" t="s">
        <v>773</v>
      </c>
      <c r="C4107" s="929" t="s">
        <v>369</v>
      </c>
      <c r="D4107" s="684" t="s">
        <v>1977</v>
      </c>
      <c r="E4107" s="720" t="s">
        <v>1904</v>
      </c>
      <c r="F4107" s="685">
        <v>3261</v>
      </c>
      <c r="G4107" s="686" t="s">
        <v>1292</v>
      </c>
      <c r="H4107" s="689">
        <v>2000</v>
      </c>
      <c r="I4107" s="689"/>
      <c r="J4107" s="1601">
        <v>1600</v>
      </c>
      <c r="K4107" s="727"/>
      <c r="L4107" s="689">
        <v>0</v>
      </c>
      <c r="M4107" s="689"/>
      <c r="N4107" s="1490"/>
      <c r="O4107" s="187"/>
      <c r="P4107" s="187"/>
      <c r="Q4107" s="187"/>
      <c r="R4107" s="187"/>
      <c r="S4107" s="187"/>
      <c r="T4107" s="187"/>
      <c r="U4107" s="187"/>
      <c r="V4107" s="187"/>
      <c r="W4107" s="187"/>
      <c r="X4107" s="187"/>
      <c r="Y4107" s="187"/>
      <c r="Z4107" s="187"/>
      <c r="AA4107" s="187"/>
      <c r="AB4107" s="187"/>
      <c r="AC4107" s="187"/>
      <c r="AD4107" s="187"/>
      <c r="AE4107" s="187"/>
      <c r="AF4107" s="187"/>
    </row>
    <row r="4108" spans="1:32" ht="30.6">
      <c r="A4108" s="603"/>
      <c r="B4108" s="3130" t="s">
        <v>773</v>
      </c>
      <c r="C4108" s="663" t="s">
        <v>369</v>
      </c>
      <c r="D4108" s="678" t="s">
        <v>1977</v>
      </c>
      <c r="E4108" s="700" t="s">
        <v>1904</v>
      </c>
      <c r="F4108" s="679">
        <v>3261</v>
      </c>
      <c r="G4108" s="1120" t="s">
        <v>3041</v>
      </c>
      <c r="H4108" s="1165"/>
      <c r="I4108" s="1165">
        <v>2000</v>
      </c>
      <c r="J4108" s="1494" t="s">
        <v>1134</v>
      </c>
      <c r="K4108" s="646"/>
      <c r="L4108" s="1130"/>
      <c r="M4108" s="1130"/>
      <c r="N4108" s="1490"/>
      <c r="O4108" s="187"/>
      <c r="P4108" s="187"/>
      <c r="Q4108" s="187"/>
      <c r="R4108" s="187"/>
      <c r="S4108" s="187"/>
      <c r="T4108" s="187"/>
      <c r="U4108" s="187"/>
      <c r="V4108" s="187"/>
      <c r="W4108" s="187"/>
      <c r="X4108" s="187"/>
      <c r="Y4108" s="187"/>
      <c r="Z4108" s="187"/>
      <c r="AA4108" s="187"/>
      <c r="AB4108" s="187"/>
      <c r="AC4108" s="187"/>
      <c r="AD4108" s="187"/>
      <c r="AE4108" s="187"/>
      <c r="AF4108" s="187"/>
    </row>
    <row r="4109" spans="1:32">
      <c r="A4109" s="929"/>
      <c r="B4109" s="3136" t="s">
        <v>773</v>
      </c>
      <c r="C4109" s="929" t="s">
        <v>369</v>
      </c>
      <c r="D4109" s="684" t="s">
        <v>1977</v>
      </c>
      <c r="E4109" s="720" t="s">
        <v>1904</v>
      </c>
      <c r="F4109" s="685">
        <v>3262</v>
      </c>
      <c r="G4109" s="686" t="s">
        <v>446</v>
      </c>
      <c r="H4109" s="689">
        <v>14599</v>
      </c>
      <c r="I4109" s="689"/>
      <c r="J4109" s="1494">
        <v>14598.04</v>
      </c>
      <c r="K4109" s="727"/>
      <c r="L4109" s="689">
        <v>0</v>
      </c>
      <c r="M4109" s="689"/>
      <c r="N4109" s="1490"/>
    </row>
    <row r="4110" spans="1:32" ht="30.6">
      <c r="A4110" s="663"/>
      <c r="B4110" s="3130" t="s">
        <v>773</v>
      </c>
      <c r="C4110" s="663" t="s">
        <v>369</v>
      </c>
      <c r="D4110" s="678" t="s">
        <v>1977</v>
      </c>
      <c r="E4110" s="700" t="s">
        <v>1904</v>
      </c>
      <c r="F4110" s="679">
        <v>3262</v>
      </c>
      <c r="G4110" s="1120" t="s">
        <v>3042</v>
      </c>
      <c r="H4110" s="701"/>
      <c r="I4110" s="701">
        <v>7867</v>
      </c>
      <c r="J4110" s="1494" t="s">
        <v>1134</v>
      </c>
      <c r="K4110" s="661"/>
      <c r="L4110" s="660"/>
      <c r="M4110" s="660"/>
      <c r="N4110" s="1490"/>
    </row>
    <row r="4111" spans="1:32" ht="20.399999999999999">
      <c r="A4111" s="663"/>
      <c r="B4111" s="3130" t="s">
        <v>773</v>
      </c>
      <c r="C4111" s="663" t="s">
        <v>369</v>
      </c>
      <c r="D4111" s="678" t="s">
        <v>1977</v>
      </c>
      <c r="E4111" s="700" t="s">
        <v>1904</v>
      </c>
      <c r="F4111" s="679">
        <v>3262</v>
      </c>
      <c r="G4111" s="1120" t="s">
        <v>3272</v>
      </c>
      <c r="H4111" s="1165"/>
      <c r="I4111" s="1165">
        <v>6732</v>
      </c>
      <c r="J4111" s="1494" t="s">
        <v>1134</v>
      </c>
      <c r="K4111" s="646"/>
      <c r="L4111" s="1130"/>
      <c r="M4111" s="1130"/>
      <c r="N4111" s="1490"/>
    </row>
    <row r="4112" spans="1:32" ht="40.799999999999997">
      <c r="A4112" s="929"/>
      <c r="B4112" s="3136" t="s">
        <v>773</v>
      </c>
      <c r="C4112" s="929" t="s">
        <v>369</v>
      </c>
      <c r="D4112" s="684" t="s">
        <v>1977</v>
      </c>
      <c r="E4112" s="720" t="s">
        <v>1904</v>
      </c>
      <c r="F4112" s="685">
        <v>3263</v>
      </c>
      <c r="G4112" s="686" t="s">
        <v>2227</v>
      </c>
      <c r="H4112" s="689">
        <v>37801</v>
      </c>
      <c r="I4112" s="689"/>
      <c r="J4112" s="1494">
        <v>36927.33</v>
      </c>
      <c r="K4112" s="727"/>
      <c r="L4112" s="689">
        <v>51550</v>
      </c>
      <c r="M4112" s="689"/>
      <c r="N4112" s="1490"/>
    </row>
    <row r="4113" spans="1:32" ht="40.799999999999997">
      <c r="A4113" s="663"/>
      <c r="B4113" s="3130" t="s">
        <v>773</v>
      </c>
      <c r="C4113" s="663" t="s">
        <v>369</v>
      </c>
      <c r="D4113" s="678" t="s">
        <v>1977</v>
      </c>
      <c r="E4113" s="700" t="s">
        <v>1904</v>
      </c>
      <c r="F4113" s="679">
        <v>3263</v>
      </c>
      <c r="G4113" s="664" t="s">
        <v>2228</v>
      </c>
      <c r="H4113" s="701"/>
      <c r="I4113" s="701">
        <v>40000</v>
      </c>
      <c r="J4113" s="1494" t="s">
        <v>1134</v>
      </c>
      <c r="K4113" s="661"/>
      <c r="L4113" s="660"/>
      <c r="M4113" s="660">
        <v>40000</v>
      </c>
      <c r="N4113" s="1490"/>
    </row>
    <row r="4114" spans="1:32" ht="30.6">
      <c r="A4114" s="1669"/>
      <c r="B4114" s="3130" t="s">
        <v>773</v>
      </c>
      <c r="C4114" s="663" t="s">
        <v>369</v>
      </c>
      <c r="D4114" s="678" t="s">
        <v>1977</v>
      </c>
      <c r="E4114" s="700" t="s">
        <v>1904</v>
      </c>
      <c r="F4114" s="679">
        <v>3263</v>
      </c>
      <c r="G4114" s="1671" t="s">
        <v>2733</v>
      </c>
      <c r="H4114" s="1672"/>
      <c r="I4114" s="1672"/>
      <c r="J4114" s="1673"/>
      <c r="K4114" s="1674"/>
      <c r="L4114" s="1676"/>
      <c r="M4114" s="1676">
        <v>150</v>
      </c>
      <c r="N4114" s="1490"/>
    </row>
    <row r="4115" spans="1:32" ht="30.6">
      <c r="A4115" s="603"/>
      <c r="B4115" s="3130" t="s">
        <v>773</v>
      </c>
      <c r="C4115" s="663" t="s">
        <v>369</v>
      </c>
      <c r="D4115" s="678" t="s">
        <v>1977</v>
      </c>
      <c r="E4115" s="700" t="s">
        <v>1904</v>
      </c>
      <c r="F4115" s="679">
        <v>3263</v>
      </c>
      <c r="G4115" s="1120" t="s">
        <v>3042</v>
      </c>
      <c r="H4115" s="1165"/>
      <c r="I4115" s="1165">
        <v>-7867</v>
      </c>
      <c r="J4115" s="1494" t="s">
        <v>1134</v>
      </c>
      <c r="K4115" s="646"/>
      <c r="L4115" s="1115"/>
      <c r="M4115" s="1115"/>
      <c r="N4115" s="1490"/>
    </row>
    <row r="4116" spans="1:32" ht="40.799999999999997">
      <c r="A4116" s="663" t="s">
        <v>923</v>
      </c>
      <c r="B4116" s="3130" t="s">
        <v>773</v>
      </c>
      <c r="C4116" s="663" t="s">
        <v>369</v>
      </c>
      <c r="D4116" s="678" t="s">
        <v>1977</v>
      </c>
      <c r="E4116" s="700" t="s">
        <v>1904</v>
      </c>
      <c r="F4116" s="679">
        <v>3263</v>
      </c>
      <c r="G4116" s="1752" t="s">
        <v>3639</v>
      </c>
      <c r="H4116" s="701"/>
      <c r="I4116" s="701">
        <v>10000</v>
      </c>
      <c r="J4116" s="1494" t="s">
        <v>1134</v>
      </c>
      <c r="K4116" s="661"/>
      <c r="L4116" s="659"/>
      <c r="M4116" s="660">
        <v>10000</v>
      </c>
      <c r="N4116" s="1490"/>
    </row>
    <row r="4117" spans="1:32" ht="30.6">
      <c r="A4117" s="603"/>
      <c r="B4117" s="3130" t="s">
        <v>773</v>
      </c>
      <c r="C4117" s="663" t="s">
        <v>369</v>
      </c>
      <c r="D4117" s="678" t="s">
        <v>1977</v>
      </c>
      <c r="E4117" s="700" t="s">
        <v>1904</v>
      </c>
      <c r="F4117" s="679">
        <v>3263</v>
      </c>
      <c r="G4117" s="1120" t="s">
        <v>3041</v>
      </c>
      <c r="H4117" s="1165"/>
      <c r="I4117" s="1165">
        <v>-2000</v>
      </c>
      <c r="J4117" s="1494" t="s">
        <v>1134</v>
      </c>
      <c r="K4117" s="646"/>
      <c r="L4117" s="1115"/>
      <c r="M4117" s="1115"/>
      <c r="N4117" s="1490"/>
    </row>
    <row r="4118" spans="1:32" ht="40.799999999999997">
      <c r="A4118" s="663" t="s">
        <v>923</v>
      </c>
      <c r="B4118" s="3130" t="s">
        <v>773</v>
      </c>
      <c r="C4118" s="663" t="s">
        <v>369</v>
      </c>
      <c r="D4118" s="678" t="s">
        <v>1977</v>
      </c>
      <c r="E4118" s="700" t="s">
        <v>1904</v>
      </c>
      <c r="F4118" s="679">
        <v>3263</v>
      </c>
      <c r="G4118" s="1752" t="s">
        <v>3640</v>
      </c>
      <c r="H4118" s="701"/>
      <c r="I4118" s="701">
        <v>1400</v>
      </c>
      <c r="J4118" s="1494" t="s">
        <v>1134</v>
      </c>
      <c r="K4118" s="661"/>
      <c r="L4118" s="659"/>
      <c r="M4118" s="660">
        <v>1400</v>
      </c>
      <c r="N4118" s="1490"/>
    </row>
    <row r="4119" spans="1:32" ht="30.6">
      <c r="A4119" s="603"/>
      <c r="B4119" s="3130" t="s">
        <v>773</v>
      </c>
      <c r="C4119" s="663" t="s">
        <v>369</v>
      </c>
      <c r="D4119" s="678" t="s">
        <v>1977</v>
      </c>
      <c r="E4119" s="700" t="s">
        <v>1904</v>
      </c>
      <c r="F4119" s="679">
        <v>3263</v>
      </c>
      <c r="G4119" s="1147" t="s">
        <v>3244</v>
      </c>
      <c r="H4119" s="1130"/>
      <c r="I4119" s="1146">
        <v>1000</v>
      </c>
      <c r="J4119" s="1494" t="s">
        <v>1134</v>
      </c>
      <c r="K4119" s="646"/>
      <c r="L4119" s="1115"/>
      <c r="M4119" s="1130"/>
      <c r="N4119" s="1490"/>
    </row>
    <row r="4120" spans="1:32" ht="40.799999999999997">
      <c r="A4120" s="1263"/>
      <c r="B4120" s="3130" t="s">
        <v>773</v>
      </c>
      <c r="C4120" s="663" t="s">
        <v>369</v>
      </c>
      <c r="D4120" s="678" t="s">
        <v>1977</v>
      </c>
      <c r="E4120" s="700" t="s">
        <v>1904</v>
      </c>
      <c r="F4120" s="679">
        <v>3263</v>
      </c>
      <c r="G4120" s="1264" t="s">
        <v>3024</v>
      </c>
      <c r="H4120" s="1265"/>
      <c r="I4120" s="1265">
        <v>2000</v>
      </c>
      <c r="J4120" s="1494" t="s">
        <v>1134</v>
      </c>
      <c r="K4120" s="1267"/>
      <c r="L4120" s="1306"/>
      <c r="M4120" s="1260"/>
      <c r="N4120" s="1490"/>
    </row>
    <row r="4121" spans="1:32" ht="20.399999999999999">
      <c r="A4121" s="663"/>
      <c r="B4121" s="3130" t="s">
        <v>773</v>
      </c>
      <c r="C4121" s="663" t="s">
        <v>369</v>
      </c>
      <c r="D4121" s="678" t="s">
        <v>1977</v>
      </c>
      <c r="E4121" s="700" t="s">
        <v>1904</v>
      </c>
      <c r="F4121" s="679">
        <v>3262</v>
      </c>
      <c r="G4121" s="1120" t="s">
        <v>3272</v>
      </c>
      <c r="H4121" s="1165"/>
      <c r="I4121" s="1165">
        <v>-6732</v>
      </c>
      <c r="J4121" s="1494" t="s">
        <v>1134</v>
      </c>
      <c r="K4121" s="646"/>
      <c r="L4121" s="1115"/>
      <c r="M4121" s="1130"/>
      <c r="N4121" s="1490" t="s">
        <v>1528</v>
      </c>
    </row>
    <row r="4122" spans="1:32" ht="20.399999999999999">
      <c r="A4122" s="3010" t="s">
        <v>5194</v>
      </c>
      <c r="B4122" s="3159" t="s">
        <v>365</v>
      </c>
      <c r="C4122" s="3010" t="s">
        <v>323</v>
      </c>
      <c r="D4122" s="3012" t="s">
        <v>1977</v>
      </c>
      <c r="E4122" s="3051" t="s">
        <v>1949</v>
      </c>
      <c r="F4122" s="2808">
        <v>5240</v>
      </c>
      <c r="G4122" s="2807" t="s">
        <v>5195</v>
      </c>
      <c r="H4122" s="3052"/>
      <c r="I4122" s="3052"/>
      <c r="J4122" s="3053"/>
      <c r="K4122" s="3054"/>
      <c r="L4122" s="3052">
        <v>384496.11</v>
      </c>
      <c r="M4122" s="3052"/>
      <c r="N4122" s="1490" t="s">
        <v>1529</v>
      </c>
    </row>
    <row r="4123" spans="1:32" ht="20.399999999999999">
      <c r="A4123" s="2679"/>
      <c r="B4123" s="3132" t="s">
        <v>365</v>
      </c>
      <c r="C4123" s="2679" t="s">
        <v>323</v>
      </c>
      <c r="D4123" s="2882" t="s">
        <v>1977</v>
      </c>
      <c r="E4123" s="2797" t="s">
        <v>1949</v>
      </c>
      <c r="F4123" s="2809">
        <v>5240</v>
      </c>
      <c r="G4123" s="3055" t="s">
        <v>5196</v>
      </c>
      <c r="H4123" s="3056"/>
      <c r="I4123" s="3056"/>
      <c r="J4123" s="3057"/>
      <c r="K4123" s="3058"/>
      <c r="L4123" s="3059"/>
      <c r="M4123" s="3059">
        <v>191255</v>
      </c>
      <c r="N4123" s="1490"/>
      <c r="O4123" s="7"/>
      <c r="P4123" s="7"/>
      <c r="Q4123" s="7"/>
      <c r="R4123" s="7"/>
      <c r="S4123" s="7"/>
      <c r="T4123" s="7"/>
      <c r="U4123" s="7"/>
      <c r="V4123" s="7"/>
      <c r="W4123" s="7"/>
      <c r="X4123" s="7"/>
      <c r="Y4123" s="7"/>
      <c r="Z4123" s="7"/>
      <c r="AA4123" s="7"/>
      <c r="AB4123" s="7"/>
      <c r="AC4123" s="7"/>
      <c r="AD4123" s="7"/>
      <c r="AE4123" s="7"/>
      <c r="AF4123" s="7"/>
    </row>
    <row r="4124" spans="1:32" ht="20.399999999999999">
      <c r="A4124" s="683"/>
      <c r="B4124" s="3136" t="s">
        <v>773</v>
      </c>
      <c r="C4124" s="683" t="s">
        <v>369</v>
      </c>
      <c r="D4124" s="684" t="s">
        <v>1977</v>
      </c>
      <c r="E4124" s="1775" t="s">
        <v>1950</v>
      </c>
      <c r="F4124" s="826">
        <v>5240</v>
      </c>
      <c r="G4124" s="800" t="s">
        <v>1187</v>
      </c>
      <c r="H4124" s="706">
        <v>255685</v>
      </c>
      <c r="I4124" s="711"/>
      <c r="J4124" s="1494">
        <v>23183.599999999999</v>
      </c>
      <c r="K4124" s="802"/>
      <c r="L4124" s="837">
        <v>193241.11</v>
      </c>
      <c r="M4124" s="1788"/>
      <c r="N4124" s="1490"/>
    </row>
    <row r="4125" spans="1:32">
      <c r="A4125" s="663"/>
      <c r="B4125" s="3130" t="s">
        <v>773</v>
      </c>
      <c r="C4125" s="663" t="s">
        <v>369</v>
      </c>
      <c r="D4125" s="678" t="s">
        <v>1977</v>
      </c>
      <c r="E4125" s="700" t="s">
        <v>1950</v>
      </c>
      <c r="F4125" s="795">
        <v>5240</v>
      </c>
      <c r="G4125" s="967" t="s">
        <v>2898</v>
      </c>
      <c r="H4125" s="701"/>
      <c r="I4125" s="701">
        <v>0</v>
      </c>
      <c r="J4125" s="1494" t="s">
        <v>1134</v>
      </c>
      <c r="K4125" s="792"/>
      <c r="L4125" s="660"/>
      <c r="M4125" s="660">
        <v>193241.11</v>
      </c>
      <c r="N4125" s="1490"/>
    </row>
    <row r="4126" spans="1:32">
      <c r="A4126" s="1263"/>
      <c r="B4126" s="3130" t="s">
        <v>773</v>
      </c>
      <c r="C4126" s="663" t="s">
        <v>369</v>
      </c>
      <c r="D4126" s="678" t="s">
        <v>1977</v>
      </c>
      <c r="E4126" s="700" t="s">
        <v>1950</v>
      </c>
      <c r="F4126" s="795">
        <v>5240</v>
      </c>
      <c r="G4126" s="967" t="s">
        <v>2898</v>
      </c>
      <c r="H4126" s="1265"/>
      <c r="I4126" s="1265">
        <v>38353</v>
      </c>
      <c r="J4126" s="1494" t="s">
        <v>1134</v>
      </c>
      <c r="K4126" s="1329"/>
      <c r="L4126" s="1260"/>
      <c r="M4126" s="1260"/>
      <c r="N4126" s="1490"/>
    </row>
    <row r="4127" spans="1:32">
      <c r="A4127" s="1263"/>
      <c r="B4127" s="3130" t="s">
        <v>773</v>
      </c>
      <c r="C4127" s="663" t="s">
        <v>369</v>
      </c>
      <c r="D4127" s="678" t="s">
        <v>1977</v>
      </c>
      <c r="E4127" s="700" t="s">
        <v>1950</v>
      </c>
      <c r="F4127" s="795">
        <v>5240</v>
      </c>
      <c r="G4127" s="967" t="s">
        <v>2899</v>
      </c>
      <c r="H4127" s="1265"/>
      <c r="I4127" s="1265">
        <v>217332</v>
      </c>
      <c r="J4127" s="1494" t="s">
        <v>1134</v>
      </c>
      <c r="K4127" s="1329"/>
      <c r="L4127" s="1260"/>
      <c r="M4127" s="1260"/>
      <c r="N4127" s="1490"/>
    </row>
    <row r="4128" spans="1:32" ht="20.399999999999999">
      <c r="A4128" s="720"/>
      <c r="B4128" s="3129" t="s">
        <v>365</v>
      </c>
      <c r="C4128" s="720"/>
      <c r="D4128" s="1210" t="s">
        <v>1977</v>
      </c>
      <c r="E4128" s="720" t="s">
        <v>3319</v>
      </c>
      <c r="F4128" s="824">
        <v>5240</v>
      </c>
      <c r="G4128" s="800" t="s">
        <v>1187</v>
      </c>
      <c r="H4128" s="706">
        <v>387127.9582616738</v>
      </c>
      <c r="I4128" s="706"/>
      <c r="J4128" s="1494">
        <v>130</v>
      </c>
      <c r="K4128" s="802"/>
      <c r="L4128" s="689">
        <v>2415898</v>
      </c>
      <c r="M4128" s="687"/>
      <c r="N4128" s="1490" t="s">
        <v>1527</v>
      </c>
    </row>
    <row r="4129" spans="1:32">
      <c r="A4129" s="700"/>
      <c r="B4129" s="3130" t="s">
        <v>365</v>
      </c>
      <c r="C4129" s="700" t="s">
        <v>325</v>
      </c>
      <c r="D4129" s="794" t="s">
        <v>1977</v>
      </c>
      <c r="E4129" s="700" t="s">
        <v>3319</v>
      </c>
      <c r="F4129" s="795">
        <v>5240</v>
      </c>
      <c r="G4129" s="967" t="s">
        <v>1295</v>
      </c>
      <c r="H4129" s="701"/>
      <c r="I4129" s="701"/>
      <c r="J4129" s="1494" t="s">
        <v>1134</v>
      </c>
      <c r="K4129" s="792"/>
      <c r="L4129" s="659"/>
      <c r="M4129" s="1130">
        <v>100642</v>
      </c>
      <c r="N4129" s="1490" t="s">
        <v>1528</v>
      </c>
    </row>
    <row r="4130" spans="1:32" ht="30.6" customHeight="1">
      <c r="A4130" s="700"/>
      <c r="B4130" s="3130" t="s">
        <v>365</v>
      </c>
      <c r="C4130" s="700" t="s">
        <v>325</v>
      </c>
      <c r="D4130" s="794" t="s">
        <v>1977</v>
      </c>
      <c r="E4130" s="700" t="s">
        <v>3319</v>
      </c>
      <c r="F4130" s="795">
        <v>5240</v>
      </c>
      <c r="G4130" s="967" t="s">
        <v>2895</v>
      </c>
      <c r="H4130" s="701"/>
      <c r="I4130" s="701">
        <v>7847.1087392510963</v>
      </c>
      <c r="J4130" s="1494" t="s">
        <v>1134</v>
      </c>
      <c r="K4130" s="792"/>
      <c r="L4130" s="659"/>
      <c r="M4130" s="1130">
        <v>43091</v>
      </c>
      <c r="N4130" s="1490" t="s">
        <v>1529</v>
      </c>
    </row>
    <row r="4131" spans="1:32">
      <c r="A4131" s="1327"/>
      <c r="B4131" s="3130" t="s">
        <v>365</v>
      </c>
      <c r="C4131" s="700" t="s">
        <v>325</v>
      </c>
      <c r="D4131" s="794" t="s">
        <v>1977</v>
      </c>
      <c r="E4131" s="700" t="s">
        <v>3319</v>
      </c>
      <c r="F4131" s="795">
        <v>5240</v>
      </c>
      <c r="G4131" s="967" t="s">
        <v>2896</v>
      </c>
      <c r="H4131" s="1265"/>
      <c r="I4131" s="1265">
        <v>308658.84952242271</v>
      </c>
      <c r="J4131" s="1494" t="s">
        <v>1134</v>
      </c>
      <c r="K4131" s="1329"/>
      <c r="L4131" s="1306"/>
      <c r="M4131" s="1130">
        <v>971940</v>
      </c>
      <c r="N4131" s="305"/>
    </row>
    <row r="4132" spans="1:32">
      <c r="A4132" s="700"/>
      <c r="B4132" s="3130" t="s">
        <v>365</v>
      </c>
      <c r="C4132" s="700" t="s">
        <v>325</v>
      </c>
      <c r="D4132" s="794" t="s">
        <v>1977</v>
      </c>
      <c r="E4132" s="700" t="s">
        <v>3319</v>
      </c>
      <c r="F4132" s="795">
        <v>5240</v>
      </c>
      <c r="G4132" s="967" t="s">
        <v>2897</v>
      </c>
      <c r="H4132" s="701"/>
      <c r="I4132" s="701">
        <v>70622</v>
      </c>
      <c r="J4132" s="1494" t="s">
        <v>1134</v>
      </c>
      <c r="K4132" s="792"/>
      <c r="L4132" s="659"/>
      <c r="M4132" s="1130">
        <v>320000</v>
      </c>
      <c r="N4132" s="305"/>
    </row>
    <row r="4133" spans="1:32" ht="20.399999999999999">
      <c r="A4133" s="1327"/>
      <c r="B4133" s="3130" t="s">
        <v>365</v>
      </c>
      <c r="C4133" s="700" t="s">
        <v>325</v>
      </c>
      <c r="D4133" s="794" t="s">
        <v>1977</v>
      </c>
      <c r="E4133" s="700" t="s">
        <v>3319</v>
      </c>
      <c r="F4133" s="795">
        <v>5240</v>
      </c>
      <c r="G4133" s="967" t="s">
        <v>5185</v>
      </c>
      <c r="H4133" s="1265"/>
      <c r="I4133" s="1265"/>
      <c r="J4133" s="1494" t="s">
        <v>1134</v>
      </c>
      <c r="K4133" s="1329"/>
      <c r="L4133" s="1306"/>
      <c r="M4133" s="1130">
        <v>147034</v>
      </c>
      <c r="N4133" s="305"/>
      <c r="O4133" s="7"/>
      <c r="P4133" s="7"/>
      <c r="Q4133" s="7"/>
      <c r="R4133" s="7"/>
      <c r="S4133" s="7"/>
      <c r="T4133" s="7"/>
      <c r="U4133" s="7"/>
      <c r="V4133" s="7"/>
      <c r="W4133" s="7"/>
      <c r="X4133" s="7"/>
      <c r="Y4133" s="7"/>
      <c r="Z4133" s="7"/>
      <c r="AA4133" s="7"/>
      <c r="AB4133" s="7"/>
      <c r="AC4133" s="7"/>
      <c r="AD4133" s="7"/>
      <c r="AE4133" s="7"/>
      <c r="AF4133" s="7"/>
    </row>
    <row r="4134" spans="1:32" ht="33.75" customHeight="1">
      <c r="A4134" s="700"/>
      <c r="B4134" s="3130" t="s">
        <v>365</v>
      </c>
      <c r="C4134" s="700" t="s">
        <v>325</v>
      </c>
      <c r="D4134" s="794" t="s">
        <v>1977</v>
      </c>
      <c r="E4134" s="700" t="s">
        <v>3319</v>
      </c>
      <c r="F4134" s="795">
        <v>5240</v>
      </c>
      <c r="G4134" s="967" t="s">
        <v>5186</v>
      </c>
      <c r="H4134" s="701"/>
      <c r="I4134" s="701"/>
      <c r="J4134" s="1494" t="s">
        <v>1134</v>
      </c>
      <c r="K4134" s="792"/>
      <c r="L4134" s="659"/>
      <c r="M4134" s="1130">
        <v>833191</v>
      </c>
      <c r="N4134" s="305"/>
      <c r="O4134" s="7"/>
      <c r="P4134" s="7"/>
      <c r="Q4134" s="7"/>
      <c r="R4134" s="7"/>
      <c r="S4134" s="7"/>
      <c r="T4134" s="7"/>
      <c r="U4134" s="7"/>
      <c r="V4134" s="7"/>
      <c r="W4134" s="7"/>
      <c r="X4134" s="7"/>
      <c r="Y4134" s="7"/>
      <c r="Z4134" s="7"/>
      <c r="AA4134" s="7"/>
      <c r="AB4134" s="7"/>
      <c r="AC4134" s="7"/>
      <c r="AD4134" s="7"/>
      <c r="AE4134" s="7"/>
      <c r="AF4134" s="7"/>
    </row>
    <row r="4135" spans="1:32" ht="33.75" customHeight="1">
      <c r="A4135" s="596"/>
      <c r="B4135" s="3160" t="s">
        <v>365</v>
      </c>
      <c r="C4135" s="596"/>
      <c r="D4135" s="1116" t="s">
        <v>1977</v>
      </c>
      <c r="E4135" s="3048" t="s">
        <v>3320</v>
      </c>
      <c r="F4135" s="597">
        <v>2239</v>
      </c>
      <c r="G4135" s="598" t="s">
        <v>1017</v>
      </c>
      <c r="H4135" s="602">
        <v>130</v>
      </c>
      <c r="I4135" s="1117"/>
      <c r="J4135" s="1494">
        <v>130</v>
      </c>
      <c r="K4135" s="601"/>
      <c r="L4135" s="613">
        <v>0</v>
      </c>
      <c r="M4135" s="1118"/>
      <c r="N4135" s="305"/>
      <c r="O4135" s="7"/>
      <c r="P4135" s="7"/>
      <c r="Q4135" s="7"/>
      <c r="R4135" s="7"/>
      <c r="S4135" s="7"/>
      <c r="T4135" s="7"/>
      <c r="U4135" s="7"/>
      <c r="V4135" s="7"/>
      <c r="W4135" s="7"/>
      <c r="X4135" s="7"/>
      <c r="Y4135" s="7"/>
      <c r="Z4135" s="7"/>
      <c r="AA4135" s="7"/>
      <c r="AB4135" s="7"/>
      <c r="AC4135" s="7"/>
      <c r="AD4135" s="7"/>
      <c r="AE4135" s="7"/>
      <c r="AF4135" s="7"/>
    </row>
    <row r="4136" spans="1:32" ht="20.399999999999999">
      <c r="A4136" s="603"/>
      <c r="B4136" s="3131" t="s">
        <v>365</v>
      </c>
      <c r="C4136" s="603" t="s">
        <v>325</v>
      </c>
      <c r="D4136" s="1114" t="s">
        <v>1977</v>
      </c>
      <c r="E4136" s="1119" t="s">
        <v>3320</v>
      </c>
      <c r="F4136" s="604">
        <v>2239</v>
      </c>
      <c r="G4136" s="1120" t="s">
        <v>3164</v>
      </c>
      <c r="H4136" s="1121"/>
      <c r="I4136" s="1122">
        <v>130</v>
      </c>
      <c r="J4136" s="1494" t="s">
        <v>1134</v>
      </c>
      <c r="K4136" s="646"/>
      <c r="L4136" s="1115"/>
      <c r="M4136" s="1115"/>
      <c r="N4136" s="305"/>
    </row>
    <row r="4137" spans="1:32" ht="20.399999999999999">
      <c r="A4137" s="596"/>
      <c r="B4137" s="3160" t="s">
        <v>365</v>
      </c>
      <c r="C4137" s="596"/>
      <c r="D4137" s="1116" t="s">
        <v>1977</v>
      </c>
      <c r="E4137" s="3048" t="s">
        <v>3320</v>
      </c>
      <c r="F4137" s="597">
        <v>5240</v>
      </c>
      <c r="G4137" s="598" t="s">
        <v>1187</v>
      </c>
      <c r="H4137" s="602">
        <v>191386</v>
      </c>
      <c r="I4137" s="1117"/>
      <c r="J4137" s="1494">
        <v>32903.120000000003</v>
      </c>
      <c r="K4137" s="601"/>
      <c r="L4137" s="602">
        <v>660558</v>
      </c>
      <c r="M4137" s="1117"/>
      <c r="N4137" s="305"/>
    </row>
    <row r="4138" spans="1:32" ht="11.4" customHeight="1">
      <c r="A4138" s="603"/>
      <c r="B4138" s="3131" t="s">
        <v>365</v>
      </c>
      <c r="C4138" s="603" t="s">
        <v>325</v>
      </c>
      <c r="D4138" s="1114" t="s">
        <v>1977</v>
      </c>
      <c r="E4138" s="1119" t="s">
        <v>3320</v>
      </c>
      <c r="F4138" s="604">
        <v>5240</v>
      </c>
      <c r="G4138" s="1120" t="s">
        <v>1295</v>
      </c>
      <c r="H4138" s="1121"/>
      <c r="I4138" s="1122"/>
      <c r="J4138" s="1494" t="s">
        <v>1134</v>
      </c>
      <c r="K4138" s="646"/>
      <c r="L4138" s="1130"/>
      <c r="M4138" s="1130">
        <v>33556</v>
      </c>
      <c r="N4138" s="305"/>
    </row>
    <row r="4139" spans="1:32" ht="33.75" customHeight="1">
      <c r="A4139" s="2679"/>
      <c r="B4139" s="3131" t="s">
        <v>365</v>
      </c>
      <c r="C4139" s="603" t="s">
        <v>325</v>
      </c>
      <c r="D4139" s="1114" t="s">
        <v>1977</v>
      </c>
      <c r="E4139" s="1119" t="s">
        <v>3320</v>
      </c>
      <c r="F4139" s="604">
        <v>5240</v>
      </c>
      <c r="G4139" s="3020" t="s">
        <v>5187</v>
      </c>
      <c r="H4139" s="3021"/>
      <c r="I4139" s="3022"/>
      <c r="J4139" s="2607"/>
      <c r="K4139" s="2608"/>
      <c r="L4139" s="2606"/>
      <c r="M4139" s="2606">
        <v>357424</v>
      </c>
      <c r="N4139" s="305"/>
    </row>
    <row r="4140" spans="1:32">
      <c r="A4140" s="2679"/>
      <c r="B4140" s="3131" t="s">
        <v>365</v>
      </c>
      <c r="C4140" s="603" t="s">
        <v>325</v>
      </c>
      <c r="D4140" s="1114" t="s">
        <v>1977</v>
      </c>
      <c r="E4140" s="1119" t="s">
        <v>3320</v>
      </c>
      <c r="F4140" s="604">
        <v>5240</v>
      </c>
      <c r="G4140" s="3020" t="s">
        <v>329</v>
      </c>
      <c r="H4140" s="3021"/>
      <c r="I4140" s="3022"/>
      <c r="J4140" s="2607"/>
      <c r="K4140" s="2608"/>
      <c r="L4140" s="2606"/>
      <c r="M4140" s="2606">
        <v>269578</v>
      </c>
      <c r="N4140" s="305"/>
    </row>
    <row r="4141" spans="1:32" ht="61.2">
      <c r="A4141" s="603"/>
      <c r="B4141" s="3131" t="s">
        <v>365</v>
      </c>
      <c r="C4141" s="603" t="s">
        <v>325</v>
      </c>
      <c r="D4141" s="1114" t="s">
        <v>1977</v>
      </c>
      <c r="E4141" s="1119" t="s">
        <v>3320</v>
      </c>
      <c r="F4141" s="604">
        <v>5240</v>
      </c>
      <c r="G4141" s="1120" t="s">
        <v>2893</v>
      </c>
      <c r="H4141" s="1121"/>
      <c r="I4141" s="1122">
        <v>41802.837999999996</v>
      </c>
      <c r="J4141" s="1494" t="s">
        <v>1134</v>
      </c>
      <c r="K4141" s="646"/>
      <c r="L4141" s="1130"/>
      <c r="M4141" s="1130"/>
      <c r="N4141" s="305"/>
    </row>
    <row r="4142" spans="1:32" ht="20.399999999999999">
      <c r="A4142" s="603"/>
      <c r="B4142" s="3131" t="s">
        <v>365</v>
      </c>
      <c r="C4142" s="603" t="s">
        <v>325</v>
      </c>
      <c r="D4142" s="1114" t="s">
        <v>1977</v>
      </c>
      <c r="E4142" s="1119" t="s">
        <v>3320</v>
      </c>
      <c r="F4142" s="604">
        <v>5240</v>
      </c>
      <c r="G4142" s="1120" t="s">
        <v>2891</v>
      </c>
      <c r="H4142" s="1121"/>
      <c r="I4142" s="1122">
        <v>53039</v>
      </c>
      <c r="J4142" s="1494" t="s">
        <v>1134</v>
      </c>
      <c r="K4142" s="646"/>
      <c r="L4142" s="1130"/>
      <c r="M4142" s="1130"/>
      <c r="N4142" s="305"/>
    </row>
    <row r="4143" spans="1:32" ht="30.6">
      <c r="A4143" s="603"/>
      <c r="B4143" s="3131" t="s">
        <v>365</v>
      </c>
      <c r="C4143" s="603" t="s">
        <v>325</v>
      </c>
      <c r="D4143" s="1114" t="s">
        <v>1977</v>
      </c>
      <c r="E4143" s="1119" t="s">
        <v>3320</v>
      </c>
      <c r="F4143" s="604">
        <v>5240</v>
      </c>
      <c r="G4143" s="1120" t="s">
        <v>2892</v>
      </c>
      <c r="H4143" s="1121"/>
      <c r="I4143" s="1122">
        <v>96674.162000000011</v>
      </c>
      <c r="J4143" s="1494" t="s">
        <v>1134</v>
      </c>
      <c r="K4143" s="646"/>
      <c r="L4143" s="1130"/>
      <c r="M4143" s="1130"/>
      <c r="N4143" s="305"/>
    </row>
    <row r="4144" spans="1:32" ht="20.399999999999999">
      <c r="A4144" s="603"/>
      <c r="B4144" s="3131" t="s">
        <v>365</v>
      </c>
      <c r="C4144" s="603" t="s">
        <v>325</v>
      </c>
      <c r="D4144" s="1114" t="s">
        <v>1977</v>
      </c>
      <c r="E4144" s="1119" t="s">
        <v>3320</v>
      </c>
      <c r="F4144" s="604">
        <v>5240</v>
      </c>
      <c r="G4144" s="1120" t="s">
        <v>3164</v>
      </c>
      <c r="H4144" s="1121"/>
      <c r="I4144" s="1122">
        <v>-130</v>
      </c>
      <c r="J4144" s="1494" t="s">
        <v>1134</v>
      </c>
      <c r="K4144" s="646"/>
      <c r="L4144" s="1130"/>
      <c r="M4144" s="1130"/>
      <c r="N4144" s="305"/>
    </row>
    <row r="4145" spans="1:14" ht="20.399999999999999">
      <c r="A4145" s="596"/>
      <c r="B4145" s="3160" t="s">
        <v>365</v>
      </c>
      <c r="C4145" s="596"/>
      <c r="D4145" s="1116" t="s">
        <v>1977</v>
      </c>
      <c r="E4145" s="3048" t="s">
        <v>3321</v>
      </c>
      <c r="F4145" s="597">
        <v>5240</v>
      </c>
      <c r="G4145" s="598" t="s">
        <v>1187</v>
      </c>
      <c r="H4145" s="602">
        <v>950824</v>
      </c>
      <c r="I4145" s="1117"/>
      <c r="J4145" s="1494">
        <v>15590.85</v>
      </c>
      <c r="K4145" s="601"/>
      <c r="L4145" s="602">
        <v>1271381.6900000002</v>
      </c>
      <c r="M4145" s="1117"/>
      <c r="N4145" s="305"/>
    </row>
    <row r="4146" spans="1:14">
      <c r="A4146" s="603"/>
      <c r="B4146" s="3131" t="s">
        <v>365</v>
      </c>
      <c r="C4146" s="603" t="s">
        <v>325</v>
      </c>
      <c r="D4146" s="1114" t="s">
        <v>1977</v>
      </c>
      <c r="E4146" s="1119" t="s">
        <v>3321</v>
      </c>
      <c r="F4146" s="604">
        <v>5240</v>
      </c>
      <c r="G4146" s="1120" t="s">
        <v>1295</v>
      </c>
      <c r="H4146" s="1121"/>
      <c r="I4146" s="1122"/>
      <c r="J4146" s="1494" t="s">
        <v>1134</v>
      </c>
      <c r="K4146" s="646"/>
      <c r="L4146" s="1130"/>
      <c r="M4146" s="1130">
        <v>3650</v>
      </c>
      <c r="N4146" s="305"/>
    </row>
    <row r="4147" spans="1:14" ht="40.799999999999997">
      <c r="A4147" s="603"/>
      <c r="B4147" s="3131" t="s">
        <v>365</v>
      </c>
      <c r="C4147" s="603" t="s">
        <v>325</v>
      </c>
      <c r="D4147" s="1114" t="s">
        <v>1977</v>
      </c>
      <c r="E4147" s="1119" t="s">
        <v>3321</v>
      </c>
      <c r="F4147" s="604">
        <v>5240</v>
      </c>
      <c r="G4147" s="1120" t="s">
        <v>2894</v>
      </c>
      <c r="H4147" s="1121"/>
      <c r="I4147" s="1122">
        <v>638646</v>
      </c>
      <c r="J4147" s="1494" t="s">
        <v>1134</v>
      </c>
      <c r="K4147" s="646"/>
      <c r="L4147" s="1130"/>
      <c r="M4147" s="1130">
        <v>634996</v>
      </c>
      <c r="N4147" s="305"/>
    </row>
    <row r="4148" spans="1:14">
      <c r="A4148" s="603"/>
      <c r="B4148" s="3131" t="s">
        <v>365</v>
      </c>
      <c r="C4148" s="603" t="s">
        <v>325</v>
      </c>
      <c r="D4148" s="1114" t="s">
        <v>1977</v>
      </c>
      <c r="E4148" s="1119" t="s">
        <v>3321</v>
      </c>
      <c r="F4148" s="604">
        <v>5240</v>
      </c>
      <c r="G4148" s="1120" t="s">
        <v>346</v>
      </c>
      <c r="H4148" s="1121"/>
      <c r="I4148" s="1122">
        <v>16940</v>
      </c>
      <c r="J4148" s="1494" t="s">
        <v>1134</v>
      </c>
      <c r="K4148" s="646"/>
      <c r="L4148" s="1130"/>
      <c r="M4148" s="1130">
        <v>28362</v>
      </c>
      <c r="N4148" s="305"/>
    </row>
    <row r="4149" spans="1:14">
      <c r="A4149" s="603"/>
      <c r="B4149" s="3131" t="s">
        <v>365</v>
      </c>
      <c r="C4149" s="603" t="s">
        <v>325</v>
      </c>
      <c r="D4149" s="1114" t="s">
        <v>1977</v>
      </c>
      <c r="E4149" s="1119" t="s">
        <v>3321</v>
      </c>
      <c r="F4149" s="604">
        <v>5240</v>
      </c>
      <c r="G4149" s="1120" t="s">
        <v>1338</v>
      </c>
      <c r="H4149" s="1121"/>
      <c r="I4149" s="1122">
        <v>295238</v>
      </c>
      <c r="J4149" s="1494" t="s">
        <v>1134</v>
      </c>
      <c r="K4149" s="646"/>
      <c r="L4149" s="1130"/>
      <c r="M4149" s="1130">
        <v>240428.40000000014</v>
      </c>
      <c r="N4149" s="305"/>
    </row>
    <row r="4150" spans="1:14">
      <c r="A4150" s="603"/>
      <c r="B4150" s="3131" t="s">
        <v>365</v>
      </c>
      <c r="C4150" s="603" t="s">
        <v>325</v>
      </c>
      <c r="D4150" s="1114" t="s">
        <v>1977</v>
      </c>
      <c r="E4150" s="1119" t="s">
        <v>3321</v>
      </c>
      <c r="F4150" s="604">
        <v>5240</v>
      </c>
      <c r="G4150" s="1120" t="s">
        <v>5188</v>
      </c>
      <c r="H4150" s="1121"/>
      <c r="I4150" s="1122"/>
      <c r="J4150" s="1494" t="s">
        <v>1134</v>
      </c>
      <c r="K4150" s="646"/>
      <c r="L4150" s="1130"/>
      <c r="M4150" s="1130">
        <v>283727.46999999997</v>
      </c>
      <c r="N4150" s="305"/>
    </row>
    <row r="4151" spans="1:14">
      <c r="A4151" s="603"/>
      <c r="B4151" s="3131" t="s">
        <v>365</v>
      </c>
      <c r="C4151" s="603" t="s">
        <v>325</v>
      </c>
      <c r="D4151" s="1114" t="s">
        <v>1977</v>
      </c>
      <c r="E4151" s="1119" t="s">
        <v>3321</v>
      </c>
      <c r="F4151" s="604">
        <v>5240</v>
      </c>
      <c r="G4151" s="1120" t="s">
        <v>346</v>
      </c>
      <c r="H4151" s="1121"/>
      <c r="I4151" s="1122"/>
      <c r="J4151" s="1494" t="s">
        <v>1134</v>
      </c>
      <c r="K4151" s="646"/>
      <c r="L4151" s="1130"/>
      <c r="M4151" s="1130">
        <v>80217.820000000065</v>
      </c>
      <c r="N4151" s="305"/>
    </row>
    <row r="4152" spans="1:14" ht="20.399999999999999">
      <c r="A4152" s="720"/>
      <c r="B4152" s="3129" t="s">
        <v>365</v>
      </c>
      <c r="C4152" s="720" t="s">
        <v>775</v>
      </c>
      <c r="D4152" s="1210" t="s">
        <v>1977</v>
      </c>
      <c r="E4152" s="1775" t="s">
        <v>3322</v>
      </c>
      <c r="F4152" s="824">
        <v>5240</v>
      </c>
      <c r="G4152" s="800" t="s">
        <v>1187</v>
      </c>
      <c r="H4152" s="706">
        <v>416333</v>
      </c>
      <c r="I4152" s="706"/>
      <c r="J4152" s="1494">
        <v>1815</v>
      </c>
      <c r="K4152" s="802"/>
      <c r="L4152" s="689">
        <v>404972</v>
      </c>
      <c r="M4152" s="689"/>
      <c r="N4152" s="305"/>
    </row>
    <row r="4153" spans="1:14" ht="11.4" customHeight="1">
      <c r="A4153" s="700"/>
      <c r="B4153" s="3130" t="s">
        <v>365</v>
      </c>
      <c r="C4153" s="700" t="s">
        <v>775</v>
      </c>
      <c r="D4153" s="794" t="s">
        <v>1977</v>
      </c>
      <c r="E4153" s="700" t="s">
        <v>3322</v>
      </c>
      <c r="F4153" s="795">
        <v>5240</v>
      </c>
      <c r="G4153" s="750" t="s">
        <v>1295</v>
      </c>
      <c r="H4153" s="701"/>
      <c r="I4153" s="701"/>
      <c r="J4153" s="1494" t="s">
        <v>1134</v>
      </c>
      <c r="K4153" s="792"/>
      <c r="L4153" s="660"/>
      <c r="M4153" s="660">
        <v>76125</v>
      </c>
      <c r="N4153" s="305"/>
    </row>
    <row r="4154" spans="1:14" ht="20.399999999999999">
      <c r="A4154" s="700"/>
      <c r="B4154" s="3130" t="s">
        <v>365</v>
      </c>
      <c r="C4154" s="700" t="s">
        <v>775</v>
      </c>
      <c r="D4154" s="794" t="s">
        <v>1977</v>
      </c>
      <c r="E4154" s="700" t="s">
        <v>3322</v>
      </c>
      <c r="F4154" s="795">
        <v>5240</v>
      </c>
      <c r="G4154" s="750" t="s">
        <v>2918</v>
      </c>
      <c r="H4154" s="701"/>
      <c r="I4154" s="701">
        <v>83000</v>
      </c>
      <c r="J4154" s="1494" t="s">
        <v>1134</v>
      </c>
      <c r="K4154" s="792"/>
      <c r="L4154" s="660"/>
      <c r="M4154" s="660">
        <v>328847</v>
      </c>
      <c r="N4154" s="305"/>
    </row>
    <row r="4155" spans="1:14" ht="11.4" customHeight="1">
      <c r="A4155" s="700"/>
      <c r="B4155" s="3130" t="s">
        <v>365</v>
      </c>
      <c r="C4155" s="700" t="s">
        <v>775</v>
      </c>
      <c r="D4155" s="794" t="s">
        <v>1977</v>
      </c>
      <c r="E4155" s="700" t="s">
        <v>3322</v>
      </c>
      <c r="F4155" s="795">
        <v>5240</v>
      </c>
      <c r="G4155" s="750" t="s">
        <v>2248</v>
      </c>
      <c r="H4155" s="701"/>
      <c r="I4155" s="701">
        <v>333333</v>
      </c>
      <c r="J4155" s="1494" t="s">
        <v>1134</v>
      </c>
      <c r="K4155" s="792"/>
      <c r="L4155" s="660"/>
      <c r="M4155" s="660"/>
      <c r="N4155" s="305"/>
    </row>
    <row r="4156" spans="1:14" ht="20.399999999999999">
      <c r="A4156" s="720"/>
      <c r="B4156" s="3129" t="s">
        <v>365</v>
      </c>
      <c r="C4156" s="720" t="s">
        <v>775</v>
      </c>
      <c r="D4156" s="1210" t="s">
        <v>1977</v>
      </c>
      <c r="E4156" s="3050" t="s">
        <v>3323</v>
      </c>
      <c r="F4156" s="824">
        <v>5240</v>
      </c>
      <c r="G4156" s="800" t="s">
        <v>1187</v>
      </c>
      <c r="H4156" s="706">
        <v>15000</v>
      </c>
      <c r="I4156" s="706"/>
      <c r="J4156" s="1494">
        <v>0</v>
      </c>
      <c r="K4156" s="802"/>
      <c r="L4156" s="1661">
        <v>48400</v>
      </c>
      <c r="M4156" s="1661"/>
      <c r="N4156" s="305"/>
    </row>
    <row r="4157" spans="1:14">
      <c r="A4157" s="700"/>
      <c r="B4157" s="3130" t="s">
        <v>365</v>
      </c>
      <c r="C4157" s="700" t="s">
        <v>775</v>
      </c>
      <c r="D4157" s="794" t="s">
        <v>1977</v>
      </c>
      <c r="E4157" s="1407" t="s">
        <v>3323</v>
      </c>
      <c r="F4157" s="795">
        <v>5240</v>
      </c>
      <c r="G4157" s="750" t="s">
        <v>1294</v>
      </c>
      <c r="H4157" s="701"/>
      <c r="I4157" s="701">
        <v>5400</v>
      </c>
      <c r="J4157" s="1494" t="s">
        <v>1134</v>
      </c>
      <c r="K4157" s="792"/>
      <c r="L4157" s="1662"/>
      <c r="M4157" s="1662">
        <v>6422</v>
      </c>
      <c r="N4157" s="305"/>
    </row>
    <row r="4158" spans="1:14">
      <c r="A4158" s="700"/>
      <c r="B4158" s="3130" t="s">
        <v>365</v>
      </c>
      <c r="C4158" s="700" t="s">
        <v>775</v>
      </c>
      <c r="D4158" s="794" t="s">
        <v>1977</v>
      </c>
      <c r="E4158" s="1407" t="s">
        <v>3323</v>
      </c>
      <c r="F4158" s="795">
        <v>5240</v>
      </c>
      <c r="G4158" s="750" t="s">
        <v>5191</v>
      </c>
      <c r="H4158" s="701"/>
      <c r="I4158" s="701">
        <v>5400</v>
      </c>
      <c r="J4158" s="1494" t="s">
        <v>1134</v>
      </c>
      <c r="K4158" s="792"/>
      <c r="L4158" s="1662"/>
      <c r="M4158" s="1662">
        <v>19267</v>
      </c>
      <c r="N4158" s="125"/>
    </row>
    <row r="4159" spans="1:14" ht="30.6">
      <c r="A4159" s="700"/>
      <c r="B4159" s="3130" t="s">
        <v>365</v>
      </c>
      <c r="C4159" s="700" t="s">
        <v>775</v>
      </c>
      <c r="D4159" s="794" t="s">
        <v>1977</v>
      </c>
      <c r="E4159" s="1407" t="s">
        <v>3323</v>
      </c>
      <c r="F4159" s="795">
        <v>5240</v>
      </c>
      <c r="G4159" s="750" t="s">
        <v>3251</v>
      </c>
      <c r="H4159" s="701"/>
      <c r="I4159" s="701">
        <v>9600</v>
      </c>
      <c r="J4159" s="1494" t="s">
        <v>1134</v>
      </c>
      <c r="K4159" s="792"/>
      <c r="L4159" s="1662"/>
      <c r="M4159" s="1662">
        <v>22711</v>
      </c>
      <c r="N4159" s="2299" t="s">
        <v>4384</v>
      </c>
    </row>
    <row r="4160" spans="1:14" ht="20.399999999999999">
      <c r="A4160" s="720"/>
      <c r="B4160" s="3129" t="s">
        <v>365</v>
      </c>
      <c r="C4160" s="720" t="s">
        <v>775</v>
      </c>
      <c r="D4160" s="1210" t="s">
        <v>1977</v>
      </c>
      <c r="E4160" s="971" t="s">
        <v>3324</v>
      </c>
      <c r="F4160" s="824">
        <v>5240</v>
      </c>
      <c r="G4160" s="800" t="s">
        <v>1187</v>
      </c>
      <c r="H4160" s="706">
        <v>5000</v>
      </c>
      <c r="I4160" s="706"/>
      <c r="J4160" s="1494">
        <v>0</v>
      </c>
      <c r="K4160" s="802"/>
      <c r="L4160" s="687">
        <v>0</v>
      </c>
      <c r="M4160" s="687"/>
      <c r="N4160" s="2299" t="s">
        <v>4384</v>
      </c>
    </row>
    <row r="4161" spans="1:32">
      <c r="A4161" s="700"/>
      <c r="B4161" s="3130" t="s">
        <v>365</v>
      </c>
      <c r="C4161" s="700" t="s">
        <v>775</v>
      </c>
      <c r="D4161" s="794" t="s">
        <v>1977</v>
      </c>
      <c r="E4161" s="839" t="s">
        <v>3324</v>
      </c>
      <c r="F4161" s="795">
        <v>5240</v>
      </c>
      <c r="G4161" s="750" t="s">
        <v>3250</v>
      </c>
      <c r="H4161" s="701"/>
      <c r="I4161" s="701">
        <v>900</v>
      </c>
      <c r="J4161" s="1494" t="s">
        <v>1134</v>
      </c>
      <c r="K4161" s="792"/>
      <c r="L4161" s="659"/>
      <c r="M4161" s="659"/>
      <c r="N4161" s="2300"/>
    </row>
    <row r="4162" spans="1:32" ht="30.6">
      <c r="A4162" s="700"/>
      <c r="B4162" s="3130" t="s">
        <v>365</v>
      </c>
      <c r="C4162" s="700" t="s">
        <v>775</v>
      </c>
      <c r="D4162" s="794" t="s">
        <v>1977</v>
      </c>
      <c r="E4162" s="839" t="s">
        <v>3324</v>
      </c>
      <c r="F4162" s="795">
        <v>5240</v>
      </c>
      <c r="G4162" s="750" t="s">
        <v>3253</v>
      </c>
      <c r="H4162" s="701"/>
      <c r="I4162" s="701">
        <v>4100</v>
      </c>
      <c r="J4162" s="1494" t="s">
        <v>1134</v>
      </c>
      <c r="K4162" s="792"/>
      <c r="L4162" s="659"/>
      <c r="M4162" s="659"/>
      <c r="N4162" s="305" t="s">
        <v>2708</v>
      </c>
    </row>
    <row r="4163" spans="1:32" ht="20.399999999999999">
      <c r="A4163" s="720"/>
      <c r="B4163" s="3129" t="s">
        <v>365</v>
      </c>
      <c r="C4163" s="720" t="s">
        <v>775</v>
      </c>
      <c r="D4163" s="1210" t="s">
        <v>1977</v>
      </c>
      <c r="E4163" s="971" t="s">
        <v>3325</v>
      </c>
      <c r="F4163" s="824">
        <v>5239</v>
      </c>
      <c r="G4163" s="800" t="s">
        <v>1187</v>
      </c>
      <c r="H4163" s="706">
        <v>10000</v>
      </c>
      <c r="I4163" s="706"/>
      <c r="J4163" s="1494">
        <v>0</v>
      </c>
      <c r="K4163" s="802"/>
      <c r="L4163" s="687">
        <v>0</v>
      </c>
      <c r="M4163" s="687"/>
      <c r="N4163" s="381"/>
      <c r="O4163" s="187"/>
      <c r="P4163" s="187"/>
      <c r="Q4163" s="187"/>
      <c r="R4163" s="187"/>
      <c r="S4163" s="187"/>
      <c r="T4163" s="187"/>
      <c r="U4163" s="187"/>
      <c r="V4163" s="187"/>
      <c r="W4163" s="187"/>
      <c r="X4163" s="187"/>
      <c r="Y4163" s="187"/>
      <c r="Z4163" s="187"/>
      <c r="AA4163" s="187"/>
      <c r="AB4163" s="187"/>
      <c r="AC4163" s="187"/>
      <c r="AD4163" s="187"/>
      <c r="AE4163" s="187"/>
      <c r="AF4163" s="187"/>
    </row>
    <row r="4164" spans="1:32">
      <c r="A4164" s="700"/>
      <c r="B4164" s="3130" t="s">
        <v>365</v>
      </c>
      <c r="C4164" s="700" t="s">
        <v>775</v>
      </c>
      <c r="D4164" s="794" t="s">
        <v>1977</v>
      </c>
      <c r="E4164" s="839" t="s">
        <v>3325</v>
      </c>
      <c r="F4164" s="795">
        <v>5239</v>
      </c>
      <c r="G4164" s="750" t="s">
        <v>3250</v>
      </c>
      <c r="H4164" s="701"/>
      <c r="I4164" s="701">
        <v>1800</v>
      </c>
      <c r="J4164" s="1494" t="s">
        <v>1134</v>
      </c>
      <c r="K4164" s="792"/>
      <c r="L4164" s="659"/>
      <c r="M4164" s="659"/>
      <c r="N4164" s="1056" t="s">
        <v>4135</v>
      </c>
      <c r="O4164" s="187"/>
      <c r="P4164" s="187"/>
      <c r="Q4164" s="187"/>
      <c r="R4164" s="187"/>
      <c r="S4164" s="187"/>
      <c r="T4164" s="187"/>
      <c r="U4164" s="187"/>
      <c r="V4164" s="187"/>
      <c r="W4164" s="187"/>
      <c r="X4164" s="187"/>
      <c r="Y4164" s="187"/>
      <c r="Z4164" s="187"/>
      <c r="AA4164" s="187"/>
      <c r="AB4164" s="187"/>
      <c r="AC4164" s="187"/>
      <c r="AD4164" s="187"/>
      <c r="AE4164" s="187"/>
      <c r="AF4164" s="187"/>
    </row>
    <row r="4165" spans="1:32" ht="30.6">
      <c r="A4165" s="700"/>
      <c r="B4165" s="3130" t="s">
        <v>365</v>
      </c>
      <c r="C4165" s="700" t="s">
        <v>775</v>
      </c>
      <c r="D4165" s="794" t="s">
        <v>1977</v>
      </c>
      <c r="E4165" s="839" t="s">
        <v>3325</v>
      </c>
      <c r="F4165" s="795">
        <v>5239</v>
      </c>
      <c r="G4165" s="750" t="s">
        <v>3258</v>
      </c>
      <c r="H4165" s="701"/>
      <c r="I4165" s="701">
        <v>8200</v>
      </c>
      <c r="J4165" s="1494" t="s">
        <v>1134</v>
      </c>
      <c r="K4165" s="792"/>
      <c r="L4165" s="659"/>
      <c r="M4165" s="659"/>
      <c r="N4165" s="381" t="s">
        <v>4134</v>
      </c>
      <c r="O4165" s="7"/>
      <c r="P4165" s="7"/>
      <c r="Q4165" s="7"/>
      <c r="R4165" s="7"/>
      <c r="S4165" s="7"/>
      <c r="T4165" s="7"/>
      <c r="U4165" s="7"/>
      <c r="V4165" s="7"/>
      <c r="W4165" s="7"/>
      <c r="X4165" s="7"/>
      <c r="Y4165" s="7"/>
      <c r="Z4165" s="7"/>
      <c r="AA4165" s="7"/>
      <c r="AB4165" s="7"/>
      <c r="AC4165" s="7"/>
      <c r="AD4165" s="7"/>
      <c r="AE4165" s="7"/>
      <c r="AF4165" s="7"/>
    </row>
    <row r="4166" spans="1:32" ht="30.6">
      <c r="A4166" s="683"/>
      <c r="B4166" s="3129" t="s">
        <v>365</v>
      </c>
      <c r="C4166" s="683" t="s">
        <v>775</v>
      </c>
      <c r="D4166" s="684" t="s">
        <v>1977</v>
      </c>
      <c r="E4166" s="1775" t="s">
        <v>1906</v>
      </c>
      <c r="F4166" s="685">
        <v>2239</v>
      </c>
      <c r="G4166" s="686" t="s">
        <v>122</v>
      </c>
      <c r="H4166" s="689">
        <v>26893</v>
      </c>
      <c r="I4166" s="689"/>
      <c r="J4166" s="1494">
        <v>544.5</v>
      </c>
      <c r="K4166" s="727"/>
      <c r="L4166" s="689">
        <v>30654</v>
      </c>
      <c r="M4166" s="689"/>
      <c r="N4166" s="381"/>
    </row>
    <row r="4167" spans="1:32" ht="20.399999999999999">
      <c r="A4167" s="663"/>
      <c r="B4167" s="3130" t="s">
        <v>365</v>
      </c>
      <c r="C4167" s="663" t="s">
        <v>775</v>
      </c>
      <c r="D4167" s="678" t="s">
        <v>1977</v>
      </c>
      <c r="E4167" s="700" t="s">
        <v>1906</v>
      </c>
      <c r="F4167" s="679">
        <v>2239</v>
      </c>
      <c r="G4167" s="665" t="s">
        <v>5178</v>
      </c>
      <c r="H4167" s="660"/>
      <c r="I4167" s="660">
        <v>49346</v>
      </c>
      <c r="J4167" s="1494" t="s">
        <v>1134</v>
      </c>
      <c r="K4167" s="667"/>
      <c r="L4167" s="660"/>
      <c r="M4167" s="660">
        <v>30654</v>
      </c>
      <c r="N4167" s="673" t="s">
        <v>4391</v>
      </c>
      <c r="O4167" s="7"/>
      <c r="P4167" s="7"/>
      <c r="Q4167" s="7"/>
      <c r="R4167" s="7"/>
      <c r="S4167" s="7"/>
      <c r="T4167" s="7"/>
      <c r="V4167" s="7"/>
      <c r="W4167" s="7"/>
      <c r="X4167" s="7"/>
      <c r="Y4167" s="7"/>
      <c r="Z4167" s="7"/>
      <c r="AA4167" s="7"/>
      <c r="AB4167" s="7"/>
      <c r="AC4167" s="7"/>
      <c r="AD4167" s="7"/>
      <c r="AE4167" s="7"/>
      <c r="AF4167" s="7"/>
    </row>
    <row r="4168" spans="1:32" ht="61.2">
      <c r="A4168" s="663"/>
      <c r="B4168" s="3130" t="s">
        <v>365</v>
      </c>
      <c r="C4168" s="663" t="s">
        <v>775</v>
      </c>
      <c r="D4168" s="678" t="s">
        <v>1977</v>
      </c>
      <c r="E4168" s="700" t="s">
        <v>1906</v>
      </c>
      <c r="F4168" s="679">
        <v>2239</v>
      </c>
      <c r="G4168" s="665" t="s">
        <v>3367</v>
      </c>
      <c r="H4168" s="660"/>
      <c r="I4168" s="660">
        <v>-10933</v>
      </c>
      <c r="J4168" s="1494" t="s">
        <v>1134</v>
      </c>
      <c r="K4168" s="667"/>
      <c r="L4168" s="660"/>
      <c r="M4168" s="660"/>
      <c r="N4168" s="2304"/>
      <c r="O4168" s="7"/>
      <c r="P4168" s="7"/>
      <c r="Q4168" s="7"/>
      <c r="R4168" s="7"/>
      <c r="S4168" s="7"/>
      <c r="T4168" s="7"/>
      <c r="V4168" s="7"/>
      <c r="W4168" s="7"/>
      <c r="X4168" s="7"/>
      <c r="Y4168" s="7"/>
      <c r="Z4168" s="7"/>
      <c r="AA4168" s="7"/>
      <c r="AB4168" s="7"/>
      <c r="AC4168" s="7"/>
      <c r="AD4168" s="7"/>
      <c r="AE4168" s="7"/>
      <c r="AF4168" s="7"/>
    </row>
    <row r="4169" spans="1:32" ht="40.799999999999997">
      <c r="A4169" s="1495"/>
      <c r="B4169" s="3138" t="s">
        <v>365</v>
      </c>
      <c r="C4169" s="1495" t="s">
        <v>775</v>
      </c>
      <c r="D4169" s="1561" t="s">
        <v>1977</v>
      </c>
      <c r="E4169" s="1590" t="s">
        <v>1906</v>
      </c>
      <c r="F4169" s="1574">
        <v>2239</v>
      </c>
      <c r="G4169" s="1548" t="s">
        <v>3391</v>
      </c>
      <c r="H4169" s="1549"/>
      <c r="I4169" s="1549">
        <v>-11520</v>
      </c>
      <c r="J4169" s="1549"/>
      <c r="K4169" s="1551"/>
      <c r="L4169" s="1549"/>
      <c r="M4169" s="1549"/>
      <c r="N4169" s="653"/>
      <c r="O4169" s="7"/>
      <c r="P4169" s="7"/>
      <c r="Q4169" s="7"/>
      <c r="R4169" s="7"/>
      <c r="S4169" s="7"/>
      <c r="T4169" s="7"/>
      <c r="V4169" s="7"/>
      <c r="W4169" s="7"/>
      <c r="X4169" s="7"/>
      <c r="Y4169" s="7"/>
      <c r="Z4169" s="7"/>
      <c r="AA4169" s="7"/>
      <c r="AB4169" s="7"/>
      <c r="AC4169" s="7"/>
      <c r="AD4169" s="7"/>
      <c r="AE4169" s="7"/>
      <c r="AF4169" s="7"/>
    </row>
    <row r="4170" spans="1:32" ht="11.4" customHeight="1">
      <c r="A4170" s="720"/>
      <c r="B4170" s="3129" t="s">
        <v>365</v>
      </c>
      <c r="C4170" s="720" t="s">
        <v>775</v>
      </c>
      <c r="D4170" s="1210" t="s">
        <v>1977</v>
      </c>
      <c r="E4170" s="1775" t="s">
        <v>1906</v>
      </c>
      <c r="F4170" s="824">
        <v>5240</v>
      </c>
      <c r="G4170" s="800" t="s">
        <v>1187</v>
      </c>
      <c r="H4170" s="706">
        <v>11520</v>
      </c>
      <c r="I4170" s="706"/>
      <c r="J4170" s="1494">
        <v>11519.2</v>
      </c>
      <c r="K4170" s="802"/>
      <c r="L4170" s="689">
        <v>0</v>
      </c>
      <c r="M4170" s="689"/>
      <c r="N4170" s="7"/>
      <c r="O4170" s="7"/>
      <c r="P4170" s="7"/>
      <c r="Q4170" s="7"/>
      <c r="R4170" s="7"/>
      <c r="S4170" s="7"/>
      <c r="T4170" s="7"/>
      <c r="V4170" s="7"/>
      <c r="W4170" s="7"/>
      <c r="X4170" s="7"/>
      <c r="Y4170" s="7"/>
      <c r="Z4170" s="7"/>
      <c r="AA4170" s="7"/>
      <c r="AB4170" s="7"/>
      <c r="AC4170" s="7"/>
      <c r="AD4170" s="7"/>
      <c r="AE4170" s="7"/>
      <c r="AF4170" s="7"/>
    </row>
    <row r="4171" spans="1:32" ht="40.799999999999997">
      <c r="A4171" s="663"/>
      <c r="B4171" s="3130" t="s">
        <v>365</v>
      </c>
      <c r="C4171" s="663" t="s">
        <v>775</v>
      </c>
      <c r="D4171" s="678" t="s">
        <v>1977</v>
      </c>
      <c r="E4171" s="700" t="s">
        <v>1906</v>
      </c>
      <c r="F4171" s="679">
        <v>5240</v>
      </c>
      <c r="G4171" s="665" t="s">
        <v>3391</v>
      </c>
      <c r="H4171" s="660"/>
      <c r="I4171" s="660">
        <v>11520</v>
      </c>
      <c r="J4171" s="1494" t="s">
        <v>1134</v>
      </c>
      <c r="K4171" s="667"/>
      <c r="L4171" s="660"/>
      <c r="M4171" s="660"/>
      <c r="N4171" s="7" t="s">
        <v>4386</v>
      </c>
      <c r="O4171" s="7"/>
      <c r="P4171" s="7"/>
      <c r="Q4171" s="7"/>
      <c r="R4171" s="7"/>
      <c r="S4171" s="7"/>
      <c r="T4171" s="7"/>
      <c r="V4171" s="7"/>
      <c r="W4171" s="7"/>
      <c r="X4171" s="7"/>
      <c r="Y4171" s="7"/>
      <c r="Z4171" s="7"/>
      <c r="AA4171" s="7"/>
      <c r="AB4171" s="7"/>
      <c r="AC4171" s="7"/>
      <c r="AD4171" s="7"/>
      <c r="AE4171" s="7"/>
      <c r="AF4171" s="7"/>
    </row>
    <row r="4172" spans="1:32">
      <c r="A4172" s="683"/>
      <c r="B4172" s="3129" t="s">
        <v>365</v>
      </c>
      <c r="C4172" s="683" t="s">
        <v>775</v>
      </c>
      <c r="D4172" s="684" t="s">
        <v>1977</v>
      </c>
      <c r="E4172" s="971" t="s">
        <v>1947</v>
      </c>
      <c r="F4172" s="685">
        <v>1119</v>
      </c>
      <c r="G4172" s="686" t="s">
        <v>142</v>
      </c>
      <c r="H4172" s="689">
        <v>20891.657901124687</v>
      </c>
      <c r="I4172" s="689"/>
      <c r="J4172" s="1494">
        <v>10647.33</v>
      </c>
      <c r="K4172" s="690"/>
      <c r="L4172" s="687">
        <v>0</v>
      </c>
      <c r="M4172" s="687"/>
      <c r="N4172" s="7" t="s">
        <v>4388</v>
      </c>
      <c r="O4172" s="7"/>
      <c r="P4172" s="7"/>
      <c r="Q4172" s="7"/>
      <c r="R4172" s="7"/>
      <c r="S4172" s="7"/>
      <c r="T4172" s="7"/>
      <c r="V4172" s="7"/>
      <c r="W4172" s="7"/>
      <c r="X4172" s="7"/>
      <c r="Y4172" s="7"/>
      <c r="Z4172" s="7"/>
      <c r="AA4172" s="7"/>
      <c r="AB4172" s="7"/>
      <c r="AC4172" s="7"/>
      <c r="AD4172" s="7"/>
      <c r="AE4172" s="7"/>
      <c r="AF4172" s="7"/>
    </row>
    <row r="4173" spans="1:32">
      <c r="A4173" s="663"/>
      <c r="B4173" s="3130" t="s">
        <v>365</v>
      </c>
      <c r="C4173" s="663" t="s">
        <v>775</v>
      </c>
      <c r="D4173" s="678" t="s">
        <v>1977</v>
      </c>
      <c r="E4173" s="839" t="s">
        <v>1947</v>
      </c>
      <c r="F4173" s="679">
        <v>1119</v>
      </c>
      <c r="G4173" s="665" t="s">
        <v>1623</v>
      </c>
      <c r="H4173" s="660"/>
      <c r="I4173" s="660">
        <v>20891.657901124687</v>
      </c>
      <c r="J4173" s="1494" t="s">
        <v>1134</v>
      </c>
      <c r="K4173" s="661"/>
      <c r="L4173" s="659"/>
      <c r="M4173" s="659"/>
      <c r="N4173" s="7" t="s">
        <v>4389</v>
      </c>
      <c r="O4173" s="7"/>
      <c r="P4173" s="7"/>
      <c r="Q4173" s="7"/>
      <c r="R4173" s="7"/>
      <c r="S4173" s="7"/>
      <c r="T4173" s="7"/>
      <c r="V4173" s="7"/>
      <c r="W4173" s="7"/>
      <c r="X4173" s="7"/>
      <c r="Y4173" s="7"/>
      <c r="Z4173" s="7"/>
      <c r="AA4173" s="7"/>
      <c r="AB4173" s="7"/>
      <c r="AC4173" s="7"/>
      <c r="AD4173" s="7"/>
      <c r="AE4173" s="7"/>
      <c r="AF4173" s="7"/>
    </row>
    <row r="4174" spans="1:32" ht="20.399999999999999">
      <c r="A4174" s="683"/>
      <c r="B4174" s="3129" t="s">
        <v>365</v>
      </c>
      <c r="C4174" s="683" t="s">
        <v>775</v>
      </c>
      <c r="D4174" s="684" t="s">
        <v>1977</v>
      </c>
      <c r="E4174" s="971" t="s">
        <v>1947</v>
      </c>
      <c r="F4174" s="685">
        <v>1210</v>
      </c>
      <c r="G4174" s="686" t="s">
        <v>402</v>
      </c>
      <c r="H4174" s="689">
        <v>4928.3420988753132</v>
      </c>
      <c r="I4174" s="689"/>
      <c r="J4174" s="1494">
        <v>2204.8000000000002</v>
      </c>
      <c r="K4174" s="690"/>
      <c r="L4174" s="687">
        <v>0</v>
      </c>
      <c r="M4174" s="687"/>
      <c r="N4174" s="7" t="s">
        <v>4390</v>
      </c>
      <c r="O4174" s="7"/>
      <c r="P4174" s="7"/>
      <c r="Q4174" s="7"/>
      <c r="R4174" s="7"/>
      <c r="S4174" s="7"/>
      <c r="T4174" s="7"/>
      <c r="V4174" s="7"/>
      <c r="W4174" s="7"/>
      <c r="X4174" s="7"/>
      <c r="Y4174" s="7"/>
      <c r="Z4174" s="7"/>
      <c r="AA4174" s="7"/>
      <c r="AB4174" s="7"/>
      <c r="AC4174" s="7"/>
      <c r="AD4174" s="7"/>
      <c r="AE4174" s="7"/>
      <c r="AF4174" s="7"/>
    </row>
    <row r="4175" spans="1:32">
      <c r="A4175" s="663"/>
      <c r="B4175" s="3130" t="s">
        <v>365</v>
      </c>
      <c r="C4175" s="663" t="s">
        <v>775</v>
      </c>
      <c r="D4175" s="678" t="s">
        <v>1977</v>
      </c>
      <c r="E4175" s="839" t="s">
        <v>1947</v>
      </c>
      <c r="F4175" s="679">
        <v>1210</v>
      </c>
      <c r="G4175" s="665" t="s">
        <v>1623</v>
      </c>
      <c r="H4175" s="660"/>
      <c r="I4175" s="660">
        <v>4928.3420988753132</v>
      </c>
      <c r="J4175" s="1494" t="s">
        <v>1134</v>
      </c>
      <c r="K4175" s="661"/>
      <c r="L4175" s="659"/>
      <c r="M4175" s="659"/>
      <c r="N4175" s="7" t="s">
        <v>4390</v>
      </c>
      <c r="O4175" s="7"/>
      <c r="P4175" s="7"/>
      <c r="Q4175" s="7"/>
      <c r="R4175" s="7"/>
      <c r="S4175" s="7"/>
      <c r="T4175" s="7"/>
      <c r="V4175" s="7"/>
      <c r="W4175" s="7"/>
      <c r="X4175" s="7"/>
      <c r="Y4175" s="7"/>
      <c r="Z4175" s="7"/>
      <c r="AA4175" s="7"/>
      <c r="AB4175" s="7"/>
      <c r="AC4175" s="7"/>
      <c r="AD4175" s="7"/>
      <c r="AE4175" s="7"/>
      <c r="AF4175" s="7"/>
    </row>
    <row r="4176" spans="1:32">
      <c r="A4176" s="683"/>
      <c r="B4176" s="3129" t="s">
        <v>365</v>
      </c>
      <c r="C4176" s="683" t="s">
        <v>775</v>
      </c>
      <c r="D4176" s="684" t="s">
        <v>1977</v>
      </c>
      <c r="E4176" s="971" t="s">
        <v>1947</v>
      </c>
      <c r="F4176" s="685">
        <v>2121</v>
      </c>
      <c r="G4176" s="686" t="s">
        <v>1037</v>
      </c>
      <c r="H4176" s="689">
        <v>1000</v>
      </c>
      <c r="I4176" s="689"/>
      <c r="J4176" s="1494">
        <v>280</v>
      </c>
      <c r="K4176" s="690"/>
      <c r="L4176" s="687">
        <v>0</v>
      </c>
      <c r="M4176" s="687"/>
      <c r="N4176" s="305"/>
    </row>
    <row r="4177" spans="1:32">
      <c r="A4177" s="663"/>
      <c r="B4177" s="3130" t="s">
        <v>365</v>
      </c>
      <c r="C4177" s="663" t="s">
        <v>775</v>
      </c>
      <c r="D4177" s="678" t="s">
        <v>1977</v>
      </c>
      <c r="E4177" s="839" t="s">
        <v>1947</v>
      </c>
      <c r="F4177" s="679">
        <v>2121</v>
      </c>
      <c r="G4177" s="665" t="s">
        <v>1622</v>
      </c>
      <c r="H4177" s="660"/>
      <c r="I4177" s="660">
        <v>1000</v>
      </c>
      <c r="J4177" s="1494" t="s">
        <v>1134</v>
      </c>
      <c r="K4177" s="661"/>
      <c r="L4177" s="659"/>
      <c r="M4177" s="659"/>
      <c r="N4177" s="381"/>
      <c r="O4177" s="7"/>
      <c r="P4177" s="7"/>
      <c r="Q4177" s="7"/>
      <c r="R4177" s="7"/>
      <c r="S4177" s="7"/>
      <c r="T4177" s="7"/>
      <c r="V4177" s="7"/>
      <c r="W4177" s="7"/>
      <c r="X4177" s="7"/>
      <c r="Y4177" s="7"/>
      <c r="Z4177" s="7"/>
      <c r="AA4177" s="7"/>
      <c r="AB4177" s="7"/>
      <c r="AC4177" s="7"/>
      <c r="AD4177" s="7"/>
      <c r="AE4177" s="7"/>
      <c r="AF4177" s="7"/>
    </row>
    <row r="4178" spans="1:32" ht="20.399999999999999">
      <c r="A4178" s="683"/>
      <c r="B4178" s="3129" t="s">
        <v>365</v>
      </c>
      <c r="C4178" s="683" t="s">
        <v>775</v>
      </c>
      <c r="D4178" s="684" t="s">
        <v>1977</v>
      </c>
      <c r="E4178" s="971" t="s">
        <v>1947</v>
      </c>
      <c r="F4178" s="685">
        <v>2122</v>
      </c>
      <c r="G4178" s="686" t="s">
        <v>1038</v>
      </c>
      <c r="H4178" s="689">
        <v>2360</v>
      </c>
      <c r="I4178" s="689"/>
      <c r="J4178" s="1494">
        <v>1290.29</v>
      </c>
      <c r="K4178" s="690"/>
      <c r="L4178" s="687">
        <v>0</v>
      </c>
      <c r="M4178" s="687"/>
      <c r="N4178" s="381"/>
      <c r="O4178" s="7"/>
      <c r="P4178" s="7"/>
      <c r="Q4178" s="7"/>
      <c r="R4178" s="7"/>
      <c r="S4178" s="7"/>
      <c r="T4178" s="7"/>
      <c r="V4178" s="7"/>
      <c r="W4178" s="7"/>
      <c r="X4178" s="7"/>
      <c r="Y4178" s="7"/>
      <c r="Z4178" s="7"/>
      <c r="AA4178" s="7"/>
      <c r="AB4178" s="7"/>
      <c r="AC4178" s="7"/>
      <c r="AD4178" s="7"/>
      <c r="AE4178" s="7"/>
      <c r="AF4178" s="7"/>
    </row>
    <row r="4179" spans="1:32">
      <c r="A4179" s="663"/>
      <c r="B4179" s="3130" t="s">
        <v>365</v>
      </c>
      <c r="C4179" s="663" t="s">
        <v>775</v>
      </c>
      <c r="D4179" s="678" t="s">
        <v>1977</v>
      </c>
      <c r="E4179" s="839" t="s">
        <v>1947</v>
      </c>
      <c r="F4179" s="679">
        <v>2122</v>
      </c>
      <c r="G4179" s="665" t="s">
        <v>1622</v>
      </c>
      <c r="H4179" s="660"/>
      <c r="I4179" s="660">
        <v>2360</v>
      </c>
      <c r="J4179" s="1494" t="s">
        <v>1134</v>
      </c>
      <c r="K4179" s="661"/>
      <c r="L4179" s="659"/>
      <c r="M4179" s="659"/>
      <c r="N4179" s="381"/>
      <c r="O4179" s="7"/>
      <c r="P4179" s="7"/>
      <c r="Q4179" s="7"/>
      <c r="R4179" s="7"/>
      <c r="S4179" s="7"/>
      <c r="T4179" s="7"/>
      <c r="V4179" s="7"/>
      <c r="W4179" s="7"/>
      <c r="X4179" s="7"/>
      <c r="Y4179" s="7"/>
      <c r="Z4179" s="7"/>
      <c r="AA4179" s="7"/>
      <c r="AB4179" s="7"/>
      <c r="AC4179" s="7"/>
      <c r="AD4179" s="7"/>
      <c r="AE4179" s="7"/>
      <c r="AF4179" s="7"/>
    </row>
    <row r="4180" spans="1:32">
      <c r="A4180" s="683"/>
      <c r="B4180" s="3129" t="s">
        <v>365</v>
      </c>
      <c r="C4180" s="683" t="s">
        <v>775</v>
      </c>
      <c r="D4180" s="684" t="s">
        <v>1977</v>
      </c>
      <c r="E4180" s="971" t="s">
        <v>1947</v>
      </c>
      <c r="F4180" s="685">
        <v>2239</v>
      </c>
      <c r="G4180" s="686" t="s">
        <v>1017</v>
      </c>
      <c r="H4180" s="689">
        <v>36162</v>
      </c>
      <c r="I4180" s="689"/>
      <c r="J4180" s="1494">
        <v>15000</v>
      </c>
      <c r="K4180" s="690"/>
      <c r="L4180" s="687">
        <v>0</v>
      </c>
      <c r="M4180" s="687"/>
      <c r="N4180" s="305" t="s">
        <v>4393</v>
      </c>
      <c r="O4180" s="7"/>
      <c r="P4180" s="7"/>
      <c r="Q4180" s="7"/>
      <c r="R4180" s="7"/>
      <c r="S4180" s="7"/>
      <c r="T4180" s="7"/>
      <c r="V4180" s="7"/>
      <c r="W4180" s="7"/>
      <c r="X4180" s="7"/>
      <c r="Y4180" s="7"/>
      <c r="Z4180" s="7"/>
      <c r="AA4180" s="7"/>
      <c r="AB4180" s="7"/>
      <c r="AC4180" s="7"/>
      <c r="AD4180" s="7"/>
      <c r="AE4180" s="7"/>
      <c r="AF4180" s="7"/>
    </row>
    <row r="4181" spans="1:32" ht="30.6">
      <c r="A4181" s="663"/>
      <c r="B4181" s="3130" t="s">
        <v>365</v>
      </c>
      <c r="C4181" s="663" t="s">
        <v>775</v>
      </c>
      <c r="D4181" s="678" t="s">
        <v>1977</v>
      </c>
      <c r="E4181" s="839" t="s">
        <v>1947</v>
      </c>
      <c r="F4181" s="679">
        <v>2239</v>
      </c>
      <c r="G4181" s="665" t="s">
        <v>2900</v>
      </c>
      <c r="H4181" s="660"/>
      <c r="I4181" s="660">
        <v>9628</v>
      </c>
      <c r="J4181" s="1494" t="s">
        <v>1134</v>
      </c>
      <c r="K4181" s="661"/>
      <c r="L4181" s="659"/>
      <c r="M4181" s="659"/>
      <c r="N4181" s="2020" t="s">
        <v>4394</v>
      </c>
      <c r="O4181" s="7"/>
      <c r="P4181" s="7"/>
      <c r="Q4181" s="7"/>
      <c r="R4181" s="7"/>
      <c r="S4181" s="7"/>
      <c r="T4181" s="7"/>
      <c r="V4181" s="7"/>
      <c r="W4181" s="7"/>
      <c r="X4181" s="7"/>
      <c r="Y4181" s="7"/>
      <c r="Z4181" s="7"/>
      <c r="AA4181" s="7"/>
      <c r="AB4181" s="7"/>
      <c r="AC4181" s="7"/>
      <c r="AD4181" s="7"/>
      <c r="AE4181" s="7"/>
      <c r="AF4181" s="7"/>
    </row>
    <row r="4182" spans="1:32" ht="30.6">
      <c r="A4182" s="1263"/>
      <c r="B4182" s="3130" t="s">
        <v>365</v>
      </c>
      <c r="C4182" s="663" t="s">
        <v>775</v>
      </c>
      <c r="D4182" s="678" t="s">
        <v>1977</v>
      </c>
      <c r="E4182" s="839" t="s">
        <v>1947</v>
      </c>
      <c r="F4182" s="679">
        <v>2239</v>
      </c>
      <c r="G4182" s="1264" t="s">
        <v>2904</v>
      </c>
      <c r="H4182" s="1260"/>
      <c r="I4182" s="1260">
        <v>26634</v>
      </c>
      <c r="J4182" s="1494" t="s">
        <v>1134</v>
      </c>
      <c r="K4182" s="1267"/>
      <c r="L4182" s="1306"/>
      <c r="M4182" s="1306"/>
      <c r="N4182" s="381"/>
    </row>
    <row r="4183" spans="1:32" ht="20.399999999999999">
      <c r="A4183" s="603"/>
      <c r="B4183" s="3130" t="s">
        <v>365</v>
      </c>
      <c r="C4183" s="663" t="s">
        <v>775</v>
      </c>
      <c r="D4183" s="678" t="s">
        <v>1977</v>
      </c>
      <c r="E4183" s="839" t="s">
        <v>1947</v>
      </c>
      <c r="F4183" s="679">
        <v>2239</v>
      </c>
      <c r="G4183" s="1129" t="s">
        <v>3165</v>
      </c>
      <c r="H4183" s="1130"/>
      <c r="I4183" s="1130">
        <v>-100</v>
      </c>
      <c r="J4183" s="1494" t="s">
        <v>1134</v>
      </c>
      <c r="K4183" s="646"/>
      <c r="L4183" s="1115"/>
      <c r="M4183" s="1115"/>
      <c r="N4183" s="381"/>
      <c r="O4183" s="7"/>
      <c r="P4183" s="7"/>
      <c r="Q4183" s="7"/>
      <c r="R4183" s="7"/>
      <c r="S4183" s="7"/>
      <c r="T4183" s="7"/>
      <c r="V4183" s="7"/>
      <c r="W4183" s="7"/>
      <c r="X4183" s="7"/>
      <c r="Y4183" s="7"/>
      <c r="Z4183" s="7"/>
      <c r="AA4183" s="7"/>
      <c r="AB4183" s="7"/>
      <c r="AC4183" s="7"/>
      <c r="AD4183" s="7"/>
      <c r="AE4183" s="7"/>
      <c r="AF4183" s="7"/>
    </row>
    <row r="4184" spans="1:32">
      <c r="A4184" s="683"/>
      <c r="B4184" s="3129" t="s">
        <v>365</v>
      </c>
      <c r="C4184" s="683" t="s">
        <v>775</v>
      </c>
      <c r="D4184" s="684" t="s">
        <v>1977</v>
      </c>
      <c r="E4184" s="971" t="s">
        <v>1947</v>
      </c>
      <c r="F4184" s="685">
        <v>2312</v>
      </c>
      <c r="G4184" s="686" t="s">
        <v>207</v>
      </c>
      <c r="H4184" s="689">
        <v>338</v>
      </c>
      <c r="I4184" s="689"/>
      <c r="J4184" s="1494">
        <v>337.7</v>
      </c>
      <c r="K4184" s="690"/>
      <c r="L4184" s="687">
        <v>0</v>
      </c>
      <c r="M4184" s="687"/>
      <c r="N4184" s="381"/>
      <c r="O4184" s="7"/>
      <c r="P4184" s="7"/>
      <c r="Q4184" s="7"/>
      <c r="R4184" s="7"/>
      <c r="S4184" s="7"/>
      <c r="T4184" s="7"/>
      <c r="V4184" s="7"/>
      <c r="W4184" s="7"/>
      <c r="X4184" s="7"/>
      <c r="Y4184" s="7"/>
      <c r="Z4184" s="7"/>
      <c r="AA4184" s="7"/>
      <c r="AB4184" s="7"/>
      <c r="AC4184" s="7"/>
      <c r="AD4184" s="7"/>
      <c r="AE4184" s="7"/>
      <c r="AF4184" s="7"/>
    </row>
    <row r="4185" spans="1:32">
      <c r="A4185" s="663"/>
      <c r="B4185" s="3130" t="s">
        <v>365</v>
      </c>
      <c r="C4185" s="663" t="s">
        <v>775</v>
      </c>
      <c r="D4185" s="678" t="s">
        <v>1977</v>
      </c>
      <c r="E4185" s="839" t="s">
        <v>1947</v>
      </c>
      <c r="F4185" s="679">
        <v>2312</v>
      </c>
      <c r="G4185" s="665" t="s">
        <v>2965</v>
      </c>
      <c r="H4185" s="660"/>
      <c r="I4185" s="660">
        <v>338</v>
      </c>
      <c r="J4185" s="1494" t="s">
        <v>1134</v>
      </c>
      <c r="K4185" s="661"/>
      <c r="L4185" s="659"/>
      <c r="M4185" s="659"/>
      <c r="N4185" s="381"/>
      <c r="O4185" s="7"/>
      <c r="P4185" s="7"/>
      <c r="Q4185" s="7"/>
      <c r="R4185" s="7"/>
      <c r="S4185" s="7"/>
      <c r="T4185" s="7"/>
      <c r="V4185" s="7"/>
      <c r="W4185" s="7"/>
      <c r="X4185" s="7"/>
      <c r="Y4185" s="7"/>
      <c r="Z4185" s="7"/>
      <c r="AA4185" s="7"/>
      <c r="AB4185" s="7"/>
      <c r="AC4185" s="7"/>
      <c r="AD4185" s="7"/>
      <c r="AE4185" s="7"/>
      <c r="AF4185" s="7"/>
    </row>
    <row r="4186" spans="1:32" ht="20.399999999999999">
      <c r="A4186" s="683"/>
      <c r="B4186" s="3129" t="s">
        <v>365</v>
      </c>
      <c r="C4186" s="683" t="s">
        <v>775</v>
      </c>
      <c r="D4186" s="684" t="s">
        <v>1977</v>
      </c>
      <c r="E4186" s="971" t="s">
        <v>1947</v>
      </c>
      <c r="F4186" s="685">
        <v>2314</v>
      </c>
      <c r="G4186" s="686" t="s">
        <v>1435</v>
      </c>
      <c r="H4186" s="689">
        <v>100</v>
      </c>
      <c r="I4186" s="689"/>
      <c r="J4186" s="1494">
        <v>50.05</v>
      </c>
      <c r="K4186" s="690"/>
      <c r="L4186" s="687">
        <v>0</v>
      </c>
      <c r="M4186" s="687"/>
      <c r="N4186" s="381"/>
      <c r="O4186" s="7"/>
      <c r="P4186" s="7"/>
      <c r="Q4186" s="7"/>
      <c r="R4186" s="7"/>
      <c r="S4186" s="7"/>
      <c r="T4186" s="7"/>
      <c r="V4186" s="7"/>
      <c r="W4186" s="7"/>
      <c r="X4186" s="7"/>
      <c r="Y4186" s="7"/>
      <c r="Z4186" s="7"/>
      <c r="AA4186" s="7"/>
      <c r="AB4186" s="7"/>
      <c r="AC4186" s="7"/>
      <c r="AD4186" s="7"/>
      <c r="AE4186" s="7"/>
      <c r="AF4186" s="7"/>
    </row>
    <row r="4187" spans="1:32" ht="20.399999999999999">
      <c r="A4187" s="663"/>
      <c r="B4187" s="3130" t="s">
        <v>365</v>
      </c>
      <c r="C4187" s="663" t="s">
        <v>775</v>
      </c>
      <c r="D4187" s="678" t="s">
        <v>1977</v>
      </c>
      <c r="E4187" s="839" t="s">
        <v>1947</v>
      </c>
      <c r="F4187" s="679">
        <v>2314</v>
      </c>
      <c r="G4187" s="1129" t="s">
        <v>3165</v>
      </c>
      <c r="H4187" s="660"/>
      <c r="I4187" s="660">
        <v>100</v>
      </c>
      <c r="J4187" s="1494" t="s">
        <v>1134</v>
      </c>
      <c r="K4187" s="661"/>
      <c r="L4187" s="659"/>
      <c r="M4187" s="659"/>
      <c r="N4187" s="305"/>
      <c r="O4187" s="7"/>
      <c r="P4187" s="7"/>
      <c r="Q4187" s="7"/>
      <c r="R4187" s="7"/>
      <c r="S4187" s="7"/>
      <c r="T4187" s="7"/>
      <c r="V4187" s="7"/>
      <c r="W4187" s="7"/>
      <c r="X4187" s="7"/>
      <c r="Y4187" s="7"/>
      <c r="Z4187" s="7"/>
      <c r="AA4187" s="7"/>
      <c r="AB4187" s="7"/>
      <c r="AC4187" s="7"/>
      <c r="AD4187" s="7"/>
      <c r="AE4187" s="7"/>
      <c r="AF4187" s="7"/>
    </row>
    <row r="4188" spans="1:32">
      <c r="A4188" s="683"/>
      <c r="B4188" s="3129" t="s">
        <v>365</v>
      </c>
      <c r="C4188" s="683" t="s">
        <v>775</v>
      </c>
      <c r="D4188" s="684" t="s">
        <v>1977</v>
      </c>
      <c r="E4188" s="971" t="s">
        <v>1947</v>
      </c>
      <c r="F4188" s="685">
        <v>2390</v>
      </c>
      <c r="G4188" s="686" t="s">
        <v>135</v>
      </c>
      <c r="H4188" s="689">
        <v>10886</v>
      </c>
      <c r="I4188" s="689"/>
      <c r="J4188" s="1494">
        <v>0</v>
      </c>
      <c r="K4188" s="690"/>
      <c r="L4188" s="687">
        <v>0</v>
      </c>
      <c r="M4188" s="687"/>
      <c r="N4188" s="305"/>
      <c r="O4188" s="7"/>
      <c r="P4188" s="7"/>
      <c r="Q4188" s="7"/>
      <c r="R4188" s="7"/>
      <c r="S4188" s="7"/>
      <c r="T4188" s="7"/>
      <c r="V4188" s="7"/>
      <c r="W4188" s="7"/>
      <c r="X4188" s="7"/>
      <c r="Y4188" s="7"/>
      <c r="Z4188" s="7"/>
      <c r="AA4188" s="7"/>
      <c r="AB4188" s="7"/>
      <c r="AC4188" s="7"/>
      <c r="AD4188" s="7"/>
      <c r="AE4188" s="7"/>
      <c r="AF4188" s="7"/>
    </row>
    <row r="4189" spans="1:32" ht="30.6">
      <c r="A4189" s="663"/>
      <c r="B4189" s="3130" t="s">
        <v>365</v>
      </c>
      <c r="C4189" s="663" t="s">
        <v>775</v>
      </c>
      <c r="D4189" s="678" t="s">
        <v>1977</v>
      </c>
      <c r="E4189" s="839" t="s">
        <v>1947</v>
      </c>
      <c r="F4189" s="679">
        <v>2390</v>
      </c>
      <c r="G4189" s="665" t="s">
        <v>2900</v>
      </c>
      <c r="H4189" s="660"/>
      <c r="I4189" s="660">
        <v>10886</v>
      </c>
      <c r="J4189" s="1494" t="s">
        <v>1134</v>
      </c>
      <c r="K4189" s="661"/>
      <c r="L4189" s="659"/>
      <c r="M4189" s="659"/>
      <c r="N4189" s="305"/>
    </row>
    <row r="4190" spans="1:32" ht="20.399999999999999">
      <c r="A4190" s="720"/>
      <c r="B4190" s="3129" t="s">
        <v>365</v>
      </c>
      <c r="C4190" s="720" t="s">
        <v>775</v>
      </c>
      <c r="D4190" s="1210" t="s">
        <v>1977</v>
      </c>
      <c r="E4190" s="971" t="s">
        <v>1947</v>
      </c>
      <c r="F4190" s="824">
        <v>5240</v>
      </c>
      <c r="G4190" s="800" t="s">
        <v>1187</v>
      </c>
      <c r="H4190" s="706">
        <v>368489</v>
      </c>
      <c r="I4190" s="706"/>
      <c r="J4190" s="1494">
        <v>0</v>
      </c>
      <c r="K4190" s="802"/>
      <c r="L4190" s="689">
        <v>850912</v>
      </c>
      <c r="M4190" s="687"/>
      <c r="N4190" s="305"/>
    </row>
    <row r="4191" spans="1:32">
      <c r="A4191" s="700"/>
      <c r="B4191" s="3130" t="s">
        <v>365</v>
      </c>
      <c r="C4191" s="700" t="s">
        <v>775</v>
      </c>
      <c r="D4191" s="794" t="s">
        <v>1977</v>
      </c>
      <c r="E4191" s="700" t="s">
        <v>1947</v>
      </c>
      <c r="F4191" s="795">
        <v>5240</v>
      </c>
      <c r="G4191" s="750" t="s">
        <v>5212</v>
      </c>
      <c r="H4191" s="701"/>
      <c r="I4191" s="701"/>
      <c r="J4191" s="1494" t="s">
        <v>1134</v>
      </c>
      <c r="K4191" s="792"/>
      <c r="L4191" s="659"/>
      <c r="M4191" s="660">
        <v>109293</v>
      </c>
      <c r="N4191" s="381"/>
    </row>
    <row r="4192" spans="1:32">
      <c r="A4192" s="700"/>
      <c r="B4192" s="3130" t="s">
        <v>365</v>
      </c>
      <c r="C4192" s="700" t="s">
        <v>775</v>
      </c>
      <c r="D4192" s="794" t="s">
        <v>1977</v>
      </c>
      <c r="E4192" s="700" t="s">
        <v>1947</v>
      </c>
      <c r="F4192" s="795">
        <v>5240</v>
      </c>
      <c r="G4192" s="750" t="s">
        <v>5211</v>
      </c>
      <c r="H4192" s="701"/>
      <c r="I4192" s="701"/>
      <c r="J4192" s="1494" t="s">
        <v>1134</v>
      </c>
      <c r="K4192" s="792"/>
      <c r="L4192" s="659"/>
      <c r="M4192" s="660">
        <v>62900</v>
      </c>
      <c r="N4192" s="381"/>
    </row>
    <row r="4193" spans="1:32">
      <c r="A4193" s="700"/>
      <c r="B4193" s="3130" t="s">
        <v>365</v>
      </c>
      <c r="C4193" s="700" t="s">
        <v>775</v>
      </c>
      <c r="D4193" s="794" t="s">
        <v>1977</v>
      </c>
      <c r="E4193" s="700" t="s">
        <v>1947</v>
      </c>
      <c r="F4193" s="795">
        <v>5240</v>
      </c>
      <c r="G4193" s="750" t="s">
        <v>5214</v>
      </c>
      <c r="H4193" s="701"/>
      <c r="I4193" s="701"/>
      <c r="J4193" s="1494" t="s">
        <v>1134</v>
      </c>
      <c r="K4193" s="792"/>
      <c r="L4193" s="659"/>
      <c r="M4193" s="660">
        <v>678719</v>
      </c>
      <c r="N4193" s="305"/>
    </row>
    <row r="4194" spans="1:32" ht="20.399999999999999">
      <c r="A4194" s="700"/>
      <c r="B4194" s="3130" t="s">
        <v>365</v>
      </c>
      <c r="C4194" s="700" t="s">
        <v>775</v>
      </c>
      <c r="D4194" s="794" t="s">
        <v>1977</v>
      </c>
      <c r="E4194" s="700" t="s">
        <v>1947</v>
      </c>
      <c r="F4194" s="795">
        <v>5240</v>
      </c>
      <c r="G4194" s="750" t="s">
        <v>5213</v>
      </c>
      <c r="H4194" s="701"/>
      <c r="I4194" s="701"/>
      <c r="J4194" s="1494" t="s">
        <v>1134</v>
      </c>
      <c r="K4194" s="792"/>
      <c r="L4194" s="659"/>
      <c r="M4194" s="660">
        <v>0</v>
      </c>
      <c r="N4194" s="305"/>
    </row>
    <row r="4195" spans="1:32" ht="20.399999999999999">
      <c r="A4195" s="700"/>
      <c r="B4195" s="3130" t="s">
        <v>365</v>
      </c>
      <c r="C4195" s="700" t="s">
        <v>775</v>
      </c>
      <c r="D4195" s="794" t="s">
        <v>1977</v>
      </c>
      <c r="E4195" s="839" t="s">
        <v>1947</v>
      </c>
      <c r="F4195" s="795">
        <v>5240</v>
      </c>
      <c r="G4195" s="750" t="s">
        <v>2905</v>
      </c>
      <c r="H4195" s="701"/>
      <c r="I4195" s="701">
        <v>231367</v>
      </c>
      <c r="J4195" s="1494" t="s">
        <v>1134</v>
      </c>
      <c r="K4195" s="792"/>
      <c r="L4195" s="659"/>
      <c r="M4195" s="659"/>
      <c r="N4195" s="305"/>
    </row>
    <row r="4196" spans="1:32">
      <c r="A4196" s="700"/>
      <c r="B4196" s="3130" t="s">
        <v>365</v>
      </c>
      <c r="C4196" s="700" t="s">
        <v>775</v>
      </c>
      <c r="D4196" s="794" t="s">
        <v>1977</v>
      </c>
      <c r="E4196" s="839" t="s">
        <v>1947</v>
      </c>
      <c r="F4196" s="795">
        <v>5240</v>
      </c>
      <c r="G4196" s="750" t="s">
        <v>2901</v>
      </c>
      <c r="H4196" s="701"/>
      <c r="I4196" s="701">
        <v>15000</v>
      </c>
      <c r="J4196" s="1494" t="s">
        <v>1134</v>
      </c>
      <c r="K4196" s="792"/>
      <c r="L4196" s="659"/>
      <c r="M4196" s="659"/>
      <c r="N4196" s="305"/>
    </row>
    <row r="4197" spans="1:32" ht="61.2">
      <c r="A4197" s="700"/>
      <c r="B4197" s="3130" t="s">
        <v>365</v>
      </c>
      <c r="C4197" s="700" t="s">
        <v>775</v>
      </c>
      <c r="D4197" s="794" t="s">
        <v>1977</v>
      </c>
      <c r="E4197" s="839" t="s">
        <v>1947</v>
      </c>
      <c r="F4197" s="795">
        <v>5240</v>
      </c>
      <c r="G4197" s="750" t="s">
        <v>3367</v>
      </c>
      <c r="H4197" s="701"/>
      <c r="I4197" s="701">
        <v>10933</v>
      </c>
      <c r="J4197" s="1494" t="s">
        <v>1134</v>
      </c>
      <c r="K4197" s="792"/>
      <c r="L4197" s="659"/>
      <c r="M4197" s="659"/>
      <c r="N4197" s="305"/>
    </row>
    <row r="4198" spans="1:32">
      <c r="A4198" s="1327"/>
      <c r="B4198" s="3130" t="s">
        <v>365</v>
      </c>
      <c r="C4198" s="700" t="s">
        <v>775</v>
      </c>
      <c r="D4198" s="794" t="s">
        <v>1977</v>
      </c>
      <c r="E4198" s="839" t="s">
        <v>1947</v>
      </c>
      <c r="F4198" s="795">
        <v>5240</v>
      </c>
      <c r="G4198" s="1330" t="s">
        <v>2902</v>
      </c>
      <c r="H4198" s="1265"/>
      <c r="I4198" s="1265">
        <v>50000</v>
      </c>
      <c r="J4198" s="1494" t="s">
        <v>1134</v>
      </c>
      <c r="K4198" s="1329"/>
      <c r="L4198" s="1306"/>
      <c r="M4198" s="1306"/>
      <c r="N4198" s="305"/>
      <c r="O4198" s="7"/>
      <c r="P4198" s="7"/>
      <c r="Q4198" s="7"/>
      <c r="R4198" s="7"/>
      <c r="S4198" s="7"/>
      <c r="T4198" s="7"/>
      <c r="V4198" s="7"/>
      <c r="W4198" s="7"/>
      <c r="X4198" s="7"/>
      <c r="Y4198" s="7"/>
      <c r="Z4198" s="7"/>
      <c r="AA4198" s="7"/>
      <c r="AB4198" s="7"/>
      <c r="AC4198" s="7"/>
      <c r="AD4198" s="7"/>
      <c r="AE4198" s="7"/>
      <c r="AF4198" s="7"/>
    </row>
    <row r="4199" spans="1:32" ht="20.399999999999999">
      <c r="A4199" s="700"/>
      <c r="B4199" s="3130" t="s">
        <v>365</v>
      </c>
      <c r="C4199" s="700" t="s">
        <v>775</v>
      </c>
      <c r="D4199" s="794" t="s">
        <v>1977</v>
      </c>
      <c r="E4199" s="839" t="s">
        <v>1947</v>
      </c>
      <c r="F4199" s="795">
        <v>5240</v>
      </c>
      <c r="G4199" s="750" t="s">
        <v>2903</v>
      </c>
      <c r="H4199" s="701"/>
      <c r="I4199" s="701">
        <v>59189</v>
      </c>
      <c r="J4199" s="1494" t="s">
        <v>1134</v>
      </c>
      <c r="K4199" s="792"/>
      <c r="L4199" s="659"/>
      <c r="M4199" s="659"/>
      <c r="N4199" s="305"/>
      <c r="O4199" s="7"/>
      <c r="P4199" s="7"/>
      <c r="Q4199" s="7"/>
      <c r="R4199" s="7"/>
      <c r="S4199" s="7"/>
      <c r="T4199" s="7"/>
      <c r="V4199" s="7"/>
      <c r="W4199" s="7"/>
      <c r="X4199" s="7"/>
      <c r="Y4199" s="7"/>
      <c r="Z4199" s="7"/>
      <c r="AA4199" s="7"/>
      <c r="AB4199" s="7"/>
      <c r="AC4199" s="7"/>
      <c r="AD4199" s="7"/>
      <c r="AE4199" s="7"/>
      <c r="AF4199" s="7"/>
    </row>
    <row r="4200" spans="1:32">
      <c r="A4200" s="700"/>
      <c r="B4200" s="3130" t="s">
        <v>365</v>
      </c>
      <c r="C4200" s="700" t="s">
        <v>775</v>
      </c>
      <c r="D4200" s="794" t="s">
        <v>1977</v>
      </c>
      <c r="E4200" s="839" t="s">
        <v>1947</v>
      </c>
      <c r="F4200" s="795">
        <v>5240</v>
      </c>
      <c r="G4200" s="750" t="s">
        <v>1624</v>
      </c>
      <c r="H4200" s="701"/>
      <c r="I4200" s="701">
        <v>2000</v>
      </c>
      <c r="J4200" s="1494" t="s">
        <v>1134</v>
      </c>
      <c r="K4200" s="792"/>
      <c r="L4200" s="659"/>
      <c r="M4200" s="659"/>
      <c r="N4200" s="305" t="s">
        <v>4396</v>
      </c>
      <c r="O4200" s="7"/>
      <c r="P4200" s="7"/>
      <c r="Q4200" s="7"/>
      <c r="R4200" s="7"/>
      <c r="S4200" s="7"/>
      <c r="T4200" s="7"/>
      <c r="V4200" s="7"/>
      <c r="W4200" s="7"/>
      <c r="X4200" s="7"/>
      <c r="Y4200" s="7"/>
      <c r="Z4200" s="7"/>
      <c r="AA4200" s="7"/>
      <c r="AB4200" s="7"/>
      <c r="AC4200" s="7"/>
      <c r="AD4200" s="7"/>
      <c r="AE4200" s="7"/>
      <c r="AF4200" s="7"/>
    </row>
    <row r="4201" spans="1:32" ht="20.399999999999999">
      <c r="A4201" s="683"/>
      <c r="B4201" s="3129" t="s">
        <v>365</v>
      </c>
      <c r="C4201" s="683" t="s">
        <v>775</v>
      </c>
      <c r="D4201" s="684" t="s">
        <v>1977</v>
      </c>
      <c r="E4201" s="1775" t="s">
        <v>2640</v>
      </c>
      <c r="F4201" s="685">
        <v>5240</v>
      </c>
      <c r="G4201" s="686" t="s">
        <v>1187</v>
      </c>
      <c r="H4201" s="689">
        <v>34550</v>
      </c>
      <c r="I4201" s="689"/>
      <c r="J4201" s="1494">
        <v>0</v>
      </c>
      <c r="K4201" s="690"/>
      <c r="L4201" s="689">
        <v>42495</v>
      </c>
      <c r="M4201" s="689"/>
      <c r="N4201" s="305"/>
      <c r="O4201" s="7"/>
      <c r="P4201" s="7"/>
      <c r="Q4201" s="7"/>
      <c r="R4201" s="7"/>
      <c r="S4201" s="7"/>
      <c r="T4201" s="7"/>
      <c r="V4201" s="7"/>
      <c r="W4201" s="7"/>
      <c r="X4201" s="7"/>
      <c r="Y4201" s="7"/>
      <c r="Z4201" s="7"/>
      <c r="AA4201" s="7"/>
      <c r="AB4201" s="7"/>
      <c r="AC4201" s="7"/>
      <c r="AD4201" s="7"/>
      <c r="AE4201" s="7"/>
      <c r="AF4201" s="7"/>
    </row>
    <row r="4202" spans="1:32">
      <c r="A4202" s="663"/>
      <c r="B4202" s="3130" t="s">
        <v>365</v>
      </c>
      <c r="C4202" s="663" t="s">
        <v>775</v>
      </c>
      <c r="D4202" s="678" t="s">
        <v>1977</v>
      </c>
      <c r="E4202" s="700" t="s">
        <v>2640</v>
      </c>
      <c r="F4202" s="679">
        <v>5240</v>
      </c>
      <c r="G4202" s="665" t="s">
        <v>5192</v>
      </c>
      <c r="H4202" s="660"/>
      <c r="I4202" s="660">
        <v>34550</v>
      </c>
      <c r="J4202" s="1494" t="s">
        <v>1134</v>
      </c>
      <c r="K4202" s="661"/>
      <c r="L4202" s="660"/>
      <c r="M4202" s="660">
        <v>36495</v>
      </c>
      <c r="N4202" s="305"/>
    </row>
    <row r="4203" spans="1:32">
      <c r="A4203" s="663"/>
      <c r="B4203" s="3130" t="s">
        <v>365</v>
      </c>
      <c r="C4203" s="663" t="s">
        <v>775</v>
      </c>
      <c r="D4203" s="678" t="s">
        <v>1977</v>
      </c>
      <c r="E4203" s="700" t="s">
        <v>2640</v>
      </c>
      <c r="F4203" s="679">
        <v>5240</v>
      </c>
      <c r="G4203" s="665" t="s">
        <v>329</v>
      </c>
      <c r="H4203" s="660"/>
      <c r="I4203" s="660"/>
      <c r="J4203" s="1494" t="s">
        <v>1134</v>
      </c>
      <c r="K4203" s="661"/>
      <c r="L4203" s="660"/>
      <c r="M4203" s="660">
        <v>6000</v>
      </c>
      <c r="N4203" s="305"/>
      <c r="O4203" s="7"/>
      <c r="P4203" s="7"/>
      <c r="Q4203" s="7"/>
      <c r="R4203" s="7"/>
      <c r="S4203" s="7"/>
      <c r="T4203" s="7"/>
      <c r="V4203" s="7"/>
      <c r="W4203" s="7"/>
      <c r="X4203" s="7"/>
      <c r="Y4203" s="7"/>
      <c r="Z4203" s="7"/>
      <c r="AA4203" s="7"/>
      <c r="AB4203" s="7"/>
      <c r="AC4203" s="7"/>
      <c r="AD4203" s="7"/>
      <c r="AE4203" s="7"/>
      <c r="AF4203" s="7"/>
    </row>
    <row r="4204" spans="1:32">
      <c r="A4204" s="720"/>
      <c r="B4204" s="3129" t="s">
        <v>365</v>
      </c>
      <c r="C4204" s="720" t="s">
        <v>775</v>
      </c>
      <c r="D4204" s="1210" t="s">
        <v>1977</v>
      </c>
      <c r="E4204" s="840" t="s">
        <v>1991</v>
      </c>
      <c r="F4204" s="824">
        <v>5213</v>
      </c>
      <c r="G4204" s="800" t="s">
        <v>302</v>
      </c>
      <c r="H4204" s="706">
        <v>0</v>
      </c>
      <c r="I4204" s="706"/>
      <c r="J4204" s="1494" t="s">
        <v>1134</v>
      </c>
      <c r="K4204" s="802"/>
      <c r="L4204" s="687">
        <v>0</v>
      </c>
      <c r="M4204" s="687"/>
      <c r="N4204" s="305"/>
      <c r="O4204" s="7"/>
      <c r="P4204" s="7"/>
      <c r="Q4204" s="7"/>
      <c r="R4204" s="7"/>
      <c r="S4204" s="7"/>
      <c r="T4204" s="7"/>
      <c r="V4204" s="7"/>
      <c r="W4204" s="7"/>
      <c r="X4204" s="7"/>
      <c r="Y4204" s="7"/>
      <c r="Z4204" s="7"/>
      <c r="AA4204" s="7"/>
      <c r="AB4204" s="7"/>
      <c r="AC4204" s="7"/>
      <c r="AD4204" s="7"/>
      <c r="AE4204" s="7"/>
      <c r="AF4204" s="7"/>
    </row>
    <row r="4205" spans="1:32" ht="20.399999999999999">
      <c r="A4205" s="700"/>
      <c r="B4205" s="3130" t="s">
        <v>365</v>
      </c>
      <c r="C4205" s="700" t="s">
        <v>325</v>
      </c>
      <c r="D4205" s="794" t="s">
        <v>1977</v>
      </c>
      <c r="E4205" s="839" t="s">
        <v>1991</v>
      </c>
      <c r="F4205" s="795">
        <v>5213</v>
      </c>
      <c r="G4205" s="967" t="s">
        <v>2015</v>
      </c>
      <c r="H4205" s="701"/>
      <c r="I4205" s="701"/>
      <c r="J4205" s="1494" t="s">
        <v>1134</v>
      </c>
      <c r="K4205" s="792"/>
      <c r="L4205" s="659"/>
      <c r="M4205" s="973"/>
      <c r="N4205" s="305"/>
      <c r="O4205" s="7"/>
      <c r="P4205" s="7"/>
      <c r="Q4205" s="7"/>
      <c r="R4205" s="7"/>
      <c r="S4205" s="7"/>
      <c r="T4205" s="7"/>
      <c r="V4205" s="7"/>
      <c r="W4205" s="7"/>
      <c r="X4205" s="7"/>
      <c r="Y4205" s="7"/>
      <c r="Z4205" s="7"/>
      <c r="AA4205" s="7"/>
      <c r="AB4205" s="7"/>
      <c r="AC4205" s="7"/>
      <c r="AD4205" s="7"/>
      <c r="AE4205" s="7"/>
      <c r="AF4205" s="7"/>
    </row>
    <row r="4206" spans="1:32">
      <c r="A4206" s="720"/>
      <c r="B4206" s="3129" t="s">
        <v>365</v>
      </c>
      <c r="C4206" s="720" t="s">
        <v>775</v>
      </c>
      <c r="D4206" s="1210" t="s">
        <v>1977</v>
      </c>
      <c r="E4206" s="840" t="s">
        <v>1991</v>
      </c>
      <c r="F4206" s="824">
        <v>5218</v>
      </c>
      <c r="G4206" s="800" t="s">
        <v>1062</v>
      </c>
      <c r="H4206" s="706">
        <v>0</v>
      </c>
      <c r="I4206" s="706"/>
      <c r="J4206" s="1494" t="s">
        <v>1134</v>
      </c>
      <c r="K4206" s="802"/>
      <c r="L4206" s="687">
        <v>0</v>
      </c>
      <c r="M4206" s="687"/>
      <c r="N4206" s="2023"/>
    </row>
    <row r="4207" spans="1:32" ht="20.399999999999999">
      <c r="A4207" s="700"/>
      <c r="B4207" s="3130" t="s">
        <v>365</v>
      </c>
      <c r="C4207" s="700" t="s">
        <v>325</v>
      </c>
      <c r="D4207" s="794" t="s">
        <v>1977</v>
      </c>
      <c r="E4207" s="839" t="s">
        <v>1991</v>
      </c>
      <c r="F4207" s="795">
        <v>5218</v>
      </c>
      <c r="G4207" s="967" t="s">
        <v>2018</v>
      </c>
      <c r="H4207" s="701"/>
      <c r="I4207" s="701"/>
      <c r="J4207" s="1494" t="s">
        <v>1134</v>
      </c>
      <c r="K4207" s="792"/>
      <c r="L4207" s="659"/>
      <c r="M4207" s="973"/>
      <c r="N4207" s="305" t="s">
        <v>4398</v>
      </c>
      <c r="O4207" s="7"/>
      <c r="P4207" s="7"/>
      <c r="Q4207" s="7"/>
      <c r="R4207" s="7"/>
      <c r="S4207" s="7"/>
      <c r="T4207" s="7"/>
      <c r="V4207" s="7"/>
      <c r="W4207" s="7"/>
      <c r="X4207" s="7"/>
      <c r="Y4207" s="7"/>
      <c r="Z4207" s="7"/>
      <c r="AA4207" s="7"/>
      <c r="AB4207" s="7"/>
      <c r="AC4207" s="7"/>
      <c r="AD4207" s="7"/>
      <c r="AE4207" s="7"/>
      <c r="AF4207" s="7"/>
    </row>
    <row r="4208" spans="1:32" ht="20.399999999999999">
      <c r="A4208" s="720"/>
      <c r="B4208" s="3129" t="s">
        <v>365</v>
      </c>
      <c r="C4208" s="720" t="s">
        <v>775</v>
      </c>
      <c r="D4208" s="1210" t="s">
        <v>1977</v>
      </c>
      <c r="E4208" s="840" t="s">
        <v>1991</v>
      </c>
      <c r="F4208" s="824">
        <v>5239</v>
      </c>
      <c r="G4208" s="800" t="s">
        <v>1178</v>
      </c>
      <c r="H4208" s="706">
        <v>0</v>
      </c>
      <c r="I4208" s="706"/>
      <c r="J4208" s="1494" t="s">
        <v>1134</v>
      </c>
      <c r="K4208" s="802"/>
      <c r="L4208" s="687">
        <v>0</v>
      </c>
      <c r="M4208" s="687"/>
      <c r="N4208" s="2048"/>
    </row>
    <row r="4209" spans="1:32" ht="20.399999999999999">
      <c r="A4209" s="700"/>
      <c r="B4209" s="3130" t="s">
        <v>365</v>
      </c>
      <c r="C4209" s="700" t="s">
        <v>325</v>
      </c>
      <c r="D4209" s="794" t="s">
        <v>1977</v>
      </c>
      <c r="E4209" s="839" t="s">
        <v>1991</v>
      </c>
      <c r="F4209" s="795">
        <v>5239</v>
      </c>
      <c r="G4209" s="967" t="s">
        <v>2016</v>
      </c>
      <c r="H4209" s="701"/>
      <c r="I4209" s="701"/>
      <c r="J4209" s="1494" t="s">
        <v>1134</v>
      </c>
      <c r="K4209" s="792"/>
      <c r="L4209" s="659"/>
      <c r="M4209" s="973"/>
      <c r="N4209" s="305"/>
      <c r="O4209" s="7"/>
      <c r="P4209" s="7"/>
      <c r="Q4209" s="7"/>
      <c r="R4209" s="7"/>
      <c r="S4209" s="7"/>
      <c r="T4209" s="7"/>
      <c r="V4209" s="7"/>
      <c r="W4209" s="7"/>
      <c r="X4209" s="7"/>
      <c r="Y4209" s="7"/>
      <c r="Z4209" s="7"/>
      <c r="AA4209" s="7"/>
      <c r="AB4209" s="7"/>
      <c r="AC4209" s="7"/>
      <c r="AD4209" s="7"/>
      <c r="AE4209" s="7"/>
      <c r="AF4209" s="7"/>
    </row>
    <row r="4210" spans="1:32" ht="20.399999999999999" customHeight="1">
      <c r="A4210" s="720"/>
      <c r="B4210" s="3129" t="s">
        <v>365</v>
      </c>
      <c r="C4210" s="720" t="s">
        <v>775</v>
      </c>
      <c r="D4210" s="1210" t="s">
        <v>1977</v>
      </c>
      <c r="E4210" s="840" t="s">
        <v>1991</v>
      </c>
      <c r="F4210" s="824">
        <v>5240</v>
      </c>
      <c r="G4210" s="800" t="s">
        <v>1187</v>
      </c>
      <c r="H4210" s="706">
        <v>0</v>
      </c>
      <c r="I4210" s="706"/>
      <c r="J4210" s="1494" t="s">
        <v>1134</v>
      </c>
      <c r="K4210" s="802"/>
      <c r="L4210" s="687">
        <v>0</v>
      </c>
      <c r="M4210" s="687"/>
      <c r="N4210" s="305"/>
      <c r="O4210" s="7"/>
      <c r="P4210" s="7"/>
      <c r="Q4210" s="7"/>
      <c r="R4210" s="7"/>
      <c r="S4210" s="7"/>
      <c r="T4210" s="7"/>
      <c r="V4210" s="7"/>
      <c r="W4210" s="7"/>
      <c r="X4210" s="7"/>
      <c r="Y4210" s="7"/>
      <c r="Z4210" s="7"/>
      <c r="AA4210" s="7"/>
      <c r="AB4210" s="7"/>
      <c r="AC4210" s="7"/>
      <c r="AD4210" s="7"/>
      <c r="AE4210" s="7"/>
      <c r="AF4210" s="7"/>
    </row>
    <row r="4211" spans="1:32" ht="30.6">
      <c r="A4211" s="700"/>
      <c r="B4211" s="3130" t="s">
        <v>365</v>
      </c>
      <c r="C4211" s="700" t="s">
        <v>325</v>
      </c>
      <c r="D4211" s="794" t="s">
        <v>1977</v>
      </c>
      <c r="E4211" s="839" t="s">
        <v>1991</v>
      </c>
      <c r="F4211" s="795">
        <v>5240</v>
      </c>
      <c r="G4211" s="967" t="s">
        <v>1697</v>
      </c>
      <c r="H4211" s="701"/>
      <c r="I4211" s="701"/>
      <c r="J4211" s="1494" t="s">
        <v>1134</v>
      </c>
      <c r="K4211" s="792"/>
      <c r="L4211" s="659"/>
      <c r="M4211" s="973"/>
      <c r="N4211" s="305"/>
      <c r="O4211" s="7"/>
      <c r="P4211" s="7"/>
      <c r="Q4211" s="7"/>
      <c r="R4211" s="7"/>
      <c r="S4211" s="7"/>
      <c r="T4211" s="7"/>
      <c r="V4211" s="7"/>
      <c r="W4211" s="7"/>
      <c r="X4211" s="7"/>
      <c r="Y4211" s="7"/>
      <c r="Z4211" s="7"/>
      <c r="AA4211" s="7"/>
      <c r="AB4211" s="7"/>
      <c r="AC4211" s="7"/>
      <c r="AD4211" s="7"/>
      <c r="AE4211" s="7"/>
      <c r="AF4211" s="7"/>
    </row>
    <row r="4212" spans="1:32" ht="30.6">
      <c r="A4212" s="700"/>
      <c r="B4212" s="3130" t="s">
        <v>365</v>
      </c>
      <c r="C4212" s="700" t="s">
        <v>325</v>
      </c>
      <c r="D4212" s="794" t="s">
        <v>1977</v>
      </c>
      <c r="E4212" s="839" t="s">
        <v>1991</v>
      </c>
      <c r="F4212" s="795">
        <v>5240</v>
      </c>
      <c r="G4212" s="967" t="s">
        <v>1698</v>
      </c>
      <c r="H4212" s="701"/>
      <c r="I4212" s="701"/>
      <c r="J4212" s="1494" t="s">
        <v>1134</v>
      </c>
      <c r="K4212" s="792"/>
      <c r="L4212" s="659"/>
      <c r="M4212" s="973"/>
      <c r="N4212" s="305"/>
    </row>
    <row r="4213" spans="1:32" ht="30.6">
      <c r="A4213" s="700"/>
      <c r="B4213" s="3130" t="s">
        <v>365</v>
      </c>
      <c r="C4213" s="700" t="s">
        <v>325</v>
      </c>
      <c r="D4213" s="794" t="s">
        <v>1977</v>
      </c>
      <c r="E4213" s="839" t="s">
        <v>1991</v>
      </c>
      <c r="F4213" s="795">
        <v>5240</v>
      </c>
      <c r="G4213" s="812" t="s">
        <v>1882</v>
      </c>
      <c r="H4213" s="701"/>
      <c r="I4213" s="701"/>
      <c r="J4213" s="1494" t="s">
        <v>1134</v>
      </c>
      <c r="K4213" s="809"/>
      <c r="L4213" s="798"/>
      <c r="M4213" s="798"/>
      <c r="N4213" s="2309" t="s">
        <v>4403</v>
      </c>
      <c r="O4213" s="7"/>
      <c r="P4213" s="7"/>
      <c r="Q4213" s="7"/>
      <c r="R4213" s="7"/>
      <c r="S4213" s="7"/>
      <c r="T4213" s="7"/>
      <c r="V4213" s="7"/>
      <c r="W4213" s="7"/>
      <c r="X4213" s="7"/>
      <c r="Y4213" s="7"/>
      <c r="Z4213" s="7"/>
      <c r="AA4213" s="7"/>
      <c r="AB4213" s="7"/>
      <c r="AC4213" s="7"/>
      <c r="AD4213" s="7"/>
      <c r="AE4213" s="7"/>
      <c r="AF4213" s="7"/>
    </row>
    <row r="4214" spans="1:32" ht="20.399999999999999">
      <c r="A4214" s="700"/>
      <c r="B4214" s="3130" t="s">
        <v>365</v>
      </c>
      <c r="C4214" s="700" t="s">
        <v>325</v>
      </c>
      <c r="D4214" s="794" t="s">
        <v>1977</v>
      </c>
      <c r="E4214" s="839" t="s">
        <v>1991</v>
      </c>
      <c r="F4214" s="795">
        <v>5240</v>
      </c>
      <c r="G4214" s="967" t="s">
        <v>2015</v>
      </c>
      <c r="H4214" s="701"/>
      <c r="I4214" s="701"/>
      <c r="J4214" s="1494" t="s">
        <v>1134</v>
      </c>
      <c r="K4214" s="792"/>
      <c r="L4214" s="659"/>
      <c r="M4214" s="973"/>
      <c r="N4214" s="2309" t="s">
        <v>4404</v>
      </c>
      <c r="O4214" s="7"/>
      <c r="P4214" s="7"/>
      <c r="Q4214" s="7"/>
      <c r="R4214" s="7"/>
      <c r="S4214" s="7"/>
      <c r="T4214" s="7"/>
      <c r="V4214" s="7"/>
      <c r="W4214" s="7"/>
      <c r="X4214" s="7"/>
      <c r="Y4214" s="7"/>
      <c r="Z4214" s="7"/>
      <c r="AA4214" s="7"/>
      <c r="AB4214" s="7"/>
      <c r="AC4214" s="7"/>
      <c r="AD4214" s="7"/>
      <c r="AE4214" s="7"/>
      <c r="AF4214" s="7"/>
    </row>
    <row r="4215" spans="1:32" ht="20.399999999999999" customHeight="1">
      <c r="A4215" s="700"/>
      <c r="B4215" s="3130" t="s">
        <v>365</v>
      </c>
      <c r="C4215" s="700" t="s">
        <v>325</v>
      </c>
      <c r="D4215" s="794" t="s">
        <v>1977</v>
      </c>
      <c r="E4215" s="839" t="s">
        <v>1991</v>
      </c>
      <c r="F4215" s="795">
        <v>5240</v>
      </c>
      <c r="G4215" s="967" t="s">
        <v>2018</v>
      </c>
      <c r="H4215" s="701"/>
      <c r="I4215" s="701"/>
      <c r="J4215" s="1494" t="s">
        <v>1134</v>
      </c>
      <c r="K4215" s="792"/>
      <c r="L4215" s="659"/>
      <c r="M4215" s="973"/>
      <c r="N4215" s="2309"/>
    </row>
    <row r="4216" spans="1:32" ht="20.399999999999999">
      <c r="A4216" s="700"/>
      <c r="B4216" s="3130" t="s">
        <v>365</v>
      </c>
      <c r="C4216" s="700" t="s">
        <v>325</v>
      </c>
      <c r="D4216" s="794" t="s">
        <v>1977</v>
      </c>
      <c r="E4216" s="839" t="s">
        <v>1991</v>
      </c>
      <c r="F4216" s="795">
        <v>5240</v>
      </c>
      <c r="G4216" s="967" t="s">
        <v>2016</v>
      </c>
      <c r="H4216" s="701"/>
      <c r="I4216" s="701"/>
      <c r="J4216" s="1494" t="s">
        <v>1134</v>
      </c>
      <c r="K4216" s="792"/>
      <c r="L4216" s="659"/>
      <c r="M4216" s="973"/>
      <c r="N4216" s="2309"/>
      <c r="O4216" s="7"/>
      <c r="P4216" s="7"/>
      <c r="Q4216" s="7"/>
      <c r="R4216" s="7"/>
      <c r="S4216" s="7"/>
      <c r="T4216" s="7"/>
      <c r="V4216" s="7"/>
      <c r="W4216" s="7"/>
      <c r="X4216" s="7"/>
      <c r="Y4216" s="7"/>
      <c r="Z4216" s="7"/>
      <c r="AA4216" s="7"/>
      <c r="AB4216" s="7"/>
      <c r="AC4216" s="7"/>
      <c r="AD4216" s="7"/>
      <c r="AE4216" s="7"/>
      <c r="AF4216" s="7"/>
    </row>
    <row r="4217" spans="1:32" ht="20.399999999999999">
      <c r="A4217" s="700"/>
      <c r="B4217" s="3130" t="s">
        <v>365</v>
      </c>
      <c r="C4217" s="700" t="s">
        <v>325</v>
      </c>
      <c r="D4217" s="794" t="s">
        <v>1977</v>
      </c>
      <c r="E4217" s="839" t="s">
        <v>1991</v>
      </c>
      <c r="F4217" s="795">
        <v>5240</v>
      </c>
      <c r="G4217" s="967" t="s">
        <v>2017</v>
      </c>
      <c r="H4217" s="701"/>
      <c r="I4217" s="701"/>
      <c r="J4217" s="1494" t="s">
        <v>1134</v>
      </c>
      <c r="K4217" s="792"/>
      <c r="L4217" s="659"/>
      <c r="M4217" s="973"/>
      <c r="N4217" s="2309"/>
      <c r="O4217" s="7"/>
      <c r="P4217" s="7"/>
      <c r="Q4217" s="7"/>
      <c r="R4217" s="7"/>
      <c r="S4217" s="7"/>
      <c r="T4217" s="7"/>
      <c r="V4217" s="7"/>
      <c r="W4217" s="7"/>
      <c r="X4217" s="7"/>
      <c r="Y4217" s="7"/>
      <c r="Z4217" s="7"/>
      <c r="AA4217" s="7"/>
      <c r="AB4217" s="7"/>
      <c r="AC4217" s="7"/>
      <c r="AD4217" s="7"/>
      <c r="AE4217" s="7"/>
      <c r="AF4217" s="7"/>
    </row>
    <row r="4218" spans="1:32">
      <c r="A4218" s="720"/>
      <c r="B4218" s="3129" t="s">
        <v>365</v>
      </c>
      <c r="C4218" s="720" t="s">
        <v>325</v>
      </c>
      <c r="D4218" s="1210" t="s">
        <v>1977</v>
      </c>
      <c r="E4218" s="840" t="s">
        <v>1991</v>
      </c>
      <c r="F4218" s="824">
        <v>5269</v>
      </c>
      <c r="G4218" s="800" t="s">
        <v>1888</v>
      </c>
      <c r="H4218" s="706">
        <v>0</v>
      </c>
      <c r="I4218" s="706"/>
      <c r="J4218" s="1494" t="s">
        <v>1134</v>
      </c>
      <c r="K4218" s="802"/>
      <c r="L4218" s="687">
        <v>0</v>
      </c>
      <c r="M4218" s="687"/>
      <c r="N4218" s="305"/>
    </row>
    <row r="4219" spans="1:32" ht="20.399999999999999">
      <c r="A4219" s="700"/>
      <c r="B4219" s="3130" t="s">
        <v>365</v>
      </c>
      <c r="C4219" s="700" t="s">
        <v>325</v>
      </c>
      <c r="D4219" s="794" t="s">
        <v>1977</v>
      </c>
      <c r="E4219" s="839" t="s">
        <v>1991</v>
      </c>
      <c r="F4219" s="795">
        <v>5269</v>
      </c>
      <c r="G4219" s="967" t="s">
        <v>2017</v>
      </c>
      <c r="H4219" s="701"/>
      <c r="I4219" s="701"/>
      <c r="J4219" s="1494" t="s">
        <v>1134</v>
      </c>
      <c r="K4219" s="809"/>
      <c r="L4219" s="798"/>
      <c r="M4219" s="798"/>
      <c r="N4219" s="305"/>
      <c r="O4219" s="7"/>
      <c r="P4219" s="7"/>
      <c r="Q4219" s="7"/>
      <c r="R4219" s="7"/>
      <c r="S4219" s="7"/>
      <c r="T4219" s="7"/>
      <c r="V4219" s="7"/>
      <c r="W4219" s="7"/>
      <c r="X4219" s="7"/>
      <c r="Y4219" s="7"/>
      <c r="Z4219" s="7"/>
      <c r="AA4219" s="7"/>
      <c r="AB4219" s="7"/>
      <c r="AC4219" s="7"/>
      <c r="AD4219" s="7"/>
      <c r="AE4219" s="7"/>
      <c r="AF4219" s="7"/>
    </row>
    <row r="4220" spans="1:32" ht="20.399999999999999">
      <c r="A4220" s="720"/>
      <c r="B4220" s="3129" t="s">
        <v>365</v>
      </c>
      <c r="C4220" s="720" t="s">
        <v>775</v>
      </c>
      <c r="D4220" s="1210" t="s">
        <v>1980</v>
      </c>
      <c r="E4220" s="720" t="s">
        <v>1924</v>
      </c>
      <c r="F4220" s="824">
        <v>5240</v>
      </c>
      <c r="G4220" s="800" t="s">
        <v>1187</v>
      </c>
      <c r="H4220" s="706">
        <v>5600179</v>
      </c>
      <c r="I4220" s="706"/>
      <c r="J4220" s="1494">
        <v>3643.46</v>
      </c>
      <c r="K4220" s="802"/>
      <c r="L4220" s="689">
        <v>8910182.8990000002</v>
      </c>
      <c r="M4220" s="689"/>
      <c r="N4220" s="305"/>
    </row>
    <row r="4221" spans="1:32" ht="40.799999999999997">
      <c r="A4221" s="700"/>
      <c r="B4221" s="3130" t="s">
        <v>365</v>
      </c>
      <c r="C4221" s="700" t="s">
        <v>325</v>
      </c>
      <c r="D4221" s="794" t="s">
        <v>1980</v>
      </c>
      <c r="E4221" s="700" t="s">
        <v>1924</v>
      </c>
      <c r="F4221" s="795">
        <v>5240</v>
      </c>
      <c r="G4221" s="967" t="s">
        <v>2909</v>
      </c>
      <c r="H4221" s="701"/>
      <c r="I4221" s="701">
        <v>2500000</v>
      </c>
      <c r="J4221" s="1494" t="s">
        <v>1134</v>
      </c>
      <c r="K4221" s="792"/>
      <c r="L4221" s="660"/>
      <c r="M4221" s="660">
        <v>1403714</v>
      </c>
      <c r="N4221" s="381"/>
    </row>
    <row r="4222" spans="1:32">
      <c r="A4222" s="700"/>
      <c r="B4222" s="3130" t="s">
        <v>365</v>
      </c>
      <c r="C4222" s="700" t="s">
        <v>325</v>
      </c>
      <c r="D4222" s="794" t="s">
        <v>1980</v>
      </c>
      <c r="E4222" s="700" t="s">
        <v>1924</v>
      </c>
      <c r="F4222" s="795">
        <v>5240</v>
      </c>
      <c r="G4222" s="967" t="s">
        <v>5204</v>
      </c>
      <c r="H4222" s="701"/>
      <c r="I4222" s="701">
        <v>3100179</v>
      </c>
      <c r="J4222" s="1494" t="s">
        <v>1134</v>
      </c>
      <c r="K4222" s="792"/>
      <c r="L4222" s="660"/>
      <c r="M4222" s="660">
        <v>7506468.8990000011</v>
      </c>
      <c r="N4222" s="305"/>
    </row>
    <row r="4223" spans="1:32" ht="20.399999999999999">
      <c r="A4223" s="700"/>
      <c r="B4223" s="3130" t="s">
        <v>365</v>
      </c>
      <c r="C4223" s="700" t="s">
        <v>325</v>
      </c>
      <c r="D4223" s="794" t="s">
        <v>1980</v>
      </c>
      <c r="E4223" s="700" t="s">
        <v>1924</v>
      </c>
      <c r="F4223" s="795">
        <v>5240</v>
      </c>
      <c r="G4223" s="967" t="s">
        <v>1990</v>
      </c>
      <c r="H4223" s="701"/>
      <c r="I4223" s="701"/>
      <c r="J4223" s="1494" t="s">
        <v>1134</v>
      </c>
      <c r="K4223" s="792"/>
      <c r="L4223" s="660"/>
      <c r="M4223" s="660"/>
      <c r="N4223" s="381" t="s">
        <v>2400</v>
      </c>
    </row>
    <row r="4224" spans="1:32" ht="20.399999999999999">
      <c r="A4224" s="720"/>
      <c r="B4224" s="3129" t="s">
        <v>365</v>
      </c>
      <c r="C4224" s="720" t="s">
        <v>775</v>
      </c>
      <c r="D4224" s="1210" t="s">
        <v>1980</v>
      </c>
      <c r="E4224" s="720" t="s">
        <v>2967</v>
      </c>
      <c r="F4224" s="824">
        <v>5240</v>
      </c>
      <c r="G4224" s="800" t="s">
        <v>1187</v>
      </c>
      <c r="H4224" s="706">
        <v>220567</v>
      </c>
      <c r="I4224" s="706"/>
      <c r="J4224" s="1494">
        <v>0</v>
      </c>
      <c r="K4224" s="802"/>
      <c r="L4224" s="689">
        <v>78746.5</v>
      </c>
      <c r="M4224" s="689"/>
      <c r="N4224" s="381"/>
    </row>
    <row r="4225" spans="1:14" ht="51">
      <c r="A4225" s="700"/>
      <c r="B4225" s="3130" t="s">
        <v>365</v>
      </c>
      <c r="C4225" s="700" t="s">
        <v>325</v>
      </c>
      <c r="D4225" s="794" t="s">
        <v>1980</v>
      </c>
      <c r="E4225" s="700" t="s">
        <v>2967</v>
      </c>
      <c r="F4225" s="795">
        <v>5240</v>
      </c>
      <c r="G4225" s="967" t="s">
        <v>2735</v>
      </c>
      <c r="H4225" s="701"/>
      <c r="I4225" s="701">
        <v>267067</v>
      </c>
      <c r="J4225" s="1494" t="s">
        <v>1134</v>
      </c>
      <c r="K4225" s="792"/>
      <c r="L4225" s="660"/>
      <c r="M4225" s="660">
        <v>78746.5</v>
      </c>
      <c r="N4225" s="305"/>
    </row>
    <row r="4226" spans="1:14" ht="30.6">
      <c r="A4226" s="700"/>
      <c r="B4226" s="3130" t="s">
        <v>365</v>
      </c>
      <c r="C4226" s="700" t="s">
        <v>325</v>
      </c>
      <c r="D4226" s="794" t="s">
        <v>1980</v>
      </c>
      <c r="E4226" s="700" t="s">
        <v>2967</v>
      </c>
      <c r="F4226" s="795">
        <v>5240</v>
      </c>
      <c r="G4226" s="750" t="s">
        <v>3251</v>
      </c>
      <c r="H4226" s="701"/>
      <c r="I4226" s="701">
        <v>-9600</v>
      </c>
      <c r="J4226" s="1494" t="s">
        <v>1134</v>
      </c>
      <c r="K4226" s="792"/>
      <c r="L4226" s="660"/>
      <c r="M4226" s="660"/>
      <c r="N4226" s="305"/>
    </row>
    <row r="4227" spans="1:14" ht="30.6">
      <c r="A4227" s="700"/>
      <c r="B4227" s="3130" t="s">
        <v>365</v>
      </c>
      <c r="C4227" s="700" t="s">
        <v>325</v>
      </c>
      <c r="D4227" s="794" t="s">
        <v>1980</v>
      </c>
      <c r="E4227" s="700" t="s">
        <v>2967</v>
      </c>
      <c r="F4227" s="795">
        <v>5240</v>
      </c>
      <c r="G4227" s="750" t="s">
        <v>3253</v>
      </c>
      <c r="H4227" s="701"/>
      <c r="I4227" s="701">
        <v>-4100</v>
      </c>
      <c r="J4227" s="1494" t="s">
        <v>1134</v>
      </c>
      <c r="K4227" s="792"/>
      <c r="L4227" s="660"/>
      <c r="M4227" s="660"/>
      <c r="N4227" s="305"/>
    </row>
    <row r="4228" spans="1:14" ht="30.6">
      <c r="A4228" s="700"/>
      <c r="B4228" s="3130" t="s">
        <v>365</v>
      </c>
      <c r="C4228" s="700" t="s">
        <v>325</v>
      </c>
      <c r="D4228" s="794" t="s">
        <v>1980</v>
      </c>
      <c r="E4228" s="700" t="s">
        <v>2967</v>
      </c>
      <c r="F4228" s="795">
        <v>5240</v>
      </c>
      <c r="G4228" s="750" t="s">
        <v>3258</v>
      </c>
      <c r="H4228" s="701"/>
      <c r="I4228" s="701">
        <v>-8200</v>
      </c>
      <c r="J4228" s="1494" t="s">
        <v>1134</v>
      </c>
      <c r="K4228" s="792"/>
      <c r="L4228" s="660"/>
      <c r="M4228" s="660"/>
      <c r="N4228" s="75"/>
    </row>
    <row r="4229" spans="1:14" ht="30.6">
      <c r="A4229" s="700"/>
      <c r="B4229" s="3130" t="s">
        <v>365</v>
      </c>
      <c r="C4229" s="700" t="s">
        <v>325</v>
      </c>
      <c r="D4229" s="794" t="s">
        <v>1980</v>
      </c>
      <c r="E4229" s="700" t="s">
        <v>2967</v>
      </c>
      <c r="F4229" s="795">
        <v>5240</v>
      </c>
      <c r="G4229" s="750" t="s">
        <v>3262</v>
      </c>
      <c r="H4229" s="701"/>
      <c r="I4229" s="701">
        <v>-24600</v>
      </c>
      <c r="J4229" s="1494" t="s">
        <v>1134</v>
      </c>
      <c r="K4229" s="792"/>
      <c r="L4229" s="660"/>
      <c r="M4229" s="660"/>
      <c r="N4229" s="75"/>
    </row>
    <row r="4230" spans="1:14" ht="20.399999999999999">
      <c r="A4230" s="720"/>
      <c r="B4230" s="3129" t="s">
        <v>365</v>
      </c>
      <c r="C4230" s="720" t="s">
        <v>775</v>
      </c>
      <c r="D4230" s="1210" t="s">
        <v>1980</v>
      </c>
      <c r="E4230" s="720" t="s">
        <v>5208</v>
      </c>
      <c r="F4230" s="824">
        <v>5240</v>
      </c>
      <c r="G4230" s="800" t="s">
        <v>1187</v>
      </c>
      <c r="H4230" s="706"/>
      <c r="I4230" s="706"/>
      <c r="J4230" s="1494"/>
      <c r="K4230" s="802"/>
      <c r="L4230" s="689">
        <v>622519.04999999981</v>
      </c>
      <c r="M4230" s="689"/>
      <c r="N4230" s="75"/>
    </row>
    <row r="4231" spans="1:14" ht="30.6">
      <c r="A4231" s="700"/>
      <c r="B4231" s="3130" t="s">
        <v>365</v>
      </c>
      <c r="C4231" s="700" t="s">
        <v>325</v>
      </c>
      <c r="D4231" s="794" t="s">
        <v>1980</v>
      </c>
      <c r="E4231" s="700" t="s">
        <v>5208</v>
      </c>
      <c r="F4231" s="795">
        <v>5240</v>
      </c>
      <c r="G4231" s="967" t="s">
        <v>5209</v>
      </c>
      <c r="H4231" s="701"/>
      <c r="I4231" s="701"/>
      <c r="J4231" s="1494"/>
      <c r="K4231" s="792"/>
      <c r="L4231" s="660"/>
      <c r="M4231" s="660">
        <v>529141.19249999989</v>
      </c>
      <c r="N4231" s="125"/>
    </row>
    <row r="4232" spans="1:14" ht="30.6">
      <c r="A4232" s="700"/>
      <c r="B4232" s="3130" t="s">
        <v>365</v>
      </c>
      <c r="C4232" s="700" t="s">
        <v>325</v>
      </c>
      <c r="D4232" s="794" t="s">
        <v>1980</v>
      </c>
      <c r="E4232" s="700" t="s">
        <v>5208</v>
      </c>
      <c r="F4232" s="795">
        <v>5240</v>
      </c>
      <c r="G4232" s="967" t="s">
        <v>5210</v>
      </c>
      <c r="H4232" s="701"/>
      <c r="I4232" s="701"/>
      <c r="J4232" s="1494"/>
      <c r="K4232" s="792"/>
      <c r="L4232" s="660"/>
      <c r="M4232" s="660">
        <v>93377.857499999984</v>
      </c>
      <c r="N4232" s="125"/>
    </row>
    <row r="4233" spans="1:14">
      <c r="A4233" s="700"/>
      <c r="B4233" s="3130" t="s">
        <v>365</v>
      </c>
      <c r="C4233" s="700" t="s">
        <v>325</v>
      </c>
      <c r="D4233" s="794" t="s">
        <v>1980</v>
      </c>
      <c r="E4233" s="700" t="s">
        <v>5208</v>
      </c>
      <c r="F4233" s="795">
        <v>5240</v>
      </c>
      <c r="G4233" s="967"/>
      <c r="H4233" s="701"/>
      <c r="I4233" s="701"/>
      <c r="J4233" s="1494"/>
      <c r="K4233" s="792"/>
      <c r="L4233" s="660"/>
      <c r="M4233" s="660"/>
      <c r="N4233" s="305"/>
    </row>
    <row r="4234" spans="1:14" ht="20.399999999999999">
      <c r="A4234" s="720" t="s">
        <v>519</v>
      </c>
      <c r="B4234" s="3129" t="s">
        <v>365</v>
      </c>
      <c r="C4234" s="720" t="s">
        <v>323</v>
      </c>
      <c r="D4234" s="823" t="s">
        <v>1979</v>
      </c>
      <c r="E4234" s="3064" t="s">
        <v>3326</v>
      </c>
      <c r="F4234" s="826">
        <v>1150</v>
      </c>
      <c r="G4234" s="800" t="s">
        <v>405</v>
      </c>
      <c r="H4234" s="713">
        <v>9219</v>
      </c>
      <c r="I4234" s="713"/>
      <c r="J4234" s="1494">
        <v>0</v>
      </c>
      <c r="K4234" s="842"/>
      <c r="L4234" s="837">
        <v>0</v>
      </c>
      <c r="M4234" s="837"/>
      <c r="N4234" s="305"/>
    </row>
    <row r="4235" spans="1:14" ht="30.6">
      <c r="A4235" s="700" t="s">
        <v>519</v>
      </c>
      <c r="B4235" s="3130" t="s">
        <v>365</v>
      </c>
      <c r="C4235" s="700" t="s">
        <v>323</v>
      </c>
      <c r="D4235" s="794" t="s">
        <v>1979</v>
      </c>
      <c r="E4235" s="700" t="s">
        <v>3326</v>
      </c>
      <c r="F4235" s="795">
        <v>1150</v>
      </c>
      <c r="G4235" s="812" t="s">
        <v>2910</v>
      </c>
      <c r="H4235" s="714"/>
      <c r="I4235" s="714">
        <v>10000</v>
      </c>
      <c r="J4235" s="1494" t="s">
        <v>1134</v>
      </c>
      <c r="K4235" s="809"/>
      <c r="L4235" s="676"/>
      <c r="M4235" s="676"/>
      <c r="N4235" s="305"/>
    </row>
    <row r="4236" spans="1:14" ht="20.399999999999999">
      <c r="A4236" s="700" t="s">
        <v>519</v>
      </c>
      <c r="B4236" s="3130" t="s">
        <v>365</v>
      </c>
      <c r="C4236" s="700" t="s">
        <v>323</v>
      </c>
      <c r="D4236" s="794" t="s">
        <v>1979</v>
      </c>
      <c r="E4236" s="700" t="s">
        <v>3326</v>
      </c>
      <c r="F4236" s="795">
        <v>1150</v>
      </c>
      <c r="G4236" s="812" t="s">
        <v>3280</v>
      </c>
      <c r="H4236" s="1456"/>
      <c r="I4236" s="1456">
        <v>-781</v>
      </c>
      <c r="J4236" s="1494" t="s">
        <v>1134</v>
      </c>
      <c r="K4236" s="1462"/>
      <c r="L4236" s="610"/>
      <c r="M4236" s="610"/>
      <c r="N4236" s="2042" t="s">
        <v>4381</v>
      </c>
    </row>
    <row r="4237" spans="1:14" ht="20.399999999999999">
      <c r="A4237" s="720" t="s">
        <v>519</v>
      </c>
      <c r="B4237" s="3129" t="s">
        <v>365</v>
      </c>
      <c r="C4237" s="720" t="s">
        <v>323</v>
      </c>
      <c r="D4237" s="823" t="s">
        <v>1979</v>
      </c>
      <c r="E4237" s="826" t="s">
        <v>3326</v>
      </c>
      <c r="F4237" s="826">
        <v>2239</v>
      </c>
      <c r="G4237" s="800" t="s">
        <v>405</v>
      </c>
      <c r="H4237" s="713">
        <v>34830</v>
      </c>
      <c r="I4237" s="713"/>
      <c r="J4237" s="1494">
        <v>15765.92</v>
      </c>
      <c r="K4237" s="842"/>
      <c r="L4237" s="837">
        <v>47219</v>
      </c>
      <c r="M4237" s="837"/>
      <c r="N4237" s="2042" t="s">
        <v>4381</v>
      </c>
    </row>
    <row r="4238" spans="1:14">
      <c r="A4238" s="700" t="s">
        <v>519</v>
      </c>
      <c r="B4238" s="3130" t="s">
        <v>365</v>
      </c>
      <c r="C4238" s="700" t="s">
        <v>323</v>
      </c>
      <c r="D4238" s="794" t="s">
        <v>1979</v>
      </c>
      <c r="E4238" s="700" t="s">
        <v>3326</v>
      </c>
      <c r="F4238" s="795">
        <v>2239</v>
      </c>
      <c r="G4238" s="812" t="s">
        <v>988</v>
      </c>
      <c r="H4238" s="714"/>
      <c r="I4238" s="714">
        <v>34830</v>
      </c>
      <c r="J4238" s="1494" t="s">
        <v>1134</v>
      </c>
      <c r="K4238" s="809"/>
      <c r="L4238" s="676"/>
      <c r="M4238" s="676">
        <v>37420</v>
      </c>
      <c r="N4238" s="2042" t="s">
        <v>4381</v>
      </c>
    </row>
    <row r="4239" spans="1:14">
      <c r="A4239" s="700" t="s">
        <v>519</v>
      </c>
      <c r="B4239" s="3130" t="s">
        <v>365</v>
      </c>
      <c r="C4239" s="700" t="s">
        <v>323</v>
      </c>
      <c r="D4239" s="794" t="s">
        <v>1979</v>
      </c>
      <c r="E4239" s="700" t="s">
        <v>3326</v>
      </c>
      <c r="F4239" s="795">
        <v>2239</v>
      </c>
      <c r="G4239" s="812" t="s">
        <v>637</v>
      </c>
      <c r="H4239" s="714"/>
      <c r="I4239" s="714"/>
      <c r="J4239" s="1494" t="s">
        <v>1134</v>
      </c>
      <c r="K4239" s="809"/>
      <c r="L4239" s="676"/>
      <c r="M4239" s="676">
        <v>9799</v>
      </c>
      <c r="N4239" s="2042" t="s">
        <v>4381</v>
      </c>
    </row>
    <row r="4240" spans="1:14" ht="20.399999999999999">
      <c r="A4240" s="700" t="s">
        <v>519</v>
      </c>
      <c r="B4240" s="3130" t="s">
        <v>365</v>
      </c>
      <c r="C4240" s="700" t="s">
        <v>323</v>
      </c>
      <c r="D4240" s="794" t="s">
        <v>1979</v>
      </c>
      <c r="E4240" s="700" t="s">
        <v>3326</v>
      </c>
      <c r="F4240" s="795">
        <v>2239</v>
      </c>
      <c r="G4240" s="812" t="s">
        <v>690</v>
      </c>
      <c r="H4240" s="714"/>
      <c r="I4240" s="714"/>
      <c r="J4240" s="1494" t="s">
        <v>1134</v>
      </c>
      <c r="K4240" s="809"/>
      <c r="L4240" s="676"/>
      <c r="M4240" s="676"/>
      <c r="N4240" s="2042" t="s">
        <v>4381</v>
      </c>
    </row>
    <row r="4241" spans="1:14" ht="30.6">
      <c r="A4241" s="720" t="s">
        <v>519</v>
      </c>
      <c r="B4241" s="3129" t="s">
        <v>365</v>
      </c>
      <c r="C4241" s="720" t="s">
        <v>323</v>
      </c>
      <c r="D4241" s="823" t="s">
        <v>1979</v>
      </c>
      <c r="E4241" s="826" t="s">
        <v>3326</v>
      </c>
      <c r="F4241" s="824">
        <v>2312</v>
      </c>
      <c r="G4241" s="800" t="s">
        <v>451</v>
      </c>
      <c r="H4241" s="713">
        <v>781</v>
      </c>
      <c r="I4241" s="713"/>
      <c r="J4241" s="1494">
        <v>780.11</v>
      </c>
      <c r="K4241" s="842"/>
      <c r="L4241" s="837">
        <v>0</v>
      </c>
      <c r="M4241" s="837"/>
      <c r="N4241" s="2042" t="s">
        <v>4381</v>
      </c>
    </row>
    <row r="4242" spans="1:14" ht="20.399999999999999">
      <c r="A4242" s="700" t="s">
        <v>519</v>
      </c>
      <c r="B4242" s="3130" t="s">
        <v>365</v>
      </c>
      <c r="C4242" s="700" t="s">
        <v>323</v>
      </c>
      <c r="D4242" s="794" t="s">
        <v>1979</v>
      </c>
      <c r="E4242" s="700" t="s">
        <v>3326</v>
      </c>
      <c r="F4242" s="795">
        <v>2312</v>
      </c>
      <c r="G4242" s="812" t="s">
        <v>3280</v>
      </c>
      <c r="H4242" s="714"/>
      <c r="I4242" s="714">
        <v>781</v>
      </c>
      <c r="J4242" s="1494" t="s">
        <v>1134</v>
      </c>
      <c r="K4242" s="809"/>
      <c r="L4242" s="676"/>
      <c r="M4242" s="676"/>
      <c r="N4242" s="2042" t="s">
        <v>4381</v>
      </c>
    </row>
    <row r="4243" spans="1:14" ht="30.6">
      <c r="A4243" s="720" t="s">
        <v>519</v>
      </c>
      <c r="B4243" s="3129" t="s">
        <v>365</v>
      </c>
      <c r="C4243" s="720" t="s">
        <v>323</v>
      </c>
      <c r="D4243" s="823" t="s">
        <v>1979</v>
      </c>
      <c r="E4243" s="826" t="s">
        <v>3326</v>
      </c>
      <c r="F4243" s="824">
        <v>2390</v>
      </c>
      <c r="G4243" s="800" t="s">
        <v>455</v>
      </c>
      <c r="H4243" s="713">
        <v>0</v>
      </c>
      <c r="I4243" s="713"/>
      <c r="J4243" s="1494" t="s">
        <v>1134</v>
      </c>
      <c r="K4243" s="842"/>
      <c r="L4243" s="837">
        <v>0</v>
      </c>
      <c r="M4243" s="837"/>
      <c r="N4243" s="2042" t="s">
        <v>4381</v>
      </c>
    </row>
    <row r="4244" spans="1:14" ht="20.399999999999999">
      <c r="A4244" s="700" t="s">
        <v>519</v>
      </c>
      <c r="B4244" s="3130" t="s">
        <v>365</v>
      </c>
      <c r="C4244" s="700" t="s">
        <v>323</v>
      </c>
      <c r="D4244" s="794" t="s">
        <v>1979</v>
      </c>
      <c r="E4244" s="700" t="s">
        <v>3326</v>
      </c>
      <c r="F4244" s="795">
        <v>2390</v>
      </c>
      <c r="G4244" s="812" t="s">
        <v>530</v>
      </c>
      <c r="H4244" s="714"/>
      <c r="I4244" s="714"/>
      <c r="J4244" s="1494" t="s">
        <v>1134</v>
      </c>
      <c r="K4244" s="809"/>
      <c r="L4244" s="676"/>
      <c r="M4244" s="676"/>
      <c r="N4244" s="305"/>
    </row>
    <row r="4245" spans="1:14" ht="20.399999999999999">
      <c r="A4245" s="720"/>
      <c r="B4245" s="3129" t="s">
        <v>365</v>
      </c>
      <c r="C4245" s="720" t="s">
        <v>323</v>
      </c>
      <c r="D4245" s="823" t="s">
        <v>1979</v>
      </c>
      <c r="E4245" s="974" t="s">
        <v>1967</v>
      </c>
      <c r="F4245" s="826">
        <v>2239</v>
      </c>
      <c r="G4245" s="800" t="s">
        <v>405</v>
      </c>
      <c r="H4245" s="713"/>
      <c r="I4245" s="713"/>
      <c r="J4245" s="1494" t="s">
        <v>1134</v>
      </c>
      <c r="K4245" s="842"/>
      <c r="L4245" s="838"/>
      <c r="M4245" s="838"/>
      <c r="N4245" s="381" t="s">
        <v>2401</v>
      </c>
    </row>
    <row r="4246" spans="1:14">
      <c r="A4246" s="700"/>
      <c r="B4246" s="3130" t="s">
        <v>365</v>
      </c>
      <c r="C4246" s="700" t="s">
        <v>323</v>
      </c>
      <c r="D4246" s="794" t="s">
        <v>1979</v>
      </c>
      <c r="E4246" s="839" t="s">
        <v>1967</v>
      </c>
      <c r="F4246" s="795">
        <v>2239</v>
      </c>
      <c r="G4246" s="812" t="s">
        <v>1239</v>
      </c>
      <c r="H4246" s="714"/>
      <c r="I4246" s="714"/>
      <c r="J4246" s="1494" t="s">
        <v>1134</v>
      </c>
      <c r="K4246" s="809"/>
      <c r="L4246" s="798"/>
      <c r="M4246" s="798"/>
      <c r="N4246" s="381"/>
    </row>
    <row r="4247" spans="1:14" ht="20.399999999999999">
      <c r="A4247" s="700"/>
      <c r="B4247" s="3130" t="s">
        <v>365</v>
      </c>
      <c r="C4247" s="700" t="s">
        <v>323</v>
      </c>
      <c r="D4247" s="794" t="s">
        <v>1979</v>
      </c>
      <c r="E4247" s="839" t="s">
        <v>1967</v>
      </c>
      <c r="F4247" s="795">
        <v>2239</v>
      </c>
      <c r="G4247" s="812" t="s">
        <v>808</v>
      </c>
      <c r="H4247" s="714"/>
      <c r="I4247" s="714"/>
      <c r="J4247" s="1494" t="s">
        <v>1134</v>
      </c>
      <c r="K4247" s="809"/>
      <c r="L4247" s="798"/>
      <c r="M4247" s="798"/>
      <c r="N4247" s="305"/>
    </row>
    <row r="4248" spans="1:14">
      <c r="A4248" s="683"/>
      <c r="B4248" s="3129" t="s">
        <v>436</v>
      </c>
      <c r="C4248" s="683" t="s">
        <v>432</v>
      </c>
      <c r="D4248" s="719" t="s">
        <v>1980</v>
      </c>
      <c r="E4248" s="742" t="s">
        <v>1957</v>
      </c>
      <c r="F4248" s="824">
        <v>1119</v>
      </c>
      <c r="G4248" s="800" t="s">
        <v>109</v>
      </c>
      <c r="H4248" s="706">
        <v>197367</v>
      </c>
      <c r="I4248" s="706"/>
      <c r="J4248" s="1654">
        <v>106095</v>
      </c>
      <c r="K4248" s="802"/>
      <c r="L4248" s="706">
        <v>195881.28</v>
      </c>
      <c r="M4248" s="706"/>
      <c r="N4248" s="769"/>
    </row>
    <row r="4249" spans="1:14">
      <c r="A4249" s="663"/>
      <c r="B4249" s="3130" t="s">
        <v>436</v>
      </c>
      <c r="C4249" s="663" t="s">
        <v>432</v>
      </c>
      <c r="D4249" s="678" t="s">
        <v>1980</v>
      </c>
      <c r="E4249" s="700" t="s">
        <v>1957</v>
      </c>
      <c r="F4249" s="795">
        <v>1119</v>
      </c>
      <c r="G4249" s="812" t="s">
        <v>436</v>
      </c>
      <c r="H4249" s="701"/>
      <c r="I4249" s="790">
        <v>180602.2</v>
      </c>
      <c r="J4249" s="1654" t="s">
        <v>1134</v>
      </c>
      <c r="K4249" s="792"/>
      <c r="L4249" s="701"/>
      <c r="M4249" s="790">
        <v>195881.28</v>
      </c>
      <c r="N4249" s="2313" t="s">
        <v>4427</v>
      </c>
    </row>
    <row r="4250" spans="1:14" ht="40.799999999999997">
      <c r="A4250" s="1263"/>
      <c r="B4250" s="3130" t="s">
        <v>436</v>
      </c>
      <c r="C4250" s="700" t="s">
        <v>432</v>
      </c>
      <c r="D4250" s="794" t="s">
        <v>1980</v>
      </c>
      <c r="E4250" s="700" t="s">
        <v>1957</v>
      </c>
      <c r="F4250" s="795">
        <v>1119</v>
      </c>
      <c r="G4250" s="2245" t="s">
        <v>2987</v>
      </c>
      <c r="H4250" s="1265"/>
      <c r="I4250" s="2321">
        <v>16765</v>
      </c>
      <c r="J4250" s="1654" t="s">
        <v>1134</v>
      </c>
      <c r="K4250" s="1329"/>
      <c r="L4250" s="1265"/>
      <c r="M4250" s="2321"/>
      <c r="N4250" s="7"/>
    </row>
    <row r="4251" spans="1:14">
      <c r="A4251" s="663"/>
      <c r="B4251" s="3130" t="s">
        <v>436</v>
      </c>
      <c r="C4251" s="700" t="s">
        <v>432</v>
      </c>
      <c r="D4251" s="794" t="s">
        <v>1980</v>
      </c>
      <c r="E4251" s="700" t="s">
        <v>1957</v>
      </c>
      <c r="F4251" s="795">
        <v>1119</v>
      </c>
      <c r="G4251" s="812" t="s">
        <v>436</v>
      </c>
      <c r="H4251" s="701"/>
      <c r="I4251" s="790"/>
      <c r="J4251" s="1654" t="s">
        <v>1134</v>
      </c>
      <c r="K4251" s="792"/>
      <c r="L4251" s="701"/>
      <c r="M4251" s="790"/>
      <c r="N4251" s="7"/>
    </row>
    <row r="4252" spans="1:14">
      <c r="A4252" s="683"/>
      <c r="B4252" s="3129" t="s">
        <v>436</v>
      </c>
      <c r="C4252" s="720" t="s">
        <v>432</v>
      </c>
      <c r="D4252" s="823" t="s">
        <v>1980</v>
      </c>
      <c r="E4252" s="720" t="s">
        <v>1957</v>
      </c>
      <c r="F4252" s="824">
        <v>1141</v>
      </c>
      <c r="G4252" s="800" t="s">
        <v>149</v>
      </c>
      <c r="H4252" s="706">
        <v>3200</v>
      </c>
      <c r="I4252" s="706"/>
      <c r="J4252" s="1654">
        <v>0</v>
      </c>
      <c r="K4252" s="802"/>
      <c r="L4252" s="706">
        <v>4000</v>
      </c>
      <c r="M4252" s="706"/>
      <c r="N4252" s="7"/>
    </row>
    <row r="4253" spans="1:14">
      <c r="A4253" s="663"/>
      <c r="B4253" s="3130" t="s">
        <v>436</v>
      </c>
      <c r="C4253" s="700" t="s">
        <v>432</v>
      </c>
      <c r="D4253" s="794" t="s">
        <v>1980</v>
      </c>
      <c r="E4253" s="700" t="s">
        <v>1957</v>
      </c>
      <c r="F4253" s="795">
        <v>1141</v>
      </c>
      <c r="G4253" s="812" t="s">
        <v>436</v>
      </c>
      <c r="H4253" s="701"/>
      <c r="I4253" s="790">
        <v>4000</v>
      </c>
      <c r="J4253" s="1654" t="s">
        <v>1134</v>
      </c>
      <c r="K4253" s="792"/>
      <c r="L4253" s="701"/>
      <c r="M4253" s="790">
        <v>4000</v>
      </c>
      <c r="N4253" s="7"/>
    </row>
    <row r="4254" spans="1:14" ht="20.399999999999999">
      <c r="A4254" s="663"/>
      <c r="B4254" s="3130" t="s">
        <v>436</v>
      </c>
      <c r="C4254" s="700" t="s">
        <v>432</v>
      </c>
      <c r="D4254" s="794" t="s">
        <v>1980</v>
      </c>
      <c r="E4254" s="700" t="s">
        <v>1957</v>
      </c>
      <c r="F4254" s="795">
        <v>1141</v>
      </c>
      <c r="G4254" s="812" t="s">
        <v>3071</v>
      </c>
      <c r="H4254" s="701"/>
      <c r="I4254" s="790">
        <v>-800</v>
      </c>
      <c r="J4254" s="1654" t="s">
        <v>1134</v>
      </c>
      <c r="K4254" s="792"/>
      <c r="L4254" s="701"/>
      <c r="M4254" s="790"/>
      <c r="N4254" s="7"/>
    </row>
    <row r="4255" spans="1:14" ht="20.399999999999999">
      <c r="A4255" s="683"/>
      <c r="B4255" s="3129" t="s">
        <v>436</v>
      </c>
      <c r="C4255" s="720" t="s">
        <v>432</v>
      </c>
      <c r="D4255" s="823" t="s">
        <v>1980</v>
      </c>
      <c r="E4255" s="720" t="s">
        <v>1957</v>
      </c>
      <c r="F4255" s="824">
        <v>1142</v>
      </c>
      <c r="G4255" s="800" t="s">
        <v>110</v>
      </c>
      <c r="H4255" s="706">
        <v>1800</v>
      </c>
      <c r="I4255" s="706"/>
      <c r="J4255" s="1654">
        <v>801.84</v>
      </c>
      <c r="K4255" s="802"/>
      <c r="L4255" s="706">
        <v>1800</v>
      </c>
      <c r="M4255" s="706"/>
      <c r="N4255" s="7"/>
    </row>
    <row r="4256" spans="1:14">
      <c r="A4256" s="663"/>
      <c r="B4256" s="3130" t="s">
        <v>436</v>
      </c>
      <c r="C4256" s="700" t="s">
        <v>432</v>
      </c>
      <c r="D4256" s="794" t="s">
        <v>1980</v>
      </c>
      <c r="E4256" s="700" t="s">
        <v>1957</v>
      </c>
      <c r="F4256" s="795">
        <v>1142</v>
      </c>
      <c r="G4256" s="812"/>
      <c r="H4256" s="701"/>
      <c r="I4256" s="790">
        <v>1800</v>
      </c>
      <c r="J4256" s="1654" t="s">
        <v>1134</v>
      </c>
      <c r="K4256" s="792"/>
      <c r="L4256" s="701"/>
      <c r="M4256" s="790">
        <v>1800</v>
      </c>
      <c r="N4256" s="7"/>
    </row>
    <row r="4257" spans="1:14" ht="20.399999999999999">
      <c r="A4257" s="683"/>
      <c r="B4257" s="3129" t="s">
        <v>436</v>
      </c>
      <c r="C4257" s="720" t="s">
        <v>432</v>
      </c>
      <c r="D4257" s="823" t="s">
        <v>1980</v>
      </c>
      <c r="E4257" s="720" t="s">
        <v>1957</v>
      </c>
      <c r="F4257" s="824">
        <v>1145</v>
      </c>
      <c r="G4257" s="800" t="s">
        <v>1016</v>
      </c>
      <c r="H4257" s="706">
        <v>1000</v>
      </c>
      <c r="I4257" s="706"/>
      <c r="J4257" s="1654">
        <v>474</v>
      </c>
      <c r="K4257" s="802"/>
      <c r="L4257" s="706">
        <v>0</v>
      </c>
      <c r="M4257" s="706"/>
      <c r="N4257" s="7"/>
    </row>
    <row r="4258" spans="1:14" ht="20.399999999999999">
      <c r="A4258" s="663"/>
      <c r="B4258" s="3130" t="s">
        <v>436</v>
      </c>
      <c r="C4258" s="700" t="s">
        <v>432</v>
      </c>
      <c r="D4258" s="794" t="s">
        <v>1980</v>
      </c>
      <c r="E4258" s="700" t="s">
        <v>1957</v>
      </c>
      <c r="F4258" s="795">
        <v>1145</v>
      </c>
      <c r="G4258" s="812" t="s">
        <v>3071</v>
      </c>
      <c r="H4258" s="701"/>
      <c r="I4258" s="790">
        <v>1000</v>
      </c>
      <c r="J4258" s="1654" t="s">
        <v>1134</v>
      </c>
      <c r="K4258" s="792"/>
      <c r="L4258" s="701"/>
      <c r="M4258" s="790"/>
      <c r="N4258" s="7"/>
    </row>
    <row r="4259" spans="1:14">
      <c r="A4259" s="683"/>
      <c r="B4259" s="3129" t="s">
        <v>436</v>
      </c>
      <c r="C4259" s="720" t="s">
        <v>432</v>
      </c>
      <c r="D4259" s="823" t="s">
        <v>1980</v>
      </c>
      <c r="E4259" s="720" t="s">
        <v>1957</v>
      </c>
      <c r="F4259" s="824">
        <v>1147</v>
      </c>
      <c r="G4259" s="800" t="s">
        <v>428</v>
      </c>
      <c r="H4259" s="706">
        <v>11845</v>
      </c>
      <c r="I4259" s="706"/>
      <c r="J4259" s="1654">
        <v>11827</v>
      </c>
      <c r="K4259" s="802"/>
      <c r="L4259" s="706">
        <v>11139.124</v>
      </c>
      <c r="M4259" s="706"/>
      <c r="N4259" s="7"/>
    </row>
    <row r="4260" spans="1:14">
      <c r="A4260" s="663"/>
      <c r="B4260" s="3130" t="s">
        <v>436</v>
      </c>
      <c r="C4260" s="700" t="s">
        <v>432</v>
      </c>
      <c r="D4260" s="794" t="s">
        <v>1980</v>
      </c>
      <c r="E4260" s="700" t="s">
        <v>1957</v>
      </c>
      <c r="F4260" s="795">
        <v>1147</v>
      </c>
      <c r="G4260" s="812" t="s">
        <v>4043</v>
      </c>
      <c r="H4260" s="701"/>
      <c r="I4260" s="790">
        <v>11845</v>
      </c>
      <c r="J4260" s="1654" t="s">
        <v>1134</v>
      </c>
      <c r="K4260" s="792"/>
      <c r="L4260" s="701"/>
      <c r="M4260" s="790">
        <v>11139.124</v>
      </c>
      <c r="N4260" s="7"/>
    </row>
    <row r="4261" spans="1:14" ht="56.25" customHeight="1">
      <c r="A4261" s="663"/>
      <c r="B4261" s="3130" t="s">
        <v>436</v>
      </c>
      <c r="C4261" s="700" t="s">
        <v>432</v>
      </c>
      <c r="D4261" s="794" t="s">
        <v>1980</v>
      </c>
      <c r="E4261" s="700" t="s">
        <v>1957</v>
      </c>
      <c r="F4261" s="795">
        <v>1147</v>
      </c>
      <c r="G4261" s="812" t="s">
        <v>4043</v>
      </c>
      <c r="H4261" s="701"/>
      <c r="I4261" s="790"/>
      <c r="J4261" s="1654" t="s">
        <v>1134</v>
      </c>
      <c r="K4261" s="792"/>
      <c r="L4261" s="701"/>
      <c r="M4261" s="790"/>
      <c r="N4261" s="7"/>
    </row>
    <row r="4262" spans="1:14">
      <c r="A4262" s="683"/>
      <c r="B4262" s="3129" t="s">
        <v>436</v>
      </c>
      <c r="C4262" s="683" t="s">
        <v>432</v>
      </c>
      <c r="D4262" s="719" t="s">
        <v>1980</v>
      </c>
      <c r="E4262" s="720" t="s">
        <v>1957</v>
      </c>
      <c r="F4262" s="824">
        <v>1148</v>
      </c>
      <c r="G4262" s="800" t="s">
        <v>594</v>
      </c>
      <c r="H4262" s="706">
        <v>0</v>
      </c>
      <c r="I4262" s="706"/>
      <c r="J4262" s="1654" t="s">
        <v>1134</v>
      </c>
      <c r="K4262" s="802"/>
      <c r="L4262" s="706">
        <v>0</v>
      </c>
      <c r="M4262" s="706"/>
      <c r="N4262" s="7"/>
    </row>
    <row r="4263" spans="1:14">
      <c r="A4263" s="663"/>
      <c r="B4263" s="3130" t="s">
        <v>436</v>
      </c>
      <c r="C4263" s="663" t="s">
        <v>432</v>
      </c>
      <c r="D4263" s="678" t="s">
        <v>1980</v>
      </c>
      <c r="E4263" s="700" t="s">
        <v>1957</v>
      </c>
      <c r="F4263" s="795">
        <v>1148</v>
      </c>
      <c r="G4263" s="812" t="s">
        <v>436</v>
      </c>
      <c r="H4263" s="701"/>
      <c r="I4263" s="790"/>
      <c r="J4263" s="1654" t="s">
        <v>1134</v>
      </c>
      <c r="K4263" s="792"/>
      <c r="L4263" s="701"/>
      <c r="M4263" s="790"/>
      <c r="N4263" s="7"/>
    </row>
    <row r="4264" spans="1:14" ht="22.5" customHeight="1">
      <c r="A4264" s="663"/>
      <c r="B4264" s="3130" t="s">
        <v>436</v>
      </c>
      <c r="C4264" s="663" t="s">
        <v>432</v>
      </c>
      <c r="D4264" s="678" t="s">
        <v>1980</v>
      </c>
      <c r="E4264" s="700" t="s">
        <v>1957</v>
      </c>
      <c r="F4264" s="795">
        <v>1148</v>
      </c>
      <c r="G4264" s="812" t="s">
        <v>1069</v>
      </c>
      <c r="H4264" s="701"/>
      <c r="I4264" s="790"/>
      <c r="J4264" s="1654" t="s">
        <v>1134</v>
      </c>
      <c r="K4264" s="792"/>
      <c r="L4264" s="701"/>
      <c r="M4264" s="790"/>
      <c r="N4264" s="7"/>
    </row>
    <row r="4265" spans="1:14">
      <c r="A4265" s="683">
        <v>28120</v>
      </c>
      <c r="B4265" s="3129" t="s">
        <v>436</v>
      </c>
      <c r="C4265" s="683" t="s">
        <v>432</v>
      </c>
      <c r="D4265" s="719" t="s">
        <v>1980</v>
      </c>
      <c r="E4265" s="720" t="s">
        <v>1957</v>
      </c>
      <c r="F4265" s="824">
        <v>1210</v>
      </c>
      <c r="G4265" s="800" t="s">
        <v>113</v>
      </c>
      <c r="H4265" s="706">
        <v>50152.058485199996</v>
      </c>
      <c r="I4265" s="706"/>
      <c r="J4265" s="1654">
        <v>28121</v>
      </c>
      <c r="K4265" s="802"/>
      <c r="L4265" s="706">
        <v>49523.198899019997</v>
      </c>
      <c r="M4265" s="706"/>
      <c r="N4265" s="7"/>
    </row>
    <row r="4266" spans="1:14">
      <c r="A4266" s="663"/>
      <c r="B4266" s="3130" t="s">
        <v>436</v>
      </c>
      <c r="C4266" s="663" t="s">
        <v>432</v>
      </c>
      <c r="D4266" s="678" t="s">
        <v>1980</v>
      </c>
      <c r="E4266" s="700" t="s">
        <v>1957</v>
      </c>
      <c r="F4266" s="795">
        <v>1210</v>
      </c>
      <c r="G4266" s="812" t="s">
        <v>436</v>
      </c>
      <c r="H4266" s="701"/>
      <c r="I4266" s="790">
        <v>46197.058485199996</v>
      </c>
      <c r="J4266" s="1654" t="s">
        <v>1134</v>
      </c>
      <c r="K4266" s="792"/>
      <c r="L4266" s="701"/>
      <c r="M4266" s="790">
        <v>49523.198899019997</v>
      </c>
      <c r="N4266" s="7"/>
    </row>
    <row r="4267" spans="1:14" ht="40.799999999999997">
      <c r="A4267" s="1263"/>
      <c r="B4267" s="3130" t="s">
        <v>436</v>
      </c>
      <c r="C4267" s="663" t="s">
        <v>432</v>
      </c>
      <c r="D4267" s="678" t="s">
        <v>1980</v>
      </c>
      <c r="E4267" s="700" t="s">
        <v>1957</v>
      </c>
      <c r="F4267" s="795">
        <v>1210</v>
      </c>
      <c r="G4267" s="2245" t="s">
        <v>2987</v>
      </c>
      <c r="H4267" s="1265"/>
      <c r="I4267" s="2321">
        <v>3955</v>
      </c>
      <c r="J4267" s="1654" t="s">
        <v>1134</v>
      </c>
      <c r="K4267" s="1329"/>
      <c r="L4267" s="1265"/>
      <c r="M4267" s="2321"/>
      <c r="N4267" s="7"/>
    </row>
    <row r="4268" spans="1:14">
      <c r="A4268" s="683"/>
      <c r="B4268" s="3129" t="s">
        <v>436</v>
      </c>
      <c r="C4268" s="683" t="s">
        <v>432</v>
      </c>
      <c r="D4268" s="719" t="s">
        <v>1980</v>
      </c>
      <c r="E4268" s="720" t="s">
        <v>1957</v>
      </c>
      <c r="F4268" s="824">
        <v>1221</v>
      </c>
      <c r="G4268" s="800" t="s">
        <v>339</v>
      </c>
      <c r="H4268" s="706">
        <v>9123.2241307999993</v>
      </c>
      <c r="I4268" s="706"/>
      <c r="J4268" s="1654">
        <v>3902</v>
      </c>
      <c r="K4268" s="802"/>
      <c r="L4268" s="706">
        <v>10268.204152580001</v>
      </c>
      <c r="M4268" s="706"/>
      <c r="N4268" s="7"/>
    </row>
    <row r="4269" spans="1:14">
      <c r="A4269" s="663"/>
      <c r="B4269" s="3130" t="s">
        <v>436</v>
      </c>
      <c r="C4269" s="663" t="s">
        <v>432</v>
      </c>
      <c r="D4269" s="678" t="s">
        <v>1980</v>
      </c>
      <c r="E4269" s="700" t="s">
        <v>1957</v>
      </c>
      <c r="F4269" s="795">
        <v>1221</v>
      </c>
      <c r="G4269" s="812" t="s">
        <v>339</v>
      </c>
      <c r="H4269" s="701"/>
      <c r="I4269" s="790">
        <v>10123.224130799999</v>
      </c>
      <c r="J4269" s="1654"/>
      <c r="K4269" s="792"/>
      <c r="L4269" s="701"/>
      <c r="M4269" s="790">
        <v>10268.204152580001</v>
      </c>
      <c r="N4269" s="7"/>
    </row>
    <row r="4270" spans="1:14" ht="20.399999999999999">
      <c r="A4270" s="663"/>
      <c r="B4270" s="3130" t="s">
        <v>436</v>
      </c>
      <c r="C4270" s="663" t="s">
        <v>432</v>
      </c>
      <c r="D4270" s="678" t="s">
        <v>1980</v>
      </c>
      <c r="E4270" s="700" t="s">
        <v>1957</v>
      </c>
      <c r="F4270" s="795">
        <v>1221</v>
      </c>
      <c r="G4270" s="812" t="s">
        <v>4131</v>
      </c>
      <c r="H4270" s="701"/>
      <c r="I4270" s="790">
        <v>-1000</v>
      </c>
      <c r="J4270" s="1654" t="s">
        <v>1134</v>
      </c>
      <c r="K4270" s="792"/>
      <c r="L4270" s="701"/>
      <c r="M4270" s="790"/>
      <c r="N4270" s="305"/>
    </row>
    <row r="4271" spans="1:14" ht="30.6">
      <c r="A4271" s="683"/>
      <c r="B4271" s="3129" t="s">
        <v>436</v>
      </c>
      <c r="C4271" s="683" t="s">
        <v>432</v>
      </c>
      <c r="D4271" s="719" t="s">
        <v>1980</v>
      </c>
      <c r="E4271" s="720" t="s">
        <v>1957</v>
      </c>
      <c r="F4271" s="824">
        <v>1228</v>
      </c>
      <c r="G4271" s="800" t="s">
        <v>151</v>
      </c>
      <c r="H4271" s="706">
        <v>1000</v>
      </c>
      <c r="I4271" s="706"/>
      <c r="J4271" s="1654">
        <v>700</v>
      </c>
      <c r="K4271" s="802"/>
      <c r="L4271" s="706">
        <v>500</v>
      </c>
      <c r="M4271" s="706"/>
      <c r="N4271" s="305"/>
    </row>
    <row r="4272" spans="1:14" ht="20.399999999999999">
      <c r="A4272" s="663"/>
      <c r="B4272" s="3130" t="s">
        <v>436</v>
      </c>
      <c r="C4272" s="663" t="s">
        <v>432</v>
      </c>
      <c r="D4272" s="678" t="s">
        <v>1980</v>
      </c>
      <c r="E4272" s="700" t="s">
        <v>1957</v>
      </c>
      <c r="F4272" s="795">
        <v>1228</v>
      </c>
      <c r="G4272" s="812" t="s">
        <v>4131</v>
      </c>
      <c r="H4272" s="701"/>
      <c r="I4272" s="790">
        <v>1000</v>
      </c>
      <c r="J4272" s="1654" t="s">
        <v>1134</v>
      </c>
      <c r="K4272" s="792"/>
      <c r="L4272" s="701"/>
      <c r="M4272" s="790">
        <v>500</v>
      </c>
      <c r="N4272" s="305"/>
    </row>
    <row r="4273" spans="1:14" ht="20.399999999999999">
      <c r="A4273" s="683"/>
      <c r="B4273" s="3129" t="s">
        <v>772</v>
      </c>
      <c r="C4273" s="683" t="s">
        <v>322</v>
      </c>
      <c r="D4273" s="719" t="s">
        <v>1980</v>
      </c>
      <c r="E4273" s="720" t="s">
        <v>1957</v>
      </c>
      <c r="F4273" s="824">
        <v>2112</v>
      </c>
      <c r="G4273" s="800" t="s">
        <v>595</v>
      </c>
      <c r="H4273" s="706">
        <v>0</v>
      </c>
      <c r="I4273" s="706"/>
      <c r="J4273" s="1654" t="s">
        <v>1134</v>
      </c>
      <c r="K4273" s="802"/>
      <c r="L4273" s="706">
        <v>0</v>
      </c>
      <c r="M4273" s="706"/>
      <c r="N4273" s="305"/>
    </row>
    <row r="4274" spans="1:14">
      <c r="A4274" s="663"/>
      <c r="B4274" s="3130" t="s">
        <v>772</v>
      </c>
      <c r="C4274" s="663" t="s">
        <v>322</v>
      </c>
      <c r="D4274" s="678" t="s">
        <v>1980</v>
      </c>
      <c r="E4274" s="700" t="s">
        <v>1957</v>
      </c>
      <c r="F4274" s="795">
        <v>2112</v>
      </c>
      <c r="G4274" s="750"/>
      <c r="H4274" s="701"/>
      <c r="I4274" s="790"/>
      <c r="J4274" s="1654" t="s">
        <v>1134</v>
      </c>
      <c r="K4274" s="792"/>
      <c r="L4274" s="701"/>
      <c r="M4274" s="790"/>
      <c r="N4274" s="305"/>
    </row>
    <row r="4275" spans="1:14">
      <c r="A4275" s="683"/>
      <c r="B4275" s="3129" t="s">
        <v>772</v>
      </c>
      <c r="C4275" s="683" t="s">
        <v>320</v>
      </c>
      <c r="D4275" s="719" t="s">
        <v>1980</v>
      </c>
      <c r="E4275" s="720" t="s">
        <v>1957</v>
      </c>
      <c r="F4275" s="685">
        <v>2210</v>
      </c>
      <c r="G4275" s="686" t="s">
        <v>572</v>
      </c>
      <c r="H4275" s="689">
        <v>2799</v>
      </c>
      <c r="I4275" s="689"/>
      <c r="J4275" s="1494">
        <v>1987</v>
      </c>
      <c r="K4275" s="727"/>
      <c r="L4275" s="689">
        <v>3372</v>
      </c>
      <c r="M4275" s="687"/>
      <c r="N4275" s="305"/>
    </row>
    <row r="4276" spans="1:14">
      <c r="A4276" s="663"/>
      <c r="B4276" s="3130" t="s">
        <v>772</v>
      </c>
      <c r="C4276" s="663" t="s">
        <v>320</v>
      </c>
      <c r="D4276" s="678" t="s">
        <v>1980</v>
      </c>
      <c r="E4276" s="700" t="s">
        <v>1957</v>
      </c>
      <c r="F4276" s="679">
        <v>2210</v>
      </c>
      <c r="G4276" s="2177" t="s">
        <v>4382</v>
      </c>
      <c r="H4276" s="660"/>
      <c r="I4276" s="761">
        <v>580</v>
      </c>
      <c r="J4276" s="1494" t="s">
        <v>1134</v>
      </c>
      <c r="K4276" s="667"/>
      <c r="L4276" s="659"/>
      <c r="M4276" s="2298">
        <v>360</v>
      </c>
      <c r="N4276" s="305"/>
    </row>
    <row r="4277" spans="1:14">
      <c r="A4277" s="663"/>
      <c r="B4277" s="3130" t="s">
        <v>772</v>
      </c>
      <c r="C4277" s="663" t="s">
        <v>320</v>
      </c>
      <c r="D4277" s="678" t="s">
        <v>1980</v>
      </c>
      <c r="E4277" s="700" t="s">
        <v>1957</v>
      </c>
      <c r="F4277" s="679">
        <v>2210</v>
      </c>
      <c r="G4277" s="2177" t="s">
        <v>4383</v>
      </c>
      <c r="H4277" s="660"/>
      <c r="I4277" s="761">
        <v>407</v>
      </c>
      <c r="J4277" s="1494" t="s">
        <v>1134</v>
      </c>
      <c r="K4277" s="667"/>
      <c r="L4277" s="659"/>
      <c r="M4277" s="2298">
        <v>1200</v>
      </c>
      <c r="N4277" s="305"/>
    </row>
    <row r="4278" spans="1:14">
      <c r="A4278" s="663"/>
      <c r="B4278" s="3130" t="s">
        <v>772</v>
      </c>
      <c r="C4278" s="663" t="s">
        <v>320</v>
      </c>
      <c r="D4278" s="678" t="s">
        <v>1980</v>
      </c>
      <c r="E4278" s="700" t="s">
        <v>1957</v>
      </c>
      <c r="F4278" s="679">
        <v>2210</v>
      </c>
      <c r="G4278" s="2177" t="s">
        <v>1556</v>
      </c>
      <c r="H4278" s="660"/>
      <c r="I4278" s="761">
        <v>1812</v>
      </c>
      <c r="J4278" s="1494" t="s">
        <v>1134</v>
      </c>
      <c r="K4278" s="667"/>
      <c r="L4278" s="659"/>
      <c r="M4278" s="2298">
        <v>1812</v>
      </c>
      <c r="N4278" s="305"/>
    </row>
    <row r="4279" spans="1:14">
      <c r="A4279" s="683"/>
      <c r="B4279" s="3129" t="s">
        <v>772</v>
      </c>
      <c r="C4279" s="683" t="s">
        <v>320</v>
      </c>
      <c r="D4279" s="719" t="s">
        <v>1980</v>
      </c>
      <c r="E4279" s="720" t="s">
        <v>1957</v>
      </c>
      <c r="F4279" s="824">
        <v>2221</v>
      </c>
      <c r="G4279" s="800" t="s">
        <v>623</v>
      </c>
      <c r="H4279" s="706">
        <v>10584</v>
      </c>
      <c r="I4279" s="706"/>
      <c r="J4279" s="1654">
        <v>10583.42</v>
      </c>
      <c r="K4279" s="802"/>
      <c r="L4279" s="706">
        <v>0</v>
      </c>
      <c r="M4279" s="706"/>
      <c r="N4279" s="305"/>
    </row>
    <row r="4280" spans="1:14">
      <c r="A4280" s="663"/>
      <c r="B4280" s="3130" t="s">
        <v>772</v>
      </c>
      <c r="C4280" s="663" t="s">
        <v>320</v>
      </c>
      <c r="D4280" s="678" t="s">
        <v>1980</v>
      </c>
      <c r="E4280" s="700" t="s">
        <v>1957</v>
      </c>
      <c r="F4280" s="795">
        <v>2221</v>
      </c>
      <c r="G4280" s="750" t="s">
        <v>2866</v>
      </c>
      <c r="H4280" s="701"/>
      <c r="I4280" s="790">
        <v>10584</v>
      </c>
      <c r="J4280" s="1654" t="s">
        <v>1134</v>
      </c>
      <c r="K4280" s="792"/>
      <c r="L4280" s="701"/>
      <c r="M4280" s="701"/>
      <c r="N4280" s="305"/>
    </row>
    <row r="4281" spans="1:14">
      <c r="A4281" s="683"/>
      <c r="B4281" s="3129" t="s">
        <v>772</v>
      </c>
      <c r="C4281" s="683" t="s">
        <v>320</v>
      </c>
      <c r="D4281" s="719" t="s">
        <v>1980</v>
      </c>
      <c r="E4281" s="720" t="s">
        <v>1957</v>
      </c>
      <c r="F4281" s="824">
        <v>2223</v>
      </c>
      <c r="G4281" s="800" t="s">
        <v>154</v>
      </c>
      <c r="H4281" s="706">
        <v>61000</v>
      </c>
      <c r="I4281" s="706"/>
      <c r="J4281" s="1654">
        <v>45878</v>
      </c>
      <c r="K4281" s="802"/>
      <c r="L4281" s="706">
        <v>56379</v>
      </c>
      <c r="M4281" s="706"/>
      <c r="N4281" s="305"/>
    </row>
    <row r="4282" spans="1:14">
      <c r="A4282" s="663"/>
      <c r="B4282" s="3130" t="s">
        <v>772</v>
      </c>
      <c r="C4282" s="663" t="s">
        <v>320</v>
      </c>
      <c r="D4282" s="678" t="s">
        <v>1980</v>
      </c>
      <c r="E4282" s="700" t="s">
        <v>1957</v>
      </c>
      <c r="F4282" s="795">
        <v>2223</v>
      </c>
      <c r="G4282" s="750" t="s">
        <v>1557</v>
      </c>
      <c r="H4282" s="701"/>
      <c r="I4282" s="790">
        <v>63000</v>
      </c>
      <c r="J4282" s="1654" t="s">
        <v>1134</v>
      </c>
      <c r="K4282" s="792"/>
      <c r="L4282" s="701"/>
      <c r="M4282" s="2031">
        <v>56379</v>
      </c>
      <c r="N4282" s="305"/>
    </row>
    <row r="4283" spans="1:14" ht="20.399999999999999">
      <c r="A4283" s="1495"/>
      <c r="B4283" s="3138" t="s">
        <v>772</v>
      </c>
      <c r="C4283" s="1495" t="s">
        <v>320</v>
      </c>
      <c r="D4283" s="1561" t="s">
        <v>1980</v>
      </c>
      <c r="E4283" s="1590" t="s">
        <v>1957</v>
      </c>
      <c r="F4283" s="1562">
        <v>2223</v>
      </c>
      <c r="G4283" s="1569" t="s">
        <v>3433</v>
      </c>
      <c r="H4283" s="1557"/>
      <c r="I4283" s="2160">
        <v>-2000</v>
      </c>
      <c r="J4283" s="1557"/>
      <c r="K4283" s="1563"/>
      <c r="L4283" s="1557"/>
      <c r="M4283" s="1557"/>
      <c r="N4283" s="381"/>
    </row>
    <row r="4284" spans="1:14">
      <c r="A4284" s="683"/>
      <c r="B4284" s="3129" t="s">
        <v>772</v>
      </c>
      <c r="C4284" s="683" t="s">
        <v>322</v>
      </c>
      <c r="D4284" s="719" t="s">
        <v>1980</v>
      </c>
      <c r="E4284" s="720" t="s">
        <v>1957</v>
      </c>
      <c r="F4284" s="685">
        <v>2233</v>
      </c>
      <c r="G4284" s="686" t="s">
        <v>216</v>
      </c>
      <c r="H4284" s="689">
        <v>64500</v>
      </c>
      <c r="I4284" s="689"/>
      <c r="J4284" s="1494">
        <v>28408</v>
      </c>
      <c r="K4284" s="727"/>
      <c r="L4284" s="689">
        <v>62250</v>
      </c>
      <c r="M4284" s="689"/>
      <c r="N4284" s="381"/>
    </row>
    <row r="4285" spans="1:14">
      <c r="A4285" s="663"/>
      <c r="B4285" s="3130" t="s">
        <v>772</v>
      </c>
      <c r="C4285" s="663" t="s">
        <v>322</v>
      </c>
      <c r="D4285" s="678" t="s">
        <v>1980</v>
      </c>
      <c r="E4285" s="700" t="s">
        <v>1957</v>
      </c>
      <c r="F4285" s="679">
        <v>2233</v>
      </c>
      <c r="G4285" s="2177" t="s">
        <v>1558</v>
      </c>
      <c r="H4285" s="2169"/>
      <c r="I4285" s="2301">
        <v>20000</v>
      </c>
      <c r="J4285" s="2170" t="s">
        <v>1134</v>
      </c>
      <c r="K4285" s="2302"/>
      <c r="L4285" s="2171"/>
      <c r="M4285" s="2725">
        <v>20000</v>
      </c>
      <c r="N4285" s="381"/>
    </row>
    <row r="4286" spans="1:14">
      <c r="A4286" s="663"/>
      <c r="B4286" s="3130" t="s">
        <v>772</v>
      </c>
      <c r="C4286" s="663" t="s">
        <v>322</v>
      </c>
      <c r="D4286" s="678" t="s">
        <v>1980</v>
      </c>
      <c r="E4286" s="700" t="s">
        <v>1957</v>
      </c>
      <c r="F4286" s="679">
        <v>2233</v>
      </c>
      <c r="G4286" s="2177" t="s">
        <v>575</v>
      </c>
      <c r="H4286" s="2169"/>
      <c r="I4286" s="2301">
        <v>25000</v>
      </c>
      <c r="J4286" s="2170"/>
      <c r="K4286" s="2302"/>
      <c r="L4286" s="2171"/>
      <c r="M4286" s="2726">
        <v>27250</v>
      </c>
      <c r="N4286" s="305"/>
    </row>
    <row r="4287" spans="1:14" ht="20.399999999999999">
      <c r="A4287" s="2168"/>
      <c r="B4287" s="3130" t="s">
        <v>772</v>
      </c>
      <c r="C4287" s="663" t="s">
        <v>322</v>
      </c>
      <c r="D4287" s="678" t="s">
        <v>1980</v>
      </c>
      <c r="E4287" s="700" t="s">
        <v>1957</v>
      </c>
      <c r="F4287" s="679">
        <v>2233</v>
      </c>
      <c r="G4287" s="2305" t="s">
        <v>2390</v>
      </c>
      <c r="H4287" s="2169"/>
      <c r="I4287" s="2301">
        <v>18500</v>
      </c>
      <c r="J4287" s="2170" t="s">
        <v>1134</v>
      </c>
      <c r="K4287" s="2302"/>
      <c r="L4287" s="2171"/>
      <c r="M4287" s="2188">
        <v>15000</v>
      </c>
      <c r="N4287" s="305"/>
    </row>
    <row r="4288" spans="1:14" ht="12" customHeight="1">
      <c r="A4288" s="2168"/>
      <c r="B4288" s="3130" t="s">
        <v>772</v>
      </c>
      <c r="C4288" s="663" t="s">
        <v>322</v>
      </c>
      <c r="D4288" s="678" t="s">
        <v>1980</v>
      </c>
      <c r="E4288" s="700" t="s">
        <v>1957</v>
      </c>
      <c r="F4288" s="679">
        <v>2233</v>
      </c>
      <c r="G4288" s="2305" t="s">
        <v>4385</v>
      </c>
      <c r="H4288" s="2169"/>
      <c r="I4288" s="2301">
        <v>500</v>
      </c>
      <c r="J4288" s="2170"/>
      <c r="K4288" s="2302"/>
      <c r="L4288" s="2171"/>
      <c r="M4288" s="2188"/>
      <c r="N4288" s="305"/>
    </row>
    <row r="4289" spans="1:14">
      <c r="A4289" s="2168"/>
      <c r="B4289" s="3130" t="s">
        <v>772</v>
      </c>
      <c r="C4289" s="663" t="s">
        <v>322</v>
      </c>
      <c r="D4289" s="678" t="s">
        <v>1980</v>
      </c>
      <c r="E4289" s="700" t="s">
        <v>1957</v>
      </c>
      <c r="F4289" s="679">
        <v>2233</v>
      </c>
      <c r="G4289" s="2305" t="s">
        <v>4387</v>
      </c>
      <c r="H4289" s="2169"/>
      <c r="I4289" s="2301">
        <v>500</v>
      </c>
      <c r="J4289" s="2170"/>
      <c r="K4289" s="2302"/>
      <c r="L4289" s="2171"/>
      <c r="M4289" s="2188"/>
      <c r="N4289" s="305"/>
    </row>
    <row r="4290" spans="1:14" ht="30.6">
      <c r="A4290" s="683"/>
      <c r="B4290" s="3129" t="s">
        <v>772</v>
      </c>
      <c r="C4290" s="683" t="s">
        <v>322</v>
      </c>
      <c r="D4290" s="719" t="s">
        <v>1980</v>
      </c>
      <c r="E4290" s="720" t="s">
        <v>1957</v>
      </c>
      <c r="F4290" s="824">
        <v>2239</v>
      </c>
      <c r="G4290" s="800" t="s">
        <v>122</v>
      </c>
      <c r="H4290" s="706">
        <v>4015</v>
      </c>
      <c r="I4290" s="706"/>
      <c r="J4290" s="1654">
        <v>372</v>
      </c>
      <c r="K4290" s="802"/>
      <c r="L4290" s="706">
        <v>3870</v>
      </c>
      <c r="M4290" s="706"/>
      <c r="N4290" s="305"/>
    </row>
    <row r="4291" spans="1:14" ht="20.399999999999999">
      <c r="A4291" s="663"/>
      <c r="B4291" s="3130" t="s">
        <v>772</v>
      </c>
      <c r="C4291" s="663" t="s">
        <v>322</v>
      </c>
      <c r="D4291" s="678" t="s">
        <v>1980</v>
      </c>
      <c r="E4291" s="700" t="s">
        <v>1957</v>
      </c>
      <c r="F4291" s="795">
        <v>2239</v>
      </c>
      <c r="G4291" s="2195" t="s">
        <v>624</v>
      </c>
      <c r="H4291" s="701"/>
      <c r="I4291" s="790">
        <v>120</v>
      </c>
      <c r="J4291" s="1654" t="s">
        <v>1134</v>
      </c>
      <c r="K4291" s="792"/>
      <c r="L4291" s="701"/>
      <c r="M4291" s="790">
        <v>120</v>
      </c>
      <c r="N4291" s="305"/>
    </row>
    <row r="4292" spans="1:14">
      <c r="A4292" s="663"/>
      <c r="B4292" s="3130" t="s">
        <v>772</v>
      </c>
      <c r="C4292" s="663" t="s">
        <v>322</v>
      </c>
      <c r="D4292" s="678" t="s">
        <v>1980</v>
      </c>
      <c r="E4292" s="700" t="s">
        <v>1957</v>
      </c>
      <c r="F4292" s="795">
        <v>2239</v>
      </c>
      <c r="G4292" s="2195" t="s">
        <v>4392</v>
      </c>
      <c r="H4292" s="701"/>
      <c r="I4292" s="790">
        <v>2500</v>
      </c>
      <c r="J4292" s="1654" t="s">
        <v>1134</v>
      </c>
      <c r="K4292" s="792"/>
      <c r="L4292" s="701"/>
      <c r="M4292" s="790">
        <v>2500</v>
      </c>
      <c r="N4292" s="381"/>
    </row>
    <row r="4293" spans="1:14">
      <c r="A4293" s="663"/>
      <c r="B4293" s="3130" t="s">
        <v>772</v>
      </c>
      <c r="C4293" s="663" t="s">
        <v>322</v>
      </c>
      <c r="D4293" s="678" t="s">
        <v>1980</v>
      </c>
      <c r="E4293" s="700" t="s">
        <v>1957</v>
      </c>
      <c r="F4293" s="795">
        <v>2239</v>
      </c>
      <c r="G4293" s="2195" t="s">
        <v>625</v>
      </c>
      <c r="H4293" s="701"/>
      <c r="I4293" s="790">
        <v>100</v>
      </c>
      <c r="J4293" s="1654" t="s">
        <v>1134</v>
      </c>
      <c r="K4293" s="792"/>
      <c r="L4293" s="701"/>
      <c r="M4293" s="790">
        <v>100</v>
      </c>
      <c r="N4293" s="305"/>
    </row>
    <row r="4294" spans="1:14" ht="20.399999999999999">
      <c r="A4294" s="663"/>
      <c r="B4294" s="3130" t="s">
        <v>772</v>
      </c>
      <c r="C4294" s="663" t="s">
        <v>322</v>
      </c>
      <c r="D4294" s="678" t="s">
        <v>1980</v>
      </c>
      <c r="E4294" s="700" t="s">
        <v>1957</v>
      </c>
      <c r="F4294" s="795">
        <v>2239</v>
      </c>
      <c r="G4294" s="957" t="s">
        <v>1120</v>
      </c>
      <c r="H4294" s="701"/>
      <c r="I4294" s="790">
        <v>250</v>
      </c>
      <c r="J4294" s="1654" t="s">
        <v>1134</v>
      </c>
      <c r="K4294" s="792"/>
      <c r="L4294" s="701"/>
      <c r="M4294" s="790"/>
      <c r="N4294" s="305"/>
    </row>
    <row r="4295" spans="1:14" ht="20.399999999999999">
      <c r="A4295" s="663"/>
      <c r="B4295" s="3130" t="s">
        <v>772</v>
      </c>
      <c r="C4295" s="663" t="s">
        <v>322</v>
      </c>
      <c r="D4295" s="678" t="s">
        <v>1980</v>
      </c>
      <c r="E4295" s="700" t="s">
        <v>1957</v>
      </c>
      <c r="F4295" s="795">
        <v>2239</v>
      </c>
      <c r="G4295" s="957" t="s">
        <v>1670</v>
      </c>
      <c r="H4295" s="701"/>
      <c r="I4295" s="790">
        <v>600</v>
      </c>
      <c r="J4295" s="1654" t="s">
        <v>1134</v>
      </c>
      <c r="K4295" s="792"/>
      <c r="L4295" s="701"/>
      <c r="M4295" s="790"/>
      <c r="N4295" s="2042" t="s">
        <v>4381</v>
      </c>
    </row>
    <row r="4296" spans="1:14" ht="20.399999999999999">
      <c r="A4296" s="663"/>
      <c r="B4296" s="3130" t="s">
        <v>772</v>
      </c>
      <c r="C4296" s="663" t="s">
        <v>322</v>
      </c>
      <c r="D4296" s="678" t="s">
        <v>1980</v>
      </c>
      <c r="E4296" s="700" t="s">
        <v>1957</v>
      </c>
      <c r="F4296" s="795">
        <v>2239</v>
      </c>
      <c r="G4296" s="2306" t="s">
        <v>2391</v>
      </c>
      <c r="H4296" s="701"/>
      <c r="I4296" s="790">
        <v>50</v>
      </c>
      <c r="J4296" s="1654" t="s">
        <v>1134</v>
      </c>
      <c r="K4296" s="792"/>
      <c r="L4296" s="701"/>
      <c r="M4296" s="790">
        <v>50</v>
      </c>
      <c r="N4296" s="2042" t="s">
        <v>4381</v>
      </c>
    </row>
    <row r="4297" spans="1:14" ht="22.5" customHeight="1">
      <c r="A4297" s="663"/>
      <c r="B4297" s="3130" t="s">
        <v>772</v>
      </c>
      <c r="C4297" s="663" t="s">
        <v>322</v>
      </c>
      <c r="D4297" s="678" t="s">
        <v>1980</v>
      </c>
      <c r="E4297" s="700" t="s">
        <v>1957</v>
      </c>
      <c r="F4297" s="795">
        <v>2239</v>
      </c>
      <c r="G4297" s="2306" t="s">
        <v>2392</v>
      </c>
      <c r="H4297" s="701"/>
      <c r="I4297" s="790">
        <v>100</v>
      </c>
      <c r="J4297" s="1654" t="s">
        <v>1134</v>
      </c>
      <c r="K4297" s="792"/>
      <c r="L4297" s="701"/>
      <c r="M4297" s="790">
        <v>100</v>
      </c>
      <c r="N4297" s="7"/>
    </row>
    <row r="4298" spans="1:14" ht="12" customHeight="1">
      <c r="A4298" s="663"/>
      <c r="B4298" s="3130" t="s">
        <v>772</v>
      </c>
      <c r="C4298" s="663" t="s">
        <v>322</v>
      </c>
      <c r="D4298" s="678" t="s">
        <v>1980</v>
      </c>
      <c r="E4298" s="700" t="s">
        <v>1957</v>
      </c>
      <c r="F4298" s="795">
        <v>2239</v>
      </c>
      <c r="G4298" s="2306" t="s">
        <v>2393</v>
      </c>
      <c r="H4298" s="701"/>
      <c r="I4298" s="790">
        <v>500</v>
      </c>
      <c r="J4298" s="1654" t="s">
        <v>1134</v>
      </c>
      <c r="K4298" s="792"/>
      <c r="L4298" s="701"/>
      <c r="M4298" s="790">
        <v>500</v>
      </c>
      <c r="N4298" s="305"/>
    </row>
    <row r="4299" spans="1:14">
      <c r="A4299" s="2168"/>
      <c r="B4299" s="3130" t="s">
        <v>772</v>
      </c>
      <c r="C4299" s="663" t="s">
        <v>322</v>
      </c>
      <c r="D4299" s="678" t="s">
        <v>1980</v>
      </c>
      <c r="E4299" s="700" t="s">
        <v>1957</v>
      </c>
      <c r="F4299" s="795">
        <v>2239</v>
      </c>
      <c r="G4299" s="2306" t="s">
        <v>4395</v>
      </c>
      <c r="H4299" s="2188"/>
      <c r="I4299" s="2307"/>
      <c r="J4299" s="2191"/>
      <c r="K4299" s="2205"/>
      <c r="L4299" s="2188"/>
      <c r="M4299" s="2307">
        <v>500</v>
      </c>
      <c r="N4299" s="1992"/>
    </row>
    <row r="4300" spans="1:14" ht="20.399999999999999">
      <c r="A4300" s="663"/>
      <c r="B4300" s="3130" t="s">
        <v>772</v>
      </c>
      <c r="C4300" s="663" t="s">
        <v>322</v>
      </c>
      <c r="D4300" s="678" t="s">
        <v>1980</v>
      </c>
      <c r="E4300" s="700" t="s">
        <v>1957</v>
      </c>
      <c r="F4300" s="795">
        <v>2239</v>
      </c>
      <c r="G4300" s="957" t="s">
        <v>3432</v>
      </c>
      <c r="H4300" s="701"/>
      <c r="I4300" s="790">
        <v>-205</v>
      </c>
      <c r="J4300" s="1654" t="s">
        <v>1134</v>
      </c>
      <c r="K4300" s="792"/>
      <c r="L4300" s="701"/>
      <c r="M4300" s="790"/>
      <c r="N4300" s="305"/>
    </row>
    <row r="4301" spans="1:14">
      <c r="A4301" s="683"/>
      <c r="B4301" s="3129" t="s">
        <v>772</v>
      </c>
      <c r="C4301" s="683" t="s">
        <v>327</v>
      </c>
      <c r="D4301" s="719" t="s">
        <v>1980</v>
      </c>
      <c r="E4301" s="720" t="s">
        <v>1957</v>
      </c>
      <c r="F4301" s="824">
        <v>2243</v>
      </c>
      <c r="G4301" s="800" t="s">
        <v>270</v>
      </c>
      <c r="H4301" s="706">
        <v>950</v>
      </c>
      <c r="I4301" s="706"/>
      <c r="J4301" s="1654">
        <v>660</v>
      </c>
      <c r="K4301" s="802"/>
      <c r="L4301" s="706">
        <v>950</v>
      </c>
      <c r="M4301" s="706"/>
      <c r="N4301" s="305"/>
    </row>
    <row r="4302" spans="1:14" ht="20.399999999999999">
      <c r="A4302" s="663"/>
      <c r="B4302" s="3130" t="s">
        <v>772</v>
      </c>
      <c r="C4302" s="663" t="s">
        <v>327</v>
      </c>
      <c r="D4302" s="678" t="s">
        <v>1980</v>
      </c>
      <c r="E4302" s="700" t="s">
        <v>1957</v>
      </c>
      <c r="F4302" s="795">
        <v>2243</v>
      </c>
      <c r="G4302" s="2195" t="s">
        <v>1058</v>
      </c>
      <c r="H4302" s="701"/>
      <c r="I4302" s="790">
        <v>750</v>
      </c>
      <c r="J4302" s="1654" t="s">
        <v>1134</v>
      </c>
      <c r="K4302" s="792"/>
      <c r="L4302" s="701"/>
      <c r="M4302" s="790">
        <v>750</v>
      </c>
      <c r="N4302" s="305" t="s">
        <v>4087</v>
      </c>
    </row>
    <row r="4303" spans="1:14" ht="45" customHeight="1">
      <c r="A4303" s="663"/>
      <c r="B4303" s="3130" t="s">
        <v>772</v>
      </c>
      <c r="C4303" s="663" t="s">
        <v>327</v>
      </c>
      <c r="D4303" s="678" t="s">
        <v>1980</v>
      </c>
      <c r="E4303" s="700" t="s">
        <v>1957</v>
      </c>
      <c r="F4303" s="795">
        <v>2243</v>
      </c>
      <c r="G4303" s="2195" t="s">
        <v>626</v>
      </c>
      <c r="H4303" s="701"/>
      <c r="I4303" s="790">
        <v>200</v>
      </c>
      <c r="J4303" s="1654" t="s">
        <v>1134</v>
      </c>
      <c r="K4303" s="792"/>
      <c r="L4303" s="701"/>
      <c r="M4303" s="790">
        <v>200</v>
      </c>
      <c r="N4303" s="305" t="s">
        <v>4397</v>
      </c>
    </row>
    <row r="4304" spans="1:14" ht="20.399999999999999">
      <c r="A4304" s="683" t="s">
        <v>709</v>
      </c>
      <c r="B4304" s="3129" t="s">
        <v>772</v>
      </c>
      <c r="C4304" s="683" t="s">
        <v>327</v>
      </c>
      <c r="D4304" s="719" t="s">
        <v>1980</v>
      </c>
      <c r="E4304" s="720" t="s">
        <v>1957</v>
      </c>
      <c r="F4304" s="824">
        <v>2249</v>
      </c>
      <c r="G4304" s="800" t="s">
        <v>282</v>
      </c>
      <c r="H4304" s="706">
        <v>1500</v>
      </c>
      <c r="I4304" s="706"/>
      <c r="J4304" s="1654">
        <v>0</v>
      </c>
      <c r="K4304" s="802"/>
      <c r="L4304" s="706">
        <v>1500</v>
      </c>
      <c r="M4304" s="706"/>
      <c r="N4304" s="305" t="s">
        <v>4397</v>
      </c>
    </row>
    <row r="4305" spans="1:14" ht="20.399999999999999">
      <c r="A4305" s="663"/>
      <c r="B4305" s="3130" t="s">
        <v>772</v>
      </c>
      <c r="C4305" s="663" t="s">
        <v>327</v>
      </c>
      <c r="D4305" s="678" t="s">
        <v>1980</v>
      </c>
      <c r="E4305" s="700" t="s">
        <v>1957</v>
      </c>
      <c r="F4305" s="795">
        <v>2249</v>
      </c>
      <c r="G4305" s="2195" t="s">
        <v>2394</v>
      </c>
      <c r="H4305" s="701"/>
      <c r="I4305" s="790">
        <v>500</v>
      </c>
      <c r="J4305" s="1654" t="s">
        <v>1134</v>
      </c>
      <c r="K4305" s="792"/>
      <c r="L4305" s="701"/>
      <c r="M4305" s="701">
        <v>500</v>
      </c>
      <c r="N4305" s="305"/>
    </row>
    <row r="4306" spans="1:14" ht="30.6">
      <c r="A4306" s="663"/>
      <c r="B4306" s="3130" t="s">
        <v>772</v>
      </c>
      <c r="C4306" s="663" t="s">
        <v>327</v>
      </c>
      <c r="D4306" s="678" t="s">
        <v>1980</v>
      </c>
      <c r="E4306" s="700" t="s">
        <v>1957</v>
      </c>
      <c r="F4306" s="795">
        <v>2249</v>
      </c>
      <c r="G4306" s="2195" t="s">
        <v>2395</v>
      </c>
      <c r="H4306" s="701"/>
      <c r="I4306" s="790">
        <v>1000</v>
      </c>
      <c r="J4306" s="1654" t="s">
        <v>1134</v>
      </c>
      <c r="K4306" s="792"/>
      <c r="L4306" s="701"/>
      <c r="M4306" s="701">
        <v>1000</v>
      </c>
      <c r="N4306" s="381"/>
    </row>
    <row r="4307" spans="1:14" ht="30.6">
      <c r="A4307" s="683"/>
      <c r="B4307" s="3129" t="s">
        <v>772</v>
      </c>
      <c r="C4307" s="683" t="s">
        <v>322</v>
      </c>
      <c r="D4307" s="719" t="s">
        <v>1980</v>
      </c>
      <c r="E4307" s="720" t="s">
        <v>1957</v>
      </c>
      <c r="F4307" s="826">
        <v>2250</v>
      </c>
      <c r="G4307" s="800" t="s">
        <v>122</v>
      </c>
      <c r="H4307" s="706">
        <v>1545</v>
      </c>
      <c r="I4307" s="706"/>
      <c r="J4307" s="1654">
        <v>139.15</v>
      </c>
      <c r="K4307" s="802"/>
      <c r="L4307" s="706">
        <v>1180</v>
      </c>
      <c r="M4307" s="706"/>
      <c r="N4307" s="381"/>
    </row>
    <row r="4308" spans="1:14">
      <c r="A4308" s="663"/>
      <c r="B4308" s="3130" t="s">
        <v>772</v>
      </c>
      <c r="C4308" s="663" t="s">
        <v>322</v>
      </c>
      <c r="D4308" s="678" t="s">
        <v>1980</v>
      </c>
      <c r="E4308" s="700" t="s">
        <v>1957</v>
      </c>
      <c r="F4308" s="795">
        <v>2250</v>
      </c>
      <c r="G4308" s="2195" t="s">
        <v>618</v>
      </c>
      <c r="H4308" s="2188"/>
      <c r="I4308" s="2307">
        <v>300</v>
      </c>
      <c r="J4308" s="2191" t="s">
        <v>1134</v>
      </c>
      <c r="K4308" s="2205"/>
      <c r="L4308" s="2188"/>
      <c r="M4308" s="2254">
        <v>300</v>
      </c>
      <c r="N4308" s="305"/>
    </row>
    <row r="4309" spans="1:14">
      <c r="A4309" s="663"/>
      <c r="B4309" s="3130" t="s">
        <v>772</v>
      </c>
      <c r="C4309" s="663" t="s">
        <v>322</v>
      </c>
      <c r="D4309" s="678" t="s">
        <v>1980</v>
      </c>
      <c r="E4309" s="700" t="s">
        <v>1957</v>
      </c>
      <c r="F4309" s="795">
        <v>2250</v>
      </c>
      <c r="G4309" s="2195" t="s">
        <v>538</v>
      </c>
      <c r="H4309" s="2188"/>
      <c r="I4309" s="2307">
        <v>280</v>
      </c>
      <c r="J4309" s="2191" t="s">
        <v>1134</v>
      </c>
      <c r="K4309" s="2205"/>
      <c r="L4309" s="2188"/>
      <c r="M4309" s="2254">
        <v>280</v>
      </c>
      <c r="N4309" s="2042" t="s">
        <v>4381</v>
      </c>
    </row>
    <row r="4310" spans="1:14">
      <c r="A4310" s="663"/>
      <c r="B4310" s="3130" t="s">
        <v>772</v>
      </c>
      <c r="C4310" s="663" t="s">
        <v>322</v>
      </c>
      <c r="D4310" s="678" t="s">
        <v>1980</v>
      </c>
      <c r="E4310" s="700" t="s">
        <v>1957</v>
      </c>
      <c r="F4310" s="795">
        <v>2250</v>
      </c>
      <c r="G4310" s="2195" t="s">
        <v>2396</v>
      </c>
      <c r="H4310" s="2188"/>
      <c r="I4310" s="2307">
        <v>365</v>
      </c>
      <c r="J4310" s="2191" t="s">
        <v>1134</v>
      </c>
      <c r="K4310" s="2205"/>
      <c r="L4310" s="2188"/>
      <c r="M4310" s="2290"/>
      <c r="N4310" s="2042" t="s">
        <v>4381</v>
      </c>
    </row>
    <row r="4311" spans="1:14">
      <c r="A4311" s="663"/>
      <c r="B4311" s="3130" t="s">
        <v>772</v>
      </c>
      <c r="C4311" s="663" t="s">
        <v>322</v>
      </c>
      <c r="D4311" s="678" t="s">
        <v>1980</v>
      </c>
      <c r="E4311" s="700" t="s">
        <v>1957</v>
      </c>
      <c r="F4311" s="795">
        <v>2250</v>
      </c>
      <c r="G4311" s="2195" t="s">
        <v>1559</v>
      </c>
      <c r="H4311" s="2188"/>
      <c r="I4311" s="2307">
        <v>600</v>
      </c>
      <c r="J4311" s="2191" t="s">
        <v>1134</v>
      </c>
      <c r="K4311" s="2205"/>
      <c r="L4311" s="2188"/>
      <c r="M4311" s="2254">
        <v>600</v>
      </c>
      <c r="N4311" s="2042" t="s">
        <v>4381</v>
      </c>
    </row>
    <row r="4312" spans="1:14">
      <c r="A4312" s="683"/>
      <c r="B4312" s="3129" t="s">
        <v>772</v>
      </c>
      <c r="C4312" s="683" t="s">
        <v>322</v>
      </c>
      <c r="D4312" s="719" t="s">
        <v>1980</v>
      </c>
      <c r="E4312" s="720" t="s">
        <v>1957</v>
      </c>
      <c r="F4312" s="824">
        <v>2264</v>
      </c>
      <c r="G4312" s="800" t="s">
        <v>125</v>
      </c>
      <c r="H4312" s="706">
        <v>482</v>
      </c>
      <c r="I4312" s="706"/>
      <c r="J4312" s="1654">
        <v>313</v>
      </c>
      <c r="K4312" s="802"/>
      <c r="L4312" s="706">
        <v>527</v>
      </c>
      <c r="M4312" s="706"/>
      <c r="N4312" s="1223"/>
    </row>
    <row r="4313" spans="1:14" ht="20.399999999999999">
      <c r="A4313" s="663"/>
      <c r="B4313" s="3130" t="s">
        <v>772</v>
      </c>
      <c r="C4313" s="663" t="s">
        <v>322</v>
      </c>
      <c r="D4313" s="678" t="s">
        <v>1980</v>
      </c>
      <c r="E4313" s="700" t="s">
        <v>1957</v>
      </c>
      <c r="F4313" s="795">
        <v>2264</v>
      </c>
      <c r="G4313" s="750" t="s">
        <v>1560</v>
      </c>
      <c r="H4313" s="701"/>
      <c r="I4313" s="790">
        <v>277</v>
      </c>
      <c r="J4313" s="1654" t="s">
        <v>1134</v>
      </c>
      <c r="K4313" s="792"/>
      <c r="L4313" s="701"/>
      <c r="M4313" s="2307">
        <v>277</v>
      </c>
      <c r="N4313" s="1223"/>
    </row>
    <row r="4314" spans="1:14" ht="20.399999999999999">
      <c r="A4314" s="663"/>
      <c r="B4314" s="3130" t="s">
        <v>772</v>
      </c>
      <c r="C4314" s="663" t="s">
        <v>322</v>
      </c>
      <c r="D4314" s="678" t="s">
        <v>1980</v>
      </c>
      <c r="E4314" s="700" t="s">
        <v>1957</v>
      </c>
      <c r="F4314" s="795">
        <v>2264</v>
      </c>
      <c r="G4314" s="957" t="s">
        <v>3432</v>
      </c>
      <c r="H4314" s="701"/>
      <c r="I4314" s="790">
        <v>205</v>
      </c>
      <c r="J4314" s="1654" t="s">
        <v>1134</v>
      </c>
      <c r="K4314" s="792"/>
      <c r="L4314" s="701"/>
      <c r="M4314" s="2307">
        <v>250</v>
      </c>
      <c r="N4314" s="1223"/>
    </row>
    <row r="4315" spans="1:14">
      <c r="A4315" s="683"/>
      <c r="B4315" s="3129" t="s">
        <v>772</v>
      </c>
      <c r="C4315" s="683" t="s">
        <v>322</v>
      </c>
      <c r="D4315" s="719" t="s">
        <v>1980</v>
      </c>
      <c r="E4315" s="720" t="s">
        <v>1957</v>
      </c>
      <c r="F4315" s="824">
        <v>2311</v>
      </c>
      <c r="G4315" s="800" t="s">
        <v>206</v>
      </c>
      <c r="H4315" s="706">
        <v>5350</v>
      </c>
      <c r="I4315" s="706"/>
      <c r="J4315" s="1654">
        <v>2653</v>
      </c>
      <c r="K4315" s="802"/>
      <c r="L4315" s="706">
        <v>5350</v>
      </c>
      <c r="M4315" s="706"/>
      <c r="N4315" s="1223"/>
    </row>
    <row r="4316" spans="1:14">
      <c r="A4316" s="663"/>
      <c r="B4316" s="3130" t="s">
        <v>772</v>
      </c>
      <c r="C4316" s="663" t="s">
        <v>322</v>
      </c>
      <c r="D4316" s="678" t="s">
        <v>1980</v>
      </c>
      <c r="E4316" s="700" t="s">
        <v>1957</v>
      </c>
      <c r="F4316" s="795">
        <v>2311</v>
      </c>
      <c r="G4316" s="750" t="s">
        <v>273</v>
      </c>
      <c r="H4316" s="701"/>
      <c r="I4316" s="790">
        <v>4000</v>
      </c>
      <c r="J4316" s="1654" t="s">
        <v>1134</v>
      </c>
      <c r="K4316" s="792"/>
      <c r="L4316" s="701"/>
      <c r="M4316" s="790">
        <v>4000</v>
      </c>
      <c r="N4316" s="125"/>
    </row>
    <row r="4317" spans="1:14">
      <c r="A4317" s="663"/>
      <c r="B4317" s="3130" t="s">
        <v>772</v>
      </c>
      <c r="C4317" s="663" t="s">
        <v>322</v>
      </c>
      <c r="D4317" s="678" t="s">
        <v>1980</v>
      </c>
      <c r="E4317" s="700" t="s">
        <v>1957</v>
      </c>
      <c r="F4317" s="795">
        <v>2311</v>
      </c>
      <c r="G4317" s="750" t="s">
        <v>2397</v>
      </c>
      <c r="H4317" s="701"/>
      <c r="I4317" s="790">
        <v>100</v>
      </c>
      <c r="J4317" s="1654" t="s">
        <v>1134</v>
      </c>
      <c r="K4317" s="792"/>
      <c r="L4317" s="701"/>
      <c r="M4317" s="790">
        <v>100</v>
      </c>
      <c r="N4317" s="177"/>
    </row>
    <row r="4318" spans="1:14">
      <c r="A4318" s="663"/>
      <c r="B4318" s="3130" t="s">
        <v>772</v>
      </c>
      <c r="C4318" s="663" t="s">
        <v>322</v>
      </c>
      <c r="D4318" s="678" t="s">
        <v>1980</v>
      </c>
      <c r="E4318" s="700" t="s">
        <v>1957</v>
      </c>
      <c r="F4318" s="795">
        <v>2311</v>
      </c>
      <c r="G4318" s="967" t="s">
        <v>274</v>
      </c>
      <c r="H4318" s="701"/>
      <c r="I4318" s="790">
        <v>1250</v>
      </c>
      <c r="J4318" s="1654" t="s">
        <v>1134</v>
      </c>
      <c r="K4318" s="792"/>
      <c r="L4318" s="701"/>
      <c r="M4318" s="790">
        <v>1250</v>
      </c>
      <c r="N4318" s="177"/>
    </row>
    <row r="4319" spans="1:14">
      <c r="A4319" s="683"/>
      <c r="B4319" s="3129" t="s">
        <v>772</v>
      </c>
      <c r="C4319" s="683" t="s">
        <v>320</v>
      </c>
      <c r="D4319" s="719" t="s">
        <v>1980</v>
      </c>
      <c r="E4319" s="720" t="s">
        <v>1957</v>
      </c>
      <c r="F4319" s="824">
        <v>2312</v>
      </c>
      <c r="G4319" s="800" t="s">
        <v>131</v>
      </c>
      <c r="H4319" s="706">
        <v>7725</v>
      </c>
      <c r="I4319" s="706"/>
      <c r="J4319" s="1654">
        <v>10300</v>
      </c>
      <c r="K4319" s="802"/>
      <c r="L4319" s="706">
        <v>14985</v>
      </c>
      <c r="M4319" s="706"/>
      <c r="N4319" s="177"/>
    </row>
    <row r="4320" spans="1:14">
      <c r="A4320" s="663"/>
      <c r="B4320" s="3130" t="s">
        <v>772</v>
      </c>
      <c r="C4320" s="663" t="s">
        <v>320</v>
      </c>
      <c r="D4320" s="678" t="s">
        <v>1980</v>
      </c>
      <c r="E4320" s="700" t="s">
        <v>1957</v>
      </c>
      <c r="F4320" s="795">
        <v>2312</v>
      </c>
      <c r="G4320" s="750" t="s">
        <v>2398</v>
      </c>
      <c r="H4320" s="701"/>
      <c r="I4320" s="790">
        <v>1000</v>
      </c>
      <c r="J4320" s="1654" t="s">
        <v>1134</v>
      </c>
      <c r="K4320" s="792"/>
      <c r="L4320" s="701"/>
      <c r="M4320" s="701">
        <v>5000</v>
      </c>
      <c r="N4320" s="1610"/>
    </row>
    <row r="4321" spans="1:14">
      <c r="A4321" s="663"/>
      <c r="B4321" s="3130" t="s">
        <v>772</v>
      </c>
      <c r="C4321" s="663" t="s">
        <v>320</v>
      </c>
      <c r="D4321" s="678" t="s">
        <v>1980</v>
      </c>
      <c r="E4321" s="700" t="s">
        <v>1957</v>
      </c>
      <c r="F4321" s="795">
        <v>2312</v>
      </c>
      <c r="G4321" s="750" t="s">
        <v>131</v>
      </c>
      <c r="H4321" s="701"/>
      <c r="I4321" s="790">
        <v>6725</v>
      </c>
      <c r="J4321" s="1654"/>
      <c r="K4321" s="792"/>
      <c r="L4321" s="701"/>
      <c r="M4321" s="2820">
        <v>9985</v>
      </c>
      <c r="N4321" s="1610"/>
    </row>
    <row r="4322" spans="1:14">
      <c r="A4322" s="683"/>
      <c r="B4322" s="3129" t="s">
        <v>773</v>
      </c>
      <c r="C4322" s="683" t="s">
        <v>320</v>
      </c>
      <c r="D4322" s="719" t="s">
        <v>1980</v>
      </c>
      <c r="E4322" s="720" t="s">
        <v>1957</v>
      </c>
      <c r="F4322" s="824">
        <v>2312</v>
      </c>
      <c r="G4322" s="800" t="s">
        <v>131</v>
      </c>
      <c r="H4322" s="706">
        <v>10000</v>
      </c>
      <c r="I4322" s="706"/>
      <c r="J4322" s="1654"/>
      <c r="K4322" s="802"/>
      <c r="L4322" s="706">
        <v>500</v>
      </c>
      <c r="M4322" s="706"/>
      <c r="N4322" s="1610"/>
    </row>
    <row r="4323" spans="1:14">
      <c r="A4323" s="668"/>
      <c r="B4323" s="3144" t="s">
        <v>773</v>
      </c>
      <c r="C4323" s="668" t="s">
        <v>320</v>
      </c>
      <c r="D4323" s="669" t="s">
        <v>1980</v>
      </c>
      <c r="E4323" s="670" t="s">
        <v>1957</v>
      </c>
      <c r="F4323" s="703">
        <v>2312</v>
      </c>
      <c r="G4323" s="704" t="s">
        <v>1561</v>
      </c>
      <c r="H4323" s="705"/>
      <c r="I4323" s="2308">
        <v>10000</v>
      </c>
      <c r="J4323" s="1654" t="s">
        <v>1134</v>
      </c>
      <c r="K4323" s="802"/>
      <c r="L4323" s="705"/>
      <c r="M4323" s="2308"/>
      <c r="N4323" s="1610"/>
    </row>
    <row r="4324" spans="1:14">
      <c r="A4324" s="2810"/>
      <c r="B4324" s="3144" t="s">
        <v>773</v>
      </c>
      <c r="C4324" s="668" t="s">
        <v>320</v>
      </c>
      <c r="D4324" s="669" t="s">
        <v>1980</v>
      </c>
      <c r="E4324" s="670" t="s">
        <v>1957</v>
      </c>
      <c r="F4324" s="703">
        <v>2312</v>
      </c>
      <c r="G4324" s="2821" t="s">
        <v>4437</v>
      </c>
      <c r="H4324" s="2822"/>
      <c r="I4324" s="2823"/>
      <c r="J4324" s="2621"/>
      <c r="K4324" s="2786"/>
      <c r="L4324" s="2822"/>
      <c r="M4324" s="2823">
        <v>500</v>
      </c>
      <c r="N4324" s="1610"/>
    </row>
    <row r="4325" spans="1:14" ht="20.399999999999999">
      <c r="A4325" s="683"/>
      <c r="B4325" s="3129" t="s">
        <v>772</v>
      </c>
      <c r="C4325" s="683" t="s">
        <v>320</v>
      </c>
      <c r="D4325" s="719" t="s">
        <v>1980</v>
      </c>
      <c r="E4325" s="720" t="s">
        <v>1957</v>
      </c>
      <c r="F4325" s="824">
        <v>2314</v>
      </c>
      <c r="G4325" s="800" t="s">
        <v>1435</v>
      </c>
      <c r="H4325" s="706">
        <v>400</v>
      </c>
      <c r="I4325" s="706"/>
      <c r="J4325" s="1654">
        <v>103.98</v>
      </c>
      <c r="K4325" s="802"/>
      <c r="L4325" s="706">
        <v>3430</v>
      </c>
      <c r="M4325" s="706"/>
      <c r="N4325" s="1610"/>
    </row>
    <row r="4326" spans="1:14">
      <c r="A4326" s="663"/>
      <c r="B4326" s="3130" t="s">
        <v>772</v>
      </c>
      <c r="C4326" s="663" t="s">
        <v>320</v>
      </c>
      <c r="D4326" s="678" t="s">
        <v>1980</v>
      </c>
      <c r="E4326" s="700" t="s">
        <v>1957</v>
      </c>
      <c r="F4326" s="795">
        <v>2314</v>
      </c>
      <c r="G4326" s="750" t="s">
        <v>196</v>
      </c>
      <c r="H4326" s="701"/>
      <c r="I4326" s="790">
        <v>200</v>
      </c>
      <c r="J4326" s="1654" t="s">
        <v>1134</v>
      </c>
      <c r="K4326" s="792"/>
      <c r="L4326" s="701"/>
      <c r="M4326" s="790">
        <v>200</v>
      </c>
      <c r="N4326" s="1610"/>
    </row>
    <row r="4327" spans="1:14">
      <c r="A4327" s="663"/>
      <c r="B4327" s="3130" t="s">
        <v>772</v>
      </c>
      <c r="C4327" s="663" t="s">
        <v>320</v>
      </c>
      <c r="D4327" s="678" t="s">
        <v>1980</v>
      </c>
      <c r="E4327" s="700" t="s">
        <v>1957</v>
      </c>
      <c r="F4327" s="795">
        <v>2314</v>
      </c>
      <c r="G4327" s="750" t="s">
        <v>1566</v>
      </c>
      <c r="H4327" s="701"/>
      <c r="I4327" s="790">
        <v>200</v>
      </c>
      <c r="J4327" s="1654" t="s">
        <v>1134</v>
      </c>
      <c r="K4327" s="792"/>
      <c r="L4327" s="701"/>
      <c r="M4327" s="790">
        <v>200</v>
      </c>
      <c r="N4327" s="1610"/>
    </row>
    <row r="4328" spans="1:14">
      <c r="A4328" s="663"/>
      <c r="B4328" s="3130" t="s">
        <v>772</v>
      </c>
      <c r="C4328" s="663" t="s">
        <v>320</v>
      </c>
      <c r="D4328" s="678" t="s">
        <v>1980</v>
      </c>
      <c r="E4328" s="700" t="s">
        <v>1957</v>
      </c>
      <c r="F4328" s="795">
        <v>2314</v>
      </c>
      <c r="G4328" s="2195" t="s">
        <v>4399</v>
      </c>
      <c r="H4328" s="2188"/>
      <c r="I4328" s="2307"/>
      <c r="J4328" s="2191"/>
      <c r="K4328" s="2205"/>
      <c r="L4328" s="2188"/>
      <c r="M4328" s="2307">
        <v>630</v>
      </c>
      <c r="N4328" s="1610"/>
    </row>
    <row r="4329" spans="1:14" ht="20.399999999999999">
      <c r="A4329" s="663"/>
      <c r="B4329" s="3130" t="s">
        <v>772</v>
      </c>
      <c r="C4329" s="663" t="s">
        <v>320</v>
      </c>
      <c r="D4329" s="678" t="s">
        <v>1980</v>
      </c>
      <c r="E4329" s="700" t="s">
        <v>1957</v>
      </c>
      <c r="F4329" s="795">
        <v>2314</v>
      </c>
      <c r="G4329" s="2195" t="s">
        <v>4400</v>
      </c>
      <c r="H4329" s="2188"/>
      <c r="I4329" s="2307"/>
      <c r="J4329" s="2191"/>
      <c r="K4329" s="2205"/>
      <c r="L4329" s="2188"/>
      <c r="M4329" s="2307">
        <v>1000</v>
      </c>
      <c r="N4329" s="1610"/>
    </row>
    <row r="4330" spans="1:14">
      <c r="A4330" s="2168"/>
      <c r="B4330" s="3130" t="s">
        <v>772</v>
      </c>
      <c r="C4330" s="663" t="s">
        <v>320</v>
      </c>
      <c r="D4330" s="678" t="s">
        <v>1980</v>
      </c>
      <c r="E4330" s="700" t="s">
        <v>1957</v>
      </c>
      <c r="F4330" s="795">
        <v>2314</v>
      </c>
      <c r="G4330" s="2195" t="s">
        <v>4401</v>
      </c>
      <c r="H4330" s="2188"/>
      <c r="I4330" s="2307"/>
      <c r="J4330" s="2191"/>
      <c r="K4330" s="2205"/>
      <c r="L4330" s="2188"/>
      <c r="M4330" s="2307">
        <v>300</v>
      </c>
      <c r="N4330" s="1610"/>
    </row>
    <row r="4331" spans="1:14">
      <c r="A4331" s="663"/>
      <c r="B4331" s="3130" t="s">
        <v>772</v>
      </c>
      <c r="C4331" s="663" t="s">
        <v>320</v>
      </c>
      <c r="D4331" s="678" t="s">
        <v>1980</v>
      </c>
      <c r="E4331" s="700" t="s">
        <v>1957</v>
      </c>
      <c r="F4331" s="795">
        <v>2314</v>
      </c>
      <c r="G4331" s="2195" t="s">
        <v>4918</v>
      </c>
      <c r="H4331" s="2188"/>
      <c r="I4331" s="2307"/>
      <c r="J4331" s="2191"/>
      <c r="K4331" s="2205"/>
      <c r="L4331" s="2188"/>
      <c r="M4331" s="2307">
        <v>1000</v>
      </c>
      <c r="N4331" s="1610"/>
    </row>
    <row r="4332" spans="1:14" ht="33.75" customHeight="1">
      <c r="A4332" s="663"/>
      <c r="B4332" s="3130" t="s">
        <v>772</v>
      </c>
      <c r="C4332" s="663" t="s">
        <v>320</v>
      </c>
      <c r="D4332" s="678" t="s">
        <v>1980</v>
      </c>
      <c r="E4332" s="700" t="s">
        <v>1957</v>
      </c>
      <c r="F4332" s="795">
        <v>2314</v>
      </c>
      <c r="G4332" s="2195" t="s">
        <v>4402</v>
      </c>
      <c r="H4332" s="2188"/>
      <c r="I4332" s="2307"/>
      <c r="J4332" s="2191"/>
      <c r="K4332" s="2205"/>
      <c r="L4332" s="2188"/>
      <c r="M4332" s="2307">
        <v>100</v>
      </c>
      <c r="N4332" s="1610"/>
    </row>
    <row r="4333" spans="1:14">
      <c r="A4333" s="683"/>
      <c r="B4333" s="3129" t="s">
        <v>772</v>
      </c>
      <c r="C4333" s="683" t="s">
        <v>322</v>
      </c>
      <c r="D4333" s="719" t="s">
        <v>1980</v>
      </c>
      <c r="E4333" s="720" t="s">
        <v>1957</v>
      </c>
      <c r="F4333" s="824">
        <v>2341</v>
      </c>
      <c r="G4333" s="800" t="s">
        <v>192</v>
      </c>
      <c r="H4333" s="706">
        <v>1800</v>
      </c>
      <c r="I4333" s="706"/>
      <c r="J4333" s="1654">
        <v>637</v>
      </c>
      <c r="K4333" s="802"/>
      <c r="L4333" s="706">
        <v>1800</v>
      </c>
      <c r="M4333" s="706"/>
      <c r="N4333" s="381"/>
    </row>
    <row r="4334" spans="1:14" ht="33.75" customHeight="1">
      <c r="A4334" s="663"/>
      <c r="B4334" s="3130" t="s">
        <v>772</v>
      </c>
      <c r="C4334" s="663" t="s">
        <v>322</v>
      </c>
      <c r="D4334" s="678" t="s">
        <v>1980</v>
      </c>
      <c r="E4334" s="700" t="s">
        <v>1957</v>
      </c>
      <c r="F4334" s="795">
        <v>2341</v>
      </c>
      <c r="G4334" s="750" t="s">
        <v>576</v>
      </c>
      <c r="H4334" s="701"/>
      <c r="I4334" s="790">
        <v>1700</v>
      </c>
      <c r="J4334" s="1654" t="s">
        <v>1134</v>
      </c>
      <c r="K4334" s="792"/>
      <c r="L4334" s="701"/>
      <c r="M4334" s="790">
        <v>1700</v>
      </c>
      <c r="N4334" s="57"/>
    </row>
    <row r="4335" spans="1:14">
      <c r="A4335" s="663"/>
      <c r="B4335" s="3130" t="s">
        <v>772</v>
      </c>
      <c r="C4335" s="663" t="s">
        <v>322</v>
      </c>
      <c r="D4335" s="678" t="s">
        <v>1980</v>
      </c>
      <c r="E4335" s="700" t="s">
        <v>1957</v>
      </c>
      <c r="F4335" s="795">
        <v>2341</v>
      </c>
      <c r="G4335" s="750" t="s">
        <v>1562</v>
      </c>
      <c r="H4335" s="701"/>
      <c r="I4335" s="790">
        <v>100</v>
      </c>
      <c r="J4335" s="1654" t="s">
        <v>1134</v>
      </c>
      <c r="K4335" s="792"/>
      <c r="L4335" s="701"/>
      <c r="M4335" s="790">
        <v>100</v>
      </c>
      <c r="N4335" s="305"/>
    </row>
    <row r="4336" spans="1:14">
      <c r="A4336" s="683"/>
      <c r="B4336" s="3129" t="s">
        <v>772</v>
      </c>
      <c r="C4336" s="683" t="s">
        <v>320</v>
      </c>
      <c r="D4336" s="719" t="s">
        <v>1980</v>
      </c>
      <c r="E4336" s="720" t="s">
        <v>1957</v>
      </c>
      <c r="F4336" s="824">
        <v>2350</v>
      </c>
      <c r="G4336" s="800" t="s">
        <v>170</v>
      </c>
      <c r="H4336" s="706">
        <v>1700</v>
      </c>
      <c r="I4336" s="706"/>
      <c r="J4336" s="1654">
        <v>697</v>
      </c>
      <c r="K4336" s="802"/>
      <c r="L4336" s="706">
        <v>6050</v>
      </c>
      <c r="M4336" s="706"/>
      <c r="N4336" s="57"/>
    </row>
    <row r="4337" spans="1:14">
      <c r="A4337" s="663" t="s">
        <v>709</v>
      </c>
      <c r="B4337" s="3130" t="s">
        <v>772</v>
      </c>
      <c r="C4337" s="663" t="s">
        <v>320</v>
      </c>
      <c r="D4337" s="678" t="s">
        <v>1980</v>
      </c>
      <c r="E4337" s="700" t="s">
        <v>1957</v>
      </c>
      <c r="F4337" s="795">
        <v>2350</v>
      </c>
      <c r="G4337" s="750" t="s">
        <v>2399</v>
      </c>
      <c r="H4337" s="701"/>
      <c r="I4337" s="790">
        <v>2500</v>
      </c>
      <c r="J4337" s="1654" t="s">
        <v>1134</v>
      </c>
      <c r="K4337" s="792"/>
      <c r="L4337" s="701"/>
      <c r="M4337" s="790">
        <v>2500</v>
      </c>
      <c r="N4337" s="57"/>
    </row>
    <row r="4338" spans="1:14">
      <c r="A4338" s="663" t="s">
        <v>709</v>
      </c>
      <c r="B4338" s="3130" t="s">
        <v>772</v>
      </c>
      <c r="C4338" s="663" t="s">
        <v>320</v>
      </c>
      <c r="D4338" s="678" t="s">
        <v>1980</v>
      </c>
      <c r="E4338" s="700" t="s">
        <v>1957</v>
      </c>
      <c r="F4338" s="795">
        <v>2350</v>
      </c>
      <c r="G4338" s="750" t="s">
        <v>4405</v>
      </c>
      <c r="H4338" s="701"/>
      <c r="I4338" s="790">
        <v>1000</v>
      </c>
      <c r="J4338" s="1654" t="s">
        <v>1134</v>
      </c>
      <c r="K4338" s="792"/>
      <c r="L4338" s="701"/>
      <c r="M4338" s="790">
        <v>1000</v>
      </c>
      <c r="N4338" s="305"/>
    </row>
    <row r="4339" spans="1:14">
      <c r="A4339" s="2168"/>
      <c r="B4339" s="3130" t="s">
        <v>772</v>
      </c>
      <c r="C4339" s="663" t="s">
        <v>320</v>
      </c>
      <c r="D4339" s="678" t="s">
        <v>1980</v>
      </c>
      <c r="E4339" s="700" t="s">
        <v>1957</v>
      </c>
      <c r="F4339" s="795">
        <v>2350</v>
      </c>
      <c r="G4339" s="2195" t="s">
        <v>4406</v>
      </c>
      <c r="H4339" s="2188"/>
      <c r="I4339" s="2307"/>
      <c r="J4339" s="2191"/>
      <c r="K4339" s="2205"/>
      <c r="L4339" s="2188"/>
      <c r="M4339" s="2307">
        <v>1750</v>
      </c>
      <c r="N4339" s="57"/>
    </row>
    <row r="4340" spans="1:14">
      <c r="A4340" s="663"/>
      <c r="B4340" s="3130" t="s">
        <v>772</v>
      </c>
      <c r="C4340" s="663" t="s">
        <v>320</v>
      </c>
      <c r="D4340" s="678" t="s">
        <v>1980</v>
      </c>
      <c r="E4340" s="700" t="s">
        <v>1957</v>
      </c>
      <c r="F4340" s="795">
        <v>2350</v>
      </c>
      <c r="G4340" s="2195" t="s">
        <v>742</v>
      </c>
      <c r="H4340" s="701"/>
      <c r="I4340" s="790">
        <v>500</v>
      </c>
      <c r="J4340" s="1654" t="s">
        <v>1134</v>
      </c>
      <c r="K4340" s="792"/>
      <c r="L4340" s="701"/>
      <c r="M4340" s="2310">
        <v>500</v>
      </c>
      <c r="N4340" s="305"/>
    </row>
    <row r="4341" spans="1:14">
      <c r="A4341" s="663"/>
      <c r="B4341" s="3130" t="s">
        <v>772</v>
      </c>
      <c r="C4341" s="663" t="s">
        <v>320</v>
      </c>
      <c r="D4341" s="678" t="s">
        <v>1980</v>
      </c>
      <c r="E4341" s="700" t="s">
        <v>1957</v>
      </c>
      <c r="F4341" s="795">
        <v>2350</v>
      </c>
      <c r="G4341" s="2195" t="s">
        <v>681</v>
      </c>
      <c r="H4341" s="701"/>
      <c r="I4341" s="790">
        <v>300</v>
      </c>
      <c r="J4341" s="1654" t="s">
        <v>1134</v>
      </c>
      <c r="K4341" s="792"/>
      <c r="L4341" s="701"/>
      <c r="M4341" s="2307">
        <v>300</v>
      </c>
      <c r="N4341" s="57"/>
    </row>
    <row r="4342" spans="1:14" ht="30.6">
      <c r="A4342" s="663"/>
      <c r="B4342" s="3130" t="s">
        <v>772</v>
      </c>
      <c r="C4342" s="663" t="s">
        <v>320</v>
      </c>
      <c r="D4342" s="678" t="s">
        <v>1980</v>
      </c>
      <c r="E4342" s="700" t="s">
        <v>1957</v>
      </c>
      <c r="F4342" s="795">
        <v>2350</v>
      </c>
      <c r="G4342" s="750" t="s">
        <v>3470</v>
      </c>
      <c r="H4342" s="701"/>
      <c r="I4342" s="790">
        <v>-2600</v>
      </c>
      <c r="J4342" s="1654" t="s">
        <v>1134</v>
      </c>
      <c r="K4342" s="792"/>
      <c r="L4342" s="701"/>
      <c r="M4342" s="790"/>
      <c r="N4342" s="2476" t="s">
        <v>4674</v>
      </c>
    </row>
    <row r="4343" spans="1:14">
      <c r="A4343" s="683"/>
      <c r="B4343" s="3129" t="s">
        <v>326</v>
      </c>
      <c r="C4343" s="720" t="s">
        <v>321</v>
      </c>
      <c r="D4343" s="823" t="s">
        <v>1980</v>
      </c>
      <c r="E4343" s="720" t="s">
        <v>1938</v>
      </c>
      <c r="F4343" s="824">
        <v>2363</v>
      </c>
      <c r="G4343" s="800" t="s">
        <v>590</v>
      </c>
      <c r="H4343" s="706">
        <v>263797</v>
      </c>
      <c r="I4343" s="706"/>
      <c r="J4343" s="1494">
        <v>94027.19</v>
      </c>
      <c r="K4343" s="802"/>
      <c r="L4343" s="837">
        <v>250743</v>
      </c>
      <c r="M4343" s="837"/>
      <c r="N4343" s="305"/>
    </row>
    <row r="4344" spans="1:14">
      <c r="A4344" s="663"/>
      <c r="B4344" s="3130" t="s">
        <v>326</v>
      </c>
      <c r="C4344" s="700" t="s">
        <v>321</v>
      </c>
      <c r="D4344" s="794" t="s">
        <v>1980</v>
      </c>
      <c r="E4344" s="700" t="s">
        <v>1938</v>
      </c>
      <c r="F4344" s="795">
        <v>2363</v>
      </c>
      <c r="G4344" s="750" t="s">
        <v>1295</v>
      </c>
      <c r="H4344" s="701"/>
      <c r="I4344" s="790">
        <v>69283</v>
      </c>
      <c r="J4344" s="1494" t="s">
        <v>1134</v>
      </c>
      <c r="K4344" s="792"/>
      <c r="L4344" s="676"/>
      <c r="M4344" s="3119">
        <v>13794</v>
      </c>
      <c r="N4344" s="305"/>
    </row>
    <row r="4345" spans="1:14" ht="30.6">
      <c r="A4345" s="663"/>
      <c r="B4345" s="3130" t="s">
        <v>326</v>
      </c>
      <c r="C4345" s="700" t="s">
        <v>321</v>
      </c>
      <c r="D4345" s="794" t="s">
        <v>1980</v>
      </c>
      <c r="E4345" s="700" t="s">
        <v>1938</v>
      </c>
      <c r="F4345" s="795">
        <v>2363</v>
      </c>
      <c r="G4345" s="750" t="s">
        <v>5232</v>
      </c>
      <c r="H4345" s="701"/>
      <c r="I4345" s="790">
        <v>194514</v>
      </c>
      <c r="J4345" s="1494" t="s">
        <v>1134</v>
      </c>
      <c r="K4345" s="792"/>
      <c r="L4345" s="676"/>
      <c r="M4345" s="3119">
        <v>134427</v>
      </c>
      <c r="N4345" s="305"/>
    </row>
    <row r="4346" spans="1:14" ht="30.6">
      <c r="A4346" s="663"/>
      <c r="B4346" s="3130" t="s">
        <v>326</v>
      </c>
      <c r="C4346" s="700" t="s">
        <v>321</v>
      </c>
      <c r="D4346" s="794" t="s">
        <v>1980</v>
      </c>
      <c r="E4346" s="700" t="s">
        <v>1938</v>
      </c>
      <c r="F4346" s="795">
        <v>2363</v>
      </c>
      <c r="G4346" s="750" t="s">
        <v>5233</v>
      </c>
      <c r="H4346" s="701"/>
      <c r="I4346" s="790"/>
      <c r="J4346" s="1494" t="s">
        <v>1134</v>
      </c>
      <c r="K4346" s="792"/>
      <c r="L4346" s="676"/>
      <c r="M4346" s="3119">
        <v>102522</v>
      </c>
      <c r="N4346" s="305"/>
    </row>
    <row r="4347" spans="1:14" ht="30.6">
      <c r="A4347" s="683"/>
      <c r="B4347" s="3129" t="s">
        <v>326</v>
      </c>
      <c r="C4347" s="720" t="s">
        <v>321</v>
      </c>
      <c r="D4347" s="823" t="s">
        <v>1980</v>
      </c>
      <c r="E4347" s="840" t="s">
        <v>1938</v>
      </c>
      <c r="F4347" s="824">
        <v>7245</v>
      </c>
      <c r="G4347" s="800" t="s">
        <v>521</v>
      </c>
      <c r="H4347" s="706">
        <v>0</v>
      </c>
      <c r="I4347" s="706"/>
      <c r="J4347" s="1494" t="s">
        <v>1134</v>
      </c>
      <c r="K4347" s="802"/>
      <c r="L4347" s="687">
        <v>0</v>
      </c>
      <c r="M4347" s="687"/>
      <c r="N4347" s="305"/>
    </row>
    <row r="4348" spans="1:14" ht="20.399999999999999">
      <c r="A4348" s="663"/>
      <c r="B4348" s="3130" t="s">
        <v>326</v>
      </c>
      <c r="C4348" s="700" t="s">
        <v>321</v>
      </c>
      <c r="D4348" s="794" t="s">
        <v>1980</v>
      </c>
      <c r="E4348" s="839" t="s">
        <v>1938</v>
      </c>
      <c r="F4348" s="795">
        <v>7245</v>
      </c>
      <c r="G4348" s="750" t="s">
        <v>1317</v>
      </c>
      <c r="H4348" s="701"/>
      <c r="I4348" s="790"/>
      <c r="J4348" s="1494" t="s">
        <v>1134</v>
      </c>
      <c r="K4348" s="792"/>
      <c r="L4348" s="659"/>
      <c r="M4348" s="659"/>
      <c r="N4348" s="305"/>
    </row>
    <row r="4349" spans="1:14" ht="11.4" customHeight="1">
      <c r="A4349" s="683"/>
      <c r="B4349" s="3129" t="s">
        <v>772</v>
      </c>
      <c r="C4349" s="683" t="s">
        <v>322</v>
      </c>
      <c r="D4349" s="719" t="s">
        <v>1980</v>
      </c>
      <c r="E4349" s="720" t="s">
        <v>1957</v>
      </c>
      <c r="F4349" s="824">
        <v>2361</v>
      </c>
      <c r="G4349" s="800" t="s">
        <v>1434</v>
      </c>
      <c r="H4349" s="706">
        <v>400</v>
      </c>
      <c r="I4349" s="706"/>
      <c r="J4349" s="1654">
        <v>113.9</v>
      </c>
      <c r="K4349" s="802"/>
      <c r="L4349" s="706">
        <v>400</v>
      </c>
      <c r="M4349" s="706"/>
      <c r="N4349" s="305"/>
    </row>
    <row r="4350" spans="1:14" ht="30.6">
      <c r="A4350" s="663" t="s">
        <v>709</v>
      </c>
      <c r="B4350" s="3130" t="s">
        <v>772</v>
      </c>
      <c r="C4350" s="663" t="s">
        <v>320</v>
      </c>
      <c r="D4350" s="678" t="s">
        <v>1980</v>
      </c>
      <c r="E4350" s="700" t="s">
        <v>1957</v>
      </c>
      <c r="F4350" s="795">
        <v>2361</v>
      </c>
      <c r="G4350" s="750" t="s">
        <v>1874</v>
      </c>
      <c r="H4350" s="701"/>
      <c r="I4350" s="790">
        <v>400</v>
      </c>
      <c r="J4350" s="1654" t="s">
        <v>1134</v>
      </c>
      <c r="K4350" s="792"/>
      <c r="L4350" s="701"/>
      <c r="M4350" s="790">
        <v>400</v>
      </c>
      <c r="N4350" s="305"/>
    </row>
    <row r="4351" spans="1:14">
      <c r="A4351" s="683"/>
      <c r="B4351" s="3129" t="s">
        <v>773</v>
      </c>
      <c r="C4351" s="683" t="s">
        <v>322</v>
      </c>
      <c r="D4351" s="719" t="s">
        <v>1980</v>
      </c>
      <c r="E4351" s="720" t="s">
        <v>1957</v>
      </c>
      <c r="F4351" s="824">
        <v>2361</v>
      </c>
      <c r="G4351" s="800" t="s">
        <v>1434</v>
      </c>
      <c r="H4351" s="706"/>
      <c r="I4351" s="706"/>
      <c r="J4351" s="1654"/>
      <c r="K4351" s="802"/>
      <c r="L4351" s="706">
        <v>0</v>
      </c>
      <c r="M4351" s="706"/>
      <c r="N4351" s="305"/>
    </row>
    <row r="4352" spans="1:14">
      <c r="A4352" s="663"/>
      <c r="B4352" s="3130" t="s">
        <v>773</v>
      </c>
      <c r="C4352" s="663" t="s">
        <v>320</v>
      </c>
      <c r="D4352" s="678" t="s">
        <v>1980</v>
      </c>
      <c r="E4352" s="700" t="s">
        <v>1957</v>
      </c>
      <c r="F4352" s="795">
        <v>2361</v>
      </c>
      <c r="G4352" s="2283" t="s">
        <v>4407</v>
      </c>
      <c r="H4352" s="2284"/>
      <c r="I4352" s="2285"/>
      <c r="J4352" s="2170"/>
      <c r="K4352" s="2285"/>
      <c r="L4352" s="2311"/>
      <c r="M4352" s="2296">
        <v>0</v>
      </c>
      <c r="N4352" s="305"/>
    </row>
    <row r="4353" spans="1:14" ht="11.4" customHeight="1">
      <c r="A4353" s="2168"/>
      <c r="B4353" s="3130" t="s">
        <v>773</v>
      </c>
      <c r="C4353" s="663" t="s">
        <v>320</v>
      </c>
      <c r="D4353" s="678" t="s">
        <v>1980</v>
      </c>
      <c r="E4353" s="700" t="s">
        <v>1957</v>
      </c>
      <c r="F4353" s="795">
        <v>2361</v>
      </c>
      <c r="G4353" s="2283" t="s">
        <v>4408</v>
      </c>
      <c r="H4353" s="2284"/>
      <c r="I4353" s="2285"/>
      <c r="J4353" s="2170"/>
      <c r="K4353" s="2285"/>
      <c r="L4353" s="2311"/>
      <c r="M4353" s="2296">
        <v>0</v>
      </c>
      <c r="N4353" s="305"/>
    </row>
    <row r="4354" spans="1:14">
      <c r="A4354" s="2168"/>
      <c r="B4354" s="3130" t="s">
        <v>773</v>
      </c>
      <c r="C4354" s="663" t="s">
        <v>320</v>
      </c>
      <c r="D4354" s="678" t="s">
        <v>1980</v>
      </c>
      <c r="E4354" s="700" t="s">
        <v>1957</v>
      </c>
      <c r="F4354" s="795">
        <v>2361</v>
      </c>
      <c r="G4354" s="2283" t="s">
        <v>4409</v>
      </c>
      <c r="H4354" s="2284"/>
      <c r="I4354" s="2285"/>
      <c r="J4354" s="2170"/>
      <c r="K4354" s="2285"/>
      <c r="L4354" s="2311"/>
      <c r="M4354" s="2296">
        <v>0</v>
      </c>
      <c r="N4354" s="305"/>
    </row>
    <row r="4355" spans="1:14">
      <c r="A4355" s="2168"/>
      <c r="B4355" s="3130" t="s">
        <v>773</v>
      </c>
      <c r="C4355" s="663" t="s">
        <v>320</v>
      </c>
      <c r="D4355" s="678" t="s">
        <v>1980</v>
      </c>
      <c r="E4355" s="700" t="s">
        <v>1957</v>
      </c>
      <c r="F4355" s="795">
        <v>2361</v>
      </c>
      <c r="G4355" s="2283" t="s">
        <v>4410</v>
      </c>
      <c r="H4355" s="2284"/>
      <c r="I4355" s="2285"/>
      <c r="J4355" s="2170"/>
      <c r="K4355" s="2285"/>
      <c r="L4355" s="2311"/>
      <c r="M4355" s="2296">
        <v>0</v>
      </c>
      <c r="N4355" s="305"/>
    </row>
    <row r="4356" spans="1:14">
      <c r="A4356" s="2168"/>
      <c r="B4356" s="3130" t="s">
        <v>773</v>
      </c>
      <c r="C4356" s="663" t="s">
        <v>320</v>
      </c>
      <c r="D4356" s="678" t="s">
        <v>1980</v>
      </c>
      <c r="E4356" s="700" t="s">
        <v>1957</v>
      </c>
      <c r="F4356" s="795">
        <v>2361</v>
      </c>
      <c r="G4356" s="2283" t="s">
        <v>4411</v>
      </c>
      <c r="H4356" s="2284"/>
      <c r="I4356" s="2285"/>
      <c r="J4356" s="2170"/>
      <c r="K4356" s="2285"/>
      <c r="L4356" s="2311"/>
      <c r="M4356" s="2296">
        <v>0</v>
      </c>
      <c r="N4356" s="305"/>
    </row>
    <row r="4357" spans="1:14">
      <c r="A4357" s="2168"/>
      <c r="B4357" s="3130" t="s">
        <v>773</v>
      </c>
      <c r="C4357" s="663" t="s">
        <v>320</v>
      </c>
      <c r="D4357" s="678" t="s">
        <v>1980</v>
      </c>
      <c r="E4357" s="700" t="s">
        <v>1957</v>
      </c>
      <c r="F4357" s="795">
        <v>2361</v>
      </c>
      <c r="G4357" s="2283" t="s">
        <v>4412</v>
      </c>
      <c r="H4357" s="2284"/>
      <c r="I4357" s="2285"/>
      <c r="J4357" s="2170"/>
      <c r="K4357" s="2285"/>
      <c r="L4357" s="2311"/>
      <c r="M4357" s="2296">
        <v>0</v>
      </c>
      <c r="N4357" s="305"/>
    </row>
    <row r="4358" spans="1:14">
      <c r="A4358" s="2168"/>
      <c r="B4358" s="3130" t="s">
        <v>773</v>
      </c>
      <c r="C4358" s="663" t="s">
        <v>320</v>
      </c>
      <c r="D4358" s="678" t="s">
        <v>1980</v>
      </c>
      <c r="E4358" s="700" t="s">
        <v>1957</v>
      </c>
      <c r="F4358" s="795">
        <v>2361</v>
      </c>
      <c r="G4358" s="2283" t="s">
        <v>4413</v>
      </c>
      <c r="H4358" s="2284"/>
      <c r="I4358" s="2285"/>
      <c r="J4358" s="2170"/>
      <c r="K4358" s="2285"/>
      <c r="L4358" s="2311"/>
      <c r="M4358" s="2296">
        <v>0</v>
      </c>
      <c r="N4358" s="305"/>
    </row>
    <row r="4359" spans="1:14" ht="12" customHeight="1">
      <c r="A4359" s="2168"/>
      <c r="B4359" s="3130" t="s">
        <v>773</v>
      </c>
      <c r="C4359" s="663" t="s">
        <v>320</v>
      </c>
      <c r="D4359" s="678" t="s">
        <v>1980</v>
      </c>
      <c r="E4359" s="700" t="s">
        <v>1957</v>
      </c>
      <c r="F4359" s="795">
        <v>2361</v>
      </c>
      <c r="G4359" s="2283" t="s">
        <v>4414</v>
      </c>
      <c r="H4359" s="2284"/>
      <c r="I4359" s="2285"/>
      <c r="J4359" s="2170"/>
      <c r="K4359" s="2285"/>
      <c r="L4359" s="2311"/>
      <c r="M4359" s="2296">
        <v>0</v>
      </c>
      <c r="N4359" s="305"/>
    </row>
    <row r="4360" spans="1:14">
      <c r="A4360" s="683"/>
      <c r="B4360" s="3129" t="s">
        <v>772</v>
      </c>
      <c r="C4360" s="683" t="s">
        <v>322</v>
      </c>
      <c r="D4360" s="719" t="s">
        <v>1980</v>
      </c>
      <c r="E4360" s="720" t="s">
        <v>1957</v>
      </c>
      <c r="F4360" s="824">
        <v>2363</v>
      </c>
      <c r="G4360" s="800" t="s">
        <v>590</v>
      </c>
      <c r="H4360" s="706">
        <v>189515</v>
      </c>
      <c r="I4360" s="706"/>
      <c r="J4360" s="1654">
        <v>133858</v>
      </c>
      <c r="K4360" s="802"/>
      <c r="L4360" s="706">
        <v>185572</v>
      </c>
      <c r="M4360" s="706"/>
      <c r="N4360" s="305"/>
    </row>
    <row r="4361" spans="1:14" ht="20.399999999999999">
      <c r="A4361" s="663"/>
      <c r="B4361" s="3130" t="s">
        <v>772</v>
      </c>
      <c r="C4361" s="663" t="s">
        <v>322</v>
      </c>
      <c r="D4361" s="678" t="s">
        <v>1980</v>
      </c>
      <c r="E4361" s="700" t="s">
        <v>1957</v>
      </c>
      <c r="F4361" s="795">
        <v>2363</v>
      </c>
      <c r="G4361" s="2195" t="s">
        <v>5230</v>
      </c>
      <c r="H4361" s="701"/>
      <c r="I4361" s="790">
        <v>194515.19999999998</v>
      </c>
      <c r="J4361" s="1654" t="s">
        <v>1134</v>
      </c>
      <c r="K4361" s="792"/>
      <c r="L4361" s="701"/>
      <c r="M4361" s="790">
        <v>105280</v>
      </c>
      <c r="N4361" s="305"/>
    </row>
    <row r="4362" spans="1:14" ht="20.399999999999999">
      <c r="A4362" s="603"/>
      <c r="B4362" s="3130" t="s">
        <v>772</v>
      </c>
      <c r="C4362" s="663" t="s">
        <v>322</v>
      </c>
      <c r="D4362" s="678" t="s">
        <v>1980</v>
      </c>
      <c r="E4362" s="700" t="s">
        <v>1957</v>
      </c>
      <c r="F4362" s="795">
        <v>2363</v>
      </c>
      <c r="G4362" s="2195" t="s">
        <v>5231</v>
      </c>
      <c r="H4362" s="1165"/>
      <c r="I4362" s="2312">
        <v>-5000</v>
      </c>
      <c r="J4362" s="1654" t="s">
        <v>1134</v>
      </c>
      <c r="K4362" s="1439"/>
      <c r="L4362" s="1165"/>
      <c r="M4362" s="2312">
        <v>80292</v>
      </c>
      <c r="N4362" s="7"/>
    </row>
    <row r="4363" spans="1:14">
      <c r="A4363" s="683"/>
      <c r="B4363" s="3129" t="s">
        <v>773</v>
      </c>
      <c r="C4363" s="683" t="s">
        <v>322</v>
      </c>
      <c r="D4363" s="719" t="s">
        <v>1980</v>
      </c>
      <c r="E4363" s="720" t="s">
        <v>1957</v>
      </c>
      <c r="F4363" s="824">
        <v>2363</v>
      </c>
      <c r="G4363" s="800" t="s">
        <v>590</v>
      </c>
      <c r="H4363" s="706">
        <v>69530</v>
      </c>
      <c r="I4363" s="706"/>
      <c r="J4363" s="1654"/>
      <c r="K4363" s="802"/>
      <c r="L4363" s="706">
        <v>0</v>
      </c>
      <c r="M4363" s="706"/>
      <c r="N4363" s="7"/>
    </row>
    <row r="4364" spans="1:14" ht="51">
      <c r="A4364" s="663"/>
      <c r="B4364" s="3130" t="s">
        <v>773</v>
      </c>
      <c r="C4364" s="663" t="s">
        <v>322</v>
      </c>
      <c r="D4364" s="678" t="s">
        <v>1980</v>
      </c>
      <c r="E4364" s="700" t="s">
        <v>1957</v>
      </c>
      <c r="F4364" s="795">
        <v>2363</v>
      </c>
      <c r="G4364" s="750" t="s">
        <v>4133</v>
      </c>
      <c r="H4364" s="778"/>
      <c r="I4364" s="773">
        <v>69530</v>
      </c>
      <c r="J4364" s="1654" t="s">
        <v>1134</v>
      </c>
      <c r="K4364" s="784"/>
      <c r="L4364" s="778"/>
      <c r="M4364" s="790"/>
      <c r="N4364" s="305"/>
    </row>
    <row r="4365" spans="1:14">
      <c r="A4365" s="683"/>
      <c r="B4365" s="3129" t="s">
        <v>772</v>
      </c>
      <c r="C4365" s="683" t="s">
        <v>322</v>
      </c>
      <c r="D4365" s="719" t="s">
        <v>1980</v>
      </c>
      <c r="E4365" s="720" t="s">
        <v>1957</v>
      </c>
      <c r="F4365" s="824">
        <v>2370</v>
      </c>
      <c r="G4365" s="800" t="s">
        <v>627</v>
      </c>
      <c r="H4365" s="706">
        <v>58706</v>
      </c>
      <c r="I4365" s="706"/>
      <c r="J4365" s="1654">
        <v>36831</v>
      </c>
      <c r="K4365" s="802"/>
      <c r="L4365" s="706">
        <v>55651.75</v>
      </c>
      <c r="M4365" s="706"/>
      <c r="N4365" s="381"/>
    </row>
    <row r="4366" spans="1:14">
      <c r="A4366" s="663"/>
      <c r="B4366" s="3130" t="s">
        <v>772</v>
      </c>
      <c r="C4366" s="663" t="s">
        <v>322</v>
      </c>
      <c r="D4366" s="678" t="s">
        <v>1980</v>
      </c>
      <c r="E4366" s="700" t="s">
        <v>1957</v>
      </c>
      <c r="F4366" s="679">
        <v>2370</v>
      </c>
      <c r="G4366" s="665" t="s">
        <v>1563</v>
      </c>
      <c r="H4366" s="660"/>
      <c r="I4366" s="761">
        <v>380</v>
      </c>
      <c r="J4366" s="1494"/>
      <c r="K4366" s="667"/>
      <c r="L4366" s="659"/>
      <c r="M4366" s="761">
        <v>450</v>
      </c>
      <c r="N4366" s="306"/>
    </row>
    <row r="4367" spans="1:14">
      <c r="A4367" s="663"/>
      <c r="B4367" s="3130" t="s">
        <v>772</v>
      </c>
      <c r="C4367" s="663" t="s">
        <v>322</v>
      </c>
      <c r="D4367" s="678" t="s">
        <v>1980</v>
      </c>
      <c r="E4367" s="700" t="s">
        <v>1957</v>
      </c>
      <c r="F4367" s="679">
        <v>2370</v>
      </c>
      <c r="G4367" s="665" t="s">
        <v>1564</v>
      </c>
      <c r="H4367" s="660"/>
      <c r="I4367" s="761">
        <v>220</v>
      </c>
      <c r="J4367" s="1494" t="s">
        <v>1134</v>
      </c>
      <c r="K4367" s="667"/>
      <c r="L4367" s="659"/>
      <c r="M4367" s="761">
        <v>220</v>
      </c>
      <c r="N4367" s="306"/>
    </row>
    <row r="4368" spans="1:14" ht="20.399999999999999">
      <c r="A4368" s="663"/>
      <c r="B4368" s="3130" t="s">
        <v>772</v>
      </c>
      <c r="C4368" s="663" t="s">
        <v>322</v>
      </c>
      <c r="D4368" s="678" t="s">
        <v>1980</v>
      </c>
      <c r="E4368" s="700" t="s">
        <v>1957</v>
      </c>
      <c r="F4368" s="679">
        <v>2370</v>
      </c>
      <c r="G4368" s="665" t="s">
        <v>1565</v>
      </c>
      <c r="H4368" s="660"/>
      <c r="I4368" s="761">
        <v>6100</v>
      </c>
      <c r="J4368" s="1494" t="s">
        <v>1134</v>
      </c>
      <c r="K4368" s="667"/>
      <c r="L4368" s="659"/>
      <c r="M4368" s="761">
        <v>6100</v>
      </c>
      <c r="N4368" s="306"/>
    </row>
    <row r="4369" spans="1:14">
      <c r="A4369" s="663"/>
      <c r="B4369" s="3130" t="s">
        <v>772</v>
      </c>
      <c r="C4369" s="663" t="s">
        <v>322</v>
      </c>
      <c r="D4369" s="678" t="s">
        <v>1980</v>
      </c>
      <c r="E4369" s="700" t="s">
        <v>1957</v>
      </c>
      <c r="F4369" s="679">
        <v>2370</v>
      </c>
      <c r="G4369" s="665" t="s">
        <v>277</v>
      </c>
      <c r="H4369" s="660"/>
      <c r="I4369" s="761">
        <v>16500</v>
      </c>
      <c r="J4369" s="1494" t="s">
        <v>1134</v>
      </c>
      <c r="K4369" s="667"/>
      <c r="L4369" s="659"/>
      <c r="M4369" s="2824">
        <v>25000</v>
      </c>
      <c r="N4369" s="305"/>
    </row>
    <row r="4370" spans="1:14">
      <c r="A4370" s="663"/>
      <c r="B4370" s="3130" t="s">
        <v>772</v>
      </c>
      <c r="C4370" s="663" t="s">
        <v>322</v>
      </c>
      <c r="D4370" s="678" t="s">
        <v>1980</v>
      </c>
      <c r="E4370" s="700" t="s">
        <v>1957</v>
      </c>
      <c r="F4370" s="679">
        <v>2370</v>
      </c>
      <c r="G4370" s="665" t="s">
        <v>2402</v>
      </c>
      <c r="H4370" s="660"/>
      <c r="I4370" s="761">
        <v>12115</v>
      </c>
      <c r="J4370" s="1494" t="s">
        <v>1134</v>
      </c>
      <c r="K4370" s="667"/>
      <c r="L4370" s="659"/>
      <c r="M4370" s="761">
        <v>4935</v>
      </c>
      <c r="N4370" s="305"/>
    </row>
    <row r="4371" spans="1:14">
      <c r="A4371" s="663"/>
      <c r="B4371" s="3130" t="s">
        <v>772</v>
      </c>
      <c r="C4371" s="663" t="s">
        <v>322</v>
      </c>
      <c r="D4371" s="678" t="s">
        <v>1980</v>
      </c>
      <c r="E4371" s="700" t="s">
        <v>1957</v>
      </c>
      <c r="F4371" s="679">
        <v>2370</v>
      </c>
      <c r="G4371" s="665" t="s">
        <v>2403</v>
      </c>
      <c r="H4371" s="660"/>
      <c r="I4371" s="761">
        <v>5340</v>
      </c>
      <c r="J4371" s="1494" t="s">
        <v>1134</v>
      </c>
      <c r="K4371" s="667"/>
      <c r="L4371" s="659"/>
      <c r="M4371" s="761">
        <v>4855</v>
      </c>
      <c r="N4371" s="305"/>
    </row>
    <row r="4372" spans="1:14">
      <c r="A4372" s="663"/>
      <c r="B4372" s="3130" t="s">
        <v>772</v>
      </c>
      <c r="C4372" s="663" t="s">
        <v>322</v>
      </c>
      <c r="D4372" s="678" t="s">
        <v>1980</v>
      </c>
      <c r="E4372" s="700" t="s">
        <v>1957</v>
      </c>
      <c r="F4372" s="679">
        <v>2370</v>
      </c>
      <c r="G4372" s="665" t="s">
        <v>2404</v>
      </c>
      <c r="H4372" s="660"/>
      <c r="I4372" s="761">
        <v>3700</v>
      </c>
      <c r="J4372" s="1494" t="s">
        <v>1134</v>
      </c>
      <c r="K4372" s="667"/>
      <c r="L4372" s="659"/>
      <c r="M4372" s="761">
        <v>5330</v>
      </c>
      <c r="N4372" s="305"/>
    </row>
    <row r="4373" spans="1:14">
      <c r="A4373" s="663"/>
      <c r="B4373" s="3130" t="s">
        <v>772</v>
      </c>
      <c r="C4373" s="663" t="s">
        <v>322</v>
      </c>
      <c r="D4373" s="678" t="s">
        <v>1980</v>
      </c>
      <c r="E4373" s="700" t="s">
        <v>1957</v>
      </c>
      <c r="F4373" s="679">
        <v>2370</v>
      </c>
      <c r="G4373" s="665" t="s">
        <v>2405</v>
      </c>
      <c r="H4373" s="660"/>
      <c r="I4373" s="761">
        <v>10610</v>
      </c>
      <c r="J4373" s="1494" t="s">
        <v>1134</v>
      </c>
      <c r="K4373" s="667"/>
      <c r="L4373" s="659"/>
      <c r="M4373" s="761">
        <v>4870</v>
      </c>
      <c r="N4373" s="305"/>
    </row>
    <row r="4374" spans="1:14" ht="20.399999999999999">
      <c r="A4374" s="2168"/>
      <c r="B4374" s="3130" t="s">
        <v>772</v>
      </c>
      <c r="C4374" s="663" t="s">
        <v>322</v>
      </c>
      <c r="D4374" s="678" t="s">
        <v>1980</v>
      </c>
      <c r="E4374" s="700" t="s">
        <v>1957</v>
      </c>
      <c r="F4374" s="679">
        <v>2370</v>
      </c>
      <c r="G4374" s="2177" t="s">
        <v>4415</v>
      </c>
      <c r="H4374" s="2169"/>
      <c r="I4374" s="2301"/>
      <c r="J4374" s="2170"/>
      <c r="K4374" s="2302"/>
      <c r="L4374" s="2171"/>
      <c r="M4374" s="2303">
        <v>216.75</v>
      </c>
      <c r="N4374" s="305"/>
    </row>
    <row r="4375" spans="1:14" ht="20.399999999999999">
      <c r="A4375" s="2168"/>
      <c r="B4375" s="3130" t="s">
        <v>772</v>
      </c>
      <c r="C4375" s="663" t="s">
        <v>322</v>
      </c>
      <c r="D4375" s="678" t="s">
        <v>1980</v>
      </c>
      <c r="E4375" s="700" t="s">
        <v>1957</v>
      </c>
      <c r="F4375" s="679">
        <v>2370</v>
      </c>
      <c r="G4375" s="2177" t="s">
        <v>4416</v>
      </c>
      <c r="H4375" s="2169"/>
      <c r="I4375" s="2301"/>
      <c r="J4375" s="2170"/>
      <c r="K4375" s="2302"/>
      <c r="L4375" s="2171"/>
      <c r="M4375" s="2303">
        <v>330</v>
      </c>
      <c r="N4375" s="305"/>
    </row>
    <row r="4376" spans="1:14" ht="20.399999999999999">
      <c r="A4376" s="2168"/>
      <c r="B4376" s="3130" t="s">
        <v>772</v>
      </c>
      <c r="C4376" s="663" t="s">
        <v>322</v>
      </c>
      <c r="D4376" s="678" t="s">
        <v>1980</v>
      </c>
      <c r="E4376" s="700" t="s">
        <v>1957</v>
      </c>
      <c r="F4376" s="679">
        <v>2370</v>
      </c>
      <c r="G4376" s="2177" t="s">
        <v>4417</v>
      </c>
      <c r="H4376" s="2169"/>
      <c r="I4376" s="2301"/>
      <c r="J4376" s="2170"/>
      <c r="K4376" s="2302"/>
      <c r="L4376" s="2171"/>
      <c r="M4376" s="2303">
        <v>85</v>
      </c>
      <c r="N4376" s="305"/>
    </row>
    <row r="4377" spans="1:14" ht="20.399999999999999">
      <c r="A4377" s="2168"/>
      <c r="B4377" s="3130" t="s">
        <v>772</v>
      </c>
      <c r="C4377" s="663" t="s">
        <v>322</v>
      </c>
      <c r="D4377" s="678" t="s">
        <v>1980</v>
      </c>
      <c r="E4377" s="700" t="s">
        <v>1957</v>
      </c>
      <c r="F4377" s="679">
        <v>2370</v>
      </c>
      <c r="G4377" s="2177" t="s">
        <v>4418</v>
      </c>
      <c r="H4377" s="2169"/>
      <c r="I4377" s="2301"/>
      <c r="J4377" s="2170"/>
      <c r="K4377" s="2302"/>
      <c r="L4377" s="2171"/>
      <c r="M4377" s="2303">
        <v>290</v>
      </c>
      <c r="N4377" s="305"/>
    </row>
    <row r="4378" spans="1:14">
      <c r="A4378" s="2168"/>
      <c r="B4378" s="3130" t="s">
        <v>772</v>
      </c>
      <c r="C4378" s="663" t="s">
        <v>322</v>
      </c>
      <c r="D4378" s="678" t="s">
        <v>1980</v>
      </c>
      <c r="E4378" s="700" t="s">
        <v>1957</v>
      </c>
      <c r="F4378" s="679">
        <v>2370</v>
      </c>
      <c r="G4378" s="2177" t="s">
        <v>4419</v>
      </c>
      <c r="H4378" s="2169"/>
      <c r="I4378" s="2301"/>
      <c r="J4378" s="2170"/>
      <c r="K4378" s="2302"/>
      <c r="L4378" s="2171"/>
      <c r="M4378" s="2303">
        <v>400</v>
      </c>
      <c r="N4378" s="305" t="s">
        <v>4661</v>
      </c>
    </row>
    <row r="4379" spans="1:14" ht="20.399999999999999">
      <c r="A4379" s="2168"/>
      <c r="B4379" s="3130" t="s">
        <v>772</v>
      </c>
      <c r="C4379" s="663" t="s">
        <v>322</v>
      </c>
      <c r="D4379" s="678" t="s">
        <v>1980</v>
      </c>
      <c r="E4379" s="700" t="s">
        <v>1957</v>
      </c>
      <c r="F4379" s="679">
        <v>2370</v>
      </c>
      <c r="G4379" s="2177" t="s">
        <v>4420</v>
      </c>
      <c r="H4379" s="2169"/>
      <c r="I4379" s="2301"/>
      <c r="J4379" s="2170"/>
      <c r="K4379" s="2302"/>
      <c r="L4379" s="2171"/>
      <c r="M4379" s="2303">
        <v>25</v>
      </c>
      <c r="N4379" s="305" t="s">
        <v>4662</v>
      </c>
    </row>
    <row r="4380" spans="1:14">
      <c r="A4380" s="2168"/>
      <c r="B4380" s="3130" t="s">
        <v>772</v>
      </c>
      <c r="C4380" s="663" t="s">
        <v>322</v>
      </c>
      <c r="D4380" s="678" t="s">
        <v>1980</v>
      </c>
      <c r="E4380" s="700" t="s">
        <v>1957</v>
      </c>
      <c r="F4380" s="679">
        <v>2370</v>
      </c>
      <c r="G4380" s="2177" t="s">
        <v>4421</v>
      </c>
      <c r="H4380" s="2169"/>
      <c r="I4380" s="2301"/>
      <c r="J4380" s="2170"/>
      <c r="K4380" s="2302"/>
      <c r="L4380" s="2171"/>
      <c r="M4380" s="2303">
        <v>340</v>
      </c>
      <c r="N4380" s="305"/>
    </row>
    <row r="4381" spans="1:14">
      <c r="A4381" s="2168"/>
      <c r="B4381" s="3130" t="s">
        <v>772</v>
      </c>
      <c r="C4381" s="663" t="s">
        <v>322</v>
      </c>
      <c r="D4381" s="678" t="s">
        <v>1980</v>
      </c>
      <c r="E4381" s="700" t="s">
        <v>1957</v>
      </c>
      <c r="F4381" s="679">
        <v>2370</v>
      </c>
      <c r="G4381" s="2177" t="s">
        <v>4422</v>
      </c>
      <c r="H4381" s="2169"/>
      <c r="I4381" s="2301"/>
      <c r="J4381" s="2170"/>
      <c r="K4381" s="2302"/>
      <c r="L4381" s="2171"/>
      <c r="M4381" s="2303">
        <v>325</v>
      </c>
      <c r="N4381" s="305"/>
    </row>
    <row r="4382" spans="1:14">
      <c r="A4382" s="2168"/>
      <c r="B4382" s="3130" t="s">
        <v>772</v>
      </c>
      <c r="C4382" s="663" t="s">
        <v>322</v>
      </c>
      <c r="D4382" s="678" t="s">
        <v>1980</v>
      </c>
      <c r="E4382" s="700" t="s">
        <v>1957</v>
      </c>
      <c r="F4382" s="679">
        <v>2370</v>
      </c>
      <c r="G4382" s="2177" t="s">
        <v>4423</v>
      </c>
      <c r="H4382" s="2169"/>
      <c r="I4382" s="2301"/>
      <c r="J4382" s="2170"/>
      <c r="K4382" s="2302"/>
      <c r="L4382" s="2171"/>
      <c r="M4382" s="2303">
        <v>90</v>
      </c>
      <c r="N4382" s="305" t="s">
        <v>2093</v>
      </c>
    </row>
    <row r="4383" spans="1:14">
      <c r="A4383" s="2168"/>
      <c r="B4383" s="3130" t="s">
        <v>772</v>
      </c>
      <c r="C4383" s="663" t="s">
        <v>322</v>
      </c>
      <c r="D4383" s="678" t="s">
        <v>1980</v>
      </c>
      <c r="E4383" s="700" t="s">
        <v>1957</v>
      </c>
      <c r="F4383" s="679">
        <v>2370</v>
      </c>
      <c r="G4383" s="2177" t="s">
        <v>4424</v>
      </c>
      <c r="H4383" s="2169"/>
      <c r="I4383" s="2301"/>
      <c r="J4383" s="2170"/>
      <c r="K4383" s="2302"/>
      <c r="L4383" s="2171"/>
      <c r="M4383" s="2303">
        <v>95</v>
      </c>
      <c r="N4383" s="125"/>
    </row>
    <row r="4384" spans="1:14">
      <c r="A4384" s="2168"/>
      <c r="B4384" s="3130" t="s">
        <v>772</v>
      </c>
      <c r="C4384" s="663" t="s">
        <v>322</v>
      </c>
      <c r="D4384" s="678" t="s">
        <v>1980</v>
      </c>
      <c r="E4384" s="700" t="s">
        <v>1957</v>
      </c>
      <c r="F4384" s="679">
        <v>2370</v>
      </c>
      <c r="G4384" s="2177" t="s">
        <v>4425</v>
      </c>
      <c r="H4384" s="2169"/>
      <c r="I4384" s="2301"/>
      <c r="J4384" s="2170"/>
      <c r="K4384" s="2302"/>
      <c r="L4384" s="2171"/>
      <c r="M4384" s="2303">
        <v>95</v>
      </c>
      <c r="N4384" s="16"/>
    </row>
    <row r="4385" spans="1:14">
      <c r="A4385" s="2168"/>
      <c r="B4385" s="3130" t="s">
        <v>772</v>
      </c>
      <c r="C4385" s="663" t="s">
        <v>322</v>
      </c>
      <c r="D4385" s="678" t="s">
        <v>1980</v>
      </c>
      <c r="E4385" s="700" t="s">
        <v>1957</v>
      </c>
      <c r="F4385" s="679">
        <v>2370</v>
      </c>
      <c r="G4385" s="2177" t="s">
        <v>4426</v>
      </c>
      <c r="H4385" s="2169"/>
      <c r="I4385" s="2301"/>
      <c r="J4385" s="2170"/>
      <c r="K4385" s="2302"/>
      <c r="L4385" s="2171"/>
      <c r="M4385" s="2303">
        <v>1600</v>
      </c>
      <c r="N4385" s="16" t="s">
        <v>4663</v>
      </c>
    </row>
    <row r="4386" spans="1:14">
      <c r="A4386" s="663"/>
      <c r="B4386" s="3130" t="s">
        <v>772</v>
      </c>
      <c r="C4386" s="663" t="s">
        <v>322</v>
      </c>
      <c r="D4386" s="678" t="s">
        <v>1980</v>
      </c>
      <c r="E4386" s="700" t="s">
        <v>1957</v>
      </c>
      <c r="F4386" s="795">
        <v>2370</v>
      </c>
      <c r="G4386" s="750" t="s">
        <v>2406</v>
      </c>
      <c r="H4386" s="701"/>
      <c r="I4386" s="790">
        <v>575</v>
      </c>
      <c r="J4386" s="1654" t="s">
        <v>1134</v>
      </c>
      <c r="K4386" s="792"/>
      <c r="L4386" s="701"/>
      <c r="M4386" s="790"/>
      <c r="N4386" s="263" t="s">
        <v>4664</v>
      </c>
    </row>
    <row r="4387" spans="1:14">
      <c r="A4387" s="663"/>
      <c r="B4387" s="3130" t="s">
        <v>772</v>
      </c>
      <c r="C4387" s="663" t="s">
        <v>322</v>
      </c>
      <c r="D4387" s="678" t="s">
        <v>1980</v>
      </c>
      <c r="E4387" s="700" t="s">
        <v>1957</v>
      </c>
      <c r="F4387" s="795">
        <v>2370</v>
      </c>
      <c r="G4387" s="750" t="s">
        <v>2407</v>
      </c>
      <c r="H4387" s="701"/>
      <c r="I4387" s="790">
        <v>1100</v>
      </c>
      <c r="J4387" s="1654" t="s">
        <v>1134</v>
      </c>
      <c r="K4387" s="792"/>
      <c r="L4387" s="701"/>
      <c r="M4387" s="790"/>
      <c r="N4387" s="16"/>
    </row>
    <row r="4388" spans="1:14" ht="20.399999999999999">
      <c r="A4388" s="663"/>
      <c r="B4388" s="3130" t="s">
        <v>772</v>
      </c>
      <c r="C4388" s="663" t="s">
        <v>322</v>
      </c>
      <c r="D4388" s="678" t="s">
        <v>1980</v>
      </c>
      <c r="E4388" s="700" t="s">
        <v>1957</v>
      </c>
      <c r="F4388" s="795">
        <v>2370</v>
      </c>
      <c r="G4388" s="750" t="s">
        <v>2408</v>
      </c>
      <c r="H4388" s="701"/>
      <c r="I4388" s="790">
        <v>136</v>
      </c>
      <c r="J4388" s="1654" t="s">
        <v>1134</v>
      </c>
      <c r="K4388" s="792"/>
      <c r="L4388" s="701"/>
      <c r="M4388" s="790"/>
      <c r="N4388" s="263"/>
    </row>
    <row r="4389" spans="1:14" ht="34.200000000000003">
      <c r="A4389" s="663"/>
      <c r="B4389" s="3130" t="s">
        <v>772</v>
      </c>
      <c r="C4389" s="663" t="s">
        <v>322</v>
      </c>
      <c r="D4389" s="678" t="s">
        <v>1980</v>
      </c>
      <c r="E4389" s="700" t="s">
        <v>1957</v>
      </c>
      <c r="F4389" s="795">
        <v>2370</v>
      </c>
      <c r="G4389" s="750" t="s">
        <v>2409</v>
      </c>
      <c r="H4389" s="701"/>
      <c r="I4389" s="790">
        <v>20</v>
      </c>
      <c r="J4389" s="1654" t="s">
        <v>1134</v>
      </c>
      <c r="K4389" s="792"/>
      <c r="L4389" s="701"/>
      <c r="M4389" s="790"/>
      <c r="N4389" s="263" t="s">
        <v>4665</v>
      </c>
    </row>
    <row r="4390" spans="1:14" ht="20.399999999999999">
      <c r="A4390" s="663"/>
      <c r="B4390" s="3130" t="s">
        <v>772</v>
      </c>
      <c r="C4390" s="663" t="s">
        <v>322</v>
      </c>
      <c r="D4390" s="678" t="s">
        <v>1980</v>
      </c>
      <c r="E4390" s="700" t="s">
        <v>1957</v>
      </c>
      <c r="F4390" s="795">
        <v>2370</v>
      </c>
      <c r="G4390" s="750" t="s">
        <v>2410</v>
      </c>
      <c r="H4390" s="701"/>
      <c r="I4390" s="790">
        <v>420</v>
      </c>
      <c r="J4390" s="1654" t="s">
        <v>1134</v>
      </c>
      <c r="K4390" s="792"/>
      <c r="L4390" s="701"/>
      <c r="M4390" s="790"/>
      <c r="N4390" s="69"/>
    </row>
    <row r="4391" spans="1:14">
      <c r="A4391" s="663"/>
      <c r="B4391" s="3130" t="s">
        <v>772</v>
      </c>
      <c r="C4391" s="663" t="s">
        <v>322</v>
      </c>
      <c r="D4391" s="678" t="s">
        <v>1980</v>
      </c>
      <c r="E4391" s="700" t="s">
        <v>1957</v>
      </c>
      <c r="F4391" s="795">
        <v>2370</v>
      </c>
      <c r="G4391" s="750" t="s">
        <v>2411</v>
      </c>
      <c r="H4391" s="701"/>
      <c r="I4391" s="790">
        <v>405</v>
      </c>
      <c r="J4391" s="1654" t="s">
        <v>1134</v>
      </c>
      <c r="K4391" s="792"/>
      <c r="L4391" s="701"/>
      <c r="M4391" s="790"/>
      <c r="N4391" s="177" t="s">
        <v>4903</v>
      </c>
    </row>
    <row r="4392" spans="1:14" ht="20.399999999999999">
      <c r="A4392" s="663"/>
      <c r="B4392" s="3130" t="s">
        <v>772</v>
      </c>
      <c r="C4392" s="663" t="s">
        <v>322</v>
      </c>
      <c r="D4392" s="678" t="s">
        <v>1980</v>
      </c>
      <c r="E4392" s="700" t="s">
        <v>1957</v>
      </c>
      <c r="F4392" s="795">
        <v>2370</v>
      </c>
      <c r="G4392" s="750" t="s">
        <v>2412</v>
      </c>
      <c r="H4392" s="701"/>
      <c r="I4392" s="790">
        <v>70</v>
      </c>
      <c r="J4392" s="1654" t="s">
        <v>1134</v>
      </c>
      <c r="K4392" s="792"/>
      <c r="L4392" s="701"/>
      <c r="M4392" s="790"/>
      <c r="N4392" s="177" t="s">
        <v>4903</v>
      </c>
    </row>
    <row r="4393" spans="1:14" ht="20.399999999999999">
      <c r="A4393" s="663"/>
      <c r="B4393" s="3130" t="s">
        <v>772</v>
      </c>
      <c r="C4393" s="663" t="s">
        <v>322</v>
      </c>
      <c r="D4393" s="678" t="s">
        <v>1980</v>
      </c>
      <c r="E4393" s="700" t="s">
        <v>1957</v>
      </c>
      <c r="F4393" s="795">
        <v>2370</v>
      </c>
      <c r="G4393" s="750" t="s">
        <v>2413</v>
      </c>
      <c r="H4393" s="701"/>
      <c r="I4393" s="790">
        <v>800</v>
      </c>
      <c r="J4393" s="1654" t="s">
        <v>1134</v>
      </c>
      <c r="K4393" s="792"/>
      <c r="L4393" s="701"/>
      <c r="M4393" s="790"/>
      <c r="N4393" s="7"/>
    </row>
    <row r="4394" spans="1:14">
      <c r="A4394" s="663"/>
      <c r="B4394" s="3130" t="s">
        <v>772</v>
      </c>
      <c r="C4394" s="663" t="s">
        <v>322</v>
      </c>
      <c r="D4394" s="678" t="s">
        <v>1980</v>
      </c>
      <c r="E4394" s="700" t="s">
        <v>1957</v>
      </c>
      <c r="F4394" s="795">
        <v>2370</v>
      </c>
      <c r="G4394" s="750" t="s">
        <v>2414</v>
      </c>
      <c r="H4394" s="701"/>
      <c r="I4394" s="790">
        <v>215</v>
      </c>
      <c r="J4394" s="1654" t="s">
        <v>1134</v>
      </c>
      <c r="K4394" s="792"/>
      <c r="L4394" s="701"/>
      <c r="M4394" s="790"/>
      <c r="N4394" s="1223"/>
    </row>
    <row r="4395" spans="1:14">
      <c r="A4395" s="683"/>
      <c r="B4395" s="3129" t="s">
        <v>772</v>
      </c>
      <c r="C4395" s="683" t="s">
        <v>419</v>
      </c>
      <c r="D4395" s="719" t="s">
        <v>1980</v>
      </c>
      <c r="E4395" s="720" t="s">
        <v>1957</v>
      </c>
      <c r="F4395" s="824">
        <v>2390</v>
      </c>
      <c r="G4395" s="800" t="s">
        <v>135</v>
      </c>
      <c r="H4395" s="706">
        <v>1500</v>
      </c>
      <c r="I4395" s="706"/>
      <c r="J4395" s="1654">
        <v>939.04</v>
      </c>
      <c r="K4395" s="802"/>
      <c r="L4395" s="706">
        <v>1500</v>
      </c>
      <c r="M4395" s="706"/>
      <c r="N4395" s="1223"/>
    </row>
    <row r="4396" spans="1:14">
      <c r="A4396" s="663"/>
      <c r="B4396" s="3130" t="s">
        <v>772</v>
      </c>
      <c r="C4396" s="663" t="s">
        <v>419</v>
      </c>
      <c r="D4396" s="678" t="s">
        <v>1980</v>
      </c>
      <c r="E4396" s="700" t="s">
        <v>1957</v>
      </c>
      <c r="F4396" s="795">
        <v>2390</v>
      </c>
      <c r="G4396" s="750" t="s">
        <v>278</v>
      </c>
      <c r="H4396" s="701"/>
      <c r="I4396" s="790">
        <v>1500</v>
      </c>
      <c r="J4396" s="1654" t="s">
        <v>1134</v>
      </c>
      <c r="K4396" s="792"/>
      <c r="L4396" s="701"/>
      <c r="M4396" s="790">
        <v>1500</v>
      </c>
      <c r="N4396" s="1223"/>
    </row>
    <row r="4397" spans="1:14" ht="20.399999999999999">
      <c r="A4397" s="683"/>
      <c r="B4397" s="3129" t="s">
        <v>772</v>
      </c>
      <c r="C4397" s="683" t="s">
        <v>419</v>
      </c>
      <c r="D4397" s="719" t="s">
        <v>1980</v>
      </c>
      <c r="E4397" s="720" t="s">
        <v>1957</v>
      </c>
      <c r="F4397" s="824">
        <v>2512</v>
      </c>
      <c r="G4397" s="800" t="s">
        <v>779</v>
      </c>
      <c r="H4397" s="706">
        <v>7000</v>
      </c>
      <c r="I4397" s="706"/>
      <c r="J4397" s="1654">
        <v>6505</v>
      </c>
      <c r="K4397" s="802"/>
      <c r="L4397" s="706">
        <v>7810</v>
      </c>
      <c r="M4397" s="706"/>
      <c r="N4397" s="1223"/>
    </row>
    <row r="4398" spans="1:14">
      <c r="A4398" s="663"/>
      <c r="B4398" s="3130" t="s">
        <v>772</v>
      </c>
      <c r="C4398" s="663" t="s">
        <v>419</v>
      </c>
      <c r="D4398" s="678" t="s">
        <v>1980</v>
      </c>
      <c r="E4398" s="700" t="s">
        <v>1957</v>
      </c>
      <c r="F4398" s="795">
        <v>2512</v>
      </c>
      <c r="G4398" s="750" t="s">
        <v>4428</v>
      </c>
      <c r="H4398" s="701"/>
      <c r="I4398" s="790">
        <v>2000</v>
      </c>
      <c r="J4398" s="1654" t="s">
        <v>1134</v>
      </c>
      <c r="K4398" s="792"/>
      <c r="L4398" s="701"/>
      <c r="M4398" s="790">
        <v>7810</v>
      </c>
      <c r="N4398" s="1223"/>
    </row>
    <row r="4399" spans="1:14" ht="20.399999999999999">
      <c r="A4399" s="1495"/>
      <c r="B4399" s="3130" t="s">
        <v>772</v>
      </c>
      <c r="C4399" s="663" t="s">
        <v>419</v>
      </c>
      <c r="D4399" s="678" t="s">
        <v>1980</v>
      </c>
      <c r="E4399" s="700" t="s">
        <v>1957</v>
      </c>
      <c r="F4399" s="795">
        <v>2512</v>
      </c>
      <c r="G4399" s="1569" t="s">
        <v>3433</v>
      </c>
      <c r="H4399" s="1557"/>
      <c r="I4399" s="2160">
        <v>2000</v>
      </c>
      <c r="J4399" s="1557"/>
      <c r="K4399" s="1563"/>
      <c r="L4399" s="1557"/>
      <c r="M4399" s="1557"/>
      <c r="N4399" s="1223"/>
    </row>
    <row r="4400" spans="1:14" ht="20.399999999999999">
      <c r="A4400" s="1495"/>
      <c r="B4400" s="3130" t="s">
        <v>772</v>
      </c>
      <c r="C4400" s="663" t="s">
        <v>419</v>
      </c>
      <c r="D4400" s="678" t="s">
        <v>1980</v>
      </c>
      <c r="E4400" s="700" t="s">
        <v>1957</v>
      </c>
      <c r="F4400" s="795">
        <v>2512</v>
      </c>
      <c r="G4400" s="1569" t="s">
        <v>4500</v>
      </c>
      <c r="H4400" s="1557"/>
      <c r="I4400" s="2160">
        <v>2000</v>
      </c>
      <c r="J4400" s="1557"/>
      <c r="K4400" s="1563"/>
      <c r="L4400" s="1557"/>
      <c r="M4400" s="1557"/>
      <c r="N4400" s="1056" t="s">
        <v>2573</v>
      </c>
    </row>
    <row r="4401" spans="1:14" ht="40.799999999999997">
      <c r="A4401" s="1669"/>
      <c r="B4401" s="3130" t="s">
        <v>772</v>
      </c>
      <c r="C4401" s="663" t="s">
        <v>419</v>
      </c>
      <c r="D4401" s="678" t="s">
        <v>1980</v>
      </c>
      <c r="E4401" s="700" t="s">
        <v>1957</v>
      </c>
      <c r="F4401" s="795">
        <v>2512</v>
      </c>
      <c r="G4401" s="1703" t="s">
        <v>4132</v>
      </c>
      <c r="H4401" s="1672"/>
      <c r="I4401" s="2314">
        <v>1000</v>
      </c>
      <c r="J4401" s="1672"/>
      <c r="K4401" s="1688"/>
      <c r="L4401" s="1672"/>
      <c r="M4401" s="1672"/>
      <c r="N4401" s="1224" t="s">
        <v>4666</v>
      </c>
    </row>
    <row r="4402" spans="1:14" ht="30.6">
      <c r="A4402" s="683"/>
      <c r="B4402" s="3129" t="s">
        <v>772</v>
      </c>
      <c r="C4402" s="683" t="s">
        <v>419</v>
      </c>
      <c r="D4402" s="719" t="s">
        <v>1980</v>
      </c>
      <c r="E4402" s="720" t="s">
        <v>1957</v>
      </c>
      <c r="F4402" s="824">
        <v>5233</v>
      </c>
      <c r="G4402" s="800" t="s">
        <v>704</v>
      </c>
      <c r="H4402" s="706">
        <v>1500</v>
      </c>
      <c r="I4402" s="706"/>
      <c r="J4402" s="1654">
        <v>1380</v>
      </c>
      <c r="K4402" s="802"/>
      <c r="L4402" s="706">
        <v>1500</v>
      </c>
      <c r="M4402" s="706"/>
      <c r="N4402" s="1224" t="s">
        <v>4667</v>
      </c>
    </row>
    <row r="4403" spans="1:14" ht="20.399999999999999">
      <c r="A4403" s="663"/>
      <c r="B4403" s="3130" t="s">
        <v>772</v>
      </c>
      <c r="C4403" s="663" t="s">
        <v>419</v>
      </c>
      <c r="D4403" s="678" t="s">
        <v>1980</v>
      </c>
      <c r="E4403" s="700" t="s">
        <v>1957</v>
      </c>
      <c r="F4403" s="795">
        <v>5233</v>
      </c>
      <c r="G4403" s="750" t="s">
        <v>1010</v>
      </c>
      <c r="H4403" s="701"/>
      <c r="I4403" s="790">
        <v>500</v>
      </c>
      <c r="J4403" s="1654"/>
      <c r="K4403" s="792"/>
      <c r="L4403" s="701"/>
      <c r="M4403" s="790">
        <v>500</v>
      </c>
      <c r="N4403" s="1224" t="s">
        <v>4668</v>
      </c>
    </row>
    <row r="4404" spans="1:14">
      <c r="A4404" s="663"/>
      <c r="B4404" s="3130" t="s">
        <v>772</v>
      </c>
      <c r="C4404" s="663" t="s">
        <v>419</v>
      </c>
      <c r="D4404" s="678" t="s">
        <v>1980</v>
      </c>
      <c r="E4404" s="700" t="s">
        <v>1957</v>
      </c>
      <c r="F4404" s="795">
        <v>5233</v>
      </c>
      <c r="G4404" s="750" t="s">
        <v>1567</v>
      </c>
      <c r="H4404" s="701"/>
      <c r="I4404" s="790">
        <v>1000</v>
      </c>
      <c r="J4404" s="1654" t="s">
        <v>1134</v>
      </c>
      <c r="K4404" s="792"/>
      <c r="L4404" s="701"/>
      <c r="M4404" s="790">
        <v>1000</v>
      </c>
      <c r="N4404" s="305"/>
    </row>
    <row r="4405" spans="1:14">
      <c r="A4405" s="683"/>
      <c r="B4405" s="3129" t="s">
        <v>774</v>
      </c>
      <c r="C4405" s="683" t="s">
        <v>419</v>
      </c>
      <c r="D4405" s="719" t="s">
        <v>1980</v>
      </c>
      <c r="E4405" s="720" t="s">
        <v>1957</v>
      </c>
      <c r="F4405" s="824">
        <v>5238</v>
      </c>
      <c r="G4405" s="800" t="s">
        <v>139</v>
      </c>
      <c r="H4405" s="706">
        <v>12803</v>
      </c>
      <c r="I4405" s="706"/>
      <c r="J4405" s="1654">
        <v>10115.6</v>
      </c>
      <c r="K4405" s="802"/>
      <c r="L4405" s="706">
        <v>3800</v>
      </c>
      <c r="M4405" s="706"/>
      <c r="N4405" s="305"/>
    </row>
    <row r="4406" spans="1:14" ht="20.399999999999999">
      <c r="A4406" s="663"/>
      <c r="B4406" s="3130" t="s">
        <v>774</v>
      </c>
      <c r="C4406" s="663" t="s">
        <v>419</v>
      </c>
      <c r="D4406" s="678" t="s">
        <v>1980</v>
      </c>
      <c r="E4406" s="700" t="s">
        <v>1957</v>
      </c>
      <c r="F4406" s="795">
        <v>5238</v>
      </c>
      <c r="G4406" s="750" t="s">
        <v>4429</v>
      </c>
      <c r="H4406" s="701"/>
      <c r="I4406" s="790">
        <v>5000</v>
      </c>
      <c r="J4406" s="1654" t="s">
        <v>1134</v>
      </c>
      <c r="K4406" s="792"/>
      <c r="L4406" s="701"/>
      <c r="M4406" s="701"/>
      <c r="N4406" s="1056" t="s">
        <v>2573</v>
      </c>
    </row>
    <row r="4407" spans="1:14" ht="20.399999999999999">
      <c r="A4407" s="663"/>
      <c r="B4407" s="3130" t="s">
        <v>774</v>
      </c>
      <c r="C4407" s="663" t="s">
        <v>419</v>
      </c>
      <c r="D4407" s="678" t="s">
        <v>1980</v>
      </c>
      <c r="E4407" s="700" t="s">
        <v>1957</v>
      </c>
      <c r="F4407" s="795">
        <v>5238</v>
      </c>
      <c r="G4407" s="2605" t="s">
        <v>4920</v>
      </c>
      <c r="H4407" s="701"/>
      <c r="I4407" s="790"/>
      <c r="J4407" s="1654" t="s">
        <v>1134</v>
      </c>
      <c r="K4407" s="792"/>
      <c r="L4407" s="701"/>
      <c r="M4407" s="701">
        <v>3800</v>
      </c>
      <c r="N4407" s="305"/>
    </row>
    <row r="4408" spans="1:14" ht="20.399999999999999">
      <c r="A4408" s="663"/>
      <c r="B4408" s="3130" t="s">
        <v>774</v>
      </c>
      <c r="C4408" s="663" t="s">
        <v>419</v>
      </c>
      <c r="D4408" s="678" t="s">
        <v>1980</v>
      </c>
      <c r="E4408" s="700" t="s">
        <v>1957</v>
      </c>
      <c r="F4408" s="795">
        <v>5238</v>
      </c>
      <c r="G4408" s="750" t="s">
        <v>2415</v>
      </c>
      <c r="H4408" s="701"/>
      <c r="I4408" s="790">
        <v>4356</v>
      </c>
      <c r="J4408" s="1654" t="s">
        <v>1134</v>
      </c>
      <c r="K4408" s="792"/>
      <c r="L4408" s="701"/>
      <c r="M4408" s="701"/>
      <c r="N4408" s="305"/>
    </row>
    <row r="4409" spans="1:14" ht="20.399999999999999">
      <c r="A4409" s="663"/>
      <c r="B4409" s="3130" t="s">
        <v>774</v>
      </c>
      <c r="C4409" s="663" t="s">
        <v>419</v>
      </c>
      <c r="D4409" s="678" t="s">
        <v>1980</v>
      </c>
      <c r="E4409" s="700" t="s">
        <v>1957</v>
      </c>
      <c r="F4409" s="795">
        <v>5238</v>
      </c>
      <c r="G4409" s="1330" t="s">
        <v>2960</v>
      </c>
      <c r="H4409" s="1398"/>
      <c r="I4409" s="1399">
        <v>847</v>
      </c>
      <c r="J4409" s="1654" t="s">
        <v>1134</v>
      </c>
      <c r="K4409" s="1400"/>
      <c r="L4409" s="1398"/>
      <c r="M4409" s="2315"/>
      <c r="N4409" s="305"/>
    </row>
    <row r="4410" spans="1:14" ht="30.6">
      <c r="A4410" s="663"/>
      <c r="B4410" s="3130" t="s">
        <v>774</v>
      </c>
      <c r="C4410" s="663" t="s">
        <v>419</v>
      </c>
      <c r="D4410" s="678" t="s">
        <v>1980</v>
      </c>
      <c r="E4410" s="700" t="s">
        <v>1957</v>
      </c>
      <c r="F4410" s="795">
        <v>5238</v>
      </c>
      <c r="G4410" s="750" t="s">
        <v>3470</v>
      </c>
      <c r="H4410" s="701"/>
      <c r="I4410" s="790">
        <v>2600</v>
      </c>
      <c r="J4410" s="1654" t="s">
        <v>1134</v>
      </c>
      <c r="K4410" s="792"/>
      <c r="L4410" s="701"/>
      <c r="M4410" s="790"/>
      <c r="N4410" s="305"/>
    </row>
    <row r="4411" spans="1:14">
      <c r="A4411" s="683"/>
      <c r="B4411" s="3129" t="s">
        <v>773</v>
      </c>
      <c r="C4411" s="683" t="s">
        <v>419</v>
      </c>
      <c r="D4411" s="719" t="s">
        <v>1980</v>
      </c>
      <c r="E4411" s="720" t="s">
        <v>1957</v>
      </c>
      <c r="F4411" s="824">
        <v>5238</v>
      </c>
      <c r="G4411" s="800" t="s">
        <v>139</v>
      </c>
      <c r="H4411" s="706"/>
      <c r="I4411" s="706"/>
      <c r="J4411" s="1654"/>
      <c r="K4411" s="802"/>
      <c r="L4411" s="706">
        <v>5700</v>
      </c>
      <c r="M4411" s="706"/>
      <c r="N4411" s="305"/>
    </row>
    <row r="4412" spans="1:14" ht="20.399999999999999">
      <c r="A4412" s="663"/>
      <c r="B4412" s="3130" t="s">
        <v>773</v>
      </c>
      <c r="C4412" s="663" t="s">
        <v>419</v>
      </c>
      <c r="D4412" s="678" t="s">
        <v>1980</v>
      </c>
      <c r="E4412" s="700" t="s">
        <v>1957</v>
      </c>
      <c r="F4412" s="2316">
        <v>5238</v>
      </c>
      <c r="G4412" s="2811" t="s">
        <v>4919</v>
      </c>
      <c r="H4412" s="2317"/>
      <c r="I4412" s="2318"/>
      <c r="J4412" s="2170"/>
      <c r="K4412" s="2317"/>
      <c r="L4412" s="2319"/>
      <c r="M4412" s="2826">
        <v>5700</v>
      </c>
      <c r="N4412" s="305"/>
    </row>
    <row r="4413" spans="1:14" ht="20.399999999999999">
      <c r="A4413" s="683"/>
      <c r="B4413" s="3129" t="s">
        <v>774</v>
      </c>
      <c r="C4413" s="683" t="s">
        <v>419</v>
      </c>
      <c r="D4413" s="719" t="s">
        <v>1980</v>
      </c>
      <c r="E4413" s="720" t="s">
        <v>1957</v>
      </c>
      <c r="F4413" s="824">
        <v>5239</v>
      </c>
      <c r="G4413" s="800" t="s">
        <v>1145</v>
      </c>
      <c r="H4413" s="706">
        <v>6663</v>
      </c>
      <c r="I4413" s="706"/>
      <c r="J4413" s="1654">
        <v>6661.05</v>
      </c>
      <c r="K4413" s="802"/>
      <c r="L4413" s="706">
        <v>2412.58</v>
      </c>
      <c r="M4413" s="706"/>
      <c r="N4413" s="305"/>
    </row>
    <row r="4414" spans="1:14" ht="20.399999999999999">
      <c r="A4414" s="663"/>
      <c r="B4414" s="3130" t="s">
        <v>774</v>
      </c>
      <c r="C4414" s="663" t="s">
        <v>419</v>
      </c>
      <c r="D4414" s="678" t="s">
        <v>1980</v>
      </c>
      <c r="E4414" s="700" t="s">
        <v>1957</v>
      </c>
      <c r="F4414" s="795">
        <v>5239</v>
      </c>
      <c r="G4414" s="2195" t="s">
        <v>4430</v>
      </c>
      <c r="H4414" s="2188"/>
      <c r="I4414" s="2307"/>
      <c r="J4414" s="2191" t="s">
        <v>1134</v>
      </c>
      <c r="K4414" s="2205"/>
      <c r="L4414" s="2188"/>
      <c r="M4414" s="2188">
        <v>660</v>
      </c>
      <c r="N4414" s="381" t="s">
        <v>4670</v>
      </c>
    </row>
    <row r="4415" spans="1:14" ht="20.399999999999999">
      <c r="A4415" s="1263"/>
      <c r="B4415" s="3130" t="s">
        <v>774</v>
      </c>
      <c r="C4415" s="663" t="s">
        <v>419</v>
      </c>
      <c r="D4415" s="678" t="s">
        <v>1980</v>
      </c>
      <c r="E4415" s="700" t="s">
        <v>1957</v>
      </c>
      <c r="F4415" s="795">
        <v>5239</v>
      </c>
      <c r="G4415" s="2320" t="s">
        <v>4431</v>
      </c>
      <c r="H4415" s="2254"/>
      <c r="I4415" s="2310"/>
      <c r="J4415" s="2191" t="s">
        <v>1134</v>
      </c>
      <c r="K4415" s="2205"/>
      <c r="L4415" s="2254"/>
      <c r="M4415" s="2310">
        <v>550</v>
      </c>
      <c r="N4415" s="381" t="s">
        <v>2102</v>
      </c>
    </row>
    <row r="4416" spans="1:14" ht="30.6">
      <c r="A4416" s="603"/>
      <c r="B4416" s="3130" t="s">
        <v>774</v>
      </c>
      <c r="C4416" s="663" t="s">
        <v>419</v>
      </c>
      <c r="D4416" s="678" t="s">
        <v>1980</v>
      </c>
      <c r="E4416" s="700" t="s">
        <v>1957</v>
      </c>
      <c r="F4416" s="795">
        <v>5239</v>
      </c>
      <c r="G4416" s="2320" t="s">
        <v>4432</v>
      </c>
      <c r="H4416" s="2254"/>
      <c r="I4416" s="2310"/>
      <c r="J4416" s="2191" t="s">
        <v>1134</v>
      </c>
      <c r="K4416" s="2205"/>
      <c r="L4416" s="2254"/>
      <c r="M4416" s="2825">
        <v>0</v>
      </c>
      <c r="N4416" s="381"/>
    </row>
    <row r="4417" spans="1:14">
      <c r="A4417" s="663"/>
      <c r="B4417" s="3130" t="s">
        <v>774</v>
      </c>
      <c r="C4417" s="663" t="s">
        <v>419</v>
      </c>
      <c r="D4417" s="678" t="s">
        <v>1980</v>
      </c>
      <c r="E4417" s="700" t="s">
        <v>1957</v>
      </c>
      <c r="F4417" s="795">
        <v>5239</v>
      </c>
      <c r="G4417" s="2320" t="s">
        <v>4433</v>
      </c>
      <c r="H4417" s="2254"/>
      <c r="I4417" s="2310"/>
      <c r="J4417" s="2191"/>
      <c r="K4417" s="2205"/>
      <c r="L4417" s="2254"/>
      <c r="M4417" s="2310">
        <v>600</v>
      </c>
      <c r="N4417" s="381"/>
    </row>
    <row r="4418" spans="1:14">
      <c r="A4418" s="1263"/>
      <c r="B4418" s="3130" t="s">
        <v>774</v>
      </c>
      <c r="C4418" s="663" t="s">
        <v>419</v>
      </c>
      <c r="D4418" s="678" t="s">
        <v>1980</v>
      </c>
      <c r="E4418" s="700" t="s">
        <v>1957</v>
      </c>
      <c r="F4418" s="795">
        <v>5239</v>
      </c>
      <c r="G4418" s="2320" t="s">
        <v>4434</v>
      </c>
      <c r="H4418" s="2254"/>
      <c r="I4418" s="2310"/>
      <c r="J4418" s="2191"/>
      <c r="K4418" s="2205"/>
      <c r="L4418" s="2254"/>
      <c r="M4418" s="2310">
        <v>602.58000000000004</v>
      </c>
      <c r="N4418" s="125"/>
    </row>
    <row r="4419" spans="1:14" ht="20.399999999999999">
      <c r="A4419" s="603"/>
      <c r="B4419" s="3130" t="s">
        <v>774</v>
      </c>
      <c r="C4419" s="663" t="s">
        <v>419</v>
      </c>
      <c r="D4419" s="678" t="s">
        <v>1980</v>
      </c>
      <c r="E4419" s="700" t="s">
        <v>1957</v>
      </c>
      <c r="F4419" s="795">
        <v>5239</v>
      </c>
      <c r="G4419" s="2320" t="s">
        <v>4435</v>
      </c>
      <c r="H4419" s="2254"/>
      <c r="I4419" s="2310"/>
      <c r="J4419" s="2191"/>
      <c r="K4419" s="2205"/>
      <c r="L4419" s="2254"/>
      <c r="M4419" s="2825">
        <v>0</v>
      </c>
      <c r="N4419" s="359"/>
    </row>
    <row r="4420" spans="1:14" ht="20.399999999999999">
      <c r="A4420" s="663"/>
      <c r="B4420" s="3130" t="s">
        <v>774</v>
      </c>
      <c r="C4420" s="663" t="s">
        <v>419</v>
      </c>
      <c r="D4420" s="678" t="s">
        <v>1980</v>
      </c>
      <c r="E4420" s="700" t="s">
        <v>1957</v>
      </c>
      <c r="F4420" s="795">
        <v>5239</v>
      </c>
      <c r="G4420" s="750" t="s">
        <v>2416</v>
      </c>
      <c r="H4420" s="701"/>
      <c r="I4420" s="790">
        <v>3195</v>
      </c>
      <c r="J4420" s="1654" t="s">
        <v>1134</v>
      </c>
      <c r="K4420" s="792"/>
      <c r="L4420" s="701"/>
      <c r="M4420" s="701"/>
      <c r="N4420" s="2471" t="s">
        <v>4673</v>
      </c>
    </row>
    <row r="4421" spans="1:14" ht="20.399999999999999">
      <c r="A4421" s="1263"/>
      <c r="B4421" s="3130" t="s">
        <v>774</v>
      </c>
      <c r="C4421" s="663" t="s">
        <v>419</v>
      </c>
      <c r="D4421" s="678" t="s">
        <v>1980</v>
      </c>
      <c r="E4421" s="700" t="s">
        <v>1957</v>
      </c>
      <c r="F4421" s="795">
        <v>5239</v>
      </c>
      <c r="G4421" s="1330" t="s">
        <v>3026</v>
      </c>
      <c r="H4421" s="1265"/>
      <c r="I4421" s="2321">
        <v>3189</v>
      </c>
      <c r="J4421" s="1654" t="s">
        <v>1134</v>
      </c>
      <c r="K4421" s="1329"/>
      <c r="L4421" s="1265"/>
      <c r="M4421" s="2321"/>
      <c r="N4421" s="125"/>
    </row>
    <row r="4422" spans="1:14" ht="20.399999999999999">
      <c r="A4422" s="603"/>
      <c r="B4422" s="3130" t="s">
        <v>774</v>
      </c>
      <c r="C4422" s="663" t="s">
        <v>419</v>
      </c>
      <c r="D4422" s="678" t="s">
        <v>1980</v>
      </c>
      <c r="E4422" s="700" t="s">
        <v>1957</v>
      </c>
      <c r="F4422" s="795">
        <v>5239</v>
      </c>
      <c r="G4422" s="1153" t="s">
        <v>3228</v>
      </c>
      <c r="H4422" s="1165"/>
      <c r="I4422" s="2312">
        <v>279</v>
      </c>
      <c r="J4422" s="1654" t="s">
        <v>1134</v>
      </c>
      <c r="K4422" s="1439"/>
      <c r="L4422" s="1165"/>
      <c r="M4422" s="2312"/>
      <c r="N4422" s="125"/>
    </row>
    <row r="4423" spans="1:14" ht="20.399999999999999">
      <c r="A4423" s="683"/>
      <c r="B4423" s="3129" t="s">
        <v>773</v>
      </c>
      <c r="C4423" s="683" t="s">
        <v>419</v>
      </c>
      <c r="D4423" s="719" t="s">
        <v>1980</v>
      </c>
      <c r="E4423" s="720" t="s">
        <v>1957</v>
      </c>
      <c r="F4423" s="824">
        <v>5239</v>
      </c>
      <c r="G4423" s="800" t="s">
        <v>1145</v>
      </c>
      <c r="H4423" s="706"/>
      <c r="I4423" s="706"/>
      <c r="J4423" s="1654"/>
      <c r="K4423" s="802"/>
      <c r="L4423" s="706">
        <v>2700</v>
      </c>
      <c r="M4423" s="706"/>
      <c r="N4423" s="1799"/>
    </row>
    <row r="4424" spans="1:14">
      <c r="A4424" s="663"/>
      <c r="B4424" s="3130" t="s">
        <v>773</v>
      </c>
      <c r="C4424" s="663" t="s">
        <v>419</v>
      </c>
      <c r="D4424" s="678" t="s">
        <v>1980</v>
      </c>
      <c r="E4424" s="700" t="s">
        <v>1957</v>
      </c>
      <c r="F4424" s="795">
        <v>5239</v>
      </c>
      <c r="G4424" s="2283" t="s">
        <v>4436</v>
      </c>
      <c r="H4424" s="2317"/>
      <c r="I4424" s="2318"/>
      <c r="J4424" s="2170" t="s">
        <v>1134</v>
      </c>
      <c r="K4424" s="2317"/>
      <c r="L4424" s="2319"/>
      <c r="M4424" s="2317">
        <v>1200</v>
      </c>
      <c r="N4424" s="1799"/>
    </row>
    <row r="4425" spans="1:14">
      <c r="A4425" s="1263"/>
      <c r="B4425" s="3130" t="s">
        <v>773</v>
      </c>
      <c r="C4425" s="663" t="s">
        <v>419</v>
      </c>
      <c r="D4425" s="678" t="s">
        <v>1980</v>
      </c>
      <c r="E4425" s="700" t="s">
        <v>1957</v>
      </c>
      <c r="F4425" s="795">
        <v>5239</v>
      </c>
      <c r="G4425" s="2283" t="s">
        <v>4437</v>
      </c>
      <c r="H4425" s="2317"/>
      <c r="I4425" s="2318"/>
      <c r="J4425" s="2170"/>
      <c r="K4425" s="2317"/>
      <c r="L4425" s="2319"/>
      <c r="M4425" s="2317">
        <v>0</v>
      </c>
      <c r="N4425" s="1799"/>
    </row>
    <row r="4426" spans="1:14">
      <c r="A4426" s="603"/>
      <c r="B4426" s="3130" t="s">
        <v>773</v>
      </c>
      <c r="C4426" s="663" t="s">
        <v>419</v>
      </c>
      <c r="D4426" s="678" t="s">
        <v>1980</v>
      </c>
      <c r="E4426" s="700" t="s">
        <v>1957</v>
      </c>
      <c r="F4426" s="795">
        <v>5239</v>
      </c>
      <c r="G4426" s="2283" t="s">
        <v>4438</v>
      </c>
      <c r="H4426" s="2317"/>
      <c r="I4426" s="2318"/>
      <c r="J4426" s="2170"/>
      <c r="K4426" s="2317"/>
      <c r="L4426" s="2319"/>
      <c r="M4426" s="2317">
        <v>1500</v>
      </c>
      <c r="N4426" s="75" t="s">
        <v>1701</v>
      </c>
    </row>
    <row r="4427" spans="1:14">
      <c r="A4427" s="683"/>
      <c r="B4427" s="3129" t="s">
        <v>1211</v>
      </c>
      <c r="C4427" s="683" t="s">
        <v>419</v>
      </c>
      <c r="D4427" s="719" t="s">
        <v>1980</v>
      </c>
      <c r="E4427" s="1406" t="s">
        <v>1957</v>
      </c>
      <c r="F4427" s="1698">
        <v>7230</v>
      </c>
      <c r="G4427" s="1691" t="s">
        <v>1027</v>
      </c>
      <c r="H4427" s="1692">
        <v>401813</v>
      </c>
      <c r="I4427" s="1692"/>
      <c r="J4427" s="1684">
        <v>354110</v>
      </c>
      <c r="K4427" s="1694"/>
      <c r="L4427" s="1692">
        <v>385101</v>
      </c>
      <c r="M4427" s="1692"/>
      <c r="N4427" s="75"/>
    </row>
    <row r="4428" spans="1:14">
      <c r="A4428" s="663"/>
      <c r="B4428" s="3130" t="s">
        <v>2534</v>
      </c>
      <c r="C4428" s="663" t="s">
        <v>419</v>
      </c>
      <c r="D4428" s="678" t="s">
        <v>1980</v>
      </c>
      <c r="E4428" s="1407" t="s">
        <v>1957</v>
      </c>
      <c r="F4428" s="1413">
        <v>7230</v>
      </c>
      <c r="G4428" s="1803" t="s">
        <v>436</v>
      </c>
      <c r="H4428" s="1683"/>
      <c r="I4428" s="2355">
        <v>235648</v>
      </c>
      <c r="J4428" s="1684" t="s">
        <v>1134</v>
      </c>
      <c r="K4428" s="1685"/>
      <c r="L4428" s="1683"/>
      <c r="M4428" s="1683">
        <v>234268</v>
      </c>
      <c r="N4428" s="75"/>
    </row>
    <row r="4429" spans="1:14">
      <c r="A4429" s="663"/>
      <c r="B4429" s="3130" t="s">
        <v>1211</v>
      </c>
      <c r="C4429" s="663" t="s">
        <v>419</v>
      </c>
      <c r="D4429" s="678" t="s">
        <v>1980</v>
      </c>
      <c r="E4429" s="1407" t="s">
        <v>1957</v>
      </c>
      <c r="F4429" s="1413">
        <v>7230</v>
      </c>
      <c r="G4429" s="1803" t="s">
        <v>772</v>
      </c>
      <c r="H4429" s="1683"/>
      <c r="I4429" s="2355">
        <v>155649.29579999999</v>
      </c>
      <c r="J4429" s="1684" t="s">
        <v>1134</v>
      </c>
      <c r="K4429" s="1685"/>
      <c r="L4429" s="1683"/>
      <c r="M4429" s="1683">
        <v>142533</v>
      </c>
      <c r="N4429" s="75"/>
    </row>
    <row r="4430" spans="1:14">
      <c r="A4430" s="663"/>
      <c r="B4430" s="3130" t="s">
        <v>1211</v>
      </c>
      <c r="C4430" s="663" t="s">
        <v>419</v>
      </c>
      <c r="D4430" s="678" t="s">
        <v>1980</v>
      </c>
      <c r="E4430" s="1407" t="s">
        <v>1957</v>
      </c>
      <c r="F4430" s="1413">
        <v>7230</v>
      </c>
      <c r="G4430" s="1803" t="s">
        <v>774</v>
      </c>
      <c r="H4430" s="1683"/>
      <c r="I4430" s="2355">
        <v>10516</v>
      </c>
      <c r="J4430" s="1684" t="s">
        <v>1134</v>
      </c>
      <c r="K4430" s="1685"/>
      <c r="L4430" s="1683"/>
      <c r="M4430" s="1683">
        <v>8300</v>
      </c>
      <c r="N4430" s="75"/>
    </row>
    <row r="4431" spans="1:14">
      <c r="A4431" s="683"/>
      <c r="B4431" s="3129" t="s">
        <v>1849</v>
      </c>
      <c r="C4431" s="683" t="s">
        <v>419</v>
      </c>
      <c r="D4431" s="719" t="s">
        <v>1980</v>
      </c>
      <c r="E4431" s="840" t="s">
        <v>1957</v>
      </c>
      <c r="F4431" s="685">
        <v>7230</v>
      </c>
      <c r="G4431" s="686" t="s">
        <v>1849</v>
      </c>
      <c r="H4431" s="689">
        <v>26620</v>
      </c>
      <c r="I4431" s="689"/>
      <c r="J4431" s="1494"/>
      <c r="K4431" s="727"/>
      <c r="L4431" s="687">
        <v>28100</v>
      </c>
      <c r="M4431" s="687"/>
      <c r="N4431" s="75"/>
    </row>
    <row r="4432" spans="1:14">
      <c r="A4432" s="668"/>
      <c r="B4432" s="3144" t="s">
        <v>1849</v>
      </c>
      <c r="C4432" s="668" t="s">
        <v>419</v>
      </c>
      <c r="D4432" s="669" t="s">
        <v>1980</v>
      </c>
      <c r="E4432" s="936" t="s">
        <v>1957</v>
      </c>
      <c r="F4432" s="671">
        <v>7230</v>
      </c>
      <c r="G4432" s="717" t="s">
        <v>4561</v>
      </c>
      <c r="H4432" s="733"/>
      <c r="I4432" s="733"/>
      <c r="J4432" s="1494"/>
      <c r="K4432" s="733"/>
      <c r="L4432" s="2353"/>
      <c r="M4432" s="2353">
        <v>8100</v>
      </c>
      <c r="N4432" s="75"/>
    </row>
    <row r="4433" spans="1:14">
      <c r="A4433" s="668"/>
      <c r="B4433" s="3144" t="s">
        <v>1849</v>
      </c>
      <c r="C4433" s="668" t="s">
        <v>419</v>
      </c>
      <c r="D4433" s="669" t="s">
        <v>1980</v>
      </c>
      <c r="E4433" s="936" t="s">
        <v>1957</v>
      </c>
      <c r="F4433" s="671">
        <v>7230</v>
      </c>
      <c r="G4433" s="717" t="s">
        <v>4562</v>
      </c>
      <c r="H4433" s="733"/>
      <c r="I4433" s="733"/>
      <c r="J4433" s="1494"/>
      <c r="K4433" s="733"/>
      <c r="L4433" s="2353"/>
      <c r="M4433" s="2353">
        <v>20000</v>
      </c>
      <c r="N4433" s="75"/>
    </row>
    <row r="4434" spans="1:14" ht="20.399999999999999">
      <c r="A4434" s="668"/>
      <c r="B4434" s="3144" t="s">
        <v>1849</v>
      </c>
      <c r="C4434" s="668" t="s">
        <v>419</v>
      </c>
      <c r="D4434" s="669" t="s">
        <v>1980</v>
      </c>
      <c r="E4434" s="936" t="s">
        <v>1957</v>
      </c>
      <c r="F4434" s="671">
        <v>7230</v>
      </c>
      <c r="G4434" s="717" t="s">
        <v>2545</v>
      </c>
      <c r="H4434" s="733"/>
      <c r="I4434" s="733">
        <v>26620</v>
      </c>
      <c r="J4434" s="1494">
        <v>23219</v>
      </c>
      <c r="K4434" s="733"/>
      <c r="L4434" s="2353"/>
      <c r="M4434" s="2353"/>
      <c r="N4434" s="75"/>
    </row>
    <row r="4435" spans="1:14">
      <c r="A4435" s="849"/>
      <c r="B4435" s="3129" t="s">
        <v>326</v>
      </c>
      <c r="C4435" s="683" t="s">
        <v>321</v>
      </c>
      <c r="D4435" s="719" t="s">
        <v>1979</v>
      </c>
      <c r="E4435" s="683" t="s">
        <v>1964</v>
      </c>
      <c r="F4435" s="685">
        <v>1119</v>
      </c>
      <c r="G4435" s="686" t="s">
        <v>109</v>
      </c>
      <c r="H4435" s="837">
        <v>4029</v>
      </c>
      <c r="I4435" s="837"/>
      <c r="J4435" s="1494">
        <v>0</v>
      </c>
      <c r="K4435" s="1014"/>
      <c r="L4435" s="837">
        <v>2869</v>
      </c>
      <c r="M4435" s="837"/>
      <c r="N4435" s="75"/>
    </row>
    <row r="4436" spans="1:14">
      <c r="A4436" s="760"/>
      <c r="B4436" s="3130" t="s">
        <v>326</v>
      </c>
      <c r="C4436" s="663" t="s">
        <v>321</v>
      </c>
      <c r="D4436" s="678" t="s">
        <v>1979</v>
      </c>
      <c r="E4436" s="663" t="s">
        <v>1964</v>
      </c>
      <c r="F4436" s="679">
        <v>1119</v>
      </c>
      <c r="G4436" s="665" t="s">
        <v>1294</v>
      </c>
      <c r="H4436" s="676"/>
      <c r="I4436" s="676">
        <v>869</v>
      </c>
      <c r="J4436" s="1494" t="s">
        <v>1134</v>
      </c>
      <c r="K4436" s="1015"/>
      <c r="L4436" s="676"/>
      <c r="M4436" s="676">
        <v>869</v>
      </c>
      <c r="N4436" s="75" t="s">
        <v>1701</v>
      </c>
    </row>
    <row r="4437" spans="1:14">
      <c r="A4437" s="760"/>
      <c r="B4437" s="3130" t="s">
        <v>326</v>
      </c>
      <c r="C4437" s="663" t="s">
        <v>321</v>
      </c>
      <c r="D4437" s="678" t="s">
        <v>1979</v>
      </c>
      <c r="E4437" s="663" t="s">
        <v>1964</v>
      </c>
      <c r="F4437" s="679">
        <v>1119</v>
      </c>
      <c r="G4437" s="665" t="s">
        <v>389</v>
      </c>
      <c r="H4437" s="676"/>
      <c r="I4437" s="676">
        <v>1660</v>
      </c>
      <c r="J4437" s="1494" t="s">
        <v>1134</v>
      </c>
      <c r="K4437" s="1015"/>
      <c r="L4437" s="676"/>
      <c r="M4437" s="798">
        <v>2000</v>
      </c>
      <c r="N4437" s="75"/>
    </row>
    <row r="4438" spans="1:14" ht="40.799999999999997">
      <c r="A4438" s="760"/>
      <c r="B4438" s="3130" t="s">
        <v>326</v>
      </c>
      <c r="C4438" s="663" t="s">
        <v>321</v>
      </c>
      <c r="D4438" s="678" t="s">
        <v>1979</v>
      </c>
      <c r="E4438" s="663" t="s">
        <v>1964</v>
      </c>
      <c r="F4438" s="679">
        <v>1119</v>
      </c>
      <c r="G4438" s="665" t="s">
        <v>649</v>
      </c>
      <c r="H4438" s="676"/>
      <c r="I4438" s="676"/>
      <c r="J4438" s="1494" t="s">
        <v>1134</v>
      </c>
      <c r="K4438" s="1015"/>
      <c r="L4438" s="676"/>
      <c r="M4438" s="798"/>
      <c r="N4438" s="75"/>
    </row>
    <row r="4439" spans="1:14" ht="20.399999999999999">
      <c r="A4439" s="760"/>
      <c r="B4439" s="3130" t="s">
        <v>326</v>
      </c>
      <c r="C4439" s="663" t="s">
        <v>321</v>
      </c>
      <c r="D4439" s="678" t="s">
        <v>1979</v>
      </c>
      <c r="E4439" s="663" t="s">
        <v>1964</v>
      </c>
      <c r="F4439" s="679">
        <v>1119</v>
      </c>
      <c r="G4439" s="665" t="s">
        <v>770</v>
      </c>
      <c r="H4439" s="676"/>
      <c r="I4439" s="676">
        <v>1500</v>
      </c>
      <c r="J4439" s="1494" t="s">
        <v>1134</v>
      </c>
      <c r="K4439" s="1015"/>
      <c r="L4439" s="676"/>
      <c r="M4439" s="798"/>
      <c r="N4439" s="75"/>
    </row>
    <row r="4440" spans="1:14" ht="20.399999999999999">
      <c r="A4440" s="849"/>
      <c r="B4440" s="3129" t="s">
        <v>772</v>
      </c>
      <c r="C4440" s="683" t="s">
        <v>427</v>
      </c>
      <c r="D4440" s="719" t="s">
        <v>1979</v>
      </c>
      <c r="E4440" s="683" t="s">
        <v>1964</v>
      </c>
      <c r="F4440" s="685">
        <v>1210</v>
      </c>
      <c r="G4440" s="686" t="s">
        <v>4355</v>
      </c>
      <c r="H4440" s="837">
        <v>1407</v>
      </c>
      <c r="I4440" s="837"/>
      <c r="J4440" s="1494">
        <v>0</v>
      </c>
      <c r="K4440" s="1014"/>
      <c r="L4440" s="837">
        <v>1000</v>
      </c>
      <c r="M4440" s="838"/>
      <c r="N4440" s="75"/>
    </row>
    <row r="4441" spans="1:14">
      <c r="A4441" s="760"/>
      <c r="B4441" s="3130" t="s">
        <v>772</v>
      </c>
      <c r="C4441" s="663" t="s">
        <v>427</v>
      </c>
      <c r="D4441" s="678" t="s">
        <v>1979</v>
      </c>
      <c r="E4441" s="663" t="s">
        <v>1964</v>
      </c>
      <c r="F4441" s="679">
        <v>1210</v>
      </c>
      <c r="G4441" s="681" t="s">
        <v>769</v>
      </c>
      <c r="H4441" s="676"/>
      <c r="I4441" s="676">
        <v>407</v>
      </c>
      <c r="J4441" s="1494" t="s">
        <v>1134</v>
      </c>
      <c r="K4441" s="1015"/>
      <c r="L4441" s="676"/>
      <c r="M4441" s="798"/>
      <c r="N4441" s="75"/>
    </row>
    <row r="4442" spans="1:14" ht="20.399999999999999">
      <c r="A4442" s="760"/>
      <c r="B4442" s="3130" t="s">
        <v>772</v>
      </c>
      <c r="C4442" s="663" t="s">
        <v>427</v>
      </c>
      <c r="D4442" s="678" t="s">
        <v>1979</v>
      </c>
      <c r="E4442" s="663" t="s">
        <v>1964</v>
      </c>
      <c r="F4442" s="679">
        <v>1210</v>
      </c>
      <c r="G4442" s="665" t="s">
        <v>770</v>
      </c>
      <c r="H4442" s="676"/>
      <c r="I4442" s="676">
        <v>1000</v>
      </c>
      <c r="J4442" s="1494" t="s">
        <v>1134</v>
      </c>
      <c r="K4442" s="1015"/>
      <c r="L4442" s="676"/>
      <c r="M4442" s="798">
        <v>1000</v>
      </c>
      <c r="N4442" s="75"/>
    </row>
    <row r="4443" spans="1:14">
      <c r="A4443" s="849"/>
      <c r="B4443" s="3129" t="s">
        <v>326</v>
      </c>
      <c r="C4443" s="683" t="s">
        <v>321</v>
      </c>
      <c r="D4443" s="719" t="s">
        <v>1979</v>
      </c>
      <c r="E4443" s="683" t="s">
        <v>1964</v>
      </c>
      <c r="F4443" s="685">
        <v>6242</v>
      </c>
      <c r="G4443" s="686" t="s">
        <v>304</v>
      </c>
      <c r="H4443" s="837">
        <v>9447</v>
      </c>
      <c r="I4443" s="837"/>
      <c r="J4443" s="1494">
        <v>0</v>
      </c>
      <c r="K4443" s="1014"/>
      <c r="L4443" s="837">
        <v>3000</v>
      </c>
      <c r="M4443" s="838"/>
      <c r="N4443" s="75"/>
    </row>
    <row r="4444" spans="1:14" ht="30.6">
      <c r="A4444" s="760"/>
      <c r="B4444" s="3130" t="s">
        <v>326</v>
      </c>
      <c r="C4444" s="663" t="s">
        <v>321</v>
      </c>
      <c r="D4444" s="678" t="s">
        <v>1979</v>
      </c>
      <c r="E4444" s="663" t="s">
        <v>1964</v>
      </c>
      <c r="F4444" s="679">
        <v>6242</v>
      </c>
      <c r="G4444" s="665" t="s">
        <v>2959</v>
      </c>
      <c r="H4444" s="676"/>
      <c r="I4444" s="676">
        <v>2971</v>
      </c>
      <c r="J4444" s="1494" t="s">
        <v>1134</v>
      </c>
      <c r="K4444" s="1015"/>
      <c r="L4444" s="676"/>
      <c r="M4444" s="798">
        <v>3000</v>
      </c>
      <c r="N4444" s="1490"/>
    </row>
    <row r="4445" spans="1:14" ht="20.399999999999999">
      <c r="A4445" s="760"/>
      <c r="B4445" s="3130" t="s">
        <v>326</v>
      </c>
      <c r="C4445" s="663" t="s">
        <v>321</v>
      </c>
      <c r="D4445" s="678" t="s">
        <v>1979</v>
      </c>
      <c r="E4445" s="663" t="s">
        <v>1964</v>
      </c>
      <c r="F4445" s="679">
        <v>6242</v>
      </c>
      <c r="G4445" s="665" t="s">
        <v>770</v>
      </c>
      <c r="H4445" s="676"/>
      <c r="I4445" s="676">
        <v>6476</v>
      </c>
      <c r="J4445" s="1494" t="s">
        <v>1134</v>
      </c>
      <c r="K4445" s="1015"/>
      <c r="L4445" s="676"/>
      <c r="M4445" s="798"/>
      <c r="N4445" s="1490"/>
    </row>
    <row r="4446" spans="1:14" ht="30.6">
      <c r="A4446" s="849"/>
      <c r="B4446" s="3129" t="s">
        <v>326</v>
      </c>
      <c r="C4446" s="683" t="s">
        <v>321</v>
      </c>
      <c r="D4446" s="719" t="s">
        <v>1979</v>
      </c>
      <c r="E4446" s="683" t="s">
        <v>1964</v>
      </c>
      <c r="F4446" s="685">
        <v>7245</v>
      </c>
      <c r="G4446" s="686" t="s">
        <v>521</v>
      </c>
      <c r="H4446" s="837">
        <v>0</v>
      </c>
      <c r="I4446" s="837"/>
      <c r="J4446" s="1494" t="s">
        <v>1134</v>
      </c>
      <c r="K4446" s="1014"/>
      <c r="L4446" s="837">
        <v>0</v>
      </c>
      <c r="M4446" s="838"/>
      <c r="N4446" s="1490"/>
    </row>
    <row r="4447" spans="1:14">
      <c r="A4447" s="760"/>
      <c r="B4447" s="3130" t="s">
        <v>326</v>
      </c>
      <c r="C4447" s="663" t="s">
        <v>321</v>
      </c>
      <c r="D4447" s="678" t="s">
        <v>1979</v>
      </c>
      <c r="E4447" s="663" t="s">
        <v>1964</v>
      </c>
      <c r="F4447" s="679">
        <v>7245</v>
      </c>
      <c r="G4447" s="665" t="s">
        <v>522</v>
      </c>
      <c r="H4447" s="676"/>
      <c r="I4447" s="676"/>
      <c r="J4447" s="1494" t="s">
        <v>1134</v>
      </c>
      <c r="K4447" s="1015"/>
      <c r="L4447" s="676"/>
      <c r="M4447" s="798"/>
      <c r="N4447" s="75"/>
    </row>
    <row r="4448" spans="1:14">
      <c r="A4448" s="683"/>
      <c r="B4448" s="3129" t="s">
        <v>365</v>
      </c>
      <c r="C4448" s="683" t="s">
        <v>323</v>
      </c>
      <c r="D4448" s="719" t="s">
        <v>1980</v>
      </c>
      <c r="E4448" s="742" t="s">
        <v>1935</v>
      </c>
      <c r="F4448" s="685">
        <v>2233</v>
      </c>
      <c r="G4448" s="686" t="s">
        <v>145</v>
      </c>
      <c r="H4448" s="776">
        <v>3465</v>
      </c>
      <c r="I4448" s="777"/>
      <c r="J4448" s="1494">
        <v>1600.59</v>
      </c>
      <c r="K4448" s="949"/>
      <c r="L4448" s="776">
        <v>3102</v>
      </c>
      <c r="M4448" s="777"/>
      <c r="N4448" s="75"/>
    </row>
    <row r="4449" spans="1:14">
      <c r="A4449" s="760"/>
      <c r="B4449" s="3130" t="s">
        <v>365</v>
      </c>
      <c r="C4449" s="663" t="s">
        <v>323</v>
      </c>
      <c r="D4449" s="678" t="s">
        <v>1980</v>
      </c>
      <c r="E4449" s="700" t="s">
        <v>1935</v>
      </c>
      <c r="F4449" s="679">
        <v>2233</v>
      </c>
      <c r="G4449" s="675" t="s">
        <v>2913</v>
      </c>
      <c r="H4449" s="660"/>
      <c r="I4449" s="660"/>
      <c r="J4449" s="1494" t="s">
        <v>1134</v>
      </c>
      <c r="K4449" s="661"/>
      <c r="L4449" s="701"/>
      <c r="M4449" s="701">
        <v>102</v>
      </c>
      <c r="N4449" s="75"/>
    </row>
    <row r="4450" spans="1:14">
      <c r="A4450" s="760"/>
      <c r="B4450" s="3130" t="s">
        <v>365</v>
      </c>
      <c r="C4450" s="663" t="s">
        <v>323</v>
      </c>
      <c r="D4450" s="678" t="s">
        <v>1980</v>
      </c>
      <c r="E4450" s="700" t="s">
        <v>1935</v>
      </c>
      <c r="F4450" s="679">
        <v>2233</v>
      </c>
      <c r="G4450" s="675" t="s">
        <v>2914</v>
      </c>
      <c r="H4450" s="660"/>
      <c r="I4450" s="660">
        <v>3465</v>
      </c>
      <c r="J4450" s="1494" t="s">
        <v>1134</v>
      </c>
      <c r="K4450" s="661"/>
      <c r="L4450" s="701"/>
      <c r="M4450" s="701">
        <v>3000</v>
      </c>
      <c r="N4450" s="75" t="s">
        <v>1526</v>
      </c>
    </row>
    <row r="4451" spans="1:14">
      <c r="A4451" s="683"/>
      <c r="B4451" s="3129" t="s">
        <v>365</v>
      </c>
      <c r="C4451" s="683" t="s">
        <v>323</v>
      </c>
      <c r="D4451" s="719" t="s">
        <v>1980</v>
      </c>
      <c r="E4451" s="720" t="s">
        <v>1935</v>
      </c>
      <c r="F4451" s="685">
        <v>2239</v>
      </c>
      <c r="G4451" s="686" t="s">
        <v>147</v>
      </c>
      <c r="H4451" s="776">
        <v>37535</v>
      </c>
      <c r="I4451" s="777"/>
      <c r="J4451" s="1494">
        <v>17559.62</v>
      </c>
      <c r="K4451" s="949"/>
      <c r="L4451" s="776">
        <v>39000</v>
      </c>
      <c r="M4451" s="777"/>
      <c r="N4451" s="75"/>
    </row>
    <row r="4452" spans="1:14">
      <c r="A4452" s="760"/>
      <c r="B4452" s="3130" t="s">
        <v>365</v>
      </c>
      <c r="C4452" s="663" t="s">
        <v>323</v>
      </c>
      <c r="D4452" s="678" t="s">
        <v>1980</v>
      </c>
      <c r="E4452" s="700" t="s">
        <v>1935</v>
      </c>
      <c r="F4452" s="679">
        <v>2239</v>
      </c>
      <c r="G4452" s="675" t="s">
        <v>2914</v>
      </c>
      <c r="H4452" s="660"/>
      <c r="I4452" s="660">
        <v>37535</v>
      </c>
      <c r="J4452" s="1494" t="s">
        <v>1134</v>
      </c>
      <c r="K4452" s="661"/>
      <c r="L4452" s="701"/>
      <c r="M4452" s="701">
        <v>39000</v>
      </c>
      <c r="N4452" s="1799"/>
    </row>
    <row r="4453" spans="1:14">
      <c r="A4453" s="760"/>
      <c r="B4453" s="3130" t="s">
        <v>365</v>
      </c>
      <c r="C4453" s="663" t="s">
        <v>323</v>
      </c>
      <c r="D4453" s="678" t="s">
        <v>1980</v>
      </c>
      <c r="E4453" s="700" t="s">
        <v>1935</v>
      </c>
      <c r="F4453" s="679">
        <v>2239</v>
      </c>
      <c r="G4453" s="675" t="s">
        <v>1308</v>
      </c>
      <c r="H4453" s="660"/>
      <c r="I4453" s="660"/>
      <c r="J4453" s="1494" t="s">
        <v>1134</v>
      </c>
      <c r="K4453" s="661"/>
      <c r="L4453" s="701"/>
      <c r="M4453" s="701"/>
      <c r="N4453" s="75"/>
    </row>
    <row r="4454" spans="1:14">
      <c r="A4454" s="683"/>
      <c r="B4454" s="3129" t="s">
        <v>365</v>
      </c>
      <c r="C4454" s="683" t="s">
        <v>323</v>
      </c>
      <c r="D4454" s="719" t="s">
        <v>1980</v>
      </c>
      <c r="E4454" s="720" t="s">
        <v>1935</v>
      </c>
      <c r="F4454" s="685">
        <v>2370</v>
      </c>
      <c r="G4454" s="686" t="s">
        <v>524</v>
      </c>
      <c r="H4454" s="776">
        <v>0</v>
      </c>
      <c r="I4454" s="777"/>
      <c r="J4454" s="1494" t="s">
        <v>1134</v>
      </c>
      <c r="K4454" s="949"/>
      <c r="L4454" s="776">
        <v>0</v>
      </c>
      <c r="M4454" s="777"/>
      <c r="N4454" s="2715">
        <v>0</v>
      </c>
    </row>
    <row r="4455" spans="1:14">
      <c r="A4455" s="760"/>
      <c r="B4455" s="3130" t="s">
        <v>365</v>
      </c>
      <c r="C4455" s="663" t="s">
        <v>323</v>
      </c>
      <c r="D4455" s="678" t="s">
        <v>1980</v>
      </c>
      <c r="E4455" s="700" t="s">
        <v>1935</v>
      </c>
      <c r="F4455" s="679">
        <v>2370</v>
      </c>
      <c r="G4455" s="675"/>
      <c r="H4455" s="660"/>
      <c r="I4455" s="660"/>
      <c r="J4455" s="1494" t="s">
        <v>1134</v>
      </c>
      <c r="K4455" s="661"/>
      <c r="L4455" s="701"/>
      <c r="M4455" s="701"/>
      <c r="N4455" s="125"/>
    </row>
    <row r="4456" spans="1:14" ht="30.6">
      <c r="A4456" s="683"/>
      <c r="B4456" s="3129" t="s">
        <v>365</v>
      </c>
      <c r="C4456" s="683" t="s">
        <v>323</v>
      </c>
      <c r="D4456" s="719" t="s">
        <v>1980</v>
      </c>
      <c r="E4456" s="720" t="s">
        <v>1935</v>
      </c>
      <c r="F4456" s="685">
        <v>7245</v>
      </c>
      <c r="G4456" s="686" t="s">
        <v>521</v>
      </c>
      <c r="H4456" s="776"/>
      <c r="I4456" s="777"/>
      <c r="J4456" s="1494" t="s">
        <v>1134</v>
      </c>
      <c r="K4456" s="949"/>
      <c r="L4456" s="776"/>
      <c r="M4456" s="777"/>
      <c r="N4456" s="125"/>
    </row>
    <row r="4457" spans="1:14">
      <c r="A4457" s="760"/>
      <c r="B4457" s="3130" t="s">
        <v>365</v>
      </c>
      <c r="C4457" s="663" t="s">
        <v>323</v>
      </c>
      <c r="D4457" s="678" t="s">
        <v>1980</v>
      </c>
      <c r="E4457" s="700" t="s">
        <v>1935</v>
      </c>
      <c r="F4457" s="679">
        <v>7245</v>
      </c>
      <c r="G4457" s="675"/>
      <c r="H4457" s="660"/>
      <c r="I4457" s="660"/>
      <c r="J4457" s="1494" t="s">
        <v>1134</v>
      </c>
      <c r="K4457" s="661"/>
      <c r="L4457" s="701"/>
      <c r="M4457" s="701"/>
      <c r="N4457" s="75"/>
    </row>
    <row r="4458" spans="1:14">
      <c r="A4458" s="975"/>
      <c r="B4458" s="720" t="s">
        <v>436</v>
      </c>
      <c r="C4458" s="683" t="s">
        <v>427</v>
      </c>
      <c r="D4458" s="684" t="s">
        <v>1320</v>
      </c>
      <c r="E4458" s="742" t="s">
        <v>968</v>
      </c>
      <c r="F4458" s="824">
        <v>1119</v>
      </c>
      <c r="G4458" s="800" t="s">
        <v>406</v>
      </c>
      <c r="H4458" s="1016">
        <v>133845</v>
      </c>
      <c r="I4458" s="1016"/>
      <c r="J4458" s="1654">
        <v>110482</v>
      </c>
      <c r="K4458" s="792"/>
      <c r="L4458" s="1016">
        <v>142404</v>
      </c>
      <c r="M4458" s="1016"/>
      <c r="N4458" s="75"/>
    </row>
    <row r="4459" spans="1:14">
      <c r="A4459" s="861"/>
      <c r="B4459" s="700" t="s">
        <v>436</v>
      </c>
      <c r="C4459" s="663" t="s">
        <v>427</v>
      </c>
      <c r="D4459" s="678" t="s">
        <v>1320</v>
      </c>
      <c r="E4459" s="700" t="s">
        <v>968</v>
      </c>
      <c r="F4459" s="795">
        <v>1119</v>
      </c>
      <c r="G4459" s="750"/>
      <c r="H4459" s="806"/>
      <c r="I4459" s="806">
        <v>135145.07999999999</v>
      </c>
      <c r="J4459" s="1654" t="s">
        <v>1134</v>
      </c>
      <c r="K4459" s="792"/>
      <c r="L4459" s="806"/>
      <c r="M4459" s="806">
        <v>142404</v>
      </c>
      <c r="N4459" s="75"/>
    </row>
    <row r="4460" spans="1:14" ht="40.799999999999997">
      <c r="A4460" s="810"/>
      <c r="B4460" s="700" t="s">
        <v>436</v>
      </c>
      <c r="C4460" s="663" t="s">
        <v>427</v>
      </c>
      <c r="D4460" s="678" t="s">
        <v>1320</v>
      </c>
      <c r="E4460" s="700" t="s">
        <v>968</v>
      </c>
      <c r="F4460" s="795">
        <v>1119</v>
      </c>
      <c r="G4460" s="2475" t="s">
        <v>5011</v>
      </c>
      <c r="H4460" s="709"/>
      <c r="I4460" s="709">
        <v>-600</v>
      </c>
      <c r="J4460" s="1654" t="s">
        <v>1134</v>
      </c>
      <c r="K4460" s="825"/>
      <c r="L4460" s="709"/>
      <c r="M4460" s="709"/>
      <c r="N4460" s="75"/>
    </row>
    <row r="4461" spans="1:14" ht="20.399999999999999">
      <c r="A4461" s="2800"/>
      <c r="B4461" s="700" t="s">
        <v>436</v>
      </c>
      <c r="C4461" s="663" t="s">
        <v>427</v>
      </c>
      <c r="D4461" s="678" t="s">
        <v>1320</v>
      </c>
      <c r="E4461" s="700" t="s">
        <v>968</v>
      </c>
      <c r="F4461" s="795">
        <v>1119</v>
      </c>
      <c r="G4461" s="2801" t="s">
        <v>5013</v>
      </c>
      <c r="H4461" s="2784"/>
      <c r="I4461" s="2784">
        <v>-700</v>
      </c>
      <c r="J4461" s="2621"/>
      <c r="K4461" s="2785"/>
      <c r="L4461" s="2784"/>
      <c r="M4461" s="2784"/>
      <c r="N4461" s="75"/>
    </row>
    <row r="4462" spans="1:14" ht="11.4" customHeight="1">
      <c r="A4462" s="683"/>
      <c r="B4462" s="720" t="s">
        <v>436</v>
      </c>
      <c r="C4462" s="683" t="s">
        <v>427</v>
      </c>
      <c r="D4462" s="684" t="s">
        <v>1320</v>
      </c>
      <c r="E4462" s="720" t="s">
        <v>968</v>
      </c>
      <c r="F4462" s="824">
        <v>1141</v>
      </c>
      <c r="G4462" s="800" t="s">
        <v>149</v>
      </c>
      <c r="H4462" s="706">
        <v>50</v>
      </c>
      <c r="I4462" s="706"/>
      <c r="J4462" s="1654">
        <v>19.82</v>
      </c>
      <c r="K4462" s="802"/>
      <c r="L4462" s="706">
        <v>50</v>
      </c>
      <c r="M4462" s="706"/>
      <c r="N4462" s="75"/>
    </row>
    <row r="4463" spans="1:14" ht="20.399999999999999">
      <c r="A4463" s="663"/>
      <c r="B4463" s="700" t="s">
        <v>436</v>
      </c>
      <c r="C4463" s="663" t="s">
        <v>427</v>
      </c>
      <c r="D4463" s="678" t="s">
        <v>1320</v>
      </c>
      <c r="E4463" s="700" t="s">
        <v>968</v>
      </c>
      <c r="F4463" s="795">
        <v>1141</v>
      </c>
      <c r="G4463" s="750" t="s">
        <v>2009</v>
      </c>
      <c r="H4463" s="701"/>
      <c r="I4463" s="806">
        <v>50</v>
      </c>
      <c r="J4463" s="1654" t="s">
        <v>1134</v>
      </c>
      <c r="K4463" s="792"/>
      <c r="L4463" s="701"/>
      <c r="M4463" s="701">
        <v>50</v>
      </c>
      <c r="N4463" s="75"/>
    </row>
    <row r="4464" spans="1:14">
      <c r="A4464" s="683"/>
      <c r="B4464" s="720" t="s">
        <v>436</v>
      </c>
      <c r="C4464" s="683" t="s">
        <v>427</v>
      </c>
      <c r="D4464" s="684" t="s">
        <v>1320</v>
      </c>
      <c r="E4464" s="720" t="s">
        <v>968</v>
      </c>
      <c r="F4464" s="824">
        <v>1142</v>
      </c>
      <c r="G4464" s="800" t="s">
        <v>737</v>
      </c>
      <c r="H4464" s="706">
        <v>1300</v>
      </c>
      <c r="I4464" s="706"/>
      <c r="J4464" s="1654">
        <v>1130</v>
      </c>
      <c r="K4464" s="802"/>
      <c r="L4464" s="706">
        <v>1200</v>
      </c>
      <c r="M4464" s="706"/>
      <c r="N4464" s="75"/>
    </row>
    <row r="4465" spans="1:14">
      <c r="A4465" s="663"/>
      <c r="B4465" s="700" t="s">
        <v>436</v>
      </c>
      <c r="C4465" s="663" t="s">
        <v>427</v>
      </c>
      <c r="D4465" s="678" t="s">
        <v>1320</v>
      </c>
      <c r="E4465" s="700" t="s">
        <v>968</v>
      </c>
      <c r="F4465" s="795">
        <v>1142</v>
      </c>
      <c r="G4465" s="750" t="s">
        <v>737</v>
      </c>
      <c r="H4465" s="701"/>
      <c r="I4465" s="806">
        <v>200</v>
      </c>
      <c r="J4465" s="1654" t="s">
        <v>1134</v>
      </c>
      <c r="K4465" s="792"/>
      <c r="L4465" s="701"/>
      <c r="M4465" s="701">
        <v>1200</v>
      </c>
      <c r="N4465" s="652"/>
    </row>
    <row r="4466" spans="1:14" ht="20.399999999999999">
      <c r="A4466" s="663"/>
      <c r="B4466" s="700" t="s">
        <v>436</v>
      </c>
      <c r="C4466" s="663" t="s">
        <v>427</v>
      </c>
      <c r="D4466" s="678" t="s">
        <v>1320</v>
      </c>
      <c r="E4466" s="700" t="s">
        <v>968</v>
      </c>
      <c r="F4466" s="795">
        <v>1142</v>
      </c>
      <c r="G4466" s="750" t="s">
        <v>1994</v>
      </c>
      <c r="H4466" s="701"/>
      <c r="I4466" s="806">
        <v>1000</v>
      </c>
      <c r="J4466" s="1654" t="s">
        <v>1134</v>
      </c>
      <c r="K4466" s="792"/>
      <c r="L4466" s="701"/>
      <c r="M4466" s="701"/>
      <c r="N4466" s="125"/>
    </row>
    <row r="4467" spans="1:14" ht="20.399999999999999">
      <c r="A4467" s="2679"/>
      <c r="B4467" s="700" t="s">
        <v>436</v>
      </c>
      <c r="C4467" s="663" t="s">
        <v>427</v>
      </c>
      <c r="D4467" s="678" t="s">
        <v>1320</v>
      </c>
      <c r="E4467" s="700" t="s">
        <v>968</v>
      </c>
      <c r="F4467" s="795">
        <v>1142</v>
      </c>
      <c r="G4467" s="2789" t="s">
        <v>4993</v>
      </c>
      <c r="H4467" s="2615"/>
      <c r="I4467" s="2787">
        <v>100</v>
      </c>
      <c r="J4467" s="2621"/>
      <c r="K4467" s="2622"/>
      <c r="L4467" s="2615"/>
      <c r="M4467" s="2615"/>
      <c r="N4467" s="652"/>
    </row>
    <row r="4468" spans="1:14">
      <c r="A4468" s="975"/>
      <c r="B4468" s="720" t="s">
        <v>436</v>
      </c>
      <c r="C4468" s="683" t="s">
        <v>427</v>
      </c>
      <c r="D4468" s="684" t="s">
        <v>1320</v>
      </c>
      <c r="E4468" s="720" t="s">
        <v>968</v>
      </c>
      <c r="F4468" s="824">
        <v>1147</v>
      </c>
      <c r="G4468" s="800" t="s">
        <v>507</v>
      </c>
      <c r="H4468" s="1016">
        <v>2586</v>
      </c>
      <c r="I4468" s="1016"/>
      <c r="J4468" s="1654">
        <v>2471</v>
      </c>
      <c r="K4468" s="792"/>
      <c r="L4468" s="1016">
        <v>2836.9500000000007</v>
      </c>
      <c r="M4468" s="1016"/>
      <c r="N4468" s="125"/>
    </row>
    <row r="4469" spans="1:14">
      <c r="A4469" s="861"/>
      <c r="B4469" s="700" t="s">
        <v>436</v>
      </c>
      <c r="C4469" s="663" t="s">
        <v>427</v>
      </c>
      <c r="D4469" s="678" t="s">
        <v>1320</v>
      </c>
      <c r="E4469" s="700" t="s">
        <v>968</v>
      </c>
      <c r="F4469" s="795">
        <v>1147</v>
      </c>
      <c r="G4469" s="2475" t="s">
        <v>1040</v>
      </c>
      <c r="H4469" s="806"/>
      <c r="I4469" s="806">
        <v>6135.8809999999994</v>
      </c>
      <c r="J4469" s="1654" t="s">
        <v>1134</v>
      </c>
      <c r="K4469" s="792"/>
      <c r="L4469" s="806"/>
      <c r="M4469" s="806">
        <v>2836.9500000000007</v>
      </c>
      <c r="N4469" s="125"/>
    </row>
    <row r="4470" spans="1:14" ht="20.399999999999999">
      <c r="A4470" s="616"/>
      <c r="B4470" s="700" t="s">
        <v>436</v>
      </c>
      <c r="C4470" s="663" t="s">
        <v>427</v>
      </c>
      <c r="D4470" s="678" t="s">
        <v>1320</v>
      </c>
      <c r="E4470" s="700" t="s">
        <v>968</v>
      </c>
      <c r="F4470" s="795">
        <v>1147</v>
      </c>
      <c r="G4470" s="2477" t="s">
        <v>2009</v>
      </c>
      <c r="H4470" s="2478"/>
      <c r="I4470" s="2478">
        <v>-50</v>
      </c>
      <c r="J4470" s="1654" t="s">
        <v>1134</v>
      </c>
      <c r="K4470" s="1439"/>
      <c r="L4470" s="2478"/>
      <c r="M4470" s="2478"/>
      <c r="N4470" s="125"/>
    </row>
    <row r="4471" spans="1:14" ht="11.4" customHeight="1">
      <c r="A4471" s="663"/>
      <c r="B4471" s="700" t="s">
        <v>436</v>
      </c>
      <c r="C4471" s="663" t="s">
        <v>427</v>
      </c>
      <c r="D4471" s="678" t="s">
        <v>1320</v>
      </c>
      <c r="E4471" s="700" t="s">
        <v>968</v>
      </c>
      <c r="F4471" s="795">
        <v>1147</v>
      </c>
      <c r="G4471" s="750" t="s">
        <v>1994</v>
      </c>
      <c r="H4471" s="701"/>
      <c r="I4471" s="806">
        <v>-1000</v>
      </c>
      <c r="J4471" s="1654" t="s">
        <v>1134</v>
      </c>
      <c r="K4471" s="792"/>
      <c r="L4471" s="701"/>
      <c r="M4471" s="701"/>
      <c r="N4471" s="125"/>
    </row>
    <row r="4472" spans="1:14" ht="20.399999999999999">
      <c r="A4472" s="2679"/>
      <c r="B4472" s="700" t="s">
        <v>436</v>
      </c>
      <c r="C4472" s="663" t="s">
        <v>427</v>
      </c>
      <c r="D4472" s="678" t="s">
        <v>1320</v>
      </c>
      <c r="E4472" s="700" t="s">
        <v>968</v>
      </c>
      <c r="F4472" s="795">
        <v>1147</v>
      </c>
      <c r="G4472" s="2605" t="s">
        <v>4994</v>
      </c>
      <c r="H4472" s="2615"/>
      <c r="I4472" s="2787">
        <v>-2500</v>
      </c>
      <c r="J4472" s="2621"/>
      <c r="K4472" s="2622"/>
      <c r="L4472" s="2615"/>
      <c r="M4472" s="2615"/>
      <c r="N4472" s="652"/>
    </row>
    <row r="4473" spans="1:14">
      <c r="A4473" s="975"/>
      <c r="B4473" s="720" t="s">
        <v>436</v>
      </c>
      <c r="C4473" s="683" t="s">
        <v>427</v>
      </c>
      <c r="D4473" s="684" t="s">
        <v>1320</v>
      </c>
      <c r="E4473" s="720" t="s">
        <v>968</v>
      </c>
      <c r="F4473" s="824">
        <v>1148</v>
      </c>
      <c r="G4473" s="800" t="s">
        <v>594</v>
      </c>
      <c r="H4473" s="1016">
        <v>7000</v>
      </c>
      <c r="I4473" s="1016"/>
      <c r="J4473" s="1654">
        <v>0</v>
      </c>
      <c r="K4473" s="792"/>
      <c r="L4473" s="1016">
        <v>6000</v>
      </c>
      <c r="M4473" s="1016"/>
      <c r="N4473" s="125"/>
    </row>
    <row r="4474" spans="1:14">
      <c r="A4474" s="861"/>
      <c r="B4474" s="700" t="s">
        <v>436</v>
      </c>
      <c r="C4474" s="663" t="s">
        <v>427</v>
      </c>
      <c r="D4474" s="678" t="s">
        <v>1320</v>
      </c>
      <c r="E4474" s="700" t="s">
        <v>968</v>
      </c>
      <c r="F4474" s="795">
        <v>1148</v>
      </c>
      <c r="G4474" s="750"/>
      <c r="H4474" s="806"/>
      <c r="I4474" s="806">
        <v>4000</v>
      </c>
      <c r="J4474" s="1654" t="s">
        <v>1134</v>
      </c>
      <c r="K4474" s="792"/>
      <c r="L4474" s="806"/>
      <c r="M4474" s="806">
        <v>6000</v>
      </c>
      <c r="N4474" s="125"/>
    </row>
    <row r="4475" spans="1:14" ht="20.399999999999999">
      <c r="A4475" s="2788"/>
      <c r="B4475" s="700" t="s">
        <v>436</v>
      </c>
      <c r="C4475" s="663" t="s">
        <v>427</v>
      </c>
      <c r="D4475" s="678" t="s">
        <v>1320</v>
      </c>
      <c r="E4475" s="700" t="s">
        <v>968</v>
      </c>
      <c r="F4475" s="795">
        <v>1148</v>
      </c>
      <c r="G4475" s="2605" t="s">
        <v>5012</v>
      </c>
      <c r="H4475" s="2787"/>
      <c r="I4475" s="2787">
        <v>500</v>
      </c>
      <c r="J4475" s="2621"/>
      <c r="K4475" s="2622"/>
      <c r="L4475" s="2787"/>
      <c r="M4475" s="2787"/>
      <c r="N4475" s="125"/>
    </row>
    <row r="4476" spans="1:14" ht="11.4" customHeight="1">
      <c r="A4476" s="2788"/>
      <c r="B4476" s="700" t="s">
        <v>436</v>
      </c>
      <c r="C4476" s="663" t="s">
        <v>427</v>
      </c>
      <c r="D4476" s="678" t="s">
        <v>1320</v>
      </c>
      <c r="E4476" s="700" t="s">
        <v>968</v>
      </c>
      <c r="F4476" s="795">
        <v>1148</v>
      </c>
      <c r="G4476" s="2605" t="s">
        <v>4994</v>
      </c>
      <c r="H4476" s="2787"/>
      <c r="I4476" s="2787">
        <v>2500</v>
      </c>
      <c r="J4476" s="2621"/>
      <c r="K4476" s="2622"/>
      <c r="L4476" s="2787"/>
      <c r="M4476" s="2787"/>
      <c r="N4476" s="125"/>
    </row>
    <row r="4477" spans="1:14" ht="11.4" customHeight="1">
      <c r="A4477" s="975"/>
      <c r="B4477" s="720" t="s">
        <v>436</v>
      </c>
      <c r="C4477" s="683" t="s">
        <v>427</v>
      </c>
      <c r="D4477" s="684" t="s">
        <v>1320</v>
      </c>
      <c r="E4477" s="720" t="s">
        <v>968</v>
      </c>
      <c r="F4477" s="824">
        <v>1170</v>
      </c>
      <c r="G4477" s="800" t="s">
        <v>475</v>
      </c>
      <c r="H4477" s="1016">
        <v>75</v>
      </c>
      <c r="I4477" s="1016"/>
      <c r="J4477" s="1654">
        <v>75</v>
      </c>
      <c r="K4477" s="792"/>
      <c r="L4477" s="1016">
        <v>75</v>
      </c>
      <c r="M4477" s="1016"/>
      <c r="N4477" s="125"/>
    </row>
    <row r="4478" spans="1:14">
      <c r="A4478" s="861"/>
      <c r="B4478" s="700" t="s">
        <v>436</v>
      </c>
      <c r="C4478" s="663" t="s">
        <v>427</v>
      </c>
      <c r="D4478" s="678" t="s">
        <v>1320</v>
      </c>
      <c r="E4478" s="700" t="s">
        <v>968</v>
      </c>
      <c r="F4478" s="795">
        <v>1170</v>
      </c>
      <c r="G4478" s="750" t="s">
        <v>864</v>
      </c>
      <c r="H4478" s="806"/>
      <c r="I4478" s="806">
        <v>75</v>
      </c>
      <c r="J4478" s="1654" t="s">
        <v>1134</v>
      </c>
      <c r="K4478" s="792"/>
      <c r="L4478" s="806"/>
      <c r="M4478" s="806">
        <v>75</v>
      </c>
      <c r="N4478" s="125"/>
    </row>
    <row r="4479" spans="1:14">
      <c r="A4479" s="975"/>
      <c r="B4479" s="720" t="s">
        <v>436</v>
      </c>
      <c r="C4479" s="683" t="s">
        <v>427</v>
      </c>
      <c r="D4479" s="684" t="s">
        <v>1320</v>
      </c>
      <c r="E4479" s="720" t="s">
        <v>968</v>
      </c>
      <c r="F4479" s="824">
        <v>1210</v>
      </c>
      <c r="G4479" s="800" t="s">
        <v>113</v>
      </c>
      <c r="H4479" s="1016">
        <v>35920</v>
      </c>
      <c r="I4479" s="1016"/>
      <c r="J4479" s="1654">
        <v>26197</v>
      </c>
      <c r="K4479" s="792"/>
      <c r="L4479" s="1016">
        <v>35503.711367249998</v>
      </c>
      <c r="M4479" s="1016"/>
      <c r="N4479" s="1968"/>
    </row>
    <row r="4480" spans="1:14">
      <c r="A4480" s="861"/>
      <c r="B4480" s="700" t="s">
        <v>436</v>
      </c>
      <c r="C4480" s="663" t="s">
        <v>427</v>
      </c>
      <c r="D4480" s="678" t="s">
        <v>1320</v>
      </c>
      <c r="E4480" s="700" t="s">
        <v>968</v>
      </c>
      <c r="F4480" s="795">
        <v>1210</v>
      </c>
      <c r="G4480" s="750"/>
      <c r="H4480" s="806"/>
      <c r="I4480" s="806">
        <v>33820.135104630004</v>
      </c>
      <c r="J4480" s="1654" t="s">
        <v>1134</v>
      </c>
      <c r="K4480" s="792"/>
      <c r="L4480" s="806"/>
      <c r="M4480" s="806">
        <v>35503.711367249998</v>
      </c>
      <c r="N4480" s="1968" t="s">
        <v>3897</v>
      </c>
    </row>
    <row r="4481" spans="1:14" ht="20.399999999999999">
      <c r="A4481" s="2788"/>
      <c r="B4481" s="700" t="s">
        <v>436</v>
      </c>
      <c r="C4481" s="663" t="s">
        <v>427</v>
      </c>
      <c r="D4481" s="678" t="s">
        <v>1320</v>
      </c>
      <c r="E4481" s="700" t="s">
        <v>968</v>
      </c>
      <c r="F4481" s="795">
        <v>1210</v>
      </c>
      <c r="G4481" s="2605" t="s">
        <v>4995</v>
      </c>
      <c r="H4481" s="2787"/>
      <c r="I4481" s="2787">
        <v>1400</v>
      </c>
      <c r="J4481" s="2621"/>
      <c r="K4481" s="2622"/>
      <c r="L4481" s="2787"/>
      <c r="M4481" s="2787"/>
      <c r="N4481" s="1968"/>
    </row>
    <row r="4482" spans="1:14" ht="11.4" customHeight="1">
      <c r="A4482" s="2800"/>
      <c r="B4482" s="700" t="s">
        <v>436</v>
      </c>
      <c r="C4482" s="663" t="s">
        <v>427</v>
      </c>
      <c r="D4482" s="678" t="s">
        <v>1320</v>
      </c>
      <c r="E4482" s="700" t="s">
        <v>968</v>
      </c>
      <c r="F4482" s="795">
        <v>1210</v>
      </c>
      <c r="G4482" s="2801" t="s">
        <v>5013</v>
      </c>
      <c r="H4482" s="2784"/>
      <c r="I4482" s="2784">
        <v>700</v>
      </c>
      <c r="J4482" s="2621"/>
      <c r="K4482" s="2785"/>
      <c r="L4482" s="2784"/>
      <c r="M4482" s="2784"/>
      <c r="N4482" s="1968"/>
    </row>
    <row r="4483" spans="1:14" ht="20.399999999999999">
      <c r="A4483" s="975"/>
      <c r="B4483" s="720" t="s">
        <v>436</v>
      </c>
      <c r="C4483" s="683" t="s">
        <v>427</v>
      </c>
      <c r="D4483" s="684" t="s">
        <v>1320</v>
      </c>
      <c r="E4483" s="720" t="s">
        <v>968</v>
      </c>
      <c r="F4483" s="824">
        <v>1221</v>
      </c>
      <c r="G4483" s="800" t="s">
        <v>175</v>
      </c>
      <c r="H4483" s="1016">
        <v>5411</v>
      </c>
      <c r="I4483" s="1016"/>
      <c r="J4483" s="1654">
        <v>5237</v>
      </c>
      <c r="K4483" s="792"/>
      <c r="L4483" s="1016">
        <v>7802.1163877500003</v>
      </c>
      <c r="M4483" s="1016"/>
      <c r="N4483" s="652"/>
    </row>
    <row r="4484" spans="1:14">
      <c r="A4484" s="861"/>
      <c r="B4484" s="700" t="s">
        <v>436</v>
      </c>
      <c r="C4484" s="663" t="s">
        <v>427</v>
      </c>
      <c r="D4484" s="678" t="s">
        <v>1320</v>
      </c>
      <c r="E4484" s="700" t="s">
        <v>968</v>
      </c>
      <c r="F4484" s="795">
        <v>1221</v>
      </c>
      <c r="G4484" s="750" t="s">
        <v>1046</v>
      </c>
      <c r="H4484" s="806"/>
      <c r="I4484" s="806">
        <v>6811</v>
      </c>
      <c r="J4484" s="1654" t="s">
        <v>1134</v>
      </c>
      <c r="K4484" s="792"/>
      <c r="L4484" s="806"/>
      <c r="M4484" s="806">
        <v>7802.1163877500003</v>
      </c>
      <c r="N4484" s="125"/>
    </row>
    <row r="4485" spans="1:14" ht="20.399999999999999">
      <c r="A4485" s="2788"/>
      <c r="B4485" s="700" t="s">
        <v>436</v>
      </c>
      <c r="C4485" s="663" t="s">
        <v>427</v>
      </c>
      <c r="D4485" s="678" t="s">
        <v>1320</v>
      </c>
      <c r="E4485" s="700" t="s">
        <v>968</v>
      </c>
      <c r="F4485" s="795">
        <v>1221</v>
      </c>
      <c r="G4485" s="2605" t="s">
        <v>4995</v>
      </c>
      <c r="H4485" s="2787"/>
      <c r="I4485" s="2787">
        <v>-1400</v>
      </c>
      <c r="J4485" s="2621"/>
      <c r="K4485" s="2622"/>
      <c r="L4485" s="2787"/>
      <c r="M4485" s="2787"/>
      <c r="N4485" s="652"/>
    </row>
    <row r="4486" spans="1:14" ht="30.6">
      <c r="A4486" s="975"/>
      <c r="B4486" s="720" t="s">
        <v>436</v>
      </c>
      <c r="C4486" s="683" t="s">
        <v>427</v>
      </c>
      <c r="D4486" s="684" t="s">
        <v>1320</v>
      </c>
      <c r="E4486" s="720" t="s">
        <v>968</v>
      </c>
      <c r="F4486" s="685">
        <v>1228</v>
      </c>
      <c r="G4486" s="686" t="s">
        <v>151</v>
      </c>
      <c r="H4486" s="976">
        <v>800</v>
      </c>
      <c r="I4486" s="976"/>
      <c r="J4486" s="1494">
        <v>730</v>
      </c>
      <c r="K4486" s="667"/>
      <c r="L4486" s="976">
        <v>400</v>
      </c>
      <c r="M4486" s="976"/>
      <c r="N4486" s="125"/>
    </row>
    <row r="4487" spans="1:14">
      <c r="A4487" s="861"/>
      <c r="B4487" s="700" t="s">
        <v>436</v>
      </c>
      <c r="C4487" s="663" t="s">
        <v>427</v>
      </c>
      <c r="D4487" s="678" t="s">
        <v>1320</v>
      </c>
      <c r="E4487" s="700" t="s">
        <v>968</v>
      </c>
      <c r="F4487" s="679">
        <v>1228</v>
      </c>
      <c r="G4487" s="723" t="s">
        <v>4660</v>
      </c>
      <c r="H4487" s="977"/>
      <c r="I4487" s="977">
        <v>800</v>
      </c>
      <c r="J4487" s="1494" t="s">
        <v>1134</v>
      </c>
      <c r="K4487" s="667"/>
      <c r="L4487" s="977"/>
      <c r="M4487" s="977">
        <v>400</v>
      </c>
      <c r="N4487" s="125"/>
    </row>
    <row r="4488" spans="1:14">
      <c r="A4488" s="975"/>
      <c r="B4488" s="720" t="s">
        <v>772</v>
      </c>
      <c r="C4488" s="683" t="s">
        <v>322</v>
      </c>
      <c r="D4488" s="684" t="s">
        <v>1320</v>
      </c>
      <c r="E4488" s="720" t="s">
        <v>968</v>
      </c>
      <c r="F4488" s="824">
        <v>2210</v>
      </c>
      <c r="G4488" s="800" t="s">
        <v>572</v>
      </c>
      <c r="H4488" s="1016">
        <v>15286</v>
      </c>
      <c r="I4488" s="1016"/>
      <c r="J4488" s="1654">
        <v>12106</v>
      </c>
      <c r="K4488" s="792"/>
      <c r="L4488" s="1016">
        <v>15286</v>
      </c>
      <c r="M4488" s="1016"/>
      <c r="N4488" s="75"/>
    </row>
    <row r="4489" spans="1:14" ht="20.399999999999999">
      <c r="A4489" s="861"/>
      <c r="B4489" s="700" t="s">
        <v>772</v>
      </c>
      <c r="C4489" s="663" t="s">
        <v>322</v>
      </c>
      <c r="D4489" s="678" t="s">
        <v>1320</v>
      </c>
      <c r="E4489" s="700" t="s">
        <v>968</v>
      </c>
      <c r="F4489" s="795">
        <v>2210</v>
      </c>
      <c r="G4489" s="750" t="s">
        <v>2089</v>
      </c>
      <c r="H4489" s="806"/>
      <c r="I4489" s="806">
        <v>7824</v>
      </c>
      <c r="J4489" s="1654" t="s">
        <v>1134</v>
      </c>
      <c r="K4489" s="792"/>
      <c r="L4489" s="806"/>
      <c r="M4489" s="806">
        <v>7824</v>
      </c>
      <c r="N4489" s="75"/>
    </row>
    <row r="4490" spans="1:14" ht="20.399999999999999">
      <c r="A4490" s="861"/>
      <c r="B4490" s="700" t="s">
        <v>772</v>
      </c>
      <c r="C4490" s="663" t="s">
        <v>322</v>
      </c>
      <c r="D4490" s="678" t="s">
        <v>1320</v>
      </c>
      <c r="E4490" s="700" t="s">
        <v>968</v>
      </c>
      <c r="F4490" s="795">
        <v>2210</v>
      </c>
      <c r="G4490" s="750" t="s">
        <v>936</v>
      </c>
      <c r="H4490" s="806"/>
      <c r="I4490" s="806">
        <v>1620</v>
      </c>
      <c r="J4490" s="1654" t="s">
        <v>1134</v>
      </c>
      <c r="K4490" s="792"/>
      <c r="L4490" s="806"/>
      <c r="M4490" s="806">
        <v>1620</v>
      </c>
      <c r="N4490" s="75"/>
    </row>
    <row r="4491" spans="1:14" ht="20.399999999999999">
      <c r="A4491" s="861"/>
      <c r="B4491" s="700" t="s">
        <v>772</v>
      </c>
      <c r="C4491" s="663" t="s">
        <v>322</v>
      </c>
      <c r="D4491" s="678" t="s">
        <v>1320</v>
      </c>
      <c r="E4491" s="700" t="s">
        <v>968</v>
      </c>
      <c r="F4491" s="795">
        <v>2210</v>
      </c>
      <c r="G4491" s="750" t="s">
        <v>863</v>
      </c>
      <c r="H4491" s="806"/>
      <c r="I4491" s="806">
        <v>600</v>
      </c>
      <c r="J4491" s="1654" t="s">
        <v>1134</v>
      </c>
      <c r="K4491" s="792"/>
      <c r="L4491" s="806"/>
      <c r="M4491" s="806">
        <v>600</v>
      </c>
      <c r="N4491" s="75"/>
    </row>
    <row r="4492" spans="1:14" ht="11.4" customHeight="1">
      <c r="A4492" s="861"/>
      <c r="B4492" s="700" t="s">
        <v>772</v>
      </c>
      <c r="C4492" s="663" t="s">
        <v>322</v>
      </c>
      <c r="D4492" s="678" t="s">
        <v>1320</v>
      </c>
      <c r="E4492" s="700" t="s">
        <v>968</v>
      </c>
      <c r="F4492" s="795">
        <v>2210</v>
      </c>
      <c r="G4492" s="750" t="s">
        <v>937</v>
      </c>
      <c r="H4492" s="806"/>
      <c r="I4492" s="806">
        <v>100</v>
      </c>
      <c r="J4492" s="1654" t="s">
        <v>1134</v>
      </c>
      <c r="K4492" s="792"/>
      <c r="L4492" s="806"/>
      <c r="M4492" s="806">
        <v>100</v>
      </c>
      <c r="N4492" s="125"/>
    </row>
    <row r="4493" spans="1:14">
      <c r="A4493" s="663"/>
      <c r="B4493" s="700" t="s">
        <v>772</v>
      </c>
      <c r="C4493" s="663" t="s">
        <v>320</v>
      </c>
      <c r="D4493" s="678" t="s">
        <v>1320</v>
      </c>
      <c r="E4493" s="700" t="s">
        <v>968</v>
      </c>
      <c r="F4493" s="795">
        <v>2210</v>
      </c>
      <c r="G4493" s="750" t="s">
        <v>2090</v>
      </c>
      <c r="H4493" s="806"/>
      <c r="I4493" s="806">
        <v>5088</v>
      </c>
      <c r="J4493" s="1654" t="s">
        <v>1134</v>
      </c>
      <c r="K4493" s="792"/>
      <c r="L4493" s="806"/>
      <c r="M4493" s="806">
        <v>5088</v>
      </c>
      <c r="N4493" s="652"/>
    </row>
    <row r="4494" spans="1:14" ht="20.399999999999999">
      <c r="A4494" s="663"/>
      <c r="B4494" s="700" t="s">
        <v>772</v>
      </c>
      <c r="C4494" s="663" t="s">
        <v>320</v>
      </c>
      <c r="D4494" s="678" t="s">
        <v>1320</v>
      </c>
      <c r="E4494" s="700" t="s">
        <v>968</v>
      </c>
      <c r="F4494" s="795">
        <v>2210</v>
      </c>
      <c r="G4494" s="750" t="s">
        <v>2091</v>
      </c>
      <c r="H4494" s="806"/>
      <c r="I4494" s="806">
        <v>54</v>
      </c>
      <c r="J4494" s="1654" t="s">
        <v>1134</v>
      </c>
      <c r="K4494" s="792"/>
      <c r="L4494" s="806"/>
      <c r="M4494" s="806">
        <v>54</v>
      </c>
      <c r="N4494" s="125"/>
    </row>
    <row r="4495" spans="1:14" ht="11.4" customHeight="1">
      <c r="A4495" s="683"/>
      <c r="B4495" s="720" t="s">
        <v>772</v>
      </c>
      <c r="C4495" s="683" t="s">
        <v>322</v>
      </c>
      <c r="D4495" s="684" t="s">
        <v>1320</v>
      </c>
      <c r="E4495" s="720" t="s">
        <v>968</v>
      </c>
      <c r="F4495" s="824">
        <v>2234</v>
      </c>
      <c r="G4495" s="800" t="s">
        <v>1885</v>
      </c>
      <c r="H4495" s="706">
        <v>150</v>
      </c>
      <c r="I4495" s="706"/>
      <c r="J4495" s="1654">
        <v>0</v>
      </c>
      <c r="K4495" s="802"/>
      <c r="L4495" s="706">
        <v>150</v>
      </c>
      <c r="M4495" s="706"/>
      <c r="N4495" s="125"/>
    </row>
    <row r="4496" spans="1:14">
      <c r="A4496" s="663"/>
      <c r="B4496" s="700" t="s">
        <v>772</v>
      </c>
      <c r="C4496" s="663" t="s">
        <v>322</v>
      </c>
      <c r="D4496" s="678" t="s">
        <v>1320</v>
      </c>
      <c r="E4496" s="700" t="s">
        <v>968</v>
      </c>
      <c r="F4496" s="795">
        <v>2234</v>
      </c>
      <c r="G4496" s="750" t="s">
        <v>2574</v>
      </c>
      <c r="H4496" s="701"/>
      <c r="I4496" s="806">
        <v>150</v>
      </c>
      <c r="J4496" s="1654" t="s">
        <v>1134</v>
      </c>
      <c r="K4496" s="792"/>
      <c r="L4496" s="701"/>
      <c r="M4496" s="701">
        <v>150</v>
      </c>
      <c r="N4496" s="75"/>
    </row>
    <row r="4497" spans="1:14">
      <c r="A4497" s="683"/>
      <c r="B4497" s="720" t="s">
        <v>772</v>
      </c>
      <c r="C4497" s="683" t="s">
        <v>322</v>
      </c>
      <c r="D4497" s="684" t="s">
        <v>1320</v>
      </c>
      <c r="E4497" s="720" t="s">
        <v>968</v>
      </c>
      <c r="F4497" s="824">
        <v>2235</v>
      </c>
      <c r="G4497" s="800" t="s">
        <v>738</v>
      </c>
      <c r="H4497" s="706">
        <v>2500</v>
      </c>
      <c r="I4497" s="706"/>
      <c r="J4497" s="1654">
        <v>0</v>
      </c>
      <c r="K4497" s="802"/>
      <c r="L4497" s="706">
        <v>2500</v>
      </c>
      <c r="M4497" s="706"/>
      <c r="N4497" s="75"/>
    </row>
    <row r="4498" spans="1:14" ht="11.4" customHeight="1">
      <c r="A4498" s="663"/>
      <c r="B4498" s="700" t="s">
        <v>772</v>
      </c>
      <c r="C4498" s="663" t="s">
        <v>322</v>
      </c>
      <c r="D4498" s="678" t="s">
        <v>1320</v>
      </c>
      <c r="E4498" s="700" t="s">
        <v>968</v>
      </c>
      <c r="F4498" s="795">
        <v>2235</v>
      </c>
      <c r="G4498" s="750" t="s">
        <v>2092</v>
      </c>
      <c r="H4498" s="701"/>
      <c r="I4498" s="806">
        <v>2500</v>
      </c>
      <c r="J4498" s="1654" t="s">
        <v>1134</v>
      </c>
      <c r="K4498" s="792"/>
      <c r="L4498" s="701"/>
      <c r="M4498" s="701">
        <v>2500</v>
      </c>
      <c r="N4498" s="75"/>
    </row>
    <row r="4499" spans="1:14">
      <c r="A4499" s="683"/>
      <c r="B4499" s="720" t="s">
        <v>772</v>
      </c>
      <c r="C4499" s="683" t="s">
        <v>322</v>
      </c>
      <c r="D4499" s="684" t="s">
        <v>1320</v>
      </c>
      <c r="E4499" s="720" t="s">
        <v>968</v>
      </c>
      <c r="F4499" s="824">
        <v>2239</v>
      </c>
      <c r="G4499" s="800" t="s">
        <v>1017</v>
      </c>
      <c r="H4499" s="706"/>
      <c r="I4499" s="706"/>
      <c r="J4499" s="1654" t="s">
        <v>1134</v>
      </c>
      <c r="K4499" s="802"/>
      <c r="L4499" s="706"/>
      <c r="M4499" s="706"/>
      <c r="N4499" s="125"/>
    </row>
    <row r="4500" spans="1:14">
      <c r="A4500" s="663"/>
      <c r="B4500" s="700" t="s">
        <v>772</v>
      </c>
      <c r="C4500" s="663" t="s">
        <v>322</v>
      </c>
      <c r="D4500" s="678" t="s">
        <v>1320</v>
      </c>
      <c r="E4500" s="700" t="s">
        <v>968</v>
      </c>
      <c r="F4500" s="795">
        <v>2239</v>
      </c>
      <c r="G4500" s="750" t="s">
        <v>1140</v>
      </c>
      <c r="H4500" s="701"/>
      <c r="I4500" s="806"/>
      <c r="J4500" s="1654" t="s">
        <v>1134</v>
      </c>
      <c r="K4500" s="792"/>
      <c r="L4500" s="701"/>
      <c r="M4500" s="701"/>
      <c r="N4500" s="1968"/>
    </row>
    <row r="4501" spans="1:14" ht="20.399999999999999">
      <c r="A4501" s="683"/>
      <c r="B4501" s="720" t="s">
        <v>772</v>
      </c>
      <c r="C4501" s="683" t="s">
        <v>322</v>
      </c>
      <c r="D4501" s="684" t="s">
        <v>1320</v>
      </c>
      <c r="E4501" s="720" t="s">
        <v>968</v>
      </c>
      <c r="F4501" s="824">
        <v>2243</v>
      </c>
      <c r="G4501" s="800" t="s">
        <v>198</v>
      </c>
      <c r="H4501" s="706">
        <v>14128</v>
      </c>
      <c r="I4501" s="706"/>
      <c r="J4501" s="1654">
        <v>964</v>
      </c>
      <c r="K4501" s="802"/>
      <c r="L4501" s="706">
        <v>10000</v>
      </c>
      <c r="M4501" s="706"/>
      <c r="N4501" s="1223"/>
    </row>
    <row r="4502" spans="1:14" ht="20.399999999999999">
      <c r="A4502" s="663"/>
      <c r="B4502" s="700" t="s">
        <v>772</v>
      </c>
      <c r="C4502" s="663" t="s">
        <v>322</v>
      </c>
      <c r="D4502" s="678" t="s">
        <v>1320</v>
      </c>
      <c r="E4502" s="700" t="s">
        <v>968</v>
      </c>
      <c r="F4502" s="795">
        <v>2243</v>
      </c>
      <c r="G4502" s="750" t="s">
        <v>1224</v>
      </c>
      <c r="H4502" s="701"/>
      <c r="I4502" s="806">
        <v>3000</v>
      </c>
      <c r="J4502" s="1654" t="s">
        <v>1134</v>
      </c>
      <c r="K4502" s="792"/>
      <c r="L4502" s="701"/>
      <c r="M4502" s="806">
        <v>3000</v>
      </c>
      <c r="N4502" s="1223"/>
    </row>
    <row r="4503" spans="1:14" ht="51">
      <c r="A4503" s="1145"/>
      <c r="B4503" s="700" t="s">
        <v>772</v>
      </c>
      <c r="C4503" s="663" t="s">
        <v>322</v>
      </c>
      <c r="D4503" s="678" t="s">
        <v>1320</v>
      </c>
      <c r="E4503" s="700" t="s">
        <v>968</v>
      </c>
      <c r="F4503" s="795">
        <v>2243</v>
      </c>
      <c r="G4503" s="2463" t="s">
        <v>3196</v>
      </c>
      <c r="H4503" s="1165"/>
      <c r="I4503" s="1165">
        <v>11328</v>
      </c>
      <c r="J4503" s="1654" t="s">
        <v>1134</v>
      </c>
      <c r="K4503" s="1439"/>
      <c r="L4503" s="1165"/>
      <c r="M4503" s="1165">
        <v>7000</v>
      </c>
      <c r="N4503" s="1223"/>
    </row>
    <row r="4504" spans="1:14" ht="20.399999999999999">
      <c r="A4504" s="1556"/>
      <c r="B4504" s="1590" t="s">
        <v>772</v>
      </c>
      <c r="C4504" s="1495" t="s">
        <v>322</v>
      </c>
      <c r="D4504" s="1561" t="s">
        <v>1320</v>
      </c>
      <c r="E4504" s="1590" t="s">
        <v>968</v>
      </c>
      <c r="F4504" s="1562">
        <v>2243</v>
      </c>
      <c r="G4504" s="2464" t="s">
        <v>3384</v>
      </c>
      <c r="H4504" s="1557"/>
      <c r="I4504" s="1557">
        <v>-200</v>
      </c>
      <c r="J4504" s="1654"/>
      <c r="K4504" s="1563"/>
      <c r="L4504" s="1557"/>
      <c r="M4504" s="1557"/>
      <c r="N4504" s="1223"/>
    </row>
    <row r="4505" spans="1:14">
      <c r="A4505" s="683"/>
      <c r="B4505" s="720" t="s">
        <v>772</v>
      </c>
      <c r="C4505" s="683" t="s">
        <v>322</v>
      </c>
      <c r="D4505" s="684" t="s">
        <v>1320</v>
      </c>
      <c r="E4505" s="720" t="s">
        <v>968</v>
      </c>
      <c r="F4505" s="824">
        <v>2247</v>
      </c>
      <c r="G4505" s="800" t="s">
        <v>161</v>
      </c>
      <c r="H4505" s="706">
        <v>1000</v>
      </c>
      <c r="I4505" s="706"/>
      <c r="J4505" s="1654">
        <v>750</v>
      </c>
      <c r="K4505" s="802"/>
      <c r="L4505" s="706">
        <v>1000</v>
      </c>
      <c r="M4505" s="706"/>
      <c r="N4505" s="1223"/>
    </row>
    <row r="4506" spans="1:14">
      <c r="A4506" s="663"/>
      <c r="B4506" s="700" t="s">
        <v>772</v>
      </c>
      <c r="C4506" s="663" t="s">
        <v>322</v>
      </c>
      <c r="D4506" s="678" t="s">
        <v>1320</v>
      </c>
      <c r="E4506" s="700" t="s">
        <v>968</v>
      </c>
      <c r="F4506" s="795">
        <v>2247</v>
      </c>
      <c r="G4506" s="750" t="s">
        <v>1162</v>
      </c>
      <c r="H4506" s="701"/>
      <c r="I4506" s="806">
        <v>1000</v>
      </c>
      <c r="J4506" s="1654" t="s">
        <v>1134</v>
      </c>
      <c r="K4506" s="792"/>
      <c r="L4506" s="701"/>
      <c r="M4506" s="701">
        <v>1000</v>
      </c>
      <c r="N4506" s="1223"/>
    </row>
    <row r="4507" spans="1:14">
      <c r="A4507" s="975"/>
      <c r="B4507" s="720" t="s">
        <v>772</v>
      </c>
      <c r="C4507" s="683" t="s">
        <v>320</v>
      </c>
      <c r="D4507" s="684" t="s">
        <v>1320</v>
      </c>
      <c r="E4507" s="720" t="s">
        <v>968</v>
      </c>
      <c r="F4507" s="824">
        <v>2250</v>
      </c>
      <c r="G4507" s="800" t="s">
        <v>124</v>
      </c>
      <c r="H4507" s="1016">
        <v>126442</v>
      </c>
      <c r="I4507" s="1016"/>
      <c r="J4507" s="1654">
        <v>104147</v>
      </c>
      <c r="K4507" s="792"/>
      <c r="L4507" s="1016">
        <v>161402</v>
      </c>
      <c r="M4507" s="1016"/>
      <c r="N4507" s="1223"/>
    </row>
    <row r="4508" spans="1:14">
      <c r="A4508" s="861"/>
      <c r="B4508" s="700" t="s">
        <v>772</v>
      </c>
      <c r="C4508" s="663" t="s">
        <v>320</v>
      </c>
      <c r="D4508" s="678" t="s">
        <v>1320</v>
      </c>
      <c r="E4508" s="700" t="s">
        <v>968</v>
      </c>
      <c r="F4508" s="795">
        <v>2250</v>
      </c>
      <c r="G4508" s="750" t="s">
        <v>2094</v>
      </c>
      <c r="H4508" s="806"/>
      <c r="I4508" s="806">
        <v>3200</v>
      </c>
      <c r="J4508" s="1654"/>
      <c r="K4508" s="825"/>
      <c r="L4508" s="709"/>
      <c r="M4508" s="709">
        <v>3200</v>
      </c>
      <c r="N4508" s="1065"/>
    </row>
    <row r="4509" spans="1:14">
      <c r="A4509" s="861"/>
      <c r="B4509" s="700" t="s">
        <v>772</v>
      </c>
      <c r="C4509" s="663" t="s">
        <v>320</v>
      </c>
      <c r="D4509" s="678" t="s">
        <v>1320</v>
      </c>
      <c r="E4509" s="700" t="s">
        <v>968</v>
      </c>
      <c r="F4509" s="795">
        <v>2250</v>
      </c>
      <c r="G4509" s="750" t="s">
        <v>2095</v>
      </c>
      <c r="H4509" s="806"/>
      <c r="I4509" s="806">
        <v>11000</v>
      </c>
      <c r="J4509" s="1654"/>
      <c r="K4509" s="825"/>
      <c r="L4509" s="709"/>
      <c r="M4509" s="709">
        <v>13000</v>
      </c>
      <c r="N4509" s="1223"/>
    </row>
    <row r="4510" spans="1:14" ht="20.399999999999999">
      <c r="A4510" s="663"/>
      <c r="B4510" s="700" t="s">
        <v>772</v>
      </c>
      <c r="C4510" s="663" t="s">
        <v>320</v>
      </c>
      <c r="D4510" s="678" t="s">
        <v>1320</v>
      </c>
      <c r="E4510" s="700" t="s">
        <v>968</v>
      </c>
      <c r="F4510" s="795">
        <v>2250</v>
      </c>
      <c r="G4510" s="750" t="s">
        <v>2096</v>
      </c>
      <c r="H4510" s="701"/>
      <c r="I4510" s="701">
        <v>16000</v>
      </c>
      <c r="J4510" s="1654"/>
      <c r="K4510" s="792"/>
      <c r="L4510" s="701"/>
      <c r="M4510" s="709">
        <v>16000</v>
      </c>
      <c r="N4510" s="1223"/>
    </row>
    <row r="4511" spans="1:14">
      <c r="A4511" s="861"/>
      <c r="B4511" s="700" t="s">
        <v>772</v>
      </c>
      <c r="C4511" s="663" t="s">
        <v>320</v>
      </c>
      <c r="D4511" s="678" t="s">
        <v>1320</v>
      </c>
      <c r="E4511" s="700" t="s">
        <v>968</v>
      </c>
      <c r="F4511" s="795">
        <v>2250</v>
      </c>
      <c r="G4511" s="750" t="s">
        <v>2097</v>
      </c>
      <c r="H4511" s="806"/>
      <c r="I4511" s="806">
        <v>1680</v>
      </c>
      <c r="J4511" s="1654"/>
      <c r="K4511" s="825"/>
      <c r="L4511" s="709"/>
      <c r="M4511" s="709">
        <v>1680</v>
      </c>
      <c r="N4511" s="1223"/>
    </row>
    <row r="4512" spans="1:14" ht="30.6">
      <c r="A4512" s="861"/>
      <c r="B4512" s="700" t="s">
        <v>772</v>
      </c>
      <c r="C4512" s="663" t="s">
        <v>320</v>
      </c>
      <c r="D4512" s="678" t="s">
        <v>1320</v>
      </c>
      <c r="E4512" s="700" t="s">
        <v>968</v>
      </c>
      <c r="F4512" s="795">
        <v>2250</v>
      </c>
      <c r="G4512" s="750" t="s">
        <v>1133</v>
      </c>
      <c r="H4512" s="806"/>
      <c r="I4512" s="806">
        <v>8000</v>
      </c>
      <c r="J4512" s="1654" t="s">
        <v>1134</v>
      </c>
      <c r="K4512" s="825"/>
      <c r="L4512" s="709"/>
      <c r="M4512" s="709">
        <v>8000</v>
      </c>
      <c r="N4512" s="1223"/>
    </row>
    <row r="4513" spans="1:14">
      <c r="A4513" s="861"/>
      <c r="B4513" s="700" t="s">
        <v>772</v>
      </c>
      <c r="C4513" s="663" t="s">
        <v>320</v>
      </c>
      <c r="D4513" s="678" t="s">
        <v>1320</v>
      </c>
      <c r="E4513" s="700" t="s">
        <v>968</v>
      </c>
      <c r="F4513" s="795">
        <v>2250</v>
      </c>
      <c r="G4513" s="750" t="s">
        <v>1006</v>
      </c>
      <c r="H4513" s="806"/>
      <c r="I4513" s="806">
        <v>85912</v>
      </c>
      <c r="J4513" s="1654" t="s">
        <v>1134</v>
      </c>
      <c r="K4513" s="825"/>
      <c r="L4513" s="709"/>
      <c r="M4513" s="709">
        <v>119522</v>
      </c>
      <c r="N4513" s="1223"/>
    </row>
    <row r="4514" spans="1:14" ht="30.6">
      <c r="A4514" s="861"/>
      <c r="B4514" s="700" t="s">
        <v>772</v>
      </c>
      <c r="C4514" s="663" t="s">
        <v>320</v>
      </c>
      <c r="D4514" s="678" t="s">
        <v>1320</v>
      </c>
      <c r="E4514" s="700" t="s">
        <v>968</v>
      </c>
      <c r="F4514" s="795">
        <v>2250</v>
      </c>
      <c r="G4514" s="750" t="s">
        <v>3385</v>
      </c>
      <c r="H4514" s="806"/>
      <c r="I4514" s="806">
        <v>650</v>
      </c>
      <c r="J4514" s="1654" t="s">
        <v>1134</v>
      </c>
      <c r="K4514" s="825"/>
      <c r="L4514" s="709"/>
      <c r="M4514" s="709"/>
      <c r="N4514" s="305"/>
    </row>
    <row r="4515" spans="1:14">
      <c r="A4515" s="663"/>
      <c r="B4515" s="700" t="s">
        <v>772</v>
      </c>
      <c r="C4515" s="663" t="s">
        <v>322</v>
      </c>
      <c r="D4515" s="678" t="s">
        <v>1320</v>
      </c>
      <c r="E4515" s="700" t="s">
        <v>968</v>
      </c>
      <c r="F4515" s="795">
        <v>2250</v>
      </c>
      <c r="G4515" s="750" t="s">
        <v>1438</v>
      </c>
      <c r="H4515" s="701"/>
      <c r="I4515" s="701">
        <v>0</v>
      </c>
      <c r="J4515" s="1654" t="s">
        <v>1134</v>
      </c>
      <c r="K4515" s="792"/>
      <c r="L4515" s="701"/>
      <c r="M4515" s="701">
        <v>0</v>
      </c>
      <c r="N4515" s="381" t="s">
        <v>2690</v>
      </c>
    </row>
    <row r="4516" spans="1:14">
      <c r="A4516" s="663"/>
      <c r="B4516" s="700" t="s">
        <v>772</v>
      </c>
      <c r="C4516" s="663" t="s">
        <v>322</v>
      </c>
      <c r="D4516" s="678" t="s">
        <v>1320</v>
      </c>
      <c r="E4516" s="700" t="s">
        <v>968</v>
      </c>
      <c r="F4516" s="795">
        <v>2250</v>
      </c>
      <c r="G4516" s="750" t="s">
        <v>1439</v>
      </c>
      <c r="H4516" s="701"/>
      <c r="I4516" s="701">
        <v>0</v>
      </c>
      <c r="J4516" s="1654" t="s">
        <v>1134</v>
      </c>
      <c r="K4516" s="792"/>
      <c r="L4516" s="701"/>
      <c r="M4516" s="701">
        <v>0</v>
      </c>
      <c r="N4516" s="381"/>
    </row>
    <row r="4517" spans="1:14" ht="20.399999999999999">
      <c r="A4517" s="663"/>
      <c r="B4517" s="700" t="s">
        <v>772</v>
      </c>
      <c r="C4517" s="663" t="s">
        <v>322</v>
      </c>
      <c r="D4517" s="678" t="s">
        <v>1320</v>
      </c>
      <c r="E4517" s="700" t="s">
        <v>968</v>
      </c>
      <c r="F4517" s="795">
        <v>2250</v>
      </c>
      <c r="G4517" s="750" t="s">
        <v>1440</v>
      </c>
      <c r="H4517" s="701"/>
      <c r="I4517" s="701">
        <v>0</v>
      </c>
      <c r="J4517" s="1654" t="s">
        <v>1134</v>
      </c>
      <c r="K4517" s="792"/>
      <c r="L4517" s="701"/>
      <c r="M4517" s="701">
        <v>0</v>
      </c>
      <c r="N4517" s="305"/>
    </row>
    <row r="4518" spans="1:14" ht="20.399999999999999">
      <c r="A4518" s="2679"/>
      <c r="B4518" s="700" t="s">
        <v>772</v>
      </c>
      <c r="C4518" s="663" t="s">
        <v>322</v>
      </c>
      <c r="D4518" s="678" t="s">
        <v>1320</v>
      </c>
      <c r="E4518" s="700" t="s">
        <v>968</v>
      </c>
      <c r="F4518" s="795">
        <v>2250</v>
      </c>
      <c r="G4518" s="2605" t="s">
        <v>5058</v>
      </c>
      <c r="H4518" s="2615"/>
      <c r="I4518" s="2615"/>
      <c r="J4518" s="2621"/>
      <c r="K4518" s="2622"/>
      <c r="L4518" s="2615"/>
      <c r="M4518" s="2615">
        <v>0</v>
      </c>
      <c r="N4518" s="305"/>
    </row>
    <row r="4519" spans="1:14">
      <c r="A4519" s="975"/>
      <c r="B4519" s="3129" t="s">
        <v>773</v>
      </c>
      <c r="C4519" s="683" t="s">
        <v>320</v>
      </c>
      <c r="D4519" s="684" t="s">
        <v>1320</v>
      </c>
      <c r="E4519" s="1406" t="s">
        <v>968</v>
      </c>
      <c r="F4519" s="1698">
        <v>2250</v>
      </c>
      <c r="G4519" s="1691" t="s">
        <v>124</v>
      </c>
      <c r="H4519" s="2465">
        <v>18100</v>
      </c>
      <c r="I4519" s="2465"/>
      <c r="J4519" s="1684"/>
      <c r="K4519" s="1685"/>
      <c r="L4519" s="2465">
        <v>0</v>
      </c>
      <c r="M4519" s="2465"/>
      <c r="N4519" s="305"/>
    </row>
    <row r="4520" spans="1:14" ht="20.399999999999999">
      <c r="A4520" s="663"/>
      <c r="B4520" s="3130" t="s">
        <v>773</v>
      </c>
      <c r="C4520" s="663" t="s">
        <v>320</v>
      </c>
      <c r="D4520" s="678" t="s">
        <v>1320</v>
      </c>
      <c r="E4520" s="1407" t="s">
        <v>968</v>
      </c>
      <c r="F4520" s="1413">
        <v>2250</v>
      </c>
      <c r="G4520" s="818" t="s">
        <v>2098</v>
      </c>
      <c r="H4520" s="1683"/>
      <c r="I4520" s="1683">
        <v>13000</v>
      </c>
      <c r="J4520" s="1684" t="s">
        <v>1134</v>
      </c>
      <c r="K4520" s="1685"/>
      <c r="L4520" s="1683"/>
      <c r="M4520" s="1683"/>
      <c r="N4520" s="305"/>
    </row>
    <row r="4521" spans="1:14" ht="20.399999999999999">
      <c r="A4521" s="663"/>
      <c r="B4521" s="3130" t="s">
        <v>773</v>
      </c>
      <c r="C4521" s="663" t="s">
        <v>320</v>
      </c>
      <c r="D4521" s="678" t="s">
        <v>1320</v>
      </c>
      <c r="E4521" s="1407" t="s">
        <v>968</v>
      </c>
      <c r="F4521" s="1413">
        <v>2250</v>
      </c>
      <c r="G4521" s="818" t="s">
        <v>2099</v>
      </c>
      <c r="H4521" s="1683"/>
      <c r="I4521" s="1683">
        <v>5100</v>
      </c>
      <c r="J4521" s="1684" t="s">
        <v>1134</v>
      </c>
      <c r="K4521" s="1685"/>
      <c r="L4521" s="1683"/>
      <c r="M4521" s="1683"/>
      <c r="N4521" s="305"/>
    </row>
    <row r="4522" spans="1:14">
      <c r="A4522" s="975"/>
      <c r="B4522" s="720" t="s">
        <v>772</v>
      </c>
      <c r="C4522" s="683" t="s">
        <v>322</v>
      </c>
      <c r="D4522" s="684" t="s">
        <v>1320</v>
      </c>
      <c r="E4522" s="1406" t="s">
        <v>968</v>
      </c>
      <c r="F4522" s="1698">
        <v>2311</v>
      </c>
      <c r="G4522" s="1691" t="s">
        <v>260</v>
      </c>
      <c r="H4522" s="2465">
        <v>500</v>
      </c>
      <c r="I4522" s="2465"/>
      <c r="J4522" s="1684">
        <v>413</v>
      </c>
      <c r="K4522" s="1685"/>
      <c r="L4522" s="2465">
        <v>300</v>
      </c>
      <c r="M4522" s="2465"/>
      <c r="N4522" s="305"/>
    </row>
    <row r="4523" spans="1:14">
      <c r="A4523" s="861"/>
      <c r="B4523" s="700" t="s">
        <v>772</v>
      </c>
      <c r="C4523" s="663" t="s">
        <v>322</v>
      </c>
      <c r="D4523" s="678" t="s">
        <v>1320</v>
      </c>
      <c r="E4523" s="1407" t="s">
        <v>968</v>
      </c>
      <c r="F4523" s="1413">
        <v>2311</v>
      </c>
      <c r="G4523" s="818" t="s">
        <v>260</v>
      </c>
      <c r="H4523" s="2466"/>
      <c r="I4523" s="2466">
        <v>300</v>
      </c>
      <c r="J4523" s="1805"/>
      <c r="K4523" s="1685"/>
      <c r="L4523" s="2466"/>
      <c r="M4523" s="1805">
        <v>300</v>
      </c>
      <c r="N4523" s="381" t="s">
        <v>2316</v>
      </c>
    </row>
    <row r="4524" spans="1:14" ht="20.399999999999999">
      <c r="A4524" s="1556"/>
      <c r="B4524" s="700" t="s">
        <v>772</v>
      </c>
      <c r="C4524" s="663" t="s">
        <v>322</v>
      </c>
      <c r="D4524" s="678" t="s">
        <v>1320</v>
      </c>
      <c r="E4524" s="1407" t="s">
        <v>968</v>
      </c>
      <c r="F4524" s="1413">
        <v>2311</v>
      </c>
      <c r="G4524" s="2467" t="s">
        <v>3384</v>
      </c>
      <c r="H4524" s="1805"/>
      <c r="I4524" s="1805">
        <v>200</v>
      </c>
      <c r="J4524" s="1805"/>
      <c r="K4524" s="1807"/>
      <c r="L4524" s="1805"/>
      <c r="M4524" s="1805"/>
      <c r="N4524" s="305" t="s">
        <v>4715</v>
      </c>
    </row>
    <row r="4525" spans="1:14">
      <c r="A4525" s="975"/>
      <c r="B4525" s="720" t="s">
        <v>772</v>
      </c>
      <c r="C4525" s="683" t="s">
        <v>320</v>
      </c>
      <c r="D4525" s="684" t="s">
        <v>1320</v>
      </c>
      <c r="E4525" s="1406" t="s">
        <v>968</v>
      </c>
      <c r="F4525" s="1698">
        <v>2312</v>
      </c>
      <c r="G4525" s="1691" t="s">
        <v>131</v>
      </c>
      <c r="H4525" s="2465">
        <v>14000</v>
      </c>
      <c r="I4525" s="2465"/>
      <c r="J4525" s="1684">
        <v>14211</v>
      </c>
      <c r="K4525" s="1685"/>
      <c r="L4525" s="2465">
        <v>27320</v>
      </c>
      <c r="M4525" s="2465"/>
      <c r="N4525" s="1980"/>
    </row>
    <row r="4526" spans="1:14" ht="30.6">
      <c r="A4526" s="861"/>
      <c r="B4526" s="700" t="s">
        <v>772</v>
      </c>
      <c r="C4526" s="663" t="s">
        <v>320</v>
      </c>
      <c r="D4526" s="678" t="s">
        <v>1320</v>
      </c>
      <c r="E4526" s="1407" t="s">
        <v>968</v>
      </c>
      <c r="F4526" s="1413">
        <v>2312</v>
      </c>
      <c r="G4526" s="2178" t="s">
        <v>4666</v>
      </c>
      <c r="H4526" s="2468"/>
      <c r="I4526" s="2468">
        <v>6000</v>
      </c>
      <c r="J4526" s="2175" t="s">
        <v>1134</v>
      </c>
      <c r="K4526" s="2176"/>
      <c r="L4526" s="2468"/>
      <c r="M4526" s="2468">
        <v>11775</v>
      </c>
      <c r="N4526" s="381"/>
    </row>
    <row r="4527" spans="1:14" ht="20.399999999999999">
      <c r="A4527" s="861"/>
      <c r="B4527" s="700" t="s">
        <v>772</v>
      </c>
      <c r="C4527" s="663" t="s">
        <v>320</v>
      </c>
      <c r="D4527" s="678" t="s">
        <v>1320</v>
      </c>
      <c r="E4527" s="1407" t="s">
        <v>968</v>
      </c>
      <c r="F4527" s="1413">
        <v>2312</v>
      </c>
      <c r="G4527" s="2178" t="s">
        <v>4667</v>
      </c>
      <c r="H4527" s="2468"/>
      <c r="I4527" s="2468">
        <v>5000</v>
      </c>
      <c r="J4527" s="2175" t="s">
        <v>1134</v>
      </c>
      <c r="K4527" s="2176"/>
      <c r="L4527" s="2468"/>
      <c r="M4527" s="2468">
        <v>9680</v>
      </c>
      <c r="N4527" s="305"/>
    </row>
    <row r="4528" spans="1:14" ht="30.6" customHeight="1">
      <c r="A4528" s="861"/>
      <c r="B4528" s="700" t="s">
        <v>772</v>
      </c>
      <c r="C4528" s="663" t="s">
        <v>320</v>
      </c>
      <c r="D4528" s="678" t="s">
        <v>1320</v>
      </c>
      <c r="E4528" s="1407" t="s">
        <v>968</v>
      </c>
      <c r="F4528" s="1413">
        <v>2312</v>
      </c>
      <c r="G4528" s="2178" t="s">
        <v>4668</v>
      </c>
      <c r="H4528" s="2468"/>
      <c r="I4528" s="2468">
        <v>3000</v>
      </c>
      <c r="J4528" s="2175" t="s">
        <v>1134</v>
      </c>
      <c r="K4528" s="2176"/>
      <c r="L4528" s="2468"/>
      <c r="M4528" s="2468">
        <v>5865</v>
      </c>
      <c r="N4528" s="381"/>
    </row>
    <row r="4529" spans="1:14">
      <c r="A4529" s="975"/>
      <c r="B4529" s="720" t="s">
        <v>772</v>
      </c>
      <c r="C4529" s="683" t="s">
        <v>320</v>
      </c>
      <c r="D4529" s="684" t="s">
        <v>1320</v>
      </c>
      <c r="E4529" s="720" t="s">
        <v>968</v>
      </c>
      <c r="F4529" s="824">
        <v>2322</v>
      </c>
      <c r="G4529" s="800" t="s">
        <v>191</v>
      </c>
      <c r="H4529" s="1016">
        <v>1800</v>
      </c>
      <c r="I4529" s="1016"/>
      <c r="J4529" s="1654">
        <v>633</v>
      </c>
      <c r="K4529" s="792"/>
      <c r="L4529" s="1016">
        <v>1800</v>
      </c>
      <c r="M4529" s="1016"/>
      <c r="N4529" s="305"/>
    </row>
    <row r="4530" spans="1:14">
      <c r="A4530" s="861"/>
      <c r="B4530" s="700" t="s">
        <v>772</v>
      </c>
      <c r="C4530" s="663" t="s">
        <v>320</v>
      </c>
      <c r="D4530" s="678" t="s">
        <v>1320</v>
      </c>
      <c r="E4530" s="700" t="s">
        <v>968</v>
      </c>
      <c r="F4530" s="795">
        <v>2322</v>
      </c>
      <c r="G4530" s="750" t="s">
        <v>2753</v>
      </c>
      <c r="H4530" s="806"/>
      <c r="I4530" s="806">
        <v>1800</v>
      </c>
      <c r="J4530" s="1654" t="s">
        <v>1134</v>
      </c>
      <c r="K4530" s="792"/>
      <c r="L4530" s="806"/>
      <c r="M4530" s="806">
        <v>1800</v>
      </c>
      <c r="N4530" s="305"/>
    </row>
    <row r="4531" spans="1:14">
      <c r="A4531" s="975"/>
      <c r="B4531" s="720" t="s">
        <v>772</v>
      </c>
      <c r="C4531" s="683" t="s">
        <v>322</v>
      </c>
      <c r="D4531" s="684" t="s">
        <v>1320</v>
      </c>
      <c r="E4531" s="720" t="s">
        <v>968</v>
      </c>
      <c r="F4531" s="824">
        <v>2350</v>
      </c>
      <c r="G4531" s="800" t="s">
        <v>735</v>
      </c>
      <c r="H4531" s="1016">
        <v>17000</v>
      </c>
      <c r="I4531" s="1016"/>
      <c r="J4531" s="1654">
        <v>13161</v>
      </c>
      <c r="K4531" s="792"/>
      <c r="L4531" s="1016">
        <v>22350</v>
      </c>
      <c r="M4531" s="1016"/>
      <c r="N4531" s="305"/>
    </row>
    <row r="4532" spans="1:14" ht="71.400000000000006">
      <c r="A4532" s="861"/>
      <c r="B4532" s="700" t="s">
        <v>772</v>
      </c>
      <c r="C4532" s="663" t="s">
        <v>322</v>
      </c>
      <c r="D4532" s="678" t="s">
        <v>1320</v>
      </c>
      <c r="E4532" s="700" t="s">
        <v>968</v>
      </c>
      <c r="F4532" s="795">
        <v>2350</v>
      </c>
      <c r="G4532" s="750" t="s">
        <v>2100</v>
      </c>
      <c r="H4532" s="806"/>
      <c r="I4532" s="806">
        <v>20000</v>
      </c>
      <c r="J4532" s="1654" t="s">
        <v>1134</v>
      </c>
      <c r="K4532" s="792"/>
      <c r="L4532" s="806"/>
      <c r="M4532" s="806">
        <v>20000</v>
      </c>
      <c r="N4532" s="305"/>
    </row>
    <row r="4533" spans="1:14" ht="30.6">
      <c r="A4533" s="2469"/>
      <c r="B4533" s="700" t="s">
        <v>772</v>
      </c>
      <c r="C4533" s="663" t="s">
        <v>322</v>
      </c>
      <c r="D4533" s="678" t="s">
        <v>1320</v>
      </c>
      <c r="E4533" s="700" t="s">
        <v>968</v>
      </c>
      <c r="F4533" s="795">
        <v>2350</v>
      </c>
      <c r="G4533" s="2195" t="s">
        <v>4669</v>
      </c>
      <c r="H4533" s="2470"/>
      <c r="I4533" s="2470"/>
      <c r="J4533" s="2191"/>
      <c r="K4533" s="2205"/>
      <c r="L4533" s="2470"/>
      <c r="M4533" s="2470">
        <v>2350</v>
      </c>
      <c r="N4533" s="466" t="s">
        <v>3899</v>
      </c>
    </row>
    <row r="4534" spans="1:14" ht="20.399999999999999">
      <c r="A4534" s="861"/>
      <c r="B4534" s="700" t="s">
        <v>772</v>
      </c>
      <c r="C4534" s="663" t="s">
        <v>322</v>
      </c>
      <c r="D4534" s="678" t="s">
        <v>1320</v>
      </c>
      <c r="E4534" s="700" t="s">
        <v>968</v>
      </c>
      <c r="F4534" s="795">
        <v>2350</v>
      </c>
      <c r="G4534" s="750" t="s">
        <v>3269</v>
      </c>
      <c r="H4534" s="806"/>
      <c r="I4534" s="806">
        <v>-3000</v>
      </c>
      <c r="J4534" s="1654" t="s">
        <v>1134</v>
      </c>
      <c r="K4534" s="792"/>
      <c r="L4534" s="806"/>
      <c r="M4534" s="806"/>
      <c r="N4534" s="305"/>
    </row>
    <row r="4535" spans="1:14" ht="20.399999999999999">
      <c r="A4535" s="975"/>
      <c r="B4535" s="720" t="s">
        <v>774</v>
      </c>
      <c r="C4535" s="683" t="s">
        <v>419</v>
      </c>
      <c r="D4535" s="684" t="s">
        <v>1320</v>
      </c>
      <c r="E4535" s="720" t="s">
        <v>968</v>
      </c>
      <c r="F4535" s="824">
        <v>5120</v>
      </c>
      <c r="G4535" s="800" t="s">
        <v>588</v>
      </c>
      <c r="H4535" s="1016">
        <v>6450</v>
      </c>
      <c r="I4535" s="1016"/>
      <c r="J4535" s="1654">
        <v>4917</v>
      </c>
      <c r="K4535" s="792"/>
      <c r="L4535" s="1016">
        <v>7100</v>
      </c>
      <c r="M4535" s="1016"/>
      <c r="N4535" s="305"/>
    </row>
    <row r="4536" spans="1:14">
      <c r="A4536" s="861"/>
      <c r="B4536" s="700" t="s">
        <v>774</v>
      </c>
      <c r="C4536" s="663" t="s">
        <v>419</v>
      </c>
      <c r="D4536" s="678" t="s">
        <v>1320</v>
      </c>
      <c r="E4536" s="700" t="s">
        <v>968</v>
      </c>
      <c r="F4536" s="795">
        <v>5120</v>
      </c>
      <c r="G4536" s="750" t="s">
        <v>862</v>
      </c>
      <c r="H4536" s="806"/>
      <c r="I4536" s="806">
        <v>7100</v>
      </c>
      <c r="J4536" s="1654" t="s">
        <v>1134</v>
      </c>
      <c r="K4536" s="792"/>
      <c r="L4536" s="806"/>
      <c r="M4536" s="806">
        <v>7100</v>
      </c>
      <c r="N4536" s="305"/>
    </row>
    <row r="4537" spans="1:14" ht="30.6">
      <c r="A4537" s="861"/>
      <c r="B4537" s="700" t="s">
        <v>774</v>
      </c>
      <c r="C4537" s="663" t="s">
        <v>419</v>
      </c>
      <c r="D4537" s="678" t="s">
        <v>1320</v>
      </c>
      <c r="E4537" s="700" t="s">
        <v>968</v>
      </c>
      <c r="F4537" s="795">
        <v>5120</v>
      </c>
      <c r="G4537" s="750" t="s">
        <v>3385</v>
      </c>
      <c r="H4537" s="806"/>
      <c r="I4537" s="806">
        <v>-650</v>
      </c>
      <c r="J4537" s="1654" t="s">
        <v>1134</v>
      </c>
      <c r="K4537" s="792"/>
      <c r="L4537" s="806"/>
      <c r="M4537" s="806"/>
      <c r="N4537" s="305"/>
    </row>
    <row r="4538" spans="1:14" ht="11.4" customHeight="1">
      <c r="A4538" s="975"/>
      <c r="B4538" s="720" t="s">
        <v>774</v>
      </c>
      <c r="C4538" s="683" t="s">
        <v>419</v>
      </c>
      <c r="D4538" s="684" t="s">
        <v>1320</v>
      </c>
      <c r="E4538" s="720" t="s">
        <v>968</v>
      </c>
      <c r="F4538" s="824">
        <v>5238</v>
      </c>
      <c r="G4538" s="800" t="s">
        <v>139</v>
      </c>
      <c r="H4538" s="1016">
        <v>31700</v>
      </c>
      <c r="I4538" s="1016"/>
      <c r="J4538" s="1654">
        <v>26367.42</v>
      </c>
      <c r="K4538" s="792"/>
      <c r="L4538" s="1016">
        <v>25350</v>
      </c>
      <c r="M4538" s="1016"/>
      <c r="N4538" s="305"/>
    </row>
    <row r="4539" spans="1:14" ht="20.399999999999999">
      <c r="A4539" s="861"/>
      <c r="B4539" s="700" t="s">
        <v>774</v>
      </c>
      <c r="C4539" s="663" t="s">
        <v>419</v>
      </c>
      <c r="D4539" s="678" t="s">
        <v>1320</v>
      </c>
      <c r="E4539" s="700" t="s">
        <v>968</v>
      </c>
      <c r="F4539" s="795">
        <v>5238</v>
      </c>
      <c r="G4539" s="750" t="s">
        <v>4905</v>
      </c>
      <c r="H4539" s="806"/>
      <c r="I4539" s="806">
        <v>4500</v>
      </c>
      <c r="J4539" s="1654" t="s">
        <v>1134</v>
      </c>
      <c r="K4539" s="792"/>
      <c r="L4539" s="806"/>
      <c r="M4539" s="806">
        <v>0</v>
      </c>
      <c r="N4539" s="305"/>
    </row>
    <row r="4540" spans="1:14" ht="20.399999999999999">
      <c r="A4540" s="861"/>
      <c r="B4540" s="700" t="s">
        <v>774</v>
      </c>
      <c r="C4540" s="663" t="s">
        <v>419</v>
      </c>
      <c r="D4540" s="678" t="s">
        <v>1320</v>
      </c>
      <c r="E4540" s="700" t="s">
        <v>968</v>
      </c>
      <c r="F4540" s="795">
        <v>5238</v>
      </c>
      <c r="G4540" s="750" t="s">
        <v>2102</v>
      </c>
      <c r="H4540" s="806"/>
      <c r="I4540" s="806">
        <v>27200</v>
      </c>
      <c r="J4540" s="1654" t="s">
        <v>1134</v>
      </c>
      <c r="K4540" s="792"/>
      <c r="L4540" s="806"/>
      <c r="M4540" s="806">
        <v>14400</v>
      </c>
      <c r="N4540" s="305"/>
    </row>
    <row r="4541" spans="1:14" ht="30.6">
      <c r="A4541" s="861"/>
      <c r="B4541" s="700" t="s">
        <v>774</v>
      </c>
      <c r="C4541" s="663" t="s">
        <v>419</v>
      </c>
      <c r="D4541" s="678" t="s">
        <v>1320</v>
      </c>
      <c r="E4541" s="700" t="s">
        <v>968</v>
      </c>
      <c r="F4541" s="795">
        <v>5238</v>
      </c>
      <c r="G4541" s="2195" t="s">
        <v>4671</v>
      </c>
      <c r="H4541" s="2470"/>
      <c r="I4541" s="2470"/>
      <c r="J4541" s="2191" t="s">
        <v>1134</v>
      </c>
      <c r="K4541" s="2205"/>
      <c r="L4541" s="2470"/>
      <c r="M4541" s="2470">
        <v>1950</v>
      </c>
      <c r="N4541" s="305"/>
    </row>
    <row r="4542" spans="1:14" ht="20.399999999999999">
      <c r="A4542" s="861"/>
      <c r="B4542" s="700" t="s">
        <v>774</v>
      </c>
      <c r="C4542" s="663" t="s">
        <v>419</v>
      </c>
      <c r="D4542" s="678" t="s">
        <v>1320</v>
      </c>
      <c r="E4542" s="700" t="s">
        <v>968</v>
      </c>
      <c r="F4542" s="795">
        <v>5238</v>
      </c>
      <c r="G4542" s="2195" t="s">
        <v>4906</v>
      </c>
      <c r="H4542" s="2470"/>
      <c r="I4542" s="2470"/>
      <c r="J4542" s="2191" t="s">
        <v>1134</v>
      </c>
      <c r="K4542" s="2205"/>
      <c r="L4542" s="2470"/>
      <c r="M4542" s="2470">
        <v>9000</v>
      </c>
      <c r="N4542" s="305"/>
    </row>
    <row r="4543" spans="1:14" ht="11.4" customHeight="1">
      <c r="A4543" s="975"/>
      <c r="B4543" s="3129" t="s">
        <v>773</v>
      </c>
      <c r="C4543" s="683" t="s">
        <v>419</v>
      </c>
      <c r="D4543" s="684" t="s">
        <v>1320</v>
      </c>
      <c r="E4543" s="720" t="s">
        <v>968</v>
      </c>
      <c r="F4543" s="824">
        <v>5238</v>
      </c>
      <c r="G4543" s="800" t="s">
        <v>139</v>
      </c>
      <c r="H4543" s="1016">
        <v>80000</v>
      </c>
      <c r="I4543" s="1016"/>
      <c r="J4543" s="1654">
        <v>34845.58</v>
      </c>
      <c r="K4543" s="792"/>
      <c r="L4543" s="1016">
        <v>80000</v>
      </c>
      <c r="M4543" s="1016"/>
      <c r="N4543" s="305"/>
    </row>
    <row r="4544" spans="1:14" ht="81.599999999999994">
      <c r="A4544" s="663"/>
      <c r="B4544" s="3130" t="s">
        <v>773</v>
      </c>
      <c r="C4544" s="663" t="s">
        <v>419</v>
      </c>
      <c r="D4544" s="678" t="s">
        <v>1320</v>
      </c>
      <c r="E4544" s="700" t="s">
        <v>968</v>
      </c>
      <c r="F4544" s="795">
        <v>5238</v>
      </c>
      <c r="G4544" s="2195" t="s">
        <v>4672</v>
      </c>
      <c r="H4544" s="2188"/>
      <c r="I4544" s="2188">
        <v>30000</v>
      </c>
      <c r="J4544" s="2191" t="s">
        <v>1134</v>
      </c>
      <c r="K4544" s="2205"/>
      <c r="L4544" s="2188"/>
      <c r="M4544" s="2188">
        <v>30000</v>
      </c>
      <c r="N4544" s="305"/>
    </row>
    <row r="4545" spans="1:14">
      <c r="A4545" s="663"/>
      <c r="B4545" s="3130" t="s">
        <v>773</v>
      </c>
      <c r="C4545" s="663" t="s">
        <v>419</v>
      </c>
      <c r="D4545" s="678" t="s">
        <v>1320</v>
      </c>
      <c r="E4545" s="700" t="s">
        <v>968</v>
      </c>
      <c r="F4545" s="795">
        <v>5238</v>
      </c>
      <c r="G4545" s="2195" t="s">
        <v>2852</v>
      </c>
      <c r="H4545" s="2188"/>
      <c r="I4545" s="2188">
        <v>50000</v>
      </c>
      <c r="J4545" s="2191" t="s">
        <v>1134</v>
      </c>
      <c r="K4545" s="2205"/>
      <c r="L4545" s="2188"/>
      <c r="M4545" s="2188">
        <v>50000</v>
      </c>
      <c r="N4545" s="305"/>
    </row>
    <row r="4546" spans="1:14" ht="20.399999999999999">
      <c r="A4546" s="975"/>
      <c r="B4546" s="3129" t="s">
        <v>773</v>
      </c>
      <c r="C4546" s="683" t="s">
        <v>419</v>
      </c>
      <c r="D4546" s="684" t="s">
        <v>1320</v>
      </c>
      <c r="E4546" s="840" t="s">
        <v>968</v>
      </c>
      <c r="F4546" s="685">
        <v>5239</v>
      </c>
      <c r="G4546" s="865" t="s">
        <v>1178</v>
      </c>
      <c r="H4546" s="976">
        <v>0</v>
      </c>
      <c r="I4546" s="976"/>
      <c r="J4546" s="1494" t="s">
        <v>1134</v>
      </c>
      <c r="K4546" s="667"/>
      <c r="L4546" s="959">
        <v>0</v>
      </c>
      <c r="M4546" s="959"/>
      <c r="N4546" s="305"/>
    </row>
    <row r="4547" spans="1:14" ht="11.4" customHeight="1">
      <c r="A4547" s="663"/>
      <c r="B4547" s="3130" t="s">
        <v>773</v>
      </c>
      <c r="C4547" s="663" t="s">
        <v>320</v>
      </c>
      <c r="D4547" s="678" t="s">
        <v>1320</v>
      </c>
      <c r="E4547" s="839" t="s">
        <v>968</v>
      </c>
      <c r="F4547" s="679">
        <v>5239</v>
      </c>
      <c r="G4547" s="763"/>
      <c r="H4547" s="660"/>
      <c r="I4547" s="660"/>
      <c r="J4547" s="1494" t="s">
        <v>1134</v>
      </c>
      <c r="K4547" s="667"/>
      <c r="L4547" s="659"/>
      <c r="M4547" s="659"/>
      <c r="N4547" s="1985"/>
    </row>
    <row r="4548" spans="1:14" ht="20.399999999999999">
      <c r="A4548" s="683"/>
      <c r="B4548" s="3136" t="s">
        <v>773</v>
      </c>
      <c r="C4548" s="1406" t="s">
        <v>369</v>
      </c>
      <c r="D4548" s="1678" t="s">
        <v>1978</v>
      </c>
      <c r="E4548" s="1415" t="s">
        <v>1952</v>
      </c>
      <c r="F4548" s="824">
        <v>3263</v>
      </c>
      <c r="G4548" s="800" t="s">
        <v>783</v>
      </c>
      <c r="H4548" s="713">
        <v>4000</v>
      </c>
      <c r="I4548" s="1324"/>
      <c r="J4548" s="1494">
        <v>4000</v>
      </c>
      <c r="K4548" s="842"/>
      <c r="L4548" s="1962">
        <v>6000</v>
      </c>
      <c r="M4548" s="1962"/>
      <c r="N4548" s="305"/>
    </row>
    <row r="4549" spans="1:14" ht="20.399999999999999">
      <c r="A4549" s="663"/>
      <c r="B4549" s="3130" t="s">
        <v>773</v>
      </c>
      <c r="C4549" s="1407" t="s">
        <v>369</v>
      </c>
      <c r="D4549" s="1679" t="s">
        <v>1978</v>
      </c>
      <c r="E4549" s="1410" t="s">
        <v>1952</v>
      </c>
      <c r="F4549" s="795">
        <v>3263</v>
      </c>
      <c r="G4549" s="750" t="s">
        <v>2950</v>
      </c>
      <c r="H4549" s="962"/>
      <c r="I4549" s="962">
        <v>2000</v>
      </c>
      <c r="J4549" s="1494" t="s">
        <v>1134</v>
      </c>
      <c r="K4549" s="1352"/>
      <c r="L4549" s="1963"/>
      <c r="M4549" s="3242">
        <v>3000</v>
      </c>
      <c r="N4549" s="381"/>
    </row>
    <row r="4550" spans="1:14" ht="20.399999999999999">
      <c r="A4550" s="663"/>
      <c r="B4550" s="3130" t="s">
        <v>773</v>
      </c>
      <c r="C4550" s="1407" t="s">
        <v>369</v>
      </c>
      <c r="D4550" s="1679" t="s">
        <v>1978</v>
      </c>
      <c r="E4550" s="1410" t="s">
        <v>1952</v>
      </c>
      <c r="F4550" s="795">
        <v>3263</v>
      </c>
      <c r="G4550" s="750" t="s">
        <v>2951</v>
      </c>
      <c r="H4550" s="962"/>
      <c r="I4550" s="962">
        <v>2000</v>
      </c>
      <c r="J4550" s="1494" t="s">
        <v>1134</v>
      </c>
      <c r="K4550" s="1352"/>
      <c r="L4550" s="1963"/>
      <c r="M4550" s="3242">
        <v>3000</v>
      </c>
      <c r="N4550" s="305"/>
    </row>
    <row r="4551" spans="1:14">
      <c r="A4551" s="737"/>
      <c r="B4551" s="3129" t="s">
        <v>365</v>
      </c>
      <c r="C4551" s="683" t="s">
        <v>775</v>
      </c>
      <c r="D4551" s="719" t="s">
        <v>1977</v>
      </c>
      <c r="E4551" s="720" t="s">
        <v>1907</v>
      </c>
      <c r="F4551" s="685">
        <v>5240</v>
      </c>
      <c r="G4551" s="686" t="s">
        <v>782</v>
      </c>
      <c r="H4551" s="689">
        <v>1045546.32</v>
      </c>
      <c r="I4551" s="689"/>
      <c r="J4551" s="1494">
        <v>305477.26</v>
      </c>
      <c r="K4551" s="690"/>
      <c r="L4551" s="689">
        <v>354137</v>
      </c>
      <c r="M4551" s="689"/>
      <c r="N4551" s="305"/>
    </row>
    <row r="4552" spans="1:14" ht="11.4" customHeight="1">
      <c r="A4552" s="663"/>
      <c r="B4552" s="3130" t="s">
        <v>365</v>
      </c>
      <c r="C4552" s="663" t="s">
        <v>775</v>
      </c>
      <c r="D4552" s="678" t="s">
        <v>1977</v>
      </c>
      <c r="E4552" s="700" t="s">
        <v>1907</v>
      </c>
      <c r="F4552" s="679">
        <v>5240</v>
      </c>
      <c r="G4552" s="665" t="s">
        <v>5193</v>
      </c>
      <c r="H4552" s="660"/>
      <c r="I4552" s="660">
        <v>45230</v>
      </c>
      <c r="J4552" s="1494" t="s">
        <v>1134</v>
      </c>
      <c r="K4552" s="661"/>
      <c r="L4552" s="660"/>
      <c r="M4552" s="660">
        <v>354137</v>
      </c>
      <c r="N4552" s="305"/>
    </row>
    <row r="4553" spans="1:14">
      <c r="A4553" s="663"/>
      <c r="B4553" s="3130" t="s">
        <v>365</v>
      </c>
      <c r="C4553" s="663" t="s">
        <v>775</v>
      </c>
      <c r="D4553" s="678" t="s">
        <v>1977</v>
      </c>
      <c r="E4553" s="700" t="s">
        <v>1907</v>
      </c>
      <c r="F4553" s="679">
        <v>5240</v>
      </c>
      <c r="G4553" s="665" t="s">
        <v>1525</v>
      </c>
      <c r="H4553" s="660"/>
      <c r="I4553" s="660"/>
      <c r="J4553" s="1494" t="s">
        <v>1134</v>
      </c>
      <c r="K4553" s="661"/>
      <c r="L4553" s="660"/>
      <c r="M4553" s="660"/>
      <c r="N4553" s="305"/>
    </row>
    <row r="4554" spans="1:14">
      <c r="A4554" s="663"/>
      <c r="B4554" s="3130" t="s">
        <v>365</v>
      </c>
      <c r="C4554" s="663" t="s">
        <v>775</v>
      </c>
      <c r="D4554" s="678" t="s">
        <v>1977</v>
      </c>
      <c r="E4554" s="700" t="s">
        <v>1907</v>
      </c>
      <c r="F4554" s="679">
        <v>5240</v>
      </c>
      <c r="G4554" s="665" t="s">
        <v>1249</v>
      </c>
      <c r="H4554" s="660"/>
      <c r="I4554" s="660">
        <v>2541</v>
      </c>
      <c r="J4554" s="1494" t="s">
        <v>1134</v>
      </c>
      <c r="K4554" s="661"/>
      <c r="L4554" s="660"/>
      <c r="M4554" s="660"/>
      <c r="N4554" s="305"/>
    </row>
    <row r="4555" spans="1:14">
      <c r="A4555" s="663"/>
      <c r="B4555" s="3130" t="s">
        <v>365</v>
      </c>
      <c r="C4555" s="663" t="s">
        <v>775</v>
      </c>
      <c r="D4555" s="678" t="s">
        <v>1977</v>
      </c>
      <c r="E4555" s="700" t="s">
        <v>1907</v>
      </c>
      <c r="F4555" s="679">
        <v>5240</v>
      </c>
      <c r="G4555" s="665" t="s">
        <v>398</v>
      </c>
      <c r="H4555" s="660"/>
      <c r="I4555" s="660">
        <v>886214.7</v>
      </c>
      <c r="J4555" s="1494" t="s">
        <v>1134</v>
      </c>
      <c r="K4555" s="661"/>
      <c r="L4555" s="660"/>
      <c r="M4555" s="660"/>
      <c r="N4555" s="305"/>
    </row>
    <row r="4556" spans="1:14">
      <c r="A4556" s="663"/>
      <c r="B4556" s="3130" t="s">
        <v>365</v>
      </c>
      <c r="C4556" s="663" t="s">
        <v>775</v>
      </c>
      <c r="D4556" s="678" t="s">
        <v>1977</v>
      </c>
      <c r="E4556" s="700" t="s">
        <v>1907</v>
      </c>
      <c r="F4556" s="679">
        <v>5240</v>
      </c>
      <c r="G4556" s="665" t="s">
        <v>974</v>
      </c>
      <c r="H4556" s="660"/>
      <c r="I4556" s="660">
        <v>40198.619999999995</v>
      </c>
      <c r="J4556" s="1494" t="s">
        <v>1134</v>
      </c>
      <c r="K4556" s="661"/>
      <c r="L4556" s="660"/>
      <c r="M4556" s="660"/>
      <c r="N4556" s="305"/>
    </row>
    <row r="4557" spans="1:14" ht="20.399999999999999">
      <c r="A4557" s="663"/>
      <c r="B4557" s="3130" t="s">
        <v>365</v>
      </c>
      <c r="C4557" s="663" t="s">
        <v>775</v>
      </c>
      <c r="D4557" s="678" t="s">
        <v>1977</v>
      </c>
      <c r="E4557" s="700" t="s">
        <v>1907</v>
      </c>
      <c r="F4557" s="679">
        <v>5240</v>
      </c>
      <c r="G4557" s="665" t="s">
        <v>2906</v>
      </c>
      <c r="H4557" s="660"/>
      <c r="I4557" s="660">
        <v>6159</v>
      </c>
      <c r="J4557" s="1494" t="s">
        <v>1134</v>
      </c>
      <c r="K4557" s="661"/>
      <c r="L4557" s="660"/>
      <c r="M4557" s="660"/>
      <c r="N4557" s="305"/>
    </row>
    <row r="4558" spans="1:14" ht="30.6">
      <c r="A4558" s="663"/>
      <c r="B4558" s="3130" t="s">
        <v>365</v>
      </c>
      <c r="C4558" s="663" t="s">
        <v>775</v>
      </c>
      <c r="D4558" s="678" t="s">
        <v>1977</v>
      </c>
      <c r="E4558" s="700" t="s">
        <v>1907</v>
      </c>
      <c r="F4558" s="679">
        <v>5240</v>
      </c>
      <c r="G4558" s="665" t="s">
        <v>2907</v>
      </c>
      <c r="H4558" s="660"/>
      <c r="I4558" s="660">
        <v>5215</v>
      </c>
      <c r="J4558" s="1494" t="s">
        <v>1134</v>
      </c>
      <c r="K4558" s="661"/>
      <c r="L4558" s="660"/>
      <c r="M4558" s="660"/>
      <c r="N4558" s="125" t="s">
        <v>3901</v>
      </c>
    </row>
    <row r="4559" spans="1:14">
      <c r="A4559" s="663"/>
      <c r="B4559" s="3130" t="s">
        <v>365</v>
      </c>
      <c r="C4559" s="663" t="s">
        <v>775</v>
      </c>
      <c r="D4559" s="678" t="s">
        <v>1977</v>
      </c>
      <c r="E4559" s="700" t="s">
        <v>1907</v>
      </c>
      <c r="F4559" s="679">
        <v>5240</v>
      </c>
      <c r="G4559" s="665" t="s">
        <v>3073</v>
      </c>
      <c r="H4559" s="660"/>
      <c r="I4559" s="660">
        <v>59988</v>
      </c>
      <c r="J4559" s="1494" t="s">
        <v>1134</v>
      </c>
      <c r="K4559" s="661"/>
      <c r="L4559" s="660"/>
      <c r="M4559" s="660"/>
      <c r="N4559" s="305"/>
    </row>
    <row r="4560" spans="1:14">
      <c r="A4560" s="737"/>
      <c r="B4560" s="3129" t="s">
        <v>365</v>
      </c>
      <c r="C4560" s="683" t="s">
        <v>775</v>
      </c>
      <c r="D4560" s="719" t="s">
        <v>1977</v>
      </c>
      <c r="E4560" s="742" t="s">
        <v>1948</v>
      </c>
      <c r="F4560" s="685">
        <v>5240</v>
      </c>
      <c r="G4560" s="686" t="s">
        <v>782</v>
      </c>
      <c r="H4560" s="689">
        <v>4425220</v>
      </c>
      <c r="I4560" s="689"/>
      <c r="J4560" s="1494">
        <v>32025.34</v>
      </c>
      <c r="K4560" s="727"/>
      <c r="L4560" s="689">
        <v>3920860</v>
      </c>
      <c r="M4560" s="689"/>
      <c r="N4560" s="305"/>
    </row>
    <row r="4561" spans="1:14">
      <c r="A4561" s="737"/>
      <c r="B4561" s="3130" t="s">
        <v>365</v>
      </c>
      <c r="C4561" s="663" t="s">
        <v>775</v>
      </c>
      <c r="D4561" s="678" t="s">
        <v>1977</v>
      </c>
      <c r="E4561" s="700" t="s">
        <v>1948</v>
      </c>
      <c r="F4561" s="679">
        <v>5240</v>
      </c>
      <c r="G4561" s="665" t="s">
        <v>1295</v>
      </c>
      <c r="H4561" s="665"/>
      <c r="I4561" s="1334"/>
      <c r="J4561" s="1494" t="s">
        <v>1134</v>
      </c>
      <c r="K4561" s="727"/>
      <c r="L4561" s="660"/>
      <c r="M4561" s="660">
        <v>1612</v>
      </c>
      <c r="N4561" s="305"/>
    </row>
    <row r="4562" spans="1:14" ht="20.399999999999999">
      <c r="A4562" s="737"/>
      <c r="B4562" s="3130" t="s">
        <v>365</v>
      </c>
      <c r="C4562" s="663" t="s">
        <v>775</v>
      </c>
      <c r="D4562" s="678" t="s">
        <v>1977</v>
      </c>
      <c r="E4562" s="700" t="s">
        <v>1948</v>
      </c>
      <c r="F4562" s="679">
        <v>5240</v>
      </c>
      <c r="G4562" s="665" t="s">
        <v>2908</v>
      </c>
      <c r="H4562" s="665"/>
      <c r="I4562" s="1334">
        <v>2815824</v>
      </c>
      <c r="J4562" s="1494" t="s">
        <v>1134</v>
      </c>
      <c r="K4562" s="727"/>
      <c r="L4562" s="660"/>
      <c r="M4562" s="660">
        <v>3050102</v>
      </c>
      <c r="N4562" s="305"/>
    </row>
    <row r="4563" spans="1:14" ht="20.399999999999999">
      <c r="A4563" s="737"/>
      <c r="B4563" s="3130" t="s">
        <v>365</v>
      </c>
      <c r="C4563" s="663" t="s">
        <v>775</v>
      </c>
      <c r="D4563" s="678" t="s">
        <v>1977</v>
      </c>
      <c r="E4563" s="700" t="s">
        <v>1948</v>
      </c>
      <c r="F4563" s="679">
        <v>5240</v>
      </c>
      <c r="G4563" s="665" t="s">
        <v>2966</v>
      </c>
      <c r="H4563" s="665"/>
      <c r="I4563" s="1334">
        <v>1609396</v>
      </c>
      <c r="J4563" s="1494" t="s">
        <v>1134</v>
      </c>
      <c r="K4563" s="727"/>
      <c r="L4563" s="660"/>
      <c r="M4563" s="660">
        <v>869146</v>
      </c>
      <c r="N4563" s="305"/>
    </row>
    <row r="4564" spans="1:14">
      <c r="A4564" s="1347"/>
      <c r="B4564" s="3129" t="s">
        <v>365</v>
      </c>
      <c r="C4564" s="720" t="s">
        <v>775</v>
      </c>
      <c r="D4564" s="1210" t="s">
        <v>1977</v>
      </c>
      <c r="E4564" s="836" t="s">
        <v>1908</v>
      </c>
      <c r="F4564" s="824">
        <v>5240</v>
      </c>
      <c r="G4564" s="800" t="s">
        <v>197</v>
      </c>
      <c r="H4564" s="706">
        <v>0</v>
      </c>
      <c r="I4564" s="706"/>
      <c r="J4564" s="1494" t="s">
        <v>1134</v>
      </c>
      <c r="K4564" s="802"/>
      <c r="L4564" s="687">
        <v>0</v>
      </c>
      <c r="M4564" s="687"/>
      <c r="N4564" s="305"/>
    </row>
    <row r="4565" spans="1:14">
      <c r="A4565" s="700"/>
      <c r="B4565" s="3130" t="s">
        <v>365</v>
      </c>
      <c r="C4565" s="700" t="s">
        <v>775</v>
      </c>
      <c r="D4565" s="794" t="s">
        <v>1977</v>
      </c>
      <c r="E4565" s="839" t="s">
        <v>1908</v>
      </c>
      <c r="F4565" s="795">
        <v>5240</v>
      </c>
      <c r="G4565" s="750" t="s">
        <v>1704</v>
      </c>
      <c r="H4565" s="701"/>
      <c r="I4565" s="701"/>
      <c r="J4565" s="1494" t="s">
        <v>1134</v>
      </c>
      <c r="K4565" s="792"/>
      <c r="L4565" s="659"/>
      <c r="M4565" s="659"/>
      <c r="N4565" s="305"/>
    </row>
    <row r="4566" spans="1:14">
      <c r="A4566" s="700"/>
      <c r="B4566" s="3130" t="s">
        <v>365</v>
      </c>
      <c r="C4566" s="700" t="s">
        <v>775</v>
      </c>
      <c r="D4566" s="794" t="s">
        <v>1977</v>
      </c>
      <c r="E4566" s="839" t="s">
        <v>1908</v>
      </c>
      <c r="F4566" s="795">
        <v>5240</v>
      </c>
      <c r="G4566" s="750" t="s">
        <v>1705</v>
      </c>
      <c r="H4566" s="701"/>
      <c r="I4566" s="701"/>
      <c r="J4566" s="1494" t="s">
        <v>1134</v>
      </c>
      <c r="K4566" s="792"/>
      <c r="L4566" s="659"/>
      <c r="M4566" s="659"/>
      <c r="N4566" s="305"/>
    </row>
    <row r="4567" spans="1:14" ht="20.399999999999999">
      <c r="A4567" s="737"/>
      <c r="B4567" s="3129" t="s">
        <v>365</v>
      </c>
      <c r="C4567" s="683" t="s">
        <v>775</v>
      </c>
      <c r="D4567" s="684" t="s">
        <v>1978</v>
      </c>
      <c r="E4567" s="836" t="s">
        <v>1951</v>
      </c>
      <c r="F4567" s="685">
        <v>7210</v>
      </c>
      <c r="G4567" s="978" t="s">
        <v>967</v>
      </c>
      <c r="H4567" s="689">
        <v>0</v>
      </c>
      <c r="I4567" s="689"/>
      <c r="J4567" s="1494" t="s">
        <v>1134</v>
      </c>
      <c r="K4567" s="690"/>
      <c r="L4567" s="687">
        <v>0</v>
      </c>
      <c r="M4567" s="687"/>
      <c r="N4567" s="305"/>
    </row>
    <row r="4568" spans="1:14">
      <c r="A4568" s="663"/>
      <c r="B4568" s="3130" t="s">
        <v>365</v>
      </c>
      <c r="C4568" s="663" t="s">
        <v>775</v>
      </c>
      <c r="D4568" s="678" t="s">
        <v>1978</v>
      </c>
      <c r="E4568" s="839" t="s">
        <v>1951</v>
      </c>
      <c r="F4568" s="679">
        <v>7210</v>
      </c>
      <c r="G4568" s="665" t="s">
        <v>1702</v>
      </c>
      <c r="H4568" s="660"/>
      <c r="I4568" s="660"/>
      <c r="J4568" s="1494" t="s">
        <v>1134</v>
      </c>
      <c r="K4568" s="661"/>
      <c r="L4568" s="659"/>
      <c r="M4568" s="659"/>
      <c r="N4568" s="305"/>
    </row>
    <row r="4569" spans="1:14" s="16" customFormat="1">
      <c r="A4569" s="663"/>
      <c r="B4569" s="3130" t="s">
        <v>365</v>
      </c>
      <c r="C4569" s="663" t="s">
        <v>775</v>
      </c>
      <c r="D4569" s="678" t="s">
        <v>1978</v>
      </c>
      <c r="E4569" s="839" t="s">
        <v>1951</v>
      </c>
      <c r="F4569" s="679">
        <v>7210</v>
      </c>
      <c r="G4569" s="665" t="s">
        <v>1251</v>
      </c>
      <c r="H4569" s="660"/>
      <c r="I4569" s="660"/>
      <c r="J4569" s="1494" t="s">
        <v>1134</v>
      </c>
      <c r="K4569" s="661"/>
      <c r="L4569" s="659"/>
      <c r="M4569" s="659"/>
      <c r="N4569" s="305"/>
    </row>
    <row r="4570" spans="1:14" s="16" customFormat="1" ht="20.399999999999999">
      <c r="A4570" s="663"/>
      <c r="B4570" s="3130" t="s">
        <v>365</v>
      </c>
      <c r="C4570" s="663" t="s">
        <v>775</v>
      </c>
      <c r="D4570" s="678" t="s">
        <v>1978</v>
      </c>
      <c r="E4570" s="839" t="s">
        <v>1951</v>
      </c>
      <c r="F4570" s="679">
        <v>7210</v>
      </c>
      <c r="G4570" s="665" t="s">
        <v>1252</v>
      </c>
      <c r="H4570" s="660"/>
      <c r="I4570" s="660"/>
      <c r="J4570" s="1494" t="s">
        <v>1134</v>
      </c>
      <c r="K4570" s="661"/>
      <c r="L4570" s="659"/>
      <c r="M4570" s="659"/>
      <c r="N4570" s="305"/>
    </row>
    <row r="4571" spans="1:14" s="16" customFormat="1" ht="20.399999999999999">
      <c r="A4571" s="737"/>
      <c r="B4571" s="3129" t="s">
        <v>365</v>
      </c>
      <c r="C4571" s="720" t="s">
        <v>775</v>
      </c>
      <c r="D4571" s="1210" t="s">
        <v>1978</v>
      </c>
      <c r="E4571" s="742" t="s">
        <v>3327</v>
      </c>
      <c r="F4571" s="685">
        <v>5239</v>
      </c>
      <c r="G4571" s="978" t="s">
        <v>1178</v>
      </c>
      <c r="H4571" s="689">
        <v>9600</v>
      </c>
      <c r="I4571" s="689"/>
      <c r="J4571" s="1494">
        <v>0</v>
      </c>
      <c r="K4571" s="690"/>
      <c r="L4571" s="689">
        <v>16700</v>
      </c>
      <c r="M4571" s="689"/>
      <c r="N4571" s="305"/>
    </row>
    <row r="4572" spans="1:14">
      <c r="A4572" s="663"/>
      <c r="B4572" s="3130" t="s">
        <v>365</v>
      </c>
      <c r="C4572" s="700" t="s">
        <v>775</v>
      </c>
      <c r="D4572" s="794" t="s">
        <v>1978</v>
      </c>
      <c r="E4572" s="700" t="s">
        <v>3327</v>
      </c>
      <c r="F4572" s="679">
        <v>5239</v>
      </c>
      <c r="G4572" s="665" t="s">
        <v>1295</v>
      </c>
      <c r="H4572" s="660"/>
      <c r="I4572" s="660"/>
      <c r="J4572" s="1494" t="s">
        <v>1134</v>
      </c>
      <c r="K4572" s="661"/>
      <c r="L4572" s="660"/>
      <c r="M4572" s="660">
        <v>4500</v>
      </c>
      <c r="N4572" s="305"/>
    </row>
    <row r="4573" spans="1:14">
      <c r="A4573" s="663"/>
      <c r="B4573" s="3130" t="s">
        <v>365</v>
      </c>
      <c r="C4573" s="700" t="s">
        <v>775</v>
      </c>
      <c r="D4573" s="794" t="s">
        <v>1978</v>
      </c>
      <c r="E4573" s="700" t="s">
        <v>3327</v>
      </c>
      <c r="F4573" s="679">
        <v>5239</v>
      </c>
      <c r="G4573" s="665" t="s">
        <v>5203</v>
      </c>
      <c r="H4573" s="660"/>
      <c r="I4573" s="660">
        <v>6000</v>
      </c>
      <c r="J4573" s="1494" t="s">
        <v>1134</v>
      </c>
      <c r="K4573" s="661"/>
      <c r="L4573" s="660"/>
      <c r="M4573" s="660">
        <v>9900</v>
      </c>
      <c r="N4573" s="305"/>
    </row>
    <row r="4574" spans="1:14" ht="11.4" customHeight="1">
      <c r="A4574" s="663"/>
      <c r="B4574" s="3130" t="s">
        <v>365</v>
      </c>
      <c r="C4574" s="700" t="s">
        <v>775</v>
      </c>
      <c r="D4574" s="794" t="s">
        <v>1978</v>
      </c>
      <c r="E4574" s="700" t="s">
        <v>3327</v>
      </c>
      <c r="F4574" s="679">
        <v>5239</v>
      </c>
      <c r="G4574" s="665" t="s">
        <v>329</v>
      </c>
      <c r="H4574" s="660"/>
      <c r="I4574" s="660">
        <v>3600</v>
      </c>
      <c r="J4574" s="1494" t="s">
        <v>1134</v>
      </c>
      <c r="K4574" s="661"/>
      <c r="L4574" s="660"/>
      <c r="M4574" s="660">
        <v>2300</v>
      </c>
      <c r="N4574" s="305"/>
    </row>
    <row r="4575" spans="1:14" ht="20.399999999999999">
      <c r="A4575" s="683"/>
      <c r="B4575" s="3129" t="s">
        <v>436</v>
      </c>
      <c r="C4575" s="683" t="s">
        <v>427</v>
      </c>
      <c r="D4575" s="719" t="s">
        <v>1980</v>
      </c>
      <c r="E4575" s="836" t="s">
        <v>1920</v>
      </c>
      <c r="F4575" s="979">
        <v>1119</v>
      </c>
      <c r="G4575" s="686" t="s">
        <v>235</v>
      </c>
      <c r="H4575" s="893">
        <v>819771.6399999999</v>
      </c>
      <c r="I4575" s="893"/>
      <c r="J4575" s="1494">
        <v>634919</v>
      </c>
      <c r="K4575" s="980"/>
      <c r="L4575" s="860">
        <v>784783.82399999886</v>
      </c>
      <c r="M4575" s="860"/>
      <c r="N4575" s="176" t="s">
        <v>3902</v>
      </c>
    </row>
    <row r="4576" spans="1:14">
      <c r="A4576" s="743"/>
      <c r="B4576" s="3130" t="s">
        <v>436</v>
      </c>
      <c r="C4576" s="663" t="s">
        <v>427</v>
      </c>
      <c r="D4576" s="678" t="s">
        <v>1980</v>
      </c>
      <c r="E4576" s="839" t="s">
        <v>1920</v>
      </c>
      <c r="F4576" s="679">
        <v>1119</v>
      </c>
      <c r="G4576" s="763" t="s">
        <v>785</v>
      </c>
      <c r="H4576" s="752"/>
      <c r="I4576" s="752">
        <v>821771.6399999999</v>
      </c>
      <c r="J4576" s="1494" t="s">
        <v>1134</v>
      </c>
      <c r="K4576" s="981"/>
      <c r="L4576" s="898"/>
      <c r="M4576" s="898">
        <v>784783.82399999886</v>
      </c>
      <c r="N4576" s="7"/>
    </row>
    <row r="4577" spans="1:14" ht="20.399999999999999">
      <c r="A4577" s="743"/>
      <c r="B4577" s="3130" t="s">
        <v>436</v>
      </c>
      <c r="C4577" s="663" t="s">
        <v>427</v>
      </c>
      <c r="D4577" s="678" t="s">
        <v>1980</v>
      </c>
      <c r="E4577" s="839" t="s">
        <v>1920</v>
      </c>
      <c r="F4577" s="679">
        <v>1119</v>
      </c>
      <c r="G4577" s="763" t="s">
        <v>3105</v>
      </c>
      <c r="H4577" s="752"/>
      <c r="I4577" s="752">
        <v>-2000</v>
      </c>
      <c r="J4577" s="1494" t="s">
        <v>1134</v>
      </c>
      <c r="K4577" s="981"/>
      <c r="L4577" s="898"/>
      <c r="M4577" s="898"/>
      <c r="N4577" s="7"/>
    </row>
    <row r="4578" spans="1:14">
      <c r="A4578" s="683" t="s">
        <v>786</v>
      </c>
      <c r="B4578" s="3129" t="s">
        <v>326</v>
      </c>
      <c r="C4578" s="683" t="s">
        <v>321</v>
      </c>
      <c r="D4578" s="719" t="s">
        <v>1980</v>
      </c>
      <c r="E4578" s="720" t="s">
        <v>1921</v>
      </c>
      <c r="F4578" s="1254">
        <v>1119</v>
      </c>
      <c r="G4578" s="800" t="s">
        <v>226</v>
      </c>
      <c r="H4578" s="1253">
        <v>156256</v>
      </c>
      <c r="I4578" s="731"/>
      <c r="J4578" s="1494">
        <v>122652</v>
      </c>
      <c r="K4578" s="1068"/>
      <c r="L4578" s="1253">
        <v>162845.48000000001</v>
      </c>
      <c r="M4578" s="731"/>
      <c r="N4578" s="7"/>
    </row>
    <row r="4579" spans="1:14" ht="11.4" customHeight="1">
      <c r="A4579" s="663"/>
      <c r="B4579" s="3130" t="s">
        <v>326</v>
      </c>
      <c r="C4579" s="663" t="s">
        <v>321</v>
      </c>
      <c r="D4579" s="678" t="s">
        <v>1980</v>
      </c>
      <c r="E4579" s="700" t="s">
        <v>1921</v>
      </c>
      <c r="F4579" s="1255">
        <v>1119</v>
      </c>
      <c r="G4579" s="812"/>
      <c r="H4579" s="864"/>
      <c r="I4579" s="864">
        <v>140951.88</v>
      </c>
      <c r="J4579" s="1494" t="s">
        <v>1134</v>
      </c>
      <c r="K4579" s="1069"/>
      <c r="L4579" s="864"/>
      <c r="M4579" s="864">
        <v>153982.48000000001</v>
      </c>
      <c r="N4579" s="7"/>
    </row>
    <row r="4580" spans="1:14">
      <c r="A4580" s="663"/>
      <c r="B4580" s="3130" t="s">
        <v>326</v>
      </c>
      <c r="C4580" s="663" t="s">
        <v>321</v>
      </c>
      <c r="D4580" s="678" t="s">
        <v>1980</v>
      </c>
      <c r="E4580" s="700" t="s">
        <v>1921</v>
      </c>
      <c r="F4580" s="1255">
        <v>1119</v>
      </c>
      <c r="G4580" s="812" t="s">
        <v>2874</v>
      </c>
      <c r="H4580" s="864"/>
      <c r="I4580" s="864">
        <v>19313.119999999995</v>
      </c>
      <c r="J4580" s="1494" t="s">
        <v>1134</v>
      </c>
      <c r="K4580" s="1069"/>
      <c r="L4580" s="864"/>
      <c r="M4580" s="3111"/>
      <c r="N4580" s="305"/>
    </row>
    <row r="4581" spans="1:14">
      <c r="A4581" s="663"/>
      <c r="B4581" s="3130" t="s">
        <v>326</v>
      </c>
      <c r="C4581" s="663" t="s">
        <v>321</v>
      </c>
      <c r="D4581" s="678" t="s">
        <v>1980</v>
      </c>
      <c r="E4581" s="700" t="s">
        <v>1921</v>
      </c>
      <c r="F4581" s="1255">
        <v>1119</v>
      </c>
      <c r="G4581" s="812" t="s">
        <v>1296</v>
      </c>
      <c r="H4581" s="864"/>
      <c r="I4581" s="864">
        <v>1981</v>
      </c>
      <c r="J4581" s="1494" t="s">
        <v>1134</v>
      </c>
      <c r="K4581" s="1069"/>
      <c r="L4581" s="864"/>
      <c r="M4581" s="864">
        <v>8863</v>
      </c>
      <c r="N4581" s="305"/>
    </row>
    <row r="4582" spans="1:14" ht="30.6">
      <c r="A4582" s="663"/>
      <c r="B4582" s="3130" t="s">
        <v>326</v>
      </c>
      <c r="C4582" s="663" t="s">
        <v>321</v>
      </c>
      <c r="D4582" s="678" t="s">
        <v>1980</v>
      </c>
      <c r="E4582" s="700" t="s">
        <v>1921</v>
      </c>
      <c r="F4582" s="1255">
        <v>1119</v>
      </c>
      <c r="G4582" s="812" t="s">
        <v>2038</v>
      </c>
      <c r="H4582" s="864"/>
      <c r="I4582" s="864"/>
      <c r="J4582" s="1494" t="s">
        <v>1134</v>
      </c>
      <c r="K4582" s="1069"/>
      <c r="L4582" s="864"/>
      <c r="M4582" s="864"/>
      <c r="N4582" s="305"/>
    </row>
    <row r="4583" spans="1:14" ht="20.399999999999999">
      <c r="A4583" s="603"/>
      <c r="B4583" s="3130" t="s">
        <v>326</v>
      </c>
      <c r="C4583" s="663" t="s">
        <v>321</v>
      </c>
      <c r="D4583" s="678" t="s">
        <v>1980</v>
      </c>
      <c r="E4583" s="700" t="s">
        <v>1921</v>
      </c>
      <c r="F4583" s="1255">
        <v>1119</v>
      </c>
      <c r="G4583" s="1448" t="s">
        <v>3170</v>
      </c>
      <c r="H4583" s="1442"/>
      <c r="I4583" s="1442">
        <v>-5990</v>
      </c>
      <c r="J4583" s="1494" t="s">
        <v>1134</v>
      </c>
      <c r="K4583" s="1457"/>
      <c r="L4583" s="1442"/>
      <c r="M4583" s="1442"/>
      <c r="N4583" s="305"/>
    </row>
    <row r="4584" spans="1:14" ht="20.399999999999999">
      <c r="A4584" s="951"/>
      <c r="B4584" s="3129" t="s">
        <v>326</v>
      </c>
      <c r="C4584" s="683" t="s">
        <v>321</v>
      </c>
      <c r="D4584" s="719" t="s">
        <v>1980</v>
      </c>
      <c r="E4584" s="720" t="s">
        <v>1921</v>
      </c>
      <c r="F4584" s="824">
        <v>1146</v>
      </c>
      <c r="G4584" s="800" t="s">
        <v>579</v>
      </c>
      <c r="H4584" s="1253">
        <v>0</v>
      </c>
      <c r="I4584" s="731"/>
      <c r="J4584" s="1494" t="s">
        <v>1134</v>
      </c>
      <c r="K4584" s="1069"/>
      <c r="L4584" s="1253">
        <v>0</v>
      </c>
      <c r="M4584" s="731"/>
      <c r="N4584" s="305"/>
    </row>
    <row r="4585" spans="1:14">
      <c r="A4585" s="663"/>
      <c r="B4585" s="3130" t="s">
        <v>326</v>
      </c>
      <c r="C4585" s="663" t="s">
        <v>321</v>
      </c>
      <c r="D4585" s="678" t="s">
        <v>1980</v>
      </c>
      <c r="E4585" s="700" t="s">
        <v>1921</v>
      </c>
      <c r="F4585" s="795">
        <v>1146</v>
      </c>
      <c r="G4585" s="750"/>
      <c r="H4585" s="864"/>
      <c r="I4585" s="864"/>
      <c r="J4585" s="1494" t="s">
        <v>1134</v>
      </c>
      <c r="K4585" s="1069"/>
      <c r="L4585" s="864"/>
      <c r="M4585" s="864"/>
      <c r="N4585" s="305"/>
    </row>
    <row r="4586" spans="1:14" ht="20.399999999999999">
      <c r="A4586" s="951"/>
      <c r="B4586" s="3129" t="s">
        <v>436</v>
      </c>
      <c r="C4586" s="683" t="s">
        <v>427</v>
      </c>
      <c r="D4586" s="719" t="s">
        <v>1980</v>
      </c>
      <c r="E4586" s="840" t="s">
        <v>1920</v>
      </c>
      <c r="F4586" s="685">
        <v>1145</v>
      </c>
      <c r="G4586" s="686" t="s">
        <v>1016</v>
      </c>
      <c r="H4586" s="893">
        <v>500</v>
      </c>
      <c r="I4586" s="893"/>
      <c r="J4586" s="1494">
        <v>502</v>
      </c>
      <c r="K4586" s="981"/>
      <c r="L4586" s="860">
        <v>300</v>
      </c>
      <c r="M4586" s="860"/>
      <c r="N4586" s="305"/>
    </row>
    <row r="4587" spans="1:14" ht="20.399999999999999">
      <c r="A4587" s="663"/>
      <c r="B4587" s="3130" t="s">
        <v>436</v>
      </c>
      <c r="C4587" s="663" t="s">
        <v>427</v>
      </c>
      <c r="D4587" s="678" t="s">
        <v>1980</v>
      </c>
      <c r="E4587" s="839" t="s">
        <v>1920</v>
      </c>
      <c r="F4587" s="679">
        <v>1145</v>
      </c>
      <c r="G4587" s="665" t="s">
        <v>1996</v>
      </c>
      <c r="H4587" s="752"/>
      <c r="I4587" s="752">
        <v>500</v>
      </c>
      <c r="J4587" s="1494" t="s">
        <v>1134</v>
      </c>
      <c r="K4587" s="981"/>
      <c r="L4587" s="898"/>
      <c r="M4587" s="898">
        <v>300</v>
      </c>
      <c r="N4587" s="305"/>
    </row>
    <row r="4588" spans="1:14" ht="20.399999999999999">
      <c r="A4588" s="951"/>
      <c r="B4588" s="3129" t="s">
        <v>436</v>
      </c>
      <c r="C4588" s="683" t="s">
        <v>427</v>
      </c>
      <c r="D4588" s="719" t="s">
        <v>1980</v>
      </c>
      <c r="E4588" s="840" t="s">
        <v>1920</v>
      </c>
      <c r="F4588" s="685">
        <v>1146</v>
      </c>
      <c r="G4588" s="686" t="s">
        <v>579</v>
      </c>
      <c r="H4588" s="893">
        <v>16700</v>
      </c>
      <c r="I4588" s="893"/>
      <c r="J4588" s="1494">
        <v>0</v>
      </c>
      <c r="K4588" s="981"/>
      <c r="L4588" s="860">
        <v>17000</v>
      </c>
      <c r="M4588" s="860"/>
      <c r="N4588" s="305"/>
    </row>
    <row r="4589" spans="1:14">
      <c r="A4589" s="663"/>
      <c r="B4589" s="3130" t="s">
        <v>436</v>
      </c>
      <c r="C4589" s="663" t="s">
        <v>427</v>
      </c>
      <c r="D4589" s="678" t="s">
        <v>1980</v>
      </c>
      <c r="E4589" s="839" t="s">
        <v>1920</v>
      </c>
      <c r="F4589" s="679">
        <v>1146</v>
      </c>
      <c r="G4589" s="665"/>
      <c r="H4589" s="752"/>
      <c r="I4589" s="752">
        <v>17000</v>
      </c>
      <c r="J4589" s="1494" t="s">
        <v>1134</v>
      </c>
      <c r="K4589" s="981"/>
      <c r="L4589" s="898"/>
      <c r="M4589" s="898">
        <v>17000</v>
      </c>
      <c r="N4589" s="305"/>
    </row>
    <row r="4590" spans="1:14" ht="20.399999999999999">
      <c r="A4590" s="663"/>
      <c r="B4590" s="3130" t="s">
        <v>436</v>
      </c>
      <c r="C4590" s="663" t="s">
        <v>427</v>
      </c>
      <c r="D4590" s="678" t="s">
        <v>1980</v>
      </c>
      <c r="E4590" s="839" t="s">
        <v>1920</v>
      </c>
      <c r="F4590" s="679">
        <v>1146</v>
      </c>
      <c r="G4590" s="665" t="s">
        <v>1996</v>
      </c>
      <c r="H4590" s="752"/>
      <c r="I4590" s="752">
        <v>-300</v>
      </c>
      <c r="J4590" s="1494" t="s">
        <v>1134</v>
      </c>
      <c r="K4590" s="981"/>
      <c r="L4590" s="898"/>
      <c r="M4590" s="898"/>
      <c r="N4590" s="305"/>
    </row>
    <row r="4591" spans="1:14">
      <c r="A4591" s="951"/>
      <c r="B4591" s="3129" t="s">
        <v>326</v>
      </c>
      <c r="C4591" s="683" t="s">
        <v>321</v>
      </c>
      <c r="D4591" s="719" t="s">
        <v>1980</v>
      </c>
      <c r="E4591" s="720" t="s">
        <v>1921</v>
      </c>
      <c r="F4591" s="685">
        <v>1147</v>
      </c>
      <c r="G4591" s="686" t="s">
        <v>787</v>
      </c>
      <c r="H4591" s="1253">
        <v>5000</v>
      </c>
      <c r="I4591" s="731"/>
      <c r="J4591" s="1494">
        <v>4251</v>
      </c>
      <c r="K4591" s="981"/>
      <c r="L4591" s="1253">
        <v>2000</v>
      </c>
      <c r="M4591" s="731"/>
      <c r="N4591" s="305"/>
    </row>
    <row r="4592" spans="1:14" ht="20.399999999999999">
      <c r="A4592" s="663"/>
      <c r="B4592" s="3130" t="s">
        <v>326</v>
      </c>
      <c r="C4592" s="663" t="s">
        <v>321</v>
      </c>
      <c r="D4592" s="678" t="s">
        <v>1980</v>
      </c>
      <c r="E4592" s="700" t="s">
        <v>1921</v>
      </c>
      <c r="F4592" s="679">
        <v>1147</v>
      </c>
      <c r="G4592" s="1448" t="s">
        <v>3170</v>
      </c>
      <c r="H4592" s="864"/>
      <c r="I4592" s="864">
        <v>5000</v>
      </c>
      <c r="J4592" s="1494" t="s">
        <v>1134</v>
      </c>
      <c r="K4592" s="981"/>
      <c r="L4592" s="864"/>
      <c r="M4592" s="864">
        <v>2000</v>
      </c>
      <c r="N4592" s="305"/>
    </row>
    <row r="4593" spans="1:14">
      <c r="A4593" s="951"/>
      <c r="B4593" s="3129" t="s">
        <v>436</v>
      </c>
      <c r="C4593" s="683" t="s">
        <v>427</v>
      </c>
      <c r="D4593" s="719" t="s">
        <v>1980</v>
      </c>
      <c r="E4593" s="840" t="s">
        <v>1920</v>
      </c>
      <c r="F4593" s="685">
        <v>1147</v>
      </c>
      <c r="G4593" s="686" t="s">
        <v>428</v>
      </c>
      <c r="H4593" s="893">
        <v>67757</v>
      </c>
      <c r="I4593" s="893"/>
      <c r="J4593" s="1494">
        <v>39426</v>
      </c>
      <c r="K4593" s="981"/>
      <c r="L4593" s="860">
        <v>99385.313839999973</v>
      </c>
      <c r="M4593" s="860"/>
      <c r="N4593" s="305"/>
    </row>
    <row r="4594" spans="1:14">
      <c r="A4594" s="663"/>
      <c r="B4594" s="3130" t="s">
        <v>436</v>
      </c>
      <c r="C4594" s="663" t="s">
        <v>427</v>
      </c>
      <c r="D4594" s="678" t="s">
        <v>1980</v>
      </c>
      <c r="E4594" s="839" t="s">
        <v>1920</v>
      </c>
      <c r="F4594" s="679">
        <v>1147</v>
      </c>
      <c r="G4594" s="665" t="s">
        <v>4838</v>
      </c>
      <c r="H4594" s="752"/>
      <c r="I4594" s="752">
        <v>55004</v>
      </c>
      <c r="J4594" s="1494" t="s">
        <v>1134</v>
      </c>
      <c r="K4594" s="981"/>
      <c r="L4594" s="898"/>
      <c r="M4594" s="898">
        <v>52525.113199999993</v>
      </c>
      <c r="N4594" s="305"/>
    </row>
    <row r="4595" spans="1:14">
      <c r="A4595" s="663"/>
      <c r="B4595" s="3130" t="s">
        <v>436</v>
      </c>
      <c r="C4595" s="663" t="s">
        <v>427</v>
      </c>
      <c r="D4595" s="678" t="s">
        <v>1980</v>
      </c>
      <c r="E4595" s="839" t="s">
        <v>1920</v>
      </c>
      <c r="F4595" s="679">
        <v>1147</v>
      </c>
      <c r="G4595" s="665" t="s">
        <v>1209</v>
      </c>
      <c r="H4595" s="752"/>
      <c r="I4595" s="752">
        <v>36753.011999999981</v>
      </c>
      <c r="J4595" s="1494" t="s">
        <v>1134</v>
      </c>
      <c r="K4595" s="981"/>
      <c r="L4595" s="898"/>
      <c r="M4595" s="898">
        <v>46860.200639999981</v>
      </c>
      <c r="N4595" s="305"/>
    </row>
    <row r="4596" spans="1:14" ht="20.399999999999999">
      <c r="A4596" s="603"/>
      <c r="B4596" s="3130" t="s">
        <v>436</v>
      </c>
      <c r="C4596" s="663" t="s">
        <v>427</v>
      </c>
      <c r="D4596" s="678" t="s">
        <v>1980</v>
      </c>
      <c r="E4596" s="839" t="s">
        <v>1920</v>
      </c>
      <c r="F4596" s="679">
        <v>1147</v>
      </c>
      <c r="G4596" s="1129" t="s">
        <v>3171</v>
      </c>
      <c r="H4596" s="1454"/>
      <c r="I4596" s="1454">
        <v>-10000</v>
      </c>
      <c r="J4596" s="1494" t="s">
        <v>1134</v>
      </c>
      <c r="K4596" s="1455"/>
      <c r="L4596" s="1479"/>
      <c r="M4596" s="1479"/>
      <c r="N4596" s="305"/>
    </row>
    <row r="4597" spans="1:14" ht="20.399999999999999">
      <c r="A4597" s="603"/>
      <c r="B4597" s="3130" t="s">
        <v>436</v>
      </c>
      <c r="C4597" s="663" t="s">
        <v>427</v>
      </c>
      <c r="D4597" s="678" t="s">
        <v>1980</v>
      </c>
      <c r="E4597" s="839" t="s">
        <v>1920</v>
      </c>
      <c r="F4597" s="679">
        <v>1147</v>
      </c>
      <c r="G4597" s="1129" t="s">
        <v>1019</v>
      </c>
      <c r="H4597" s="1454"/>
      <c r="I4597" s="1454">
        <v>-2000</v>
      </c>
      <c r="J4597" s="1494" t="s">
        <v>1134</v>
      </c>
      <c r="K4597" s="1455"/>
      <c r="L4597" s="1479"/>
      <c r="M4597" s="1479"/>
      <c r="N4597" s="305"/>
    </row>
    <row r="4598" spans="1:14" ht="20.399999999999999">
      <c r="A4598" s="603"/>
      <c r="B4598" s="3130" t="s">
        <v>436</v>
      </c>
      <c r="C4598" s="663" t="s">
        <v>427</v>
      </c>
      <c r="D4598" s="678" t="s">
        <v>1980</v>
      </c>
      <c r="E4598" s="839" t="s">
        <v>1920</v>
      </c>
      <c r="F4598" s="679">
        <v>1147</v>
      </c>
      <c r="G4598" s="1129" t="s">
        <v>3284</v>
      </c>
      <c r="H4598" s="1454"/>
      <c r="I4598" s="1454">
        <v>-2000</v>
      </c>
      <c r="J4598" s="1494" t="s">
        <v>1134</v>
      </c>
      <c r="K4598" s="1455"/>
      <c r="L4598" s="1479"/>
      <c r="M4598" s="1479"/>
      <c r="N4598" s="305"/>
    </row>
    <row r="4599" spans="1:14" ht="20.399999999999999">
      <c r="A4599" s="603"/>
      <c r="B4599" s="3130" t="s">
        <v>436</v>
      </c>
      <c r="C4599" s="663" t="s">
        <v>427</v>
      </c>
      <c r="D4599" s="678" t="s">
        <v>1980</v>
      </c>
      <c r="E4599" s="839" t="s">
        <v>1920</v>
      </c>
      <c r="F4599" s="679">
        <v>1147</v>
      </c>
      <c r="G4599" s="1129" t="s">
        <v>3403</v>
      </c>
      <c r="H4599" s="1454"/>
      <c r="I4599" s="1454">
        <v>-10000</v>
      </c>
      <c r="J4599" s="1494" t="s">
        <v>1134</v>
      </c>
      <c r="K4599" s="1455"/>
      <c r="L4599" s="1479"/>
      <c r="M4599" s="1479"/>
      <c r="N4599" s="75"/>
    </row>
    <row r="4600" spans="1:14">
      <c r="A4600" s="951"/>
      <c r="B4600" s="3129" t="s">
        <v>436</v>
      </c>
      <c r="C4600" s="683" t="s">
        <v>427</v>
      </c>
      <c r="D4600" s="719" t="s">
        <v>1980</v>
      </c>
      <c r="E4600" s="1406" t="s">
        <v>1920</v>
      </c>
      <c r="F4600" s="1965">
        <v>1148</v>
      </c>
      <c r="G4600" s="1691" t="s">
        <v>787</v>
      </c>
      <c r="H4600" s="1966">
        <v>14100</v>
      </c>
      <c r="I4600" s="1966"/>
      <c r="J4600" s="1684">
        <v>43267</v>
      </c>
      <c r="K4600" s="1967"/>
      <c r="L4600" s="1966">
        <v>45000</v>
      </c>
      <c r="M4600" s="1966"/>
      <c r="N4600" s="75"/>
    </row>
    <row r="4601" spans="1:14">
      <c r="A4601" s="663"/>
      <c r="B4601" s="3130" t="s">
        <v>436</v>
      </c>
      <c r="C4601" s="663" t="s">
        <v>427</v>
      </c>
      <c r="D4601" s="678" t="s">
        <v>1980</v>
      </c>
      <c r="E4601" s="1407" t="s">
        <v>1920</v>
      </c>
      <c r="F4601" s="1969">
        <v>1148</v>
      </c>
      <c r="G4601" s="818" t="s">
        <v>3896</v>
      </c>
      <c r="H4601" s="1970"/>
      <c r="I4601" s="1970">
        <v>2100</v>
      </c>
      <c r="J4601" s="1684" t="s">
        <v>1134</v>
      </c>
      <c r="K4601" s="1967"/>
      <c r="L4601" s="1970"/>
      <c r="M4601" s="1972"/>
      <c r="N4601" s="75"/>
    </row>
    <row r="4602" spans="1:14" ht="20.399999999999999">
      <c r="A4602" s="1182"/>
      <c r="B4602" s="3130" t="s">
        <v>436</v>
      </c>
      <c r="C4602" s="663" t="s">
        <v>427</v>
      </c>
      <c r="D4602" s="678" t="s">
        <v>1980</v>
      </c>
      <c r="E4602" s="1407" t="s">
        <v>1920</v>
      </c>
      <c r="F4602" s="1969">
        <v>1148</v>
      </c>
      <c r="G4602" s="1971" t="s">
        <v>3171</v>
      </c>
      <c r="H4602" s="1972"/>
      <c r="I4602" s="1972">
        <v>10000</v>
      </c>
      <c r="J4602" s="1684" t="s">
        <v>1134</v>
      </c>
      <c r="K4602" s="1973"/>
      <c r="L4602" s="1972"/>
      <c r="M4602" s="1972">
        <v>45000</v>
      </c>
      <c r="N4602" s="305"/>
    </row>
    <row r="4603" spans="1:14" ht="20.399999999999999">
      <c r="A4603" s="1182"/>
      <c r="B4603" s="3130" t="s">
        <v>436</v>
      </c>
      <c r="C4603" s="663" t="s">
        <v>427</v>
      </c>
      <c r="D4603" s="678" t="s">
        <v>1980</v>
      </c>
      <c r="E4603" s="1407" t="s">
        <v>1920</v>
      </c>
      <c r="F4603" s="1969">
        <v>1148</v>
      </c>
      <c r="G4603" s="1971" t="s">
        <v>1019</v>
      </c>
      <c r="H4603" s="1972"/>
      <c r="I4603" s="1972">
        <v>2000</v>
      </c>
      <c r="J4603" s="1684" t="s">
        <v>1134</v>
      </c>
      <c r="K4603" s="1973"/>
      <c r="L4603" s="1972"/>
      <c r="M4603" s="1972"/>
      <c r="N4603" s="305"/>
    </row>
    <row r="4604" spans="1:14" ht="51">
      <c r="A4604" s="951"/>
      <c r="B4604" s="3129" t="s">
        <v>772</v>
      </c>
      <c r="C4604" s="683" t="s">
        <v>322</v>
      </c>
      <c r="D4604" s="719" t="s">
        <v>1980</v>
      </c>
      <c r="E4604" s="840" t="s">
        <v>1920</v>
      </c>
      <c r="F4604" s="979">
        <v>1150</v>
      </c>
      <c r="G4604" s="686" t="s">
        <v>789</v>
      </c>
      <c r="H4604" s="893">
        <v>0</v>
      </c>
      <c r="I4604" s="893"/>
      <c r="J4604" s="1494" t="s">
        <v>1134</v>
      </c>
      <c r="K4604" s="981"/>
      <c r="L4604" s="860">
        <v>0</v>
      </c>
      <c r="M4604" s="860"/>
      <c r="N4604" s="305"/>
    </row>
    <row r="4605" spans="1:14">
      <c r="A4605" s="663"/>
      <c r="B4605" s="3130" t="s">
        <v>772</v>
      </c>
      <c r="C4605" s="663" t="s">
        <v>322</v>
      </c>
      <c r="D4605" s="678" t="s">
        <v>1980</v>
      </c>
      <c r="E4605" s="839" t="s">
        <v>1920</v>
      </c>
      <c r="F4605" s="982">
        <v>1150</v>
      </c>
      <c r="G4605" s="665" t="s">
        <v>790</v>
      </c>
      <c r="H4605" s="752"/>
      <c r="I4605" s="752">
        <v>0</v>
      </c>
      <c r="J4605" s="1494" t="s">
        <v>1134</v>
      </c>
      <c r="K4605" s="981"/>
      <c r="L4605" s="898"/>
      <c r="M4605" s="898">
        <v>0</v>
      </c>
      <c r="N4605" s="305"/>
    </row>
    <row r="4606" spans="1:14">
      <c r="A4606" s="951"/>
      <c r="B4606" s="3129" t="s">
        <v>436</v>
      </c>
      <c r="C4606" s="683" t="s">
        <v>427</v>
      </c>
      <c r="D4606" s="719" t="s">
        <v>1980</v>
      </c>
      <c r="E4606" s="840" t="s">
        <v>1920</v>
      </c>
      <c r="F4606" s="979">
        <v>1210</v>
      </c>
      <c r="G4606" s="686" t="s">
        <v>113</v>
      </c>
      <c r="H4606" s="893">
        <v>215908.10773097994</v>
      </c>
      <c r="I4606" s="893"/>
      <c r="J4606" s="1494">
        <v>176294</v>
      </c>
      <c r="K4606" s="980"/>
      <c r="L4606" s="860">
        <v>219473.45101561327</v>
      </c>
      <c r="M4606" s="860"/>
      <c r="N4606" s="305"/>
    </row>
    <row r="4607" spans="1:14">
      <c r="A4607" s="663"/>
      <c r="B4607" s="3130" t="s">
        <v>436</v>
      </c>
      <c r="C4607" s="663" t="s">
        <v>427</v>
      </c>
      <c r="D4607" s="678" t="s">
        <v>1980</v>
      </c>
      <c r="E4607" s="839" t="s">
        <v>1920</v>
      </c>
      <c r="F4607" s="982">
        <v>1210</v>
      </c>
      <c r="G4607" s="675"/>
      <c r="H4607" s="752"/>
      <c r="I4607" s="752">
        <v>215908.10773097994</v>
      </c>
      <c r="J4607" s="1494" t="s">
        <v>1134</v>
      </c>
      <c r="K4607" s="981"/>
      <c r="L4607" s="898"/>
      <c r="M4607" s="898">
        <v>219473.45101561327</v>
      </c>
      <c r="N4607" s="305"/>
    </row>
    <row r="4608" spans="1:14">
      <c r="A4608" s="663"/>
      <c r="B4608" s="3130" t="s">
        <v>436</v>
      </c>
      <c r="C4608" s="663" t="s">
        <v>427</v>
      </c>
      <c r="D4608" s="678" t="s">
        <v>1980</v>
      </c>
      <c r="E4608" s="839" t="s">
        <v>1920</v>
      </c>
      <c r="F4608" s="982">
        <v>1210</v>
      </c>
      <c r="G4608" s="675" t="s">
        <v>722</v>
      </c>
      <c r="H4608" s="752"/>
      <c r="I4608" s="752"/>
      <c r="J4608" s="1494" t="s">
        <v>1134</v>
      </c>
      <c r="K4608" s="981"/>
      <c r="L4608" s="898"/>
      <c r="M4608" s="898"/>
      <c r="N4608" s="305"/>
    </row>
    <row r="4609" spans="1:14">
      <c r="A4609" s="683"/>
      <c r="B4609" s="3129" t="s">
        <v>326</v>
      </c>
      <c r="C4609" s="683" t="s">
        <v>321</v>
      </c>
      <c r="D4609" s="719" t="s">
        <v>1980</v>
      </c>
      <c r="E4609" s="720" t="s">
        <v>1921</v>
      </c>
      <c r="F4609" s="1254">
        <v>1210</v>
      </c>
      <c r="G4609" s="800" t="s">
        <v>204</v>
      </c>
      <c r="H4609" s="747">
        <v>33573</v>
      </c>
      <c r="I4609" s="731"/>
      <c r="J4609" s="1494">
        <v>30396</v>
      </c>
      <c r="K4609" s="1068"/>
      <c r="L4609" s="1253">
        <v>32796.267032000003</v>
      </c>
      <c r="M4609" s="731"/>
      <c r="N4609" s="381"/>
    </row>
    <row r="4610" spans="1:14">
      <c r="A4610" s="663"/>
      <c r="B4610" s="3130" t="s">
        <v>326</v>
      </c>
      <c r="C4610" s="663" t="s">
        <v>321</v>
      </c>
      <c r="D4610" s="678" t="s">
        <v>1980</v>
      </c>
      <c r="E4610" s="700" t="s">
        <v>1921</v>
      </c>
      <c r="F4610" s="1255">
        <v>1210</v>
      </c>
      <c r="G4610" s="812"/>
      <c r="H4610" s="864"/>
      <c r="I4610" s="864">
        <v>32250.548492000002</v>
      </c>
      <c r="J4610" s="1494" t="s">
        <v>1134</v>
      </c>
      <c r="K4610" s="1068"/>
      <c r="L4610" s="864"/>
      <c r="M4610" s="864">
        <v>32796.267032000003</v>
      </c>
      <c r="N4610" s="305"/>
    </row>
    <row r="4611" spans="1:14">
      <c r="A4611" s="663"/>
      <c r="B4611" s="3130" t="s">
        <v>326</v>
      </c>
      <c r="C4611" s="663" t="s">
        <v>321</v>
      </c>
      <c r="D4611" s="678" t="s">
        <v>1980</v>
      </c>
      <c r="E4611" s="700" t="s">
        <v>1921</v>
      </c>
      <c r="F4611" s="1255">
        <v>1210</v>
      </c>
      <c r="G4611" s="812" t="s">
        <v>2874</v>
      </c>
      <c r="H4611" s="864"/>
      <c r="I4611" s="864">
        <v>4556.4515079999983</v>
      </c>
      <c r="J4611" s="1494" t="s">
        <v>1134</v>
      </c>
      <c r="K4611" s="1068"/>
      <c r="L4611" s="864"/>
      <c r="M4611" s="864"/>
      <c r="N4611" s="381"/>
    </row>
    <row r="4612" spans="1:14" ht="30.6">
      <c r="A4612" s="663"/>
      <c r="B4612" s="3130" t="s">
        <v>326</v>
      </c>
      <c r="C4612" s="663" t="s">
        <v>321</v>
      </c>
      <c r="D4612" s="678" t="s">
        <v>1980</v>
      </c>
      <c r="E4612" s="700" t="s">
        <v>1921</v>
      </c>
      <c r="F4612" s="1255">
        <v>1210</v>
      </c>
      <c r="G4612" s="812" t="s">
        <v>2038</v>
      </c>
      <c r="H4612" s="864"/>
      <c r="I4612" s="864"/>
      <c r="J4612" s="1494" t="s">
        <v>1134</v>
      </c>
      <c r="K4612" s="1068"/>
      <c r="L4612" s="864"/>
      <c r="M4612" s="864"/>
      <c r="N4612" s="381"/>
    </row>
    <row r="4613" spans="1:14" ht="20.399999999999999">
      <c r="A4613" s="603"/>
      <c r="B4613" s="3130" t="s">
        <v>326</v>
      </c>
      <c r="C4613" s="663" t="s">
        <v>321</v>
      </c>
      <c r="D4613" s="678" t="s">
        <v>1980</v>
      </c>
      <c r="E4613" s="700" t="s">
        <v>1921</v>
      </c>
      <c r="F4613" s="1255">
        <v>1210</v>
      </c>
      <c r="G4613" s="1452" t="s">
        <v>3092</v>
      </c>
      <c r="H4613" s="1454"/>
      <c r="I4613" s="1454">
        <v>-3234</v>
      </c>
      <c r="J4613" s="1494" t="s">
        <v>1134</v>
      </c>
      <c r="K4613" s="1455"/>
      <c r="L4613" s="1442"/>
      <c r="M4613" s="1442"/>
      <c r="N4613" s="305"/>
    </row>
    <row r="4614" spans="1:14">
      <c r="A4614" s="951"/>
      <c r="B4614" s="3129" t="s">
        <v>436</v>
      </c>
      <c r="C4614" s="683" t="s">
        <v>427</v>
      </c>
      <c r="D4614" s="719" t="s">
        <v>1980</v>
      </c>
      <c r="E4614" s="840" t="s">
        <v>1920</v>
      </c>
      <c r="F4614" s="979">
        <v>1221</v>
      </c>
      <c r="G4614" s="686" t="s">
        <v>114</v>
      </c>
      <c r="H4614" s="893">
        <v>65227</v>
      </c>
      <c r="I4614" s="893"/>
      <c r="J4614" s="1494">
        <v>66468</v>
      </c>
      <c r="K4614" s="980"/>
      <c r="L4614" s="860">
        <v>54561.475897242803</v>
      </c>
      <c r="M4614" s="860"/>
      <c r="N4614" s="305"/>
    </row>
    <row r="4615" spans="1:14">
      <c r="A4615" s="663"/>
      <c r="B4615" s="3130" t="s">
        <v>436</v>
      </c>
      <c r="C4615" s="663" t="s">
        <v>427</v>
      </c>
      <c r="D4615" s="678" t="s">
        <v>1980</v>
      </c>
      <c r="E4615" s="839" t="s">
        <v>1920</v>
      </c>
      <c r="F4615" s="982">
        <v>1221</v>
      </c>
      <c r="G4615" s="675" t="s">
        <v>1188</v>
      </c>
      <c r="H4615" s="752"/>
      <c r="I4615" s="752">
        <v>53227.093485419995</v>
      </c>
      <c r="J4615" s="1494" t="s">
        <v>1134</v>
      </c>
      <c r="K4615" s="981"/>
      <c r="L4615" s="898"/>
      <c r="M4615" s="898">
        <v>54561.475897242803</v>
      </c>
      <c r="N4615" s="305"/>
    </row>
    <row r="4616" spans="1:14" ht="20.399999999999999">
      <c r="A4616" s="663"/>
      <c r="B4616" s="3130" t="s">
        <v>436</v>
      </c>
      <c r="C4616" s="663" t="s">
        <v>427</v>
      </c>
      <c r="D4616" s="678" t="s">
        <v>1980</v>
      </c>
      <c r="E4616" s="839" t="s">
        <v>1920</v>
      </c>
      <c r="F4616" s="982">
        <v>1221</v>
      </c>
      <c r="G4616" s="675" t="s">
        <v>3284</v>
      </c>
      <c r="H4616" s="752"/>
      <c r="I4616" s="752">
        <v>2000</v>
      </c>
      <c r="J4616" s="1494" t="s">
        <v>1134</v>
      </c>
      <c r="K4616" s="981"/>
      <c r="L4616" s="898"/>
      <c r="M4616" s="898"/>
      <c r="N4616" s="305"/>
    </row>
    <row r="4617" spans="1:14">
      <c r="A4617" s="951"/>
      <c r="B4617" s="3129" t="s">
        <v>326</v>
      </c>
      <c r="C4617" s="683" t="s">
        <v>321</v>
      </c>
      <c r="D4617" s="719" t="s">
        <v>1980</v>
      </c>
      <c r="E4617" s="720" t="s">
        <v>1921</v>
      </c>
      <c r="F4617" s="1254">
        <v>1221</v>
      </c>
      <c r="G4617" s="800" t="s">
        <v>114</v>
      </c>
      <c r="H4617" s="747">
        <v>4000</v>
      </c>
      <c r="I4617" s="731"/>
      <c r="J4617" s="1494">
        <v>4273</v>
      </c>
      <c r="K4617" s="1068"/>
      <c r="L4617" s="747">
        <v>4000</v>
      </c>
      <c r="M4617" s="731"/>
      <c r="N4617" s="305"/>
    </row>
    <row r="4618" spans="1:14">
      <c r="A4618" s="663"/>
      <c r="B4618" s="3130" t="s">
        <v>326</v>
      </c>
      <c r="C4618" s="663" t="s">
        <v>321</v>
      </c>
      <c r="D4618" s="678" t="s">
        <v>1980</v>
      </c>
      <c r="E4618" s="700" t="s">
        <v>1921</v>
      </c>
      <c r="F4618" s="1255">
        <v>1221</v>
      </c>
      <c r="G4618" s="812" t="s">
        <v>748</v>
      </c>
      <c r="H4618" s="864"/>
      <c r="I4618" s="864">
        <v>1000</v>
      </c>
      <c r="J4618" s="1494" t="s">
        <v>1134</v>
      </c>
      <c r="K4618" s="1068"/>
      <c r="L4618" s="864"/>
      <c r="M4618" s="864">
        <v>4000</v>
      </c>
      <c r="N4618" s="305"/>
    </row>
    <row r="4619" spans="1:14" ht="20.399999999999999">
      <c r="A4619" s="663"/>
      <c r="B4619" s="3130" t="s">
        <v>326</v>
      </c>
      <c r="C4619" s="663" t="s">
        <v>321</v>
      </c>
      <c r="D4619" s="678" t="s">
        <v>1980</v>
      </c>
      <c r="E4619" s="700" t="s">
        <v>1921</v>
      </c>
      <c r="F4619" s="1255">
        <v>1221</v>
      </c>
      <c r="G4619" s="1452" t="s">
        <v>3092</v>
      </c>
      <c r="H4619" s="864"/>
      <c r="I4619" s="864">
        <v>3000</v>
      </c>
      <c r="J4619" s="1494" t="s">
        <v>1134</v>
      </c>
      <c r="K4619" s="1068"/>
      <c r="L4619" s="864"/>
      <c r="M4619" s="864"/>
      <c r="N4619" s="305"/>
    </row>
    <row r="4620" spans="1:14" ht="20.399999999999999">
      <c r="A4620" s="603"/>
      <c r="B4620" s="3130" t="s">
        <v>326</v>
      </c>
      <c r="C4620" s="663" t="s">
        <v>427</v>
      </c>
      <c r="D4620" s="678" t="s">
        <v>1980</v>
      </c>
      <c r="E4620" s="839" t="s">
        <v>1920</v>
      </c>
      <c r="F4620" s="982">
        <v>1221</v>
      </c>
      <c r="G4620" s="1129" t="s">
        <v>3403</v>
      </c>
      <c r="H4620" s="1454"/>
      <c r="I4620" s="1454">
        <v>10000</v>
      </c>
      <c r="J4620" s="1494" t="s">
        <v>1134</v>
      </c>
      <c r="K4620" s="1455"/>
      <c r="L4620" s="1479"/>
      <c r="M4620" s="1479"/>
      <c r="N4620" s="125"/>
    </row>
    <row r="4621" spans="1:14">
      <c r="A4621" s="951"/>
      <c r="B4621" s="3129" t="s">
        <v>436</v>
      </c>
      <c r="C4621" s="683" t="s">
        <v>322</v>
      </c>
      <c r="D4621" s="719" t="s">
        <v>1980</v>
      </c>
      <c r="E4621" s="1406" t="s">
        <v>1920</v>
      </c>
      <c r="F4621" s="1965">
        <v>1223</v>
      </c>
      <c r="G4621" s="1691" t="s">
        <v>791</v>
      </c>
      <c r="H4621" s="1966">
        <v>2000</v>
      </c>
      <c r="I4621" s="1966"/>
      <c r="J4621" s="1684">
        <v>0</v>
      </c>
      <c r="K4621" s="1974"/>
      <c r="L4621" s="1966">
        <v>2000</v>
      </c>
      <c r="M4621" s="1966"/>
      <c r="N4621" s="125"/>
    </row>
    <row r="4622" spans="1:14" s="209" customFormat="1" ht="20.399999999999999">
      <c r="A4622" s="663"/>
      <c r="B4622" s="3130" t="s">
        <v>436</v>
      </c>
      <c r="C4622" s="663" t="s">
        <v>322</v>
      </c>
      <c r="D4622" s="678" t="s">
        <v>1980</v>
      </c>
      <c r="E4622" s="1407" t="s">
        <v>1920</v>
      </c>
      <c r="F4622" s="1969">
        <v>1223</v>
      </c>
      <c r="G4622" s="1803" t="s">
        <v>2313</v>
      </c>
      <c r="H4622" s="1970"/>
      <c r="I4622" s="1970">
        <v>2000</v>
      </c>
      <c r="J4622" s="1684" t="s">
        <v>1134</v>
      </c>
      <c r="K4622" s="1974"/>
      <c r="L4622" s="1970"/>
      <c r="M4622" s="1970">
        <v>2000</v>
      </c>
      <c r="N4622" s="125"/>
    </row>
    <row r="4623" spans="1:14" s="209" customFormat="1" ht="14.4">
      <c r="A4623" s="951"/>
      <c r="B4623" s="3129" t="s">
        <v>772</v>
      </c>
      <c r="C4623" s="683" t="s">
        <v>427</v>
      </c>
      <c r="D4623" s="719" t="s">
        <v>1980</v>
      </c>
      <c r="E4623" s="1406" t="s">
        <v>1920</v>
      </c>
      <c r="F4623" s="1965">
        <v>1228</v>
      </c>
      <c r="G4623" s="1691" t="s">
        <v>614</v>
      </c>
      <c r="H4623" s="1966">
        <v>4500</v>
      </c>
      <c r="I4623" s="1966"/>
      <c r="J4623" s="1684">
        <v>3566</v>
      </c>
      <c r="K4623" s="1974"/>
      <c r="L4623" s="1966">
        <v>4800</v>
      </c>
      <c r="M4623" s="1966"/>
      <c r="N4623" s="125"/>
    </row>
    <row r="4624" spans="1:14" s="209" customFormat="1" ht="14.4">
      <c r="A4624" s="872"/>
      <c r="B4624" s="3130" t="s">
        <v>772</v>
      </c>
      <c r="C4624" s="663" t="s">
        <v>427</v>
      </c>
      <c r="D4624" s="678" t="s">
        <v>1980</v>
      </c>
      <c r="E4624" s="1407" t="s">
        <v>1920</v>
      </c>
      <c r="F4624" s="1969">
        <v>1228</v>
      </c>
      <c r="G4624" s="818" t="s">
        <v>2314</v>
      </c>
      <c r="H4624" s="1975"/>
      <c r="I4624" s="1975">
        <v>3000</v>
      </c>
      <c r="J4624" s="1684" t="s">
        <v>1134</v>
      </c>
      <c r="K4624" s="1976"/>
      <c r="L4624" s="1975"/>
      <c r="M4624" s="1975">
        <v>3000</v>
      </c>
      <c r="N4624" s="125"/>
    </row>
    <row r="4625" spans="1:14" s="209" customFormat="1" ht="20.399999999999999">
      <c r="A4625" s="663"/>
      <c r="B4625" s="3130" t="s">
        <v>772</v>
      </c>
      <c r="C4625" s="663" t="s">
        <v>427</v>
      </c>
      <c r="D4625" s="678" t="s">
        <v>1980</v>
      </c>
      <c r="E4625" s="1407" t="s">
        <v>1920</v>
      </c>
      <c r="F4625" s="1413">
        <v>1228</v>
      </c>
      <c r="G4625" s="1821" t="s">
        <v>3898</v>
      </c>
      <c r="H4625" s="1713"/>
      <c r="I4625" s="1713">
        <v>1500</v>
      </c>
      <c r="J4625" s="1684" t="s">
        <v>1134</v>
      </c>
      <c r="K4625" s="1918"/>
      <c r="L4625" s="1713"/>
      <c r="M4625" s="1713">
        <v>1800</v>
      </c>
      <c r="N4625" s="177" t="s">
        <v>4756</v>
      </c>
    </row>
    <row r="4626" spans="1:14" s="209" customFormat="1" ht="14.4">
      <c r="A4626" s="951"/>
      <c r="B4626" s="3129" t="s">
        <v>772</v>
      </c>
      <c r="C4626" s="683" t="s">
        <v>322</v>
      </c>
      <c r="D4626" s="719" t="s">
        <v>1980</v>
      </c>
      <c r="E4626" s="1406" t="s">
        <v>1920</v>
      </c>
      <c r="F4626" s="1965">
        <v>2111</v>
      </c>
      <c r="G4626" s="1691" t="s">
        <v>213</v>
      </c>
      <c r="H4626" s="1966">
        <v>0</v>
      </c>
      <c r="I4626" s="1966"/>
      <c r="J4626" s="1684" t="s">
        <v>1134</v>
      </c>
      <c r="K4626" s="1974"/>
      <c r="L4626" s="1966">
        <v>0</v>
      </c>
      <c r="M4626" s="1966"/>
      <c r="N4626" s="177"/>
    </row>
    <row r="4627" spans="1:14" s="209" customFormat="1" ht="14.4">
      <c r="A4627" s="663"/>
      <c r="B4627" s="3130" t="s">
        <v>772</v>
      </c>
      <c r="C4627" s="663" t="s">
        <v>322</v>
      </c>
      <c r="D4627" s="678" t="s">
        <v>1980</v>
      </c>
      <c r="E4627" s="1407" t="s">
        <v>1920</v>
      </c>
      <c r="F4627" s="1969">
        <v>2111</v>
      </c>
      <c r="G4627" s="818" t="s">
        <v>214</v>
      </c>
      <c r="H4627" s="1975"/>
      <c r="I4627" s="1975"/>
      <c r="J4627" s="1684" t="s">
        <v>1134</v>
      </c>
      <c r="K4627" s="1976"/>
      <c r="L4627" s="1975"/>
      <c r="M4627" s="1975"/>
      <c r="N4627" s="177"/>
    </row>
    <row r="4628" spans="1:14">
      <c r="A4628" s="683"/>
      <c r="B4628" s="3129" t="s">
        <v>772</v>
      </c>
      <c r="C4628" s="683" t="s">
        <v>322</v>
      </c>
      <c r="D4628" s="719" t="s">
        <v>1980</v>
      </c>
      <c r="E4628" s="1406" t="s">
        <v>1920</v>
      </c>
      <c r="F4628" s="1965">
        <v>2112</v>
      </c>
      <c r="G4628" s="1691" t="s">
        <v>215</v>
      </c>
      <c r="H4628" s="1966">
        <v>500</v>
      </c>
      <c r="I4628" s="1966"/>
      <c r="J4628" s="1684">
        <v>0</v>
      </c>
      <c r="K4628" s="1974"/>
      <c r="L4628" s="1966">
        <v>500</v>
      </c>
      <c r="M4628" s="1966"/>
      <c r="N4628" s="7"/>
    </row>
    <row r="4629" spans="1:14">
      <c r="A4629" s="663"/>
      <c r="B4629" s="3130" t="s">
        <v>772</v>
      </c>
      <c r="C4629" s="663" t="s">
        <v>322</v>
      </c>
      <c r="D4629" s="678" t="s">
        <v>1980</v>
      </c>
      <c r="E4629" s="1407" t="s">
        <v>1920</v>
      </c>
      <c r="F4629" s="1969">
        <v>2112</v>
      </c>
      <c r="G4629" s="818" t="s">
        <v>1095</v>
      </c>
      <c r="H4629" s="1975"/>
      <c r="I4629" s="1975">
        <v>500</v>
      </c>
      <c r="J4629" s="1684" t="s">
        <v>1134</v>
      </c>
      <c r="K4629" s="1976"/>
      <c r="L4629" s="1975"/>
      <c r="M4629" s="1975">
        <v>500</v>
      </c>
      <c r="N4629" s="7"/>
    </row>
    <row r="4630" spans="1:14">
      <c r="A4630" s="951"/>
      <c r="B4630" s="3129" t="s">
        <v>772</v>
      </c>
      <c r="C4630" s="728" t="s">
        <v>325</v>
      </c>
      <c r="D4630" s="734" t="s">
        <v>1980</v>
      </c>
      <c r="E4630" s="1409" t="s">
        <v>1920</v>
      </c>
      <c r="F4630" s="1977">
        <v>2121</v>
      </c>
      <c r="G4630" s="1978" t="s">
        <v>213</v>
      </c>
      <c r="H4630" s="1966">
        <v>180</v>
      </c>
      <c r="I4630" s="1966"/>
      <c r="J4630" s="1684">
        <v>0</v>
      </c>
      <c r="K4630" s="1974"/>
      <c r="L4630" s="1966">
        <v>100</v>
      </c>
      <c r="M4630" s="1966"/>
      <c r="N4630" s="7"/>
    </row>
    <row r="4631" spans="1:14">
      <c r="A4631" s="663"/>
      <c r="B4631" s="3130" t="s">
        <v>772</v>
      </c>
      <c r="C4631" s="663" t="s">
        <v>325</v>
      </c>
      <c r="D4631" s="678" t="s">
        <v>1980</v>
      </c>
      <c r="E4631" s="1407" t="s">
        <v>1920</v>
      </c>
      <c r="F4631" s="1969">
        <v>2121</v>
      </c>
      <c r="G4631" s="818"/>
      <c r="H4631" s="1975"/>
      <c r="I4631" s="1975">
        <v>180</v>
      </c>
      <c r="J4631" s="1684" t="s">
        <v>1134</v>
      </c>
      <c r="K4631" s="1976"/>
      <c r="L4631" s="1975"/>
      <c r="M4631" s="1975">
        <v>100</v>
      </c>
      <c r="N4631" s="7"/>
    </row>
    <row r="4632" spans="1:14" s="209" customFormat="1" ht="14.4">
      <c r="A4632" s="951"/>
      <c r="B4632" s="3129" t="s">
        <v>772</v>
      </c>
      <c r="C4632" s="683" t="s">
        <v>320</v>
      </c>
      <c r="D4632" s="719" t="s">
        <v>1980</v>
      </c>
      <c r="E4632" s="1406" t="s">
        <v>1920</v>
      </c>
      <c r="F4632" s="1965">
        <v>2210</v>
      </c>
      <c r="G4632" s="1691" t="s">
        <v>572</v>
      </c>
      <c r="H4632" s="1966">
        <v>2012.48</v>
      </c>
      <c r="I4632" s="1966"/>
      <c r="J4632" s="1684">
        <v>1800</v>
      </c>
      <c r="K4632" s="1974"/>
      <c r="L4632" s="1966">
        <v>2012.48</v>
      </c>
      <c r="M4632" s="1966"/>
      <c r="N4632" s="7"/>
    </row>
    <row r="4633" spans="1:14" s="209" customFormat="1" ht="20.399999999999999">
      <c r="A4633" s="663"/>
      <c r="B4633" s="3130" t="s">
        <v>772</v>
      </c>
      <c r="C4633" s="663" t="s">
        <v>320</v>
      </c>
      <c r="D4633" s="678" t="s">
        <v>1980</v>
      </c>
      <c r="E4633" s="1407" t="s">
        <v>1920</v>
      </c>
      <c r="F4633" s="1969">
        <v>2210</v>
      </c>
      <c r="G4633" s="818" t="s">
        <v>834</v>
      </c>
      <c r="H4633" s="1975"/>
      <c r="I4633" s="1975">
        <v>50</v>
      </c>
      <c r="J4633" s="1684" t="s">
        <v>1134</v>
      </c>
      <c r="K4633" s="1976"/>
      <c r="L4633" s="1975"/>
      <c r="M4633" s="1975">
        <v>50</v>
      </c>
      <c r="N4633" s="7"/>
    </row>
    <row r="4634" spans="1:14" s="209" customFormat="1" ht="14.4">
      <c r="A4634" s="663"/>
      <c r="B4634" s="3130" t="s">
        <v>772</v>
      </c>
      <c r="C4634" s="663" t="s">
        <v>320</v>
      </c>
      <c r="D4634" s="678" t="s">
        <v>1980</v>
      </c>
      <c r="E4634" s="1407" t="s">
        <v>1920</v>
      </c>
      <c r="F4634" s="1969">
        <v>2210</v>
      </c>
      <c r="G4634" s="818" t="s">
        <v>1402</v>
      </c>
      <c r="H4634" s="1975"/>
      <c r="I4634" s="1975">
        <v>1962.48</v>
      </c>
      <c r="J4634" s="1684" t="s">
        <v>1134</v>
      </c>
      <c r="K4634" s="1976"/>
      <c r="L4634" s="1975"/>
      <c r="M4634" s="1975">
        <v>1962.48</v>
      </c>
      <c r="N4634" s="7"/>
    </row>
    <row r="4635" spans="1:14" s="209" customFormat="1" ht="14.4">
      <c r="A4635" s="951"/>
      <c r="B4635" s="3129" t="s">
        <v>772</v>
      </c>
      <c r="C4635" s="683" t="s">
        <v>320</v>
      </c>
      <c r="D4635" s="719" t="s">
        <v>1980</v>
      </c>
      <c r="E4635" s="720" t="s">
        <v>1920</v>
      </c>
      <c r="F4635" s="1254">
        <v>2223</v>
      </c>
      <c r="G4635" s="800" t="s">
        <v>154</v>
      </c>
      <c r="H4635" s="893">
        <v>18660</v>
      </c>
      <c r="I4635" s="893"/>
      <c r="J4635" s="1654">
        <v>11860</v>
      </c>
      <c r="K4635" s="1068"/>
      <c r="L4635" s="893">
        <v>20218</v>
      </c>
      <c r="M4635" s="893"/>
      <c r="N4635" s="1968"/>
    </row>
    <row r="4636" spans="1:14" s="209" customFormat="1" ht="14.4">
      <c r="A4636" s="663"/>
      <c r="B4636" s="3130" t="s">
        <v>772</v>
      </c>
      <c r="C4636" s="663" t="s">
        <v>320</v>
      </c>
      <c r="D4636" s="678" t="s">
        <v>1980</v>
      </c>
      <c r="E4636" s="700" t="s">
        <v>1920</v>
      </c>
      <c r="F4636" s="1255">
        <v>2223</v>
      </c>
      <c r="G4636" s="750" t="s">
        <v>154</v>
      </c>
      <c r="H4636" s="748"/>
      <c r="I4636" s="748">
        <v>24000</v>
      </c>
      <c r="J4636" s="1654" t="s">
        <v>1134</v>
      </c>
      <c r="K4636" s="1313"/>
      <c r="L4636" s="748"/>
      <c r="M4636" s="748">
        <v>20218</v>
      </c>
      <c r="N4636" s="1223"/>
    </row>
    <row r="4637" spans="1:14" s="209" customFormat="1" ht="14.4">
      <c r="A4637" s="663"/>
      <c r="B4637" s="3130" t="s">
        <v>772</v>
      </c>
      <c r="C4637" s="663" t="s">
        <v>320</v>
      </c>
      <c r="D4637" s="678" t="s">
        <v>1980</v>
      </c>
      <c r="E4637" s="700" t="s">
        <v>1920</v>
      </c>
      <c r="F4637" s="1255">
        <v>2223</v>
      </c>
      <c r="G4637" s="830" t="s">
        <v>1654</v>
      </c>
      <c r="H4637" s="748"/>
      <c r="I4637" s="748">
        <v>-5340</v>
      </c>
      <c r="J4637" s="1654" t="s">
        <v>1134</v>
      </c>
      <c r="K4637" s="1313"/>
      <c r="L4637" s="748"/>
      <c r="M4637" s="748"/>
      <c r="N4637" s="1223"/>
    </row>
    <row r="4638" spans="1:14" s="209" customFormat="1" ht="20.399999999999999">
      <c r="A4638" s="951"/>
      <c r="B4638" s="3129" t="s">
        <v>772</v>
      </c>
      <c r="C4638" s="683" t="s">
        <v>320</v>
      </c>
      <c r="D4638" s="719" t="s">
        <v>1980</v>
      </c>
      <c r="E4638" s="720" t="s">
        <v>1920</v>
      </c>
      <c r="F4638" s="1254">
        <v>2231</v>
      </c>
      <c r="G4638" s="800" t="s">
        <v>744</v>
      </c>
      <c r="H4638" s="893"/>
      <c r="I4638" s="893"/>
      <c r="J4638" s="1654" t="s">
        <v>1134</v>
      </c>
      <c r="K4638" s="1068"/>
      <c r="L4638" s="893"/>
      <c r="M4638" s="893"/>
      <c r="N4638" s="1802"/>
    </row>
    <row r="4639" spans="1:14" s="209" customFormat="1" ht="14.4">
      <c r="A4639" s="760"/>
      <c r="B4639" s="3130" t="s">
        <v>772</v>
      </c>
      <c r="C4639" s="663" t="s">
        <v>320</v>
      </c>
      <c r="D4639" s="678" t="s">
        <v>1980</v>
      </c>
      <c r="E4639" s="700" t="s">
        <v>1920</v>
      </c>
      <c r="F4639" s="1255">
        <v>2231</v>
      </c>
      <c r="G4639" s="750"/>
      <c r="H4639" s="748"/>
      <c r="I4639" s="748"/>
      <c r="J4639" s="1654" t="s">
        <v>1134</v>
      </c>
      <c r="K4639" s="1313"/>
      <c r="L4639" s="748"/>
      <c r="M4639" s="748"/>
      <c r="N4639" s="1802"/>
    </row>
    <row r="4640" spans="1:14" s="209" customFormat="1" ht="14.4">
      <c r="A4640" s="683"/>
      <c r="B4640" s="3129" t="s">
        <v>772</v>
      </c>
      <c r="C4640" s="683" t="s">
        <v>322</v>
      </c>
      <c r="D4640" s="719" t="s">
        <v>1980</v>
      </c>
      <c r="E4640" s="720" t="s">
        <v>1920</v>
      </c>
      <c r="F4640" s="1254">
        <v>2233</v>
      </c>
      <c r="G4640" s="800" t="s">
        <v>236</v>
      </c>
      <c r="H4640" s="893">
        <v>1000</v>
      </c>
      <c r="I4640" s="893"/>
      <c r="J4640" s="1654">
        <v>111.06</v>
      </c>
      <c r="K4640" s="1068"/>
      <c r="L4640" s="893">
        <v>1000</v>
      </c>
      <c r="M4640" s="893"/>
      <c r="N4640" s="1802"/>
    </row>
    <row r="4641" spans="1:14" s="209" customFormat="1" ht="14.4">
      <c r="A4641" s="663"/>
      <c r="B4641" s="3130" t="s">
        <v>772</v>
      </c>
      <c r="C4641" s="663" t="s">
        <v>322</v>
      </c>
      <c r="D4641" s="678" t="s">
        <v>1980</v>
      </c>
      <c r="E4641" s="700" t="s">
        <v>1920</v>
      </c>
      <c r="F4641" s="1255">
        <v>2233</v>
      </c>
      <c r="G4641" s="1979" t="s">
        <v>2315</v>
      </c>
      <c r="H4641" s="748"/>
      <c r="I4641" s="748">
        <v>500</v>
      </c>
      <c r="J4641" s="1654" t="s">
        <v>1134</v>
      </c>
      <c r="K4641" s="1313"/>
      <c r="L4641" s="748"/>
      <c r="M4641" s="748">
        <v>500</v>
      </c>
      <c r="N4641" s="1802"/>
    </row>
    <row r="4642" spans="1:14" s="209" customFormat="1" ht="14.4">
      <c r="A4642" s="663"/>
      <c r="B4642" s="3130" t="s">
        <v>772</v>
      </c>
      <c r="C4642" s="663" t="s">
        <v>322</v>
      </c>
      <c r="D4642" s="678" t="s">
        <v>1980</v>
      </c>
      <c r="E4642" s="700" t="s">
        <v>1920</v>
      </c>
      <c r="F4642" s="1255">
        <v>2233</v>
      </c>
      <c r="G4642" s="750" t="s">
        <v>1096</v>
      </c>
      <c r="H4642" s="748"/>
      <c r="I4642" s="748">
        <v>500</v>
      </c>
      <c r="J4642" s="1654" t="s">
        <v>1134</v>
      </c>
      <c r="K4642" s="1313"/>
      <c r="L4642" s="748"/>
      <c r="M4642" s="748">
        <v>500</v>
      </c>
      <c r="N4642" s="1223"/>
    </row>
    <row r="4643" spans="1:14" ht="20.399999999999999">
      <c r="A4643" s="951"/>
      <c r="B4643" s="3129" t="s">
        <v>772</v>
      </c>
      <c r="C4643" s="683" t="s">
        <v>322</v>
      </c>
      <c r="D4643" s="719" t="s">
        <v>1980</v>
      </c>
      <c r="E4643" s="720" t="s">
        <v>1920</v>
      </c>
      <c r="F4643" s="1254">
        <v>2234</v>
      </c>
      <c r="G4643" s="800" t="s">
        <v>237</v>
      </c>
      <c r="H4643" s="893">
        <v>1880</v>
      </c>
      <c r="I4643" s="893"/>
      <c r="J4643" s="1654">
        <v>389</v>
      </c>
      <c r="K4643" s="1068"/>
      <c r="L4643" s="893">
        <v>2590</v>
      </c>
      <c r="M4643" s="893"/>
      <c r="N4643" s="1223"/>
    </row>
    <row r="4644" spans="1:14">
      <c r="A4644" s="872"/>
      <c r="B4644" s="3137" t="s">
        <v>772</v>
      </c>
      <c r="C4644" s="774" t="s">
        <v>322</v>
      </c>
      <c r="D4644" s="873" t="s">
        <v>1980</v>
      </c>
      <c r="E4644" s="700" t="s">
        <v>1920</v>
      </c>
      <c r="F4644" s="1255">
        <v>2234</v>
      </c>
      <c r="G4644" s="750" t="s">
        <v>1403</v>
      </c>
      <c r="H4644" s="748"/>
      <c r="I4644" s="748">
        <v>1180</v>
      </c>
      <c r="J4644" s="1654" t="s">
        <v>1134</v>
      </c>
      <c r="K4644" s="1313"/>
      <c r="L4644" s="748"/>
      <c r="M4644" s="748">
        <v>1180</v>
      </c>
      <c r="N4644" s="1223"/>
    </row>
    <row r="4645" spans="1:14" ht="11.4" customHeight="1">
      <c r="A4645" s="872"/>
      <c r="B4645" s="3137" t="s">
        <v>772</v>
      </c>
      <c r="C4645" s="774" t="s">
        <v>322</v>
      </c>
      <c r="D4645" s="873" t="s">
        <v>1980</v>
      </c>
      <c r="E4645" s="700" t="s">
        <v>1920</v>
      </c>
      <c r="F4645" s="1255">
        <v>2234</v>
      </c>
      <c r="G4645" s="750" t="s">
        <v>1404</v>
      </c>
      <c r="H4645" s="748"/>
      <c r="I4645" s="748">
        <v>700</v>
      </c>
      <c r="J4645" s="1654" t="s">
        <v>1134</v>
      </c>
      <c r="K4645" s="1313"/>
      <c r="L4645" s="748"/>
      <c r="M4645" s="748">
        <v>1410</v>
      </c>
      <c r="N4645" s="1223"/>
    </row>
    <row r="4646" spans="1:14" ht="11.4" customHeight="1">
      <c r="A4646" s="951"/>
      <c r="B4646" s="3129" t="s">
        <v>772</v>
      </c>
      <c r="C4646" s="683" t="s">
        <v>320</v>
      </c>
      <c r="D4646" s="719" t="s">
        <v>1980</v>
      </c>
      <c r="E4646" s="720" t="s">
        <v>1920</v>
      </c>
      <c r="F4646" s="1254">
        <v>2235</v>
      </c>
      <c r="G4646" s="800" t="s">
        <v>738</v>
      </c>
      <c r="H4646" s="893">
        <v>1500</v>
      </c>
      <c r="I4646" s="893"/>
      <c r="J4646" s="1654">
        <v>1489</v>
      </c>
      <c r="K4646" s="1068"/>
      <c r="L4646" s="893">
        <v>1500</v>
      </c>
      <c r="M4646" s="893"/>
      <c r="N4646" s="1223"/>
    </row>
    <row r="4647" spans="1:14">
      <c r="A4647" s="872"/>
      <c r="B4647" s="3137" t="s">
        <v>772</v>
      </c>
      <c r="C4647" s="774" t="s">
        <v>320</v>
      </c>
      <c r="D4647" s="873" t="s">
        <v>1980</v>
      </c>
      <c r="E4647" s="700" t="s">
        <v>1920</v>
      </c>
      <c r="F4647" s="1255">
        <v>2235</v>
      </c>
      <c r="G4647" s="750" t="s">
        <v>1097</v>
      </c>
      <c r="H4647" s="748"/>
      <c r="I4647" s="748">
        <v>1500</v>
      </c>
      <c r="J4647" s="1654" t="s">
        <v>1134</v>
      </c>
      <c r="K4647" s="1313"/>
      <c r="L4647" s="748"/>
      <c r="M4647" s="748">
        <v>1500</v>
      </c>
      <c r="N4647" s="1968"/>
    </row>
    <row r="4648" spans="1:14">
      <c r="A4648" s="951"/>
      <c r="B4648" s="3129" t="s">
        <v>772</v>
      </c>
      <c r="C4648" s="683" t="s">
        <v>322</v>
      </c>
      <c r="D4648" s="719" t="s">
        <v>1980</v>
      </c>
      <c r="E4648" s="720" t="s">
        <v>1920</v>
      </c>
      <c r="F4648" s="1254">
        <v>2239</v>
      </c>
      <c r="G4648" s="800" t="s">
        <v>177</v>
      </c>
      <c r="H4648" s="893">
        <v>1795</v>
      </c>
      <c r="I4648" s="893"/>
      <c r="J4648" s="1654">
        <v>7265</v>
      </c>
      <c r="K4648" s="1068"/>
      <c r="L4648" s="893">
        <v>800</v>
      </c>
      <c r="M4648" s="893"/>
      <c r="N4648" s="1223"/>
    </row>
    <row r="4649" spans="1:14" ht="40.799999999999997">
      <c r="A4649" s="872"/>
      <c r="B4649" s="3137" t="s">
        <v>772</v>
      </c>
      <c r="C4649" s="774" t="s">
        <v>322</v>
      </c>
      <c r="D4649" s="873" t="s">
        <v>1980</v>
      </c>
      <c r="E4649" s="700" t="s">
        <v>1920</v>
      </c>
      <c r="F4649" s="1255">
        <v>2239</v>
      </c>
      <c r="G4649" s="750" t="s">
        <v>835</v>
      </c>
      <c r="H4649" s="748"/>
      <c r="I4649" s="748">
        <v>500</v>
      </c>
      <c r="J4649" s="1654" t="s">
        <v>1134</v>
      </c>
      <c r="K4649" s="1313"/>
      <c r="L4649" s="748"/>
      <c r="M4649" s="748">
        <v>500</v>
      </c>
      <c r="N4649" s="1223"/>
    </row>
    <row r="4650" spans="1:14">
      <c r="A4650" s="872"/>
      <c r="B4650" s="3137" t="s">
        <v>772</v>
      </c>
      <c r="C4650" s="774" t="s">
        <v>322</v>
      </c>
      <c r="D4650" s="873" t="s">
        <v>1980</v>
      </c>
      <c r="E4650" s="700" t="s">
        <v>1920</v>
      </c>
      <c r="F4650" s="1255">
        <v>2239</v>
      </c>
      <c r="G4650" s="750" t="s">
        <v>1052</v>
      </c>
      <c r="H4650" s="748"/>
      <c r="I4650" s="748">
        <v>300</v>
      </c>
      <c r="J4650" s="1654" t="s">
        <v>1134</v>
      </c>
      <c r="K4650" s="1313"/>
      <c r="L4650" s="748"/>
      <c r="M4650" s="748">
        <v>300</v>
      </c>
      <c r="N4650" s="1968"/>
    </row>
    <row r="4651" spans="1:14">
      <c r="A4651" s="1225"/>
      <c r="B4651" s="3137" t="s">
        <v>772</v>
      </c>
      <c r="C4651" s="774" t="s">
        <v>322</v>
      </c>
      <c r="D4651" s="873" t="s">
        <v>1980</v>
      </c>
      <c r="E4651" s="700" t="s">
        <v>1920</v>
      </c>
      <c r="F4651" s="1255">
        <v>2239</v>
      </c>
      <c r="G4651" s="1207" t="s">
        <v>2801</v>
      </c>
      <c r="H4651" s="1226"/>
      <c r="I4651" s="1226">
        <v>995</v>
      </c>
      <c r="J4651" s="1654" t="s">
        <v>1134</v>
      </c>
      <c r="K4651" s="1981"/>
      <c r="L4651" s="1226"/>
      <c r="M4651" s="1226"/>
      <c r="N4651" s="1223"/>
    </row>
    <row r="4652" spans="1:14">
      <c r="A4652" s="951"/>
      <c r="B4652" s="3129" t="s">
        <v>772</v>
      </c>
      <c r="C4652" s="683" t="s">
        <v>320</v>
      </c>
      <c r="D4652" s="719" t="s">
        <v>1980</v>
      </c>
      <c r="E4652" s="720" t="s">
        <v>1920</v>
      </c>
      <c r="F4652" s="824">
        <v>2241</v>
      </c>
      <c r="G4652" s="800" t="s">
        <v>156</v>
      </c>
      <c r="H4652" s="893">
        <v>2700</v>
      </c>
      <c r="I4652" s="893"/>
      <c r="J4652" s="1654">
        <v>169.4</v>
      </c>
      <c r="K4652" s="1068"/>
      <c r="L4652" s="893">
        <v>200</v>
      </c>
      <c r="M4652" s="893"/>
      <c r="N4652" s="1223"/>
    </row>
    <row r="4653" spans="1:14" ht="20.399999999999999">
      <c r="A4653" s="663"/>
      <c r="B4653" s="3137" t="s">
        <v>772</v>
      </c>
      <c r="C4653" s="774" t="s">
        <v>320</v>
      </c>
      <c r="D4653" s="873" t="s">
        <v>1980</v>
      </c>
      <c r="E4653" s="700" t="s">
        <v>1920</v>
      </c>
      <c r="F4653" s="1255">
        <v>2241</v>
      </c>
      <c r="G4653" s="750" t="s">
        <v>1100</v>
      </c>
      <c r="H4653" s="748"/>
      <c r="I4653" s="748">
        <v>2500</v>
      </c>
      <c r="J4653" s="1654" t="s">
        <v>1134</v>
      </c>
      <c r="K4653" s="1313"/>
      <c r="L4653" s="748"/>
      <c r="M4653" s="748">
        <v>0</v>
      </c>
      <c r="N4653" s="1802"/>
    </row>
    <row r="4654" spans="1:14">
      <c r="A4654" s="774"/>
      <c r="B4654" s="3137" t="s">
        <v>772</v>
      </c>
      <c r="C4654" s="774" t="s">
        <v>320</v>
      </c>
      <c r="D4654" s="873" t="s">
        <v>1980</v>
      </c>
      <c r="E4654" s="700" t="s">
        <v>1920</v>
      </c>
      <c r="F4654" s="1255">
        <v>2241</v>
      </c>
      <c r="G4654" s="1320" t="s">
        <v>152</v>
      </c>
      <c r="H4654" s="748"/>
      <c r="I4654" s="748">
        <v>200</v>
      </c>
      <c r="J4654" s="1654" t="s">
        <v>1134</v>
      </c>
      <c r="K4654" s="1313"/>
      <c r="L4654" s="748"/>
      <c r="M4654" s="748">
        <v>200</v>
      </c>
      <c r="N4654" s="1802"/>
    </row>
    <row r="4655" spans="1:14" ht="20.399999999999999">
      <c r="A4655" s="951"/>
      <c r="B4655" s="3129" t="s">
        <v>772</v>
      </c>
      <c r="C4655" s="683" t="s">
        <v>320</v>
      </c>
      <c r="D4655" s="719" t="s">
        <v>1980</v>
      </c>
      <c r="E4655" s="720" t="s">
        <v>1920</v>
      </c>
      <c r="F4655" s="1254">
        <v>2243</v>
      </c>
      <c r="G4655" s="800" t="s">
        <v>198</v>
      </c>
      <c r="H4655" s="893">
        <v>380</v>
      </c>
      <c r="I4655" s="893"/>
      <c r="J4655" s="1654">
        <v>75</v>
      </c>
      <c r="K4655" s="1068"/>
      <c r="L4655" s="893">
        <v>150</v>
      </c>
      <c r="M4655" s="893"/>
      <c r="N4655" s="1802"/>
    </row>
    <row r="4656" spans="1:14" ht="30.6">
      <c r="A4656" s="774"/>
      <c r="B4656" s="3137" t="s">
        <v>772</v>
      </c>
      <c r="C4656" s="774" t="s">
        <v>320</v>
      </c>
      <c r="D4656" s="678" t="s">
        <v>1980</v>
      </c>
      <c r="E4656" s="700" t="s">
        <v>1920</v>
      </c>
      <c r="F4656" s="1255">
        <v>2243</v>
      </c>
      <c r="G4656" s="745" t="s">
        <v>836</v>
      </c>
      <c r="H4656" s="748"/>
      <c r="I4656" s="748">
        <v>150</v>
      </c>
      <c r="J4656" s="1654" t="s">
        <v>1134</v>
      </c>
      <c r="K4656" s="1313"/>
      <c r="L4656" s="748"/>
      <c r="M4656" s="748">
        <v>150</v>
      </c>
      <c r="N4656" s="1802"/>
    </row>
    <row r="4657" spans="1:14" ht="20.399999999999999">
      <c r="A4657" s="774"/>
      <c r="B4657" s="3137" t="s">
        <v>772</v>
      </c>
      <c r="C4657" s="774" t="s">
        <v>320</v>
      </c>
      <c r="D4657" s="678" t="s">
        <v>1980</v>
      </c>
      <c r="E4657" s="700" t="s">
        <v>1920</v>
      </c>
      <c r="F4657" s="1255">
        <v>2243</v>
      </c>
      <c r="G4657" s="745" t="s">
        <v>1405</v>
      </c>
      <c r="H4657" s="748"/>
      <c r="I4657" s="748">
        <v>230</v>
      </c>
      <c r="J4657" s="1654" t="s">
        <v>1134</v>
      </c>
      <c r="K4657" s="1313"/>
      <c r="L4657" s="748"/>
      <c r="M4657" s="748"/>
      <c r="N4657" s="1223"/>
    </row>
    <row r="4658" spans="1:14">
      <c r="A4658" s="951"/>
      <c r="B4658" s="3129" t="s">
        <v>772</v>
      </c>
      <c r="C4658" s="683" t="s">
        <v>320</v>
      </c>
      <c r="D4658" s="719" t="s">
        <v>1980</v>
      </c>
      <c r="E4658" s="720" t="s">
        <v>1920</v>
      </c>
      <c r="F4658" s="1254">
        <v>2244</v>
      </c>
      <c r="G4658" s="800" t="s">
        <v>330</v>
      </c>
      <c r="H4658" s="893">
        <v>0</v>
      </c>
      <c r="I4658" s="893"/>
      <c r="J4658" s="1654" t="s">
        <v>1134</v>
      </c>
      <c r="K4658" s="1068"/>
      <c r="L4658" s="893">
        <v>0</v>
      </c>
      <c r="M4658" s="893"/>
      <c r="N4658" s="1223"/>
    </row>
    <row r="4659" spans="1:14">
      <c r="A4659" s="774"/>
      <c r="B4659" s="3137" t="s">
        <v>772</v>
      </c>
      <c r="C4659" s="774" t="s">
        <v>320</v>
      </c>
      <c r="D4659" s="873" t="s">
        <v>1980</v>
      </c>
      <c r="E4659" s="700" t="s">
        <v>1920</v>
      </c>
      <c r="F4659" s="1255">
        <v>2244</v>
      </c>
      <c r="G4659" s="750" t="s">
        <v>837</v>
      </c>
      <c r="H4659" s="748"/>
      <c r="I4659" s="748"/>
      <c r="J4659" s="1654" t="s">
        <v>1134</v>
      </c>
      <c r="K4659" s="1313"/>
      <c r="L4659" s="748"/>
      <c r="M4659" s="748"/>
      <c r="N4659" s="1223"/>
    </row>
    <row r="4660" spans="1:14">
      <c r="A4660" s="683"/>
      <c r="B4660" s="3129" t="s">
        <v>772</v>
      </c>
      <c r="C4660" s="683" t="s">
        <v>320</v>
      </c>
      <c r="D4660" s="719" t="s">
        <v>1980</v>
      </c>
      <c r="E4660" s="720" t="s">
        <v>1920</v>
      </c>
      <c r="F4660" s="1254">
        <v>2247</v>
      </c>
      <c r="G4660" s="800" t="s">
        <v>185</v>
      </c>
      <c r="H4660" s="893">
        <v>12300</v>
      </c>
      <c r="I4660" s="893"/>
      <c r="J4660" s="1654">
        <v>8892</v>
      </c>
      <c r="K4660" s="1068"/>
      <c r="L4660" s="893">
        <v>12400</v>
      </c>
      <c r="M4660" s="893"/>
      <c r="N4660" s="1223"/>
    </row>
    <row r="4661" spans="1:14">
      <c r="A4661" s="774"/>
      <c r="B4661" s="3137" t="s">
        <v>772</v>
      </c>
      <c r="C4661" s="774" t="s">
        <v>320</v>
      </c>
      <c r="D4661" s="873" t="s">
        <v>1980</v>
      </c>
      <c r="E4661" s="700" t="s">
        <v>1920</v>
      </c>
      <c r="F4661" s="1255">
        <v>2247</v>
      </c>
      <c r="G4661" s="745" t="s">
        <v>3900</v>
      </c>
      <c r="H4661" s="748"/>
      <c r="I4661" s="748">
        <v>12000</v>
      </c>
      <c r="J4661" s="1654" t="s">
        <v>1134</v>
      </c>
      <c r="K4661" s="1313"/>
      <c r="L4661" s="748"/>
      <c r="M4661" s="748">
        <v>12400</v>
      </c>
      <c r="N4661" s="1802"/>
    </row>
    <row r="4662" spans="1:14" ht="20.399999999999999">
      <c r="A4662" s="774"/>
      <c r="B4662" s="3137" t="s">
        <v>772</v>
      </c>
      <c r="C4662" s="774" t="s">
        <v>320</v>
      </c>
      <c r="D4662" s="873" t="s">
        <v>1980</v>
      </c>
      <c r="E4662" s="700" t="s">
        <v>1920</v>
      </c>
      <c r="F4662" s="1255">
        <v>2247</v>
      </c>
      <c r="G4662" s="745" t="s">
        <v>2711</v>
      </c>
      <c r="H4662" s="748"/>
      <c r="I4662" s="748">
        <v>1500</v>
      </c>
      <c r="J4662" s="1654" t="s">
        <v>1134</v>
      </c>
      <c r="K4662" s="1313"/>
      <c r="L4662" s="748"/>
      <c r="M4662" s="748"/>
      <c r="N4662" s="1802"/>
    </row>
    <row r="4663" spans="1:14" ht="11.4" customHeight="1">
      <c r="A4663" s="1572"/>
      <c r="B4663" s="3137" t="s">
        <v>772</v>
      </c>
      <c r="C4663" s="774" t="s">
        <v>320</v>
      </c>
      <c r="D4663" s="873" t="s">
        <v>1980</v>
      </c>
      <c r="E4663" s="700" t="s">
        <v>1920</v>
      </c>
      <c r="F4663" s="1255">
        <v>2247</v>
      </c>
      <c r="G4663" s="1983" t="s">
        <v>3369</v>
      </c>
      <c r="H4663" s="1573"/>
      <c r="I4663" s="1573">
        <v>-1200</v>
      </c>
      <c r="J4663" s="1655"/>
      <c r="K4663" s="1984"/>
      <c r="L4663" s="1573"/>
      <c r="M4663" s="748"/>
      <c r="N4663" s="1802"/>
    </row>
    <row r="4664" spans="1:14">
      <c r="A4664" s="951"/>
      <c r="B4664" s="3129" t="s">
        <v>772</v>
      </c>
      <c r="C4664" s="683" t="s">
        <v>320</v>
      </c>
      <c r="D4664" s="719" t="s">
        <v>1980</v>
      </c>
      <c r="E4664" s="720" t="s">
        <v>1920</v>
      </c>
      <c r="F4664" s="1254" t="s">
        <v>4910</v>
      </c>
      <c r="G4664" s="800" t="s">
        <v>330</v>
      </c>
      <c r="H4664" s="893">
        <v>6500</v>
      </c>
      <c r="I4664" s="893"/>
      <c r="J4664" s="1654" t="s">
        <v>1134</v>
      </c>
      <c r="K4664" s="1068"/>
      <c r="L4664" s="893">
        <v>8000</v>
      </c>
      <c r="M4664" s="893"/>
      <c r="N4664" s="1968"/>
    </row>
    <row r="4665" spans="1:14">
      <c r="A4665" s="872"/>
      <c r="B4665" s="3137" t="s">
        <v>772</v>
      </c>
      <c r="C4665" s="774" t="s">
        <v>322</v>
      </c>
      <c r="D4665" s="873" t="s">
        <v>1980</v>
      </c>
      <c r="E4665" s="700" t="s">
        <v>1920</v>
      </c>
      <c r="F4665" s="1255" t="s">
        <v>4910</v>
      </c>
      <c r="G4665" s="750" t="s">
        <v>2317</v>
      </c>
      <c r="H4665" s="748"/>
      <c r="I4665" s="748">
        <v>6500</v>
      </c>
      <c r="J4665" s="1654" t="s">
        <v>1134</v>
      </c>
      <c r="K4665" s="1313"/>
      <c r="L4665" s="748"/>
      <c r="M4665" s="748">
        <v>8000</v>
      </c>
      <c r="N4665" s="1223"/>
    </row>
    <row r="4666" spans="1:14">
      <c r="A4666" s="683"/>
      <c r="B4666" s="3129" t="s">
        <v>772</v>
      </c>
      <c r="C4666" s="683" t="s">
        <v>320</v>
      </c>
      <c r="D4666" s="719" t="s">
        <v>1980</v>
      </c>
      <c r="E4666" s="720" t="s">
        <v>1920</v>
      </c>
      <c r="F4666" s="824">
        <v>2250</v>
      </c>
      <c r="G4666" s="800" t="s">
        <v>778</v>
      </c>
      <c r="H4666" s="893">
        <v>2421</v>
      </c>
      <c r="I4666" s="893"/>
      <c r="J4666" s="1654">
        <v>1865</v>
      </c>
      <c r="K4666" s="1068"/>
      <c r="L4666" s="893">
        <v>2233</v>
      </c>
      <c r="M4666" s="893"/>
      <c r="N4666" s="1802"/>
    </row>
    <row r="4667" spans="1:14">
      <c r="A4667" s="774"/>
      <c r="B4667" s="3137" t="s">
        <v>772</v>
      </c>
      <c r="C4667" s="774" t="s">
        <v>320</v>
      </c>
      <c r="D4667" s="873" t="s">
        <v>1980</v>
      </c>
      <c r="E4667" s="700" t="s">
        <v>1920</v>
      </c>
      <c r="F4667" s="795">
        <v>2250</v>
      </c>
      <c r="G4667" s="745" t="s">
        <v>1406</v>
      </c>
      <c r="H4667" s="748"/>
      <c r="I4667" s="748">
        <v>208</v>
      </c>
      <c r="J4667" s="1654" t="s">
        <v>1134</v>
      </c>
      <c r="K4667" s="1313"/>
      <c r="L4667" s="748"/>
      <c r="M4667" s="748">
        <v>208</v>
      </c>
      <c r="N4667" s="305"/>
    </row>
    <row r="4668" spans="1:14">
      <c r="A4668" s="774"/>
      <c r="B4668" s="3137" t="s">
        <v>772</v>
      </c>
      <c r="C4668" s="774" t="s">
        <v>320</v>
      </c>
      <c r="D4668" s="873" t="s">
        <v>1980</v>
      </c>
      <c r="E4668" s="700" t="s">
        <v>1920</v>
      </c>
      <c r="F4668" s="795">
        <v>2250</v>
      </c>
      <c r="G4668" s="745" t="s">
        <v>1407</v>
      </c>
      <c r="H4668" s="748"/>
      <c r="I4668" s="748">
        <v>150</v>
      </c>
      <c r="J4668" s="1654" t="s">
        <v>1134</v>
      </c>
      <c r="K4668" s="1313"/>
      <c r="L4668" s="748"/>
      <c r="M4668" s="748">
        <v>150</v>
      </c>
      <c r="N4668" s="305"/>
    </row>
    <row r="4669" spans="1:14" ht="51">
      <c r="A4669" s="663" t="s">
        <v>849</v>
      </c>
      <c r="B4669" s="3130" t="s">
        <v>772</v>
      </c>
      <c r="C4669" s="663" t="s">
        <v>320</v>
      </c>
      <c r="D4669" s="678" t="s">
        <v>1980</v>
      </c>
      <c r="E4669" s="700" t="s">
        <v>1920</v>
      </c>
      <c r="F4669" s="795">
        <v>2250</v>
      </c>
      <c r="G4669" s="745" t="s">
        <v>852</v>
      </c>
      <c r="H4669" s="748"/>
      <c r="I4669" s="748">
        <v>400</v>
      </c>
      <c r="J4669" s="1654" t="s">
        <v>1134</v>
      </c>
      <c r="K4669" s="1314"/>
      <c r="L4669" s="748"/>
      <c r="M4669" s="748">
        <v>400</v>
      </c>
      <c r="N4669" s="1968"/>
    </row>
    <row r="4670" spans="1:14" ht="40.799999999999997">
      <c r="A4670" s="663"/>
      <c r="B4670" s="3130" t="s">
        <v>772</v>
      </c>
      <c r="C4670" s="663" t="s">
        <v>320</v>
      </c>
      <c r="D4670" s="678" t="s">
        <v>1980</v>
      </c>
      <c r="E4670" s="700" t="s">
        <v>1920</v>
      </c>
      <c r="F4670" s="795">
        <v>2250</v>
      </c>
      <c r="G4670" s="750" t="s">
        <v>2318</v>
      </c>
      <c r="H4670" s="748"/>
      <c r="I4670" s="748">
        <v>1400</v>
      </c>
      <c r="J4670" s="1654" t="s">
        <v>1134</v>
      </c>
      <c r="K4670" s="1314"/>
      <c r="L4670" s="748"/>
      <c r="M4670" s="748">
        <v>1400</v>
      </c>
      <c r="N4670" s="1223"/>
    </row>
    <row r="4671" spans="1:14">
      <c r="A4671" s="872"/>
      <c r="B4671" s="3137" t="s">
        <v>772</v>
      </c>
      <c r="C4671" s="774" t="s">
        <v>320</v>
      </c>
      <c r="D4671" s="873" t="s">
        <v>1980</v>
      </c>
      <c r="E4671" s="700" t="s">
        <v>1920</v>
      </c>
      <c r="F4671" s="795">
        <v>2250</v>
      </c>
      <c r="G4671" s="750" t="s">
        <v>2319</v>
      </c>
      <c r="H4671" s="748"/>
      <c r="I4671" s="748">
        <v>70</v>
      </c>
      <c r="J4671" s="1654" t="s">
        <v>1134</v>
      </c>
      <c r="K4671" s="1313"/>
      <c r="L4671" s="748"/>
      <c r="M4671" s="748">
        <v>75</v>
      </c>
      <c r="N4671" s="1223"/>
    </row>
    <row r="4672" spans="1:14" ht="20.399999999999999">
      <c r="A4672" s="774"/>
      <c r="B4672" s="3137" t="s">
        <v>772</v>
      </c>
      <c r="C4672" s="774" t="s">
        <v>320</v>
      </c>
      <c r="D4672" s="873" t="s">
        <v>1980</v>
      </c>
      <c r="E4672" s="700" t="s">
        <v>1920</v>
      </c>
      <c r="F4672" s="795">
        <v>2250</v>
      </c>
      <c r="G4672" s="745" t="s">
        <v>3404</v>
      </c>
      <c r="H4672" s="748"/>
      <c r="I4672" s="748">
        <v>193</v>
      </c>
      <c r="J4672" s="1654" t="s">
        <v>1134</v>
      </c>
      <c r="K4672" s="1313"/>
      <c r="L4672" s="748"/>
      <c r="M4672" s="748"/>
      <c r="N4672" s="1802"/>
    </row>
    <row r="4673" spans="1:17">
      <c r="A4673" s="951"/>
      <c r="B4673" s="3129" t="s">
        <v>772</v>
      </c>
      <c r="C4673" s="683" t="s">
        <v>320</v>
      </c>
      <c r="D4673" s="719" t="s">
        <v>1980</v>
      </c>
      <c r="E4673" s="720" t="s">
        <v>1920</v>
      </c>
      <c r="F4673" s="824">
        <v>2264</v>
      </c>
      <c r="G4673" s="800" t="s">
        <v>125</v>
      </c>
      <c r="H4673" s="893">
        <v>450</v>
      </c>
      <c r="I4673" s="893"/>
      <c r="J4673" s="1654">
        <v>427</v>
      </c>
      <c r="K4673" s="1068"/>
      <c r="L4673" s="893">
        <v>450</v>
      </c>
      <c r="M4673" s="893"/>
      <c r="N4673" s="1802"/>
    </row>
    <row r="4674" spans="1:17">
      <c r="A4674" s="663"/>
      <c r="B4674" s="3130" t="s">
        <v>772</v>
      </c>
      <c r="C4674" s="663" t="s">
        <v>320</v>
      </c>
      <c r="D4674" s="678" t="s">
        <v>1980</v>
      </c>
      <c r="E4674" s="700" t="s">
        <v>1920</v>
      </c>
      <c r="F4674" s="1255">
        <v>2264</v>
      </c>
      <c r="G4674" s="750" t="s">
        <v>2320</v>
      </c>
      <c r="H4674" s="748"/>
      <c r="I4674" s="748">
        <v>450</v>
      </c>
      <c r="J4674" s="1654" t="s">
        <v>1134</v>
      </c>
      <c r="K4674" s="1313"/>
      <c r="L4674" s="748"/>
      <c r="M4674" s="748">
        <v>450</v>
      </c>
      <c r="N4674" s="1802"/>
    </row>
    <row r="4675" spans="1:17">
      <c r="A4675" s="951"/>
      <c r="B4675" s="3129" t="s">
        <v>772</v>
      </c>
      <c r="C4675" s="683" t="s">
        <v>322</v>
      </c>
      <c r="D4675" s="719" t="s">
        <v>1980</v>
      </c>
      <c r="E4675" s="720" t="s">
        <v>1920</v>
      </c>
      <c r="F4675" s="1254">
        <v>2311</v>
      </c>
      <c r="G4675" s="800" t="s">
        <v>129</v>
      </c>
      <c r="H4675" s="893">
        <v>1081</v>
      </c>
      <c r="I4675" s="893"/>
      <c r="J4675" s="1654">
        <v>1141</v>
      </c>
      <c r="K4675" s="1068"/>
      <c r="L4675" s="893">
        <v>1670</v>
      </c>
      <c r="M4675" s="893"/>
      <c r="N4675" s="1802"/>
    </row>
    <row r="4676" spans="1:17">
      <c r="A4676" s="663"/>
      <c r="B4676" s="3130" t="s">
        <v>772</v>
      </c>
      <c r="C4676" s="663" t="s">
        <v>322</v>
      </c>
      <c r="D4676" s="678" t="s">
        <v>1980</v>
      </c>
      <c r="E4676" s="700" t="s">
        <v>1920</v>
      </c>
      <c r="F4676" s="1255">
        <v>2311</v>
      </c>
      <c r="G4676" s="750" t="s">
        <v>1408</v>
      </c>
      <c r="H4676" s="748"/>
      <c r="I4676" s="748">
        <v>1000</v>
      </c>
      <c r="J4676" s="1654" t="s">
        <v>1134</v>
      </c>
      <c r="K4676" s="1313"/>
      <c r="L4676" s="748"/>
      <c r="M4676" s="748">
        <v>1000</v>
      </c>
      <c r="N4676" s="1802"/>
    </row>
    <row r="4677" spans="1:17" ht="20.399999999999999">
      <c r="A4677" s="663"/>
      <c r="B4677" s="3130" t="s">
        <v>772</v>
      </c>
      <c r="C4677" s="663" t="s">
        <v>322</v>
      </c>
      <c r="D4677" s="678" t="s">
        <v>1980</v>
      </c>
      <c r="E4677" s="700" t="s">
        <v>1920</v>
      </c>
      <c r="F4677" s="1255">
        <v>2311</v>
      </c>
      <c r="G4677" s="750" t="s">
        <v>838</v>
      </c>
      <c r="H4677" s="748"/>
      <c r="I4677" s="748">
        <v>400</v>
      </c>
      <c r="J4677" s="1654" t="s">
        <v>1134</v>
      </c>
      <c r="K4677" s="1313"/>
      <c r="L4677" s="748"/>
      <c r="M4677" s="748">
        <v>400</v>
      </c>
      <c r="N4677" s="1968"/>
    </row>
    <row r="4678" spans="1:17" ht="20.399999999999999">
      <c r="A4678" s="663"/>
      <c r="B4678" s="3130" t="s">
        <v>772</v>
      </c>
      <c r="C4678" s="663" t="s">
        <v>322</v>
      </c>
      <c r="D4678" s="678" t="s">
        <v>1980</v>
      </c>
      <c r="E4678" s="700" t="s">
        <v>1920</v>
      </c>
      <c r="F4678" s="1255">
        <v>2311</v>
      </c>
      <c r="G4678" s="750" t="s">
        <v>2321</v>
      </c>
      <c r="H4678" s="748"/>
      <c r="I4678" s="748">
        <v>270</v>
      </c>
      <c r="J4678" s="1654" t="s">
        <v>1134</v>
      </c>
      <c r="K4678" s="1313"/>
      <c r="L4678" s="748"/>
      <c r="M4678" s="748">
        <v>270</v>
      </c>
      <c r="N4678" s="1223"/>
    </row>
    <row r="4679" spans="1:17" ht="11.4" customHeight="1">
      <c r="A4679" s="1669"/>
      <c r="B4679" s="3130" t="s">
        <v>772</v>
      </c>
      <c r="C4679" s="663" t="s">
        <v>322</v>
      </c>
      <c r="D4679" s="678" t="s">
        <v>1980</v>
      </c>
      <c r="E4679" s="700" t="s">
        <v>1920</v>
      </c>
      <c r="F4679" s="1255">
        <v>2311</v>
      </c>
      <c r="G4679" s="1703" t="s">
        <v>3894</v>
      </c>
      <c r="H4679" s="1964"/>
      <c r="I4679" s="1964">
        <v>-589</v>
      </c>
      <c r="J4679" s="1739"/>
      <c r="K4679" s="1986"/>
      <c r="L4679" s="1964"/>
      <c r="M4679" s="1964"/>
      <c r="N4679" s="1223"/>
    </row>
    <row r="4680" spans="1:17">
      <c r="A4680" s="951"/>
      <c r="B4680" s="3129" t="s">
        <v>772</v>
      </c>
      <c r="C4680" s="683" t="s">
        <v>322</v>
      </c>
      <c r="D4680" s="719" t="s">
        <v>1980</v>
      </c>
      <c r="E4680" s="720" t="s">
        <v>1920</v>
      </c>
      <c r="F4680" s="685">
        <v>2312</v>
      </c>
      <c r="G4680" s="686" t="s">
        <v>131</v>
      </c>
      <c r="H4680" s="893">
        <v>13059</v>
      </c>
      <c r="I4680" s="893"/>
      <c r="J4680" s="1494">
        <v>13342</v>
      </c>
      <c r="K4680" s="980"/>
      <c r="L4680" s="731">
        <v>10770</v>
      </c>
      <c r="M4680" s="731"/>
      <c r="N4680" s="1802"/>
    </row>
    <row r="4681" spans="1:17" ht="20.399999999999999">
      <c r="A4681" s="663"/>
      <c r="B4681" s="3130" t="s">
        <v>772</v>
      </c>
      <c r="C4681" s="663" t="s">
        <v>322</v>
      </c>
      <c r="D4681" s="678" t="s">
        <v>1980</v>
      </c>
      <c r="E4681" s="700" t="s">
        <v>1920</v>
      </c>
      <c r="F4681" s="1255">
        <v>2312</v>
      </c>
      <c r="G4681" s="750" t="s">
        <v>1412</v>
      </c>
      <c r="H4681" s="748"/>
      <c r="I4681" s="748">
        <v>1000</v>
      </c>
      <c r="J4681" s="1654" t="s">
        <v>1134</v>
      </c>
      <c r="K4681" s="1313"/>
      <c r="L4681" s="748"/>
      <c r="M4681" s="748">
        <v>1000</v>
      </c>
      <c r="N4681" s="1802"/>
    </row>
    <row r="4682" spans="1:17">
      <c r="A4682" s="663"/>
      <c r="B4682" s="3130" t="s">
        <v>772</v>
      </c>
      <c r="C4682" s="663" t="s">
        <v>322</v>
      </c>
      <c r="D4682" s="678" t="s">
        <v>1980</v>
      </c>
      <c r="E4682" s="700" t="s">
        <v>1920</v>
      </c>
      <c r="F4682" s="1255">
        <v>2312</v>
      </c>
      <c r="G4682" s="750" t="s">
        <v>839</v>
      </c>
      <c r="H4682" s="748"/>
      <c r="I4682" s="748">
        <v>300</v>
      </c>
      <c r="J4682" s="1654" t="s">
        <v>1134</v>
      </c>
      <c r="K4682" s="1313"/>
      <c r="L4682" s="748"/>
      <c r="M4682" s="748">
        <v>300</v>
      </c>
      <c r="N4682" s="1802"/>
      <c r="O4682" s="7"/>
      <c r="P4682" s="7"/>
      <c r="Q4682" s="7"/>
    </row>
    <row r="4683" spans="1:17">
      <c r="A4683" s="663"/>
      <c r="B4683" s="3130" t="s">
        <v>772</v>
      </c>
      <c r="C4683" s="663" t="s">
        <v>322</v>
      </c>
      <c r="D4683" s="678" t="s">
        <v>1980</v>
      </c>
      <c r="E4683" s="700" t="s">
        <v>1920</v>
      </c>
      <c r="F4683" s="1255">
        <v>2312</v>
      </c>
      <c r="G4683" s="750" t="s">
        <v>840</v>
      </c>
      <c r="H4683" s="748"/>
      <c r="I4683" s="748">
        <v>2300</v>
      </c>
      <c r="J4683" s="1654" t="s">
        <v>1134</v>
      </c>
      <c r="K4683" s="1313"/>
      <c r="L4683" s="748"/>
      <c r="M4683" s="748">
        <v>2300</v>
      </c>
      <c r="N4683" s="1802"/>
      <c r="O4683" s="7"/>
      <c r="P4683" s="7"/>
      <c r="Q4683" s="7"/>
    </row>
    <row r="4684" spans="1:17">
      <c r="A4684" s="663"/>
      <c r="B4684" s="3130" t="s">
        <v>772</v>
      </c>
      <c r="C4684" s="663" t="s">
        <v>322</v>
      </c>
      <c r="D4684" s="678" t="s">
        <v>1980</v>
      </c>
      <c r="E4684" s="700" t="s">
        <v>1920</v>
      </c>
      <c r="F4684" s="1255">
        <v>2312</v>
      </c>
      <c r="G4684" s="750" t="s">
        <v>2322</v>
      </c>
      <c r="H4684" s="748"/>
      <c r="I4684" s="748">
        <v>1350</v>
      </c>
      <c r="J4684" s="1654" t="s">
        <v>1134</v>
      </c>
      <c r="K4684" s="1313"/>
      <c r="L4684" s="748"/>
      <c r="M4684" s="748">
        <v>1350</v>
      </c>
      <c r="N4684" s="1992"/>
    </row>
    <row r="4685" spans="1:17">
      <c r="A4685" s="663"/>
      <c r="B4685" s="3130" t="s">
        <v>772</v>
      </c>
      <c r="C4685" s="663" t="s">
        <v>322</v>
      </c>
      <c r="D4685" s="678" t="s">
        <v>1980</v>
      </c>
      <c r="E4685" s="700" t="s">
        <v>1920</v>
      </c>
      <c r="F4685" s="1255">
        <v>2312</v>
      </c>
      <c r="G4685" s="750" t="s">
        <v>1409</v>
      </c>
      <c r="H4685" s="748"/>
      <c r="I4685" s="748">
        <v>1200</v>
      </c>
      <c r="J4685" s="1654" t="s">
        <v>1134</v>
      </c>
      <c r="K4685" s="1313"/>
      <c r="L4685" s="748"/>
      <c r="M4685" s="748">
        <v>1200</v>
      </c>
      <c r="N4685" s="305" t="s">
        <v>3906</v>
      </c>
    </row>
    <row r="4686" spans="1:17">
      <c r="A4686" s="663"/>
      <c r="B4686" s="3130" t="s">
        <v>772</v>
      </c>
      <c r="C4686" s="663" t="s">
        <v>322</v>
      </c>
      <c r="D4686" s="678" t="s">
        <v>1980</v>
      </c>
      <c r="E4686" s="700" t="s">
        <v>1920</v>
      </c>
      <c r="F4686" s="1255">
        <v>2312</v>
      </c>
      <c r="G4686" s="750" t="s">
        <v>2323</v>
      </c>
      <c r="H4686" s="748"/>
      <c r="I4686" s="748">
        <v>830</v>
      </c>
      <c r="J4686" s="1654" t="s">
        <v>1134</v>
      </c>
      <c r="K4686" s="1313"/>
      <c r="L4686" s="748"/>
      <c r="M4686" s="748">
        <v>830</v>
      </c>
      <c r="N4686" s="305"/>
    </row>
    <row r="4687" spans="1:17">
      <c r="A4687" s="663"/>
      <c r="B4687" s="3130" t="s">
        <v>772</v>
      </c>
      <c r="C4687" s="663" t="s">
        <v>322</v>
      </c>
      <c r="D4687" s="678" t="s">
        <v>1980</v>
      </c>
      <c r="E4687" s="700" t="s">
        <v>1920</v>
      </c>
      <c r="F4687" s="1255">
        <v>2312</v>
      </c>
      <c r="G4687" s="750" t="s">
        <v>1410</v>
      </c>
      <c r="H4687" s="748"/>
      <c r="I4687" s="748">
        <v>120</v>
      </c>
      <c r="J4687" s="1654" t="s">
        <v>1134</v>
      </c>
      <c r="K4687" s="1313"/>
      <c r="L4687" s="748"/>
      <c r="M4687" s="748">
        <v>120</v>
      </c>
      <c r="N4687" s="305"/>
    </row>
    <row r="4688" spans="1:17">
      <c r="A4688" s="663"/>
      <c r="B4688" s="3130" t="s">
        <v>772</v>
      </c>
      <c r="C4688" s="663" t="s">
        <v>322</v>
      </c>
      <c r="D4688" s="678" t="s">
        <v>1980</v>
      </c>
      <c r="E4688" s="700" t="s">
        <v>1920</v>
      </c>
      <c r="F4688" s="1255">
        <v>2312</v>
      </c>
      <c r="G4688" s="750" t="s">
        <v>1411</v>
      </c>
      <c r="H4688" s="748"/>
      <c r="I4688" s="748">
        <v>200</v>
      </c>
      <c r="J4688" s="1654" t="s">
        <v>1134</v>
      </c>
      <c r="K4688" s="1313"/>
      <c r="L4688" s="748"/>
      <c r="M4688" s="748">
        <v>200</v>
      </c>
      <c r="N4688" s="305"/>
    </row>
    <row r="4689" spans="1:14">
      <c r="A4689" s="663"/>
      <c r="B4689" s="3130" t="s">
        <v>772</v>
      </c>
      <c r="C4689" s="663" t="s">
        <v>322</v>
      </c>
      <c r="D4689" s="678" t="s">
        <v>1980</v>
      </c>
      <c r="E4689" s="700" t="s">
        <v>1920</v>
      </c>
      <c r="F4689" s="1255">
        <v>2312</v>
      </c>
      <c r="G4689" s="750" t="s">
        <v>841</v>
      </c>
      <c r="H4689" s="748"/>
      <c r="I4689" s="748">
        <v>200</v>
      </c>
      <c r="J4689" s="1654" t="s">
        <v>1134</v>
      </c>
      <c r="K4689" s="1313"/>
      <c r="L4689" s="748"/>
      <c r="M4689" s="748">
        <v>0</v>
      </c>
      <c r="N4689" s="305"/>
    </row>
    <row r="4690" spans="1:14">
      <c r="A4690" s="663"/>
      <c r="B4690" s="3130" t="s">
        <v>772</v>
      </c>
      <c r="C4690" s="663" t="s">
        <v>322</v>
      </c>
      <c r="D4690" s="678" t="s">
        <v>1980</v>
      </c>
      <c r="E4690" s="700" t="s">
        <v>1920</v>
      </c>
      <c r="F4690" s="1255">
        <v>2312</v>
      </c>
      <c r="G4690" s="750" t="s">
        <v>2324</v>
      </c>
      <c r="H4690" s="748"/>
      <c r="I4690" s="748">
        <v>1945</v>
      </c>
      <c r="J4690" s="1654" t="s">
        <v>1134</v>
      </c>
      <c r="K4690" s="1313"/>
      <c r="L4690" s="748"/>
      <c r="M4690" s="748">
        <v>1945</v>
      </c>
      <c r="N4690" s="305"/>
    </row>
    <row r="4691" spans="1:14">
      <c r="A4691" s="663"/>
      <c r="B4691" s="3130" t="s">
        <v>772</v>
      </c>
      <c r="C4691" s="663" t="s">
        <v>322</v>
      </c>
      <c r="D4691" s="678" t="s">
        <v>1980</v>
      </c>
      <c r="E4691" s="700" t="s">
        <v>1920</v>
      </c>
      <c r="F4691" s="1255">
        <v>2312</v>
      </c>
      <c r="G4691" s="750" t="s">
        <v>2325</v>
      </c>
      <c r="H4691" s="748"/>
      <c r="I4691" s="748">
        <v>780</v>
      </c>
      <c r="J4691" s="1654" t="s">
        <v>1134</v>
      </c>
      <c r="K4691" s="1313"/>
      <c r="L4691" s="748"/>
      <c r="M4691" s="748">
        <v>780</v>
      </c>
      <c r="N4691" s="305"/>
    </row>
    <row r="4692" spans="1:14">
      <c r="A4692" s="663"/>
      <c r="B4692" s="3130" t="s">
        <v>772</v>
      </c>
      <c r="C4692" s="663" t="s">
        <v>322</v>
      </c>
      <c r="D4692" s="678" t="s">
        <v>1980</v>
      </c>
      <c r="E4692" s="700" t="s">
        <v>1920</v>
      </c>
      <c r="F4692" s="1255">
        <v>2312</v>
      </c>
      <c r="G4692" s="750" t="s">
        <v>2326</v>
      </c>
      <c r="H4692" s="748"/>
      <c r="I4692" s="748">
        <v>300</v>
      </c>
      <c r="J4692" s="1654" t="s">
        <v>1134</v>
      </c>
      <c r="K4692" s="1313"/>
      <c r="L4692" s="748"/>
      <c r="M4692" s="748">
        <v>300</v>
      </c>
      <c r="N4692" s="305"/>
    </row>
    <row r="4693" spans="1:14">
      <c r="A4693" s="663"/>
      <c r="B4693" s="3130" t="s">
        <v>772</v>
      </c>
      <c r="C4693" s="663" t="s">
        <v>322</v>
      </c>
      <c r="D4693" s="678" t="s">
        <v>1980</v>
      </c>
      <c r="E4693" s="700" t="s">
        <v>1920</v>
      </c>
      <c r="F4693" s="1255">
        <v>2312</v>
      </c>
      <c r="G4693" s="750" t="s">
        <v>2327</v>
      </c>
      <c r="H4693" s="748"/>
      <c r="I4693" s="748">
        <v>280</v>
      </c>
      <c r="J4693" s="1654" t="s">
        <v>1134</v>
      </c>
      <c r="K4693" s="1313"/>
      <c r="L4693" s="748"/>
      <c r="M4693" s="748">
        <v>280</v>
      </c>
      <c r="N4693" s="305"/>
    </row>
    <row r="4694" spans="1:14">
      <c r="A4694" s="663"/>
      <c r="B4694" s="3130" t="s">
        <v>772</v>
      </c>
      <c r="C4694" s="663" t="s">
        <v>322</v>
      </c>
      <c r="D4694" s="678" t="s">
        <v>1980</v>
      </c>
      <c r="E4694" s="700" t="s">
        <v>1920</v>
      </c>
      <c r="F4694" s="1255">
        <v>2312</v>
      </c>
      <c r="G4694" s="957" t="s">
        <v>2328</v>
      </c>
      <c r="H4694" s="748"/>
      <c r="I4694" s="748">
        <v>165</v>
      </c>
      <c r="J4694" s="1654" t="s">
        <v>1134</v>
      </c>
      <c r="K4694" s="1313"/>
      <c r="L4694" s="748"/>
      <c r="M4694" s="748">
        <v>165</v>
      </c>
      <c r="N4694" s="305"/>
    </row>
    <row r="4695" spans="1:14" ht="20.399999999999999">
      <c r="A4695" s="663"/>
      <c r="B4695" s="3130" t="s">
        <v>772</v>
      </c>
      <c r="C4695" s="663" t="s">
        <v>322</v>
      </c>
      <c r="D4695" s="678" t="s">
        <v>1980</v>
      </c>
      <c r="E4695" s="700" t="s">
        <v>1920</v>
      </c>
      <c r="F4695" s="1255">
        <v>2312</v>
      </c>
      <c r="G4695" s="1703" t="s">
        <v>3894</v>
      </c>
      <c r="H4695" s="748"/>
      <c r="I4695" s="748">
        <v>589</v>
      </c>
      <c r="J4695" s="1654" t="s">
        <v>1134</v>
      </c>
      <c r="K4695" s="1313"/>
      <c r="L4695" s="748"/>
      <c r="M4695" s="748"/>
      <c r="N4695" s="305"/>
    </row>
    <row r="4696" spans="1:14" ht="33.75" customHeight="1">
      <c r="A4696" s="663"/>
      <c r="B4696" s="3130" t="s">
        <v>772</v>
      </c>
      <c r="C4696" s="663" t="s">
        <v>322</v>
      </c>
      <c r="D4696" s="678" t="s">
        <v>1980</v>
      </c>
      <c r="E4696" s="700" t="s">
        <v>1920</v>
      </c>
      <c r="F4696" s="1255">
        <v>2312</v>
      </c>
      <c r="G4696" s="750" t="s">
        <v>3895</v>
      </c>
      <c r="H4696" s="748"/>
      <c r="I4696" s="748">
        <v>1500</v>
      </c>
      <c r="J4696" s="1654" t="s">
        <v>1134</v>
      </c>
      <c r="K4696" s="1313"/>
      <c r="L4696" s="748"/>
      <c r="M4696" s="748"/>
      <c r="N4696" s="305"/>
    </row>
    <row r="4697" spans="1:14" ht="20.399999999999999">
      <c r="A4697" s="683"/>
      <c r="B4697" s="3129" t="s">
        <v>772</v>
      </c>
      <c r="C4697" s="683" t="s">
        <v>320</v>
      </c>
      <c r="D4697" s="719" t="s">
        <v>1980</v>
      </c>
      <c r="E4697" s="720" t="s">
        <v>1920</v>
      </c>
      <c r="F4697" s="824">
        <v>2314</v>
      </c>
      <c r="G4697" s="800" t="s">
        <v>1435</v>
      </c>
      <c r="H4697" s="893">
        <v>2000</v>
      </c>
      <c r="I4697" s="893"/>
      <c r="J4697" s="1654">
        <v>1295</v>
      </c>
      <c r="K4697" s="1068"/>
      <c r="L4697" s="893">
        <v>3500</v>
      </c>
      <c r="M4697" s="893"/>
      <c r="N4697" s="305"/>
    </row>
    <row r="4698" spans="1:14">
      <c r="A4698" s="663"/>
      <c r="B4698" s="3130" t="s">
        <v>772</v>
      </c>
      <c r="C4698" s="663" t="s">
        <v>320</v>
      </c>
      <c r="D4698" s="678" t="s">
        <v>1980</v>
      </c>
      <c r="E4698" s="700" t="s">
        <v>1920</v>
      </c>
      <c r="F4698" s="795">
        <v>2314</v>
      </c>
      <c r="G4698" s="750" t="s">
        <v>2763</v>
      </c>
      <c r="H4698" s="748"/>
      <c r="I4698" s="748">
        <v>1200</v>
      </c>
      <c r="J4698" s="1654" t="s">
        <v>1134</v>
      </c>
      <c r="K4698" s="1313"/>
      <c r="L4698" s="748"/>
      <c r="M4698" s="701">
        <v>1200</v>
      </c>
      <c r="N4698" s="305"/>
    </row>
    <row r="4699" spans="1:14" ht="33.75" customHeight="1">
      <c r="A4699" s="663"/>
      <c r="B4699" s="3130" t="s">
        <v>772</v>
      </c>
      <c r="C4699" s="663" t="s">
        <v>320</v>
      </c>
      <c r="D4699" s="678" t="s">
        <v>1980</v>
      </c>
      <c r="E4699" s="700" t="s">
        <v>1920</v>
      </c>
      <c r="F4699" s="795">
        <v>2314</v>
      </c>
      <c r="G4699" s="750" t="s">
        <v>795</v>
      </c>
      <c r="H4699" s="748"/>
      <c r="I4699" s="748">
        <v>300</v>
      </c>
      <c r="J4699" s="1654" t="s">
        <v>1134</v>
      </c>
      <c r="K4699" s="1313"/>
      <c r="L4699" s="748"/>
      <c r="M4699" s="701">
        <v>300</v>
      </c>
      <c r="N4699" s="305"/>
    </row>
    <row r="4700" spans="1:14">
      <c r="A4700" s="663"/>
      <c r="B4700" s="3130" t="s">
        <v>772</v>
      </c>
      <c r="C4700" s="663" t="s">
        <v>320</v>
      </c>
      <c r="D4700" s="678" t="s">
        <v>1980</v>
      </c>
      <c r="E4700" s="700" t="s">
        <v>1920</v>
      </c>
      <c r="F4700" s="795">
        <v>2314</v>
      </c>
      <c r="G4700" s="750" t="s">
        <v>1099</v>
      </c>
      <c r="H4700" s="748"/>
      <c r="I4700" s="748">
        <v>2000</v>
      </c>
      <c r="J4700" s="1654" t="s">
        <v>1134</v>
      </c>
      <c r="K4700" s="1313"/>
      <c r="L4700" s="748"/>
      <c r="M4700" s="701">
        <v>2000</v>
      </c>
      <c r="N4700" s="305"/>
    </row>
    <row r="4701" spans="1:14" ht="20.399999999999999">
      <c r="A4701" s="663"/>
      <c r="B4701" s="3130" t="s">
        <v>772</v>
      </c>
      <c r="C4701" s="663" t="s">
        <v>320</v>
      </c>
      <c r="D4701" s="678" t="s">
        <v>1980</v>
      </c>
      <c r="E4701" s="700" t="s">
        <v>1920</v>
      </c>
      <c r="F4701" s="795">
        <v>2314</v>
      </c>
      <c r="G4701" s="750" t="s">
        <v>3895</v>
      </c>
      <c r="H4701" s="748"/>
      <c r="I4701" s="748">
        <v>-1500</v>
      </c>
      <c r="J4701" s="1654" t="s">
        <v>1134</v>
      </c>
      <c r="K4701" s="1313"/>
      <c r="L4701" s="748"/>
      <c r="M4701" s="701"/>
      <c r="N4701" s="305"/>
    </row>
    <row r="4702" spans="1:14">
      <c r="A4702" s="683"/>
      <c r="B4702" s="3129" t="s">
        <v>772</v>
      </c>
      <c r="C4702" s="683" t="s">
        <v>320</v>
      </c>
      <c r="D4702" s="719" t="s">
        <v>1980</v>
      </c>
      <c r="E4702" s="720" t="s">
        <v>1920</v>
      </c>
      <c r="F4702" s="1254">
        <v>2322</v>
      </c>
      <c r="G4702" s="800" t="s">
        <v>229</v>
      </c>
      <c r="H4702" s="893">
        <v>510</v>
      </c>
      <c r="I4702" s="893"/>
      <c r="J4702" s="1654">
        <v>0</v>
      </c>
      <c r="K4702" s="1068"/>
      <c r="L4702" s="893">
        <v>0</v>
      </c>
      <c r="M4702" s="893"/>
      <c r="N4702" s="305"/>
    </row>
    <row r="4703" spans="1:14">
      <c r="A4703" s="663"/>
      <c r="B4703" s="3130" t="s">
        <v>772</v>
      </c>
      <c r="C4703" s="663" t="s">
        <v>320</v>
      </c>
      <c r="D4703" s="678" t="s">
        <v>1980</v>
      </c>
      <c r="E4703" s="700" t="s">
        <v>1920</v>
      </c>
      <c r="F4703" s="1255">
        <v>2322</v>
      </c>
      <c r="G4703" s="750" t="s">
        <v>842</v>
      </c>
      <c r="H4703" s="748"/>
      <c r="I4703" s="748">
        <v>510</v>
      </c>
      <c r="J4703" s="1654" t="s">
        <v>1134</v>
      </c>
      <c r="K4703" s="1313"/>
      <c r="L4703" s="748"/>
      <c r="M4703" s="748">
        <v>0</v>
      </c>
      <c r="N4703" s="305"/>
    </row>
    <row r="4704" spans="1:14" ht="33.75" customHeight="1">
      <c r="A4704" s="683"/>
      <c r="B4704" s="3129" t="s">
        <v>772</v>
      </c>
      <c r="C4704" s="683" t="s">
        <v>322</v>
      </c>
      <c r="D4704" s="719" t="s">
        <v>1980</v>
      </c>
      <c r="E4704" s="720" t="s">
        <v>1920</v>
      </c>
      <c r="F4704" s="824">
        <v>2341</v>
      </c>
      <c r="G4704" s="800" t="s">
        <v>208</v>
      </c>
      <c r="H4704" s="893">
        <v>900</v>
      </c>
      <c r="I4704" s="893"/>
      <c r="J4704" s="1654">
        <v>339.57</v>
      </c>
      <c r="K4704" s="1068"/>
      <c r="L4704" s="893">
        <v>900</v>
      </c>
      <c r="M4704" s="893"/>
      <c r="N4704" s="305" t="s">
        <v>2690</v>
      </c>
    </row>
    <row r="4705" spans="1:14">
      <c r="A4705" s="663"/>
      <c r="B4705" s="3130" t="s">
        <v>772</v>
      </c>
      <c r="C4705" s="663" t="s">
        <v>322</v>
      </c>
      <c r="D4705" s="678" t="s">
        <v>1980</v>
      </c>
      <c r="E4705" s="700" t="s">
        <v>1920</v>
      </c>
      <c r="F4705" s="1255">
        <v>2341</v>
      </c>
      <c r="G4705" s="750" t="s">
        <v>843</v>
      </c>
      <c r="H4705" s="748"/>
      <c r="I4705" s="748">
        <v>750</v>
      </c>
      <c r="J4705" s="1654" t="s">
        <v>1134</v>
      </c>
      <c r="K4705" s="1313"/>
      <c r="L4705" s="748"/>
      <c r="M4705" s="748">
        <v>750</v>
      </c>
      <c r="N4705" s="381"/>
    </row>
    <row r="4706" spans="1:14">
      <c r="A4706" s="663"/>
      <c r="B4706" s="3130" t="s">
        <v>772</v>
      </c>
      <c r="C4706" s="663" t="s">
        <v>322</v>
      </c>
      <c r="D4706" s="678" t="s">
        <v>1980</v>
      </c>
      <c r="E4706" s="700" t="s">
        <v>1920</v>
      </c>
      <c r="F4706" s="1255">
        <v>2341</v>
      </c>
      <c r="G4706" s="750" t="s">
        <v>208</v>
      </c>
      <c r="H4706" s="748"/>
      <c r="I4706" s="748">
        <v>150</v>
      </c>
      <c r="J4706" s="1654" t="s">
        <v>1134</v>
      </c>
      <c r="K4706" s="1313"/>
      <c r="L4706" s="748"/>
      <c r="M4706" s="748">
        <v>150</v>
      </c>
      <c r="N4706" s="305"/>
    </row>
    <row r="4707" spans="1:14">
      <c r="A4707" s="683"/>
      <c r="B4707" s="3129" t="s">
        <v>772</v>
      </c>
      <c r="C4707" s="683" t="s">
        <v>320</v>
      </c>
      <c r="D4707" s="823" t="s">
        <v>1980</v>
      </c>
      <c r="E4707" s="720" t="s">
        <v>1920</v>
      </c>
      <c r="F4707" s="1254">
        <v>2350</v>
      </c>
      <c r="G4707" s="800" t="s">
        <v>792</v>
      </c>
      <c r="H4707" s="893">
        <v>4835</v>
      </c>
      <c r="I4707" s="893"/>
      <c r="J4707" s="1654">
        <v>1218</v>
      </c>
      <c r="K4707" s="1068"/>
      <c r="L4707" s="893">
        <v>5335</v>
      </c>
      <c r="M4707" s="893"/>
      <c r="N4707" s="305"/>
    </row>
    <row r="4708" spans="1:14">
      <c r="A4708" s="663"/>
      <c r="B4708" s="3130" t="s">
        <v>772</v>
      </c>
      <c r="C4708" s="663" t="s">
        <v>320</v>
      </c>
      <c r="D4708" s="794" t="s">
        <v>1980</v>
      </c>
      <c r="E4708" s="700" t="s">
        <v>1920</v>
      </c>
      <c r="F4708" s="1255">
        <v>2350</v>
      </c>
      <c r="G4708" s="750" t="s">
        <v>844</v>
      </c>
      <c r="H4708" s="748"/>
      <c r="I4708" s="748">
        <v>335</v>
      </c>
      <c r="J4708" s="1654" t="s">
        <v>1134</v>
      </c>
      <c r="K4708" s="1313"/>
      <c r="L4708" s="748"/>
      <c r="M4708" s="748">
        <v>335</v>
      </c>
      <c r="N4708" s="305"/>
    </row>
    <row r="4709" spans="1:14">
      <c r="A4709" s="663"/>
      <c r="B4709" s="3130" t="s">
        <v>772</v>
      </c>
      <c r="C4709" s="663" t="s">
        <v>320</v>
      </c>
      <c r="D4709" s="794" t="s">
        <v>1980</v>
      </c>
      <c r="E4709" s="700" t="s">
        <v>1920</v>
      </c>
      <c r="F4709" s="1255">
        <v>2350</v>
      </c>
      <c r="G4709" s="750" t="s">
        <v>3903</v>
      </c>
      <c r="H4709" s="748"/>
      <c r="I4709" s="748">
        <v>2500</v>
      </c>
      <c r="J4709" s="1654" t="s">
        <v>1134</v>
      </c>
      <c r="K4709" s="1313"/>
      <c r="L4709" s="748"/>
      <c r="M4709" s="748">
        <v>3000</v>
      </c>
      <c r="N4709" s="305"/>
    </row>
    <row r="4710" spans="1:14" ht="30.6">
      <c r="A4710" s="663"/>
      <c r="B4710" s="3130" t="s">
        <v>772</v>
      </c>
      <c r="C4710" s="663" t="s">
        <v>322</v>
      </c>
      <c r="D4710" s="794" t="s">
        <v>1980</v>
      </c>
      <c r="E4710" s="700" t="s">
        <v>1920</v>
      </c>
      <c r="F4710" s="1255">
        <v>2350</v>
      </c>
      <c r="G4710" s="750" t="s">
        <v>1098</v>
      </c>
      <c r="H4710" s="748"/>
      <c r="I4710" s="748">
        <v>2000</v>
      </c>
      <c r="J4710" s="1654" t="s">
        <v>1134</v>
      </c>
      <c r="K4710" s="1313"/>
      <c r="L4710" s="748"/>
      <c r="M4710" s="748">
        <v>2000</v>
      </c>
      <c r="N4710" s="305"/>
    </row>
    <row r="4711" spans="1:14">
      <c r="A4711" s="683"/>
      <c r="B4711" s="3129" t="s">
        <v>772</v>
      </c>
      <c r="C4711" s="683" t="s">
        <v>320</v>
      </c>
      <c r="D4711" s="823" t="s">
        <v>1980</v>
      </c>
      <c r="E4711" s="720" t="s">
        <v>1920</v>
      </c>
      <c r="F4711" s="824">
        <v>2361</v>
      </c>
      <c r="G4711" s="800" t="s">
        <v>1434</v>
      </c>
      <c r="H4711" s="893">
        <v>2000</v>
      </c>
      <c r="I4711" s="893"/>
      <c r="J4711" s="1654">
        <v>1619</v>
      </c>
      <c r="K4711" s="1068"/>
      <c r="L4711" s="893">
        <v>1500</v>
      </c>
      <c r="M4711" s="893"/>
      <c r="N4711" s="305"/>
    </row>
    <row r="4712" spans="1:14" ht="20.399999999999999">
      <c r="A4712" s="663"/>
      <c r="B4712" s="3130" t="s">
        <v>772</v>
      </c>
      <c r="C4712" s="663" t="s">
        <v>322</v>
      </c>
      <c r="D4712" s="794" t="s">
        <v>1980</v>
      </c>
      <c r="E4712" s="700" t="s">
        <v>1920</v>
      </c>
      <c r="F4712" s="795">
        <v>2361</v>
      </c>
      <c r="G4712" s="750" t="s">
        <v>1436</v>
      </c>
      <c r="H4712" s="748"/>
      <c r="I4712" s="748">
        <v>2000</v>
      </c>
      <c r="J4712" s="1654" t="s">
        <v>1134</v>
      </c>
      <c r="K4712" s="1313"/>
      <c r="L4712" s="748"/>
      <c r="M4712" s="1987">
        <v>1500</v>
      </c>
      <c r="N4712" s="305"/>
    </row>
    <row r="4713" spans="1:14">
      <c r="A4713" s="810"/>
      <c r="B4713" s="3130" t="s">
        <v>772</v>
      </c>
      <c r="C4713" s="663" t="s">
        <v>322</v>
      </c>
      <c r="D4713" s="794" t="s">
        <v>1980</v>
      </c>
      <c r="E4713" s="700" t="s">
        <v>1920</v>
      </c>
      <c r="F4713" s="795">
        <v>2361</v>
      </c>
      <c r="G4713" s="812"/>
      <c r="H4713" s="701"/>
      <c r="I4713" s="701"/>
      <c r="J4713" s="1654" t="s">
        <v>1134</v>
      </c>
      <c r="K4713" s="792"/>
      <c r="L4713" s="714"/>
      <c r="M4713" s="701"/>
      <c r="N4713" s="305"/>
    </row>
    <row r="4714" spans="1:14">
      <c r="A4714" s="683"/>
      <c r="B4714" s="3129" t="s">
        <v>772</v>
      </c>
      <c r="C4714" s="683" t="s">
        <v>322</v>
      </c>
      <c r="D4714" s="719" t="s">
        <v>1980</v>
      </c>
      <c r="E4714" s="720" t="s">
        <v>1920</v>
      </c>
      <c r="F4714" s="824">
        <v>2362</v>
      </c>
      <c r="G4714" s="800" t="s">
        <v>793</v>
      </c>
      <c r="H4714" s="893">
        <v>650</v>
      </c>
      <c r="I4714" s="893"/>
      <c r="J4714" s="1654">
        <v>511</v>
      </c>
      <c r="K4714" s="1068"/>
      <c r="L4714" s="893">
        <v>650</v>
      </c>
      <c r="M4714" s="893"/>
      <c r="N4714" s="305"/>
    </row>
    <row r="4715" spans="1:14">
      <c r="A4715" s="663"/>
      <c r="B4715" s="3130" t="s">
        <v>772</v>
      </c>
      <c r="C4715" s="663" t="s">
        <v>322</v>
      </c>
      <c r="D4715" s="678" t="s">
        <v>1980</v>
      </c>
      <c r="E4715" s="700" t="s">
        <v>1920</v>
      </c>
      <c r="F4715" s="795">
        <v>2362</v>
      </c>
      <c r="G4715" s="750" t="s">
        <v>793</v>
      </c>
      <c r="H4715" s="748"/>
      <c r="I4715" s="748">
        <v>650</v>
      </c>
      <c r="J4715" s="1654" t="s">
        <v>1134</v>
      </c>
      <c r="K4715" s="1313"/>
      <c r="L4715" s="748"/>
      <c r="M4715" s="748">
        <v>650</v>
      </c>
      <c r="N4715" s="305"/>
    </row>
    <row r="4716" spans="1:14">
      <c r="A4716" s="951"/>
      <c r="B4716" s="3129" t="s">
        <v>772</v>
      </c>
      <c r="C4716" s="683" t="s">
        <v>322</v>
      </c>
      <c r="D4716" s="719" t="s">
        <v>1980</v>
      </c>
      <c r="E4716" s="720" t="s">
        <v>1920</v>
      </c>
      <c r="F4716" s="1254">
        <v>2370</v>
      </c>
      <c r="G4716" s="800" t="s">
        <v>209</v>
      </c>
      <c r="H4716" s="893">
        <v>12807</v>
      </c>
      <c r="I4716" s="893"/>
      <c r="J4716" s="1654">
        <v>9630</v>
      </c>
      <c r="K4716" s="1068"/>
      <c r="L4716" s="893">
        <v>13000</v>
      </c>
      <c r="M4716" s="893"/>
      <c r="N4716" s="305"/>
    </row>
    <row r="4717" spans="1:14" ht="30.6">
      <c r="A4717" s="663"/>
      <c r="B4717" s="3130" t="s">
        <v>772</v>
      </c>
      <c r="C4717" s="663" t="s">
        <v>322</v>
      </c>
      <c r="D4717" s="678" t="s">
        <v>1980</v>
      </c>
      <c r="E4717" s="700" t="s">
        <v>1920</v>
      </c>
      <c r="F4717" s="1255">
        <v>2370</v>
      </c>
      <c r="G4717" s="750" t="s">
        <v>1415</v>
      </c>
      <c r="H4717" s="748"/>
      <c r="I4717" s="748">
        <v>7300</v>
      </c>
      <c r="J4717" s="1654" t="s">
        <v>1134</v>
      </c>
      <c r="K4717" s="1313"/>
      <c r="L4717" s="748"/>
      <c r="M4717" s="748">
        <v>7300</v>
      </c>
      <c r="N4717" s="305"/>
    </row>
    <row r="4718" spans="1:14">
      <c r="A4718" s="663"/>
      <c r="B4718" s="3130" t="s">
        <v>772</v>
      </c>
      <c r="C4718" s="663" t="s">
        <v>322</v>
      </c>
      <c r="D4718" s="678" t="s">
        <v>1980</v>
      </c>
      <c r="E4718" s="700" t="s">
        <v>1920</v>
      </c>
      <c r="F4718" s="1255">
        <v>2370</v>
      </c>
      <c r="G4718" s="750" t="s">
        <v>1416</v>
      </c>
      <c r="H4718" s="748"/>
      <c r="I4718" s="748">
        <v>1800</v>
      </c>
      <c r="J4718" s="1654" t="s">
        <v>1134</v>
      </c>
      <c r="K4718" s="1313"/>
      <c r="L4718" s="748"/>
      <c r="M4718" s="748">
        <v>1800</v>
      </c>
      <c r="N4718" s="305"/>
    </row>
    <row r="4719" spans="1:14" ht="20.399999999999999" customHeight="1">
      <c r="A4719" s="663"/>
      <c r="B4719" s="3130" t="s">
        <v>772</v>
      </c>
      <c r="C4719" s="663" t="s">
        <v>322</v>
      </c>
      <c r="D4719" s="678" t="s">
        <v>1980</v>
      </c>
      <c r="E4719" s="700" t="s">
        <v>1920</v>
      </c>
      <c r="F4719" s="1255">
        <v>2370</v>
      </c>
      <c r="G4719" s="750" t="s">
        <v>1417</v>
      </c>
      <c r="H4719" s="748"/>
      <c r="I4719" s="748">
        <v>3900</v>
      </c>
      <c r="J4719" s="1654" t="s">
        <v>1134</v>
      </c>
      <c r="K4719" s="1313"/>
      <c r="L4719" s="748"/>
      <c r="M4719" s="748">
        <v>3900</v>
      </c>
      <c r="N4719" s="305"/>
    </row>
    <row r="4720" spans="1:14" ht="20.399999999999999">
      <c r="A4720" s="810"/>
      <c r="B4720" s="3130" t="s">
        <v>772</v>
      </c>
      <c r="C4720" s="663" t="s">
        <v>322</v>
      </c>
      <c r="D4720" s="678" t="s">
        <v>1980</v>
      </c>
      <c r="E4720" s="700" t="s">
        <v>1920</v>
      </c>
      <c r="F4720" s="1255">
        <v>2370</v>
      </c>
      <c r="G4720" s="812" t="s">
        <v>3404</v>
      </c>
      <c r="H4720" s="701"/>
      <c r="I4720" s="701">
        <v>-193</v>
      </c>
      <c r="J4720" s="1654" t="s">
        <v>1134</v>
      </c>
      <c r="K4720" s="792"/>
      <c r="L4720" s="714"/>
      <c r="M4720" s="701"/>
      <c r="N4720" s="381"/>
    </row>
    <row r="4721" spans="1:14">
      <c r="A4721" s="683"/>
      <c r="B4721" s="3129" t="s">
        <v>326</v>
      </c>
      <c r="C4721" s="683" t="s">
        <v>321</v>
      </c>
      <c r="D4721" s="719" t="s">
        <v>1980</v>
      </c>
      <c r="E4721" s="720" t="s">
        <v>1921</v>
      </c>
      <c r="F4721" s="1254">
        <v>2370</v>
      </c>
      <c r="G4721" s="800" t="s">
        <v>209</v>
      </c>
      <c r="H4721" s="1251">
        <v>3778</v>
      </c>
      <c r="I4721" s="893"/>
      <c r="J4721" s="1494">
        <v>3351</v>
      </c>
      <c r="K4721" s="1313"/>
      <c r="L4721" s="747">
        <v>29</v>
      </c>
      <c r="M4721" s="731"/>
      <c r="N4721" s="381"/>
    </row>
    <row r="4722" spans="1:14">
      <c r="A4722" s="663"/>
      <c r="B4722" s="3130" t="s">
        <v>326</v>
      </c>
      <c r="C4722" s="663" t="s">
        <v>321</v>
      </c>
      <c r="D4722" s="678" t="s">
        <v>1980</v>
      </c>
      <c r="E4722" s="700" t="s">
        <v>1921</v>
      </c>
      <c r="F4722" s="1255">
        <v>2370</v>
      </c>
      <c r="G4722" s="812" t="s">
        <v>1297</v>
      </c>
      <c r="H4722" s="748"/>
      <c r="I4722" s="748"/>
      <c r="J4722" s="1494" t="s">
        <v>1134</v>
      </c>
      <c r="K4722" s="1313"/>
      <c r="L4722" s="741"/>
      <c r="M4722" s="741">
        <v>29</v>
      </c>
      <c r="N4722" s="305"/>
    </row>
    <row r="4723" spans="1:14">
      <c r="A4723" s="663"/>
      <c r="B4723" s="3130" t="s">
        <v>326</v>
      </c>
      <c r="C4723" s="663" t="s">
        <v>321</v>
      </c>
      <c r="D4723" s="678" t="s">
        <v>1980</v>
      </c>
      <c r="E4723" s="700" t="s">
        <v>1921</v>
      </c>
      <c r="F4723" s="1255">
        <v>2370</v>
      </c>
      <c r="G4723" s="812" t="s">
        <v>1401</v>
      </c>
      <c r="H4723" s="748"/>
      <c r="I4723" s="748">
        <v>3778</v>
      </c>
      <c r="J4723" s="1494" t="s">
        <v>1134</v>
      </c>
      <c r="K4723" s="1313"/>
      <c r="L4723" s="741"/>
      <c r="M4723" s="741"/>
      <c r="N4723" s="305"/>
    </row>
    <row r="4724" spans="1:14">
      <c r="A4724" s="683"/>
      <c r="B4724" s="3129" t="s">
        <v>772</v>
      </c>
      <c r="C4724" s="683" t="s">
        <v>320</v>
      </c>
      <c r="D4724" s="719" t="s">
        <v>1980</v>
      </c>
      <c r="E4724" s="720" t="s">
        <v>1920</v>
      </c>
      <c r="F4724" s="1254">
        <v>2390</v>
      </c>
      <c r="G4724" s="800" t="s">
        <v>135</v>
      </c>
      <c r="H4724" s="893">
        <v>1360</v>
      </c>
      <c r="I4724" s="893"/>
      <c r="J4724" s="1654">
        <v>1303</v>
      </c>
      <c r="K4724" s="1068"/>
      <c r="L4724" s="893">
        <v>1000</v>
      </c>
      <c r="M4724" s="893"/>
      <c r="N4724" s="305"/>
    </row>
    <row r="4725" spans="1:14">
      <c r="A4725" s="663"/>
      <c r="B4725" s="3130" t="s">
        <v>772</v>
      </c>
      <c r="C4725" s="663" t="s">
        <v>320</v>
      </c>
      <c r="D4725" s="678" t="s">
        <v>1980</v>
      </c>
      <c r="E4725" s="700" t="s">
        <v>1920</v>
      </c>
      <c r="F4725" s="1255" t="s">
        <v>1413</v>
      </c>
      <c r="G4725" s="750" t="s">
        <v>1414</v>
      </c>
      <c r="H4725" s="748"/>
      <c r="I4725" s="748">
        <v>1045</v>
      </c>
      <c r="J4725" s="1654" t="s">
        <v>1134</v>
      </c>
      <c r="K4725" s="1313"/>
      <c r="L4725" s="748"/>
      <c r="M4725" s="748">
        <v>500</v>
      </c>
      <c r="N4725" s="305"/>
    </row>
    <row r="4726" spans="1:14">
      <c r="A4726" s="663"/>
      <c r="B4726" s="3130" t="s">
        <v>772</v>
      </c>
      <c r="C4726" s="663" t="s">
        <v>320</v>
      </c>
      <c r="D4726" s="678" t="s">
        <v>1980</v>
      </c>
      <c r="E4726" s="700" t="s">
        <v>1920</v>
      </c>
      <c r="F4726" s="1255" t="s">
        <v>1413</v>
      </c>
      <c r="G4726" s="957" t="s">
        <v>2329</v>
      </c>
      <c r="H4726" s="748"/>
      <c r="I4726" s="748">
        <v>315</v>
      </c>
      <c r="J4726" s="1654" t="s">
        <v>1134</v>
      </c>
      <c r="K4726" s="1313"/>
      <c r="L4726" s="748"/>
      <c r="M4726" s="748">
        <v>500</v>
      </c>
      <c r="N4726" s="305"/>
    </row>
    <row r="4727" spans="1:14" ht="20.399999999999999">
      <c r="A4727" s="951"/>
      <c r="B4727" s="3129" t="s">
        <v>772</v>
      </c>
      <c r="C4727" s="683" t="s">
        <v>320</v>
      </c>
      <c r="D4727" s="719" t="s">
        <v>1980</v>
      </c>
      <c r="E4727" s="720" t="s">
        <v>1920</v>
      </c>
      <c r="F4727" s="824">
        <v>2512</v>
      </c>
      <c r="G4727" s="800" t="s">
        <v>779</v>
      </c>
      <c r="H4727" s="893">
        <v>2000</v>
      </c>
      <c r="I4727" s="893"/>
      <c r="J4727" s="1654">
        <v>922</v>
      </c>
      <c r="K4727" s="1068"/>
      <c r="L4727" s="893">
        <v>1500</v>
      </c>
      <c r="M4727" s="893"/>
      <c r="N4727" s="305"/>
    </row>
    <row r="4728" spans="1:14">
      <c r="A4728" s="663"/>
      <c r="B4728" s="3130" t="s">
        <v>772</v>
      </c>
      <c r="C4728" s="663" t="s">
        <v>320</v>
      </c>
      <c r="D4728" s="678" t="s">
        <v>1980</v>
      </c>
      <c r="E4728" s="700" t="s">
        <v>1920</v>
      </c>
      <c r="F4728" s="795">
        <v>2512</v>
      </c>
      <c r="G4728" s="750" t="s">
        <v>3904</v>
      </c>
      <c r="H4728" s="748"/>
      <c r="I4728" s="748">
        <v>2000</v>
      </c>
      <c r="J4728" s="1654" t="s">
        <v>1134</v>
      </c>
      <c r="K4728" s="1313"/>
      <c r="L4728" s="748"/>
      <c r="M4728" s="1987">
        <v>1500</v>
      </c>
      <c r="N4728" s="305"/>
    </row>
    <row r="4729" spans="1:14" ht="20.399999999999999">
      <c r="A4729" s="683"/>
      <c r="B4729" s="3129" t="s">
        <v>772</v>
      </c>
      <c r="C4729" s="683" t="s">
        <v>324</v>
      </c>
      <c r="D4729" s="719" t="s">
        <v>1980</v>
      </c>
      <c r="E4729" s="720" t="s">
        <v>1920</v>
      </c>
      <c r="F4729" s="824">
        <v>5120</v>
      </c>
      <c r="G4729" s="800" t="s">
        <v>588</v>
      </c>
      <c r="H4729" s="893">
        <v>686</v>
      </c>
      <c r="I4729" s="893"/>
      <c r="J4729" s="1654">
        <v>806</v>
      </c>
      <c r="K4729" s="1068"/>
      <c r="L4729" s="893">
        <v>450</v>
      </c>
      <c r="M4729" s="893"/>
      <c r="N4729" s="305"/>
    </row>
    <row r="4730" spans="1:14" ht="20.399999999999999">
      <c r="A4730" s="663"/>
      <c r="B4730" s="3130" t="s">
        <v>772</v>
      </c>
      <c r="C4730" s="663" t="s">
        <v>324</v>
      </c>
      <c r="D4730" s="678" t="s">
        <v>1980</v>
      </c>
      <c r="E4730" s="700" t="s">
        <v>1920</v>
      </c>
      <c r="F4730" s="795">
        <v>5120</v>
      </c>
      <c r="G4730" s="750" t="s">
        <v>877</v>
      </c>
      <c r="H4730" s="748"/>
      <c r="I4730" s="748">
        <v>450</v>
      </c>
      <c r="J4730" s="1654" t="s">
        <v>1134</v>
      </c>
      <c r="K4730" s="1313"/>
      <c r="L4730" s="748"/>
      <c r="M4730" s="748">
        <v>450</v>
      </c>
      <c r="N4730" s="305"/>
    </row>
    <row r="4731" spans="1:14" ht="20.399999999999999">
      <c r="A4731" s="1669"/>
      <c r="B4731" s="3130" t="s">
        <v>772</v>
      </c>
      <c r="C4731" s="663" t="s">
        <v>324</v>
      </c>
      <c r="D4731" s="678" t="s">
        <v>1980</v>
      </c>
      <c r="E4731" s="700" t="s">
        <v>1920</v>
      </c>
      <c r="F4731" s="795">
        <v>5120</v>
      </c>
      <c r="G4731" s="1703" t="s">
        <v>3893</v>
      </c>
      <c r="H4731" s="1964"/>
      <c r="I4731" s="1964">
        <v>236</v>
      </c>
      <c r="J4731" s="1739"/>
      <c r="K4731" s="1986"/>
      <c r="L4731" s="1964"/>
      <c r="M4731" s="1964"/>
      <c r="N4731" s="305"/>
    </row>
    <row r="4732" spans="1:14">
      <c r="A4732" s="983"/>
      <c r="B4732" s="3136" t="s">
        <v>773</v>
      </c>
      <c r="C4732" s="728" t="s">
        <v>340</v>
      </c>
      <c r="D4732" s="734" t="s">
        <v>1980</v>
      </c>
      <c r="E4732" s="735" t="s">
        <v>1920</v>
      </c>
      <c r="F4732" s="824">
        <v>5218</v>
      </c>
      <c r="G4732" s="800" t="s">
        <v>1062</v>
      </c>
      <c r="H4732" s="893">
        <v>96000</v>
      </c>
      <c r="I4732" s="893"/>
      <c r="J4732" s="1654">
        <v>78325</v>
      </c>
      <c r="K4732" s="1068"/>
      <c r="L4732" s="893">
        <v>89000</v>
      </c>
      <c r="M4732" s="893"/>
      <c r="N4732" s="305"/>
    </row>
    <row r="4733" spans="1:14" ht="30.6">
      <c r="A4733" s="663"/>
      <c r="B4733" s="3130" t="s">
        <v>773</v>
      </c>
      <c r="C4733" s="663" t="s">
        <v>340</v>
      </c>
      <c r="D4733" s="678" t="s">
        <v>1980</v>
      </c>
      <c r="E4733" s="700" t="s">
        <v>1920</v>
      </c>
      <c r="F4733" s="795">
        <v>5218</v>
      </c>
      <c r="G4733" s="750" t="s">
        <v>3905</v>
      </c>
      <c r="H4733" s="748"/>
      <c r="I4733" s="748">
        <v>96000</v>
      </c>
      <c r="J4733" s="1654" t="s">
        <v>1134</v>
      </c>
      <c r="K4733" s="1313"/>
      <c r="L4733" s="748"/>
      <c r="M4733" s="748">
        <v>89000</v>
      </c>
      <c r="N4733" s="305"/>
    </row>
    <row r="4734" spans="1:14" ht="20.399999999999999">
      <c r="A4734" s="663"/>
      <c r="B4734" s="3130" t="s">
        <v>773</v>
      </c>
      <c r="C4734" s="663" t="s">
        <v>340</v>
      </c>
      <c r="D4734" s="678" t="s">
        <v>1980</v>
      </c>
      <c r="E4734" s="700" t="s">
        <v>1920</v>
      </c>
      <c r="F4734" s="795">
        <v>5218</v>
      </c>
      <c r="G4734" s="750" t="s">
        <v>1418</v>
      </c>
      <c r="H4734" s="748"/>
      <c r="I4734" s="748"/>
      <c r="J4734" s="1654" t="s">
        <v>1134</v>
      </c>
      <c r="K4734" s="1313"/>
      <c r="L4734" s="748"/>
      <c r="M4734" s="748"/>
      <c r="N4734" s="305"/>
    </row>
    <row r="4735" spans="1:14">
      <c r="A4735" s="683"/>
      <c r="B4735" s="3129" t="s">
        <v>774</v>
      </c>
      <c r="C4735" s="683" t="s">
        <v>324</v>
      </c>
      <c r="D4735" s="719" t="s">
        <v>1980</v>
      </c>
      <c r="E4735" s="720" t="s">
        <v>1920</v>
      </c>
      <c r="F4735" s="1254">
        <v>5238</v>
      </c>
      <c r="G4735" s="800" t="s">
        <v>139</v>
      </c>
      <c r="H4735" s="893">
        <v>6764</v>
      </c>
      <c r="I4735" s="893"/>
      <c r="J4735" s="1654">
        <v>4439.88</v>
      </c>
      <c r="K4735" s="1068"/>
      <c r="L4735" s="893">
        <v>700</v>
      </c>
      <c r="M4735" s="893"/>
      <c r="N4735" s="305"/>
    </row>
    <row r="4736" spans="1:14">
      <c r="A4736" s="663"/>
      <c r="B4736" s="3130" t="s">
        <v>774</v>
      </c>
      <c r="C4736" s="663" t="s">
        <v>324</v>
      </c>
      <c r="D4736" s="678" t="s">
        <v>1980</v>
      </c>
      <c r="E4736" s="700" t="s">
        <v>1920</v>
      </c>
      <c r="F4736" s="1255">
        <v>5238</v>
      </c>
      <c r="G4736" s="750" t="s">
        <v>1419</v>
      </c>
      <c r="H4736" s="748"/>
      <c r="I4736" s="748">
        <v>3000</v>
      </c>
      <c r="J4736" s="1654" t="s">
        <v>1134</v>
      </c>
      <c r="K4736" s="1313"/>
      <c r="L4736" s="748"/>
      <c r="M4736" s="1988"/>
      <c r="N4736" s="305"/>
    </row>
    <row r="4737" spans="1:14">
      <c r="A4737" s="663"/>
      <c r="B4737" s="3130" t="s">
        <v>774</v>
      </c>
      <c r="C4737" s="663" t="s">
        <v>324</v>
      </c>
      <c r="D4737" s="678" t="s">
        <v>1980</v>
      </c>
      <c r="E4737" s="700" t="s">
        <v>1920</v>
      </c>
      <c r="F4737" s="1255">
        <v>5238</v>
      </c>
      <c r="G4737" s="750" t="s">
        <v>2330</v>
      </c>
      <c r="H4737" s="748"/>
      <c r="I4737" s="748">
        <v>3000</v>
      </c>
      <c r="J4737" s="1654" t="s">
        <v>1134</v>
      </c>
      <c r="K4737" s="1313"/>
      <c r="L4737" s="748"/>
      <c r="M4737" s="1988">
        <v>0</v>
      </c>
      <c r="N4737" s="305"/>
    </row>
    <row r="4738" spans="1:14">
      <c r="A4738" s="663"/>
      <c r="B4738" s="3130" t="s">
        <v>774</v>
      </c>
      <c r="C4738" s="663" t="s">
        <v>324</v>
      </c>
      <c r="D4738" s="678" t="s">
        <v>1980</v>
      </c>
      <c r="E4738" s="700" t="s">
        <v>1920</v>
      </c>
      <c r="F4738" s="1255">
        <v>5238</v>
      </c>
      <c r="G4738" s="750" t="s">
        <v>1675</v>
      </c>
      <c r="H4738" s="748"/>
      <c r="I4738" s="748">
        <v>1000</v>
      </c>
      <c r="J4738" s="1654" t="s">
        <v>1134</v>
      </c>
      <c r="K4738" s="1313"/>
      <c r="L4738" s="748"/>
      <c r="M4738" s="1988">
        <v>700</v>
      </c>
      <c r="N4738" s="1985"/>
    </row>
    <row r="4739" spans="1:14" ht="20.399999999999999">
      <c r="A4739" s="1669"/>
      <c r="B4739" s="3130" t="s">
        <v>774</v>
      </c>
      <c r="C4739" s="663" t="s">
        <v>324</v>
      </c>
      <c r="D4739" s="678" t="s">
        <v>1980</v>
      </c>
      <c r="E4739" s="700" t="s">
        <v>1920</v>
      </c>
      <c r="F4739" s="1255">
        <v>5238</v>
      </c>
      <c r="G4739" s="1703" t="s">
        <v>3893</v>
      </c>
      <c r="H4739" s="1964"/>
      <c r="I4739" s="1964">
        <v>-236</v>
      </c>
      <c r="J4739" s="1739"/>
      <c r="K4739" s="1986"/>
      <c r="L4739" s="1964"/>
      <c r="M4739" s="1989"/>
      <c r="N4739" s="305"/>
    </row>
    <row r="4740" spans="1:14">
      <c r="A4740" s="683"/>
      <c r="B4740" s="3129" t="s">
        <v>774</v>
      </c>
      <c r="C4740" s="683" t="s">
        <v>324</v>
      </c>
      <c r="D4740" s="719" t="s">
        <v>1980</v>
      </c>
      <c r="E4740" s="720" t="s">
        <v>1920</v>
      </c>
      <c r="F4740" s="824">
        <v>5239</v>
      </c>
      <c r="G4740" s="800" t="s">
        <v>138</v>
      </c>
      <c r="H4740" s="893">
        <v>2000</v>
      </c>
      <c r="I4740" s="893"/>
      <c r="J4740" s="1654">
        <v>1643</v>
      </c>
      <c r="K4740" s="1068"/>
      <c r="L4740" s="893">
        <v>2000</v>
      </c>
      <c r="M4740" s="893"/>
      <c r="N4740" s="125"/>
    </row>
    <row r="4741" spans="1:14">
      <c r="A4741" s="663"/>
      <c r="B4741" s="3130" t="s">
        <v>774</v>
      </c>
      <c r="C4741" s="663" t="s">
        <v>324</v>
      </c>
      <c r="D4741" s="678" t="s">
        <v>1980</v>
      </c>
      <c r="E4741" s="700" t="s">
        <v>1920</v>
      </c>
      <c r="F4741" s="1255">
        <v>5239</v>
      </c>
      <c r="G4741" s="750" t="s">
        <v>152</v>
      </c>
      <c r="H4741" s="748"/>
      <c r="I4741" s="748">
        <v>2000</v>
      </c>
      <c r="J4741" s="1654" t="s">
        <v>1134</v>
      </c>
      <c r="K4741" s="1313"/>
      <c r="L4741" s="748"/>
      <c r="M4741" s="748">
        <v>2000</v>
      </c>
      <c r="N4741" s="125"/>
    </row>
    <row r="4742" spans="1:14">
      <c r="A4742" s="683"/>
      <c r="B4742" s="3129" t="s">
        <v>1211</v>
      </c>
      <c r="C4742" s="683" t="s">
        <v>320</v>
      </c>
      <c r="D4742" s="719" t="s">
        <v>1980</v>
      </c>
      <c r="E4742" s="1406" t="s">
        <v>1920</v>
      </c>
      <c r="F4742" s="685">
        <v>7230</v>
      </c>
      <c r="G4742" s="686" t="s">
        <v>1027</v>
      </c>
      <c r="H4742" s="893">
        <v>234374</v>
      </c>
      <c r="I4742" s="893"/>
      <c r="J4742" s="1494">
        <v>195310</v>
      </c>
      <c r="K4742" s="980"/>
      <c r="L4742" s="1957">
        <v>228960</v>
      </c>
      <c r="M4742" s="1957"/>
      <c r="N4742" s="305"/>
    </row>
    <row r="4743" spans="1:14">
      <c r="A4743" s="663"/>
      <c r="B4743" s="3130" t="s">
        <v>2534</v>
      </c>
      <c r="C4743" s="663" t="s">
        <v>320</v>
      </c>
      <c r="D4743" s="678" t="s">
        <v>1980</v>
      </c>
      <c r="E4743" s="1407" t="s">
        <v>1920</v>
      </c>
      <c r="F4743" s="679">
        <v>7230</v>
      </c>
      <c r="G4743" s="665" t="s">
        <v>436</v>
      </c>
      <c r="H4743" s="748"/>
      <c r="I4743" s="748">
        <v>114139</v>
      </c>
      <c r="J4743" s="1494" t="s">
        <v>1134</v>
      </c>
      <c r="K4743" s="749"/>
      <c r="L4743" s="1958"/>
      <c r="M4743" s="1958">
        <v>118755</v>
      </c>
      <c r="N4743" s="305"/>
    </row>
    <row r="4744" spans="1:14">
      <c r="A4744" s="663"/>
      <c r="B4744" s="3130" t="s">
        <v>1211</v>
      </c>
      <c r="C4744" s="663" t="s">
        <v>320</v>
      </c>
      <c r="D4744" s="678" t="s">
        <v>1980</v>
      </c>
      <c r="E4744" s="1407" t="s">
        <v>1920</v>
      </c>
      <c r="F4744" s="679">
        <v>7230</v>
      </c>
      <c r="G4744" s="665" t="s">
        <v>772</v>
      </c>
      <c r="H4744" s="748"/>
      <c r="I4744" s="748">
        <v>119025</v>
      </c>
      <c r="J4744" s="1494" t="s">
        <v>1134</v>
      </c>
      <c r="K4744" s="749"/>
      <c r="L4744" s="1958"/>
      <c r="M4744" s="1958">
        <v>104705</v>
      </c>
      <c r="N4744" s="305"/>
    </row>
    <row r="4745" spans="1:14">
      <c r="A4745" s="663"/>
      <c r="B4745" s="3130" t="s">
        <v>1211</v>
      </c>
      <c r="C4745" s="663" t="s">
        <v>320</v>
      </c>
      <c r="D4745" s="678" t="s">
        <v>1980</v>
      </c>
      <c r="E4745" s="1407" t="s">
        <v>1920</v>
      </c>
      <c r="F4745" s="679">
        <v>7230</v>
      </c>
      <c r="G4745" s="665" t="s">
        <v>774</v>
      </c>
      <c r="H4745" s="748"/>
      <c r="I4745" s="748">
        <v>1210</v>
      </c>
      <c r="J4745" s="1494" t="s">
        <v>1134</v>
      </c>
      <c r="K4745" s="749"/>
      <c r="L4745" s="1958"/>
      <c r="M4745" s="1958">
        <v>5500</v>
      </c>
      <c r="N4745" s="305"/>
    </row>
    <row r="4746" spans="1:14">
      <c r="A4746" s="683"/>
      <c r="B4746" s="3129" t="s">
        <v>1849</v>
      </c>
      <c r="C4746" s="683" t="s">
        <v>320</v>
      </c>
      <c r="D4746" s="719" t="s">
        <v>1980</v>
      </c>
      <c r="E4746" s="840" t="s">
        <v>1920</v>
      </c>
      <c r="F4746" s="685">
        <v>7230</v>
      </c>
      <c r="G4746" s="686" t="s">
        <v>1027</v>
      </c>
      <c r="H4746" s="893">
        <v>9300</v>
      </c>
      <c r="I4746" s="893"/>
      <c r="J4746" s="1494"/>
      <c r="K4746" s="980"/>
      <c r="L4746" s="860">
        <v>25300</v>
      </c>
      <c r="M4746" s="860"/>
      <c r="N4746" s="305"/>
    </row>
    <row r="4747" spans="1:14" ht="20.399999999999999">
      <c r="A4747" s="668"/>
      <c r="B4747" s="3144" t="s">
        <v>1849</v>
      </c>
      <c r="C4747" s="668" t="s">
        <v>320</v>
      </c>
      <c r="D4747" s="669" t="s">
        <v>1980</v>
      </c>
      <c r="E4747" s="936" t="s">
        <v>1920</v>
      </c>
      <c r="F4747" s="671">
        <v>7230</v>
      </c>
      <c r="G4747" s="717" t="s">
        <v>2535</v>
      </c>
      <c r="H4747" s="733"/>
      <c r="I4747" s="733">
        <v>9300</v>
      </c>
      <c r="J4747" s="1494" t="s">
        <v>1134</v>
      </c>
      <c r="K4747" s="733"/>
      <c r="L4747" s="2353"/>
      <c r="M4747" s="2353">
        <v>9300</v>
      </c>
      <c r="N4747" s="305"/>
    </row>
    <row r="4748" spans="1:14">
      <c r="A4748" s="668"/>
      <c r="B4748" s="3144" t="s">
        <v>1849</v>
      </c>
      <c r="C4748" s="668" t="s">
        <v>320</v>
      </c>
      <c r="D4748" s="669" t="s">
        <v>1980</v>
      </c>
      <c r="E4748" s="936" t="s">
        <v>1920</v>
      </c>
      <c r="F4748" s="671">
        <v>7230</v>
      </c>
      <c r="G4748" s="717" t="s">
        <v>4912</v>
      </c>
      <c r="H4748" s="733"/>
      <c r="I4748" s="733"/>
      <c r="J4748" s="1494" t="s">
        <v>1134</v>
      </c>
      <c r="K4748" s="733"/>
      <c r="L4748" s="2353"/>
      <c r="M4748" s="2353">
        <v>16000</v>
      </c>
      <c r="N4748" s="305"/>
    </row>
    <row r="4749" spans="1:14">
      <c r="A4749" s="1575"/>
      <c r="B4749" s="3147" t="s">
        <v>365</v>
      </c>
      <c r="C4749" s="1575"/>
      <c r="D4749" s="1585" t="s">
        <v>1980</v>
      </c>
      <c r="E4749" s="1586" t="s">
        <v>3378</v>
      </c>
      <c r="F4749" s="1577">
        <v>1119</v>
      </c>
      <c r="G4749" s="1578" t="s">
        <v>142</v>
      </c>
      <c r="H4749" s="1587">
        <v>187</v>
      </c>
      <c r="I4749" s="1587"/>
      <c r="J4749" s="1587"/>
      <c r="K4749" s="1567"/>
      <c r="L4749" s="1588">
        <v>187</v>
      </c>
      <c r="M4749" s="1589"/>
      <c r="N4749" s="305"/>
    </row>
    <row r="4750" spans="1:14" ht="45" customHeight="1">
      <c r="A4750" s="1495"/>
      <c r="B4750" s="3138" t="s">
        <v>365</v>
      </c>
      <c r="C4750" s="1495"/>
      <c r="D4750" s="1561" t="s">
        <v>1980</v>
      </c>
      <c r="E4750" s="1590" t="s">
        <v>3378</v>
      </c>
      <c r="F4750" s="1574">
        <v>1119</v>
      </c>
      <c r="G4750" s="1548" t="s">
        <v>436</v>
      </c>
      <c r="H4750" s="1549"/>
      <c r="I4750" s="1549">
        <v>187</v>
      </c>
      <c r="J4750" s="1549"/>
      <c r="K4750" s="1551"/>
      <c r="L4750" s="1581"/>
      <c r="M4750" s="1591">
        <v>187</v>
      </c>
      <c r="N4750" s="305"/>
    </row>
    <row r="4751" spans="1:14" ht="20.399999999999999">
      <c r="A4751" s="1575"/>
      <c r="B4751" s="3147" t="s">
        <v>365</v>
      </c>
      <c r="C4751" s="1575"/>
      <c r="D4751" s="1585" t="s">
        <v>1980</v>
      </c>
      <c r="E4751" s="1586" t="s">
        <v>3378</v>
      </c>
      <c r="F4751" s="1577">
        <v>1210</v>
      </c>
      <c r="G4751" s="1578" t="s">
        <v>402</v>
      </c>
      <c r="H4751" s="1587">
        <v>44</v>
      </c>
      <c r="I4751" s="1587"/>
      <c r="J4751" s="1587"/>
      <c r="K4751" s="1567"/>
      <c r="L4751" s="1588">
        <v>44</v>
      </c>
      <c r="M4751" s="1587"/>
      <c r="N4751" s="305"/>
    </row>
    <row r="4752" spans="1:14">
      <c r="A4752" s="1495"/>
      <c r="B4752" s="3138" t="s">
        <v>365</v>
      </c>
      <c r="C4752" s="1495"/>
      <c r="D4752" s="1561" t="s">
        <v>1980</v>
      </c>
      <c r="E4752" s="1590" t="s">
        <v>3378</v>
      </c>
      <c r="F4752" s="1574">
        <v>1210</v>
      </c>
      <c r="G4752" s="1548"/>
      <c r="H4752" s="1549"/>
      <c r="I4752" s="1549">
        <v>44</v>
      </c>
      <c r="J4752" s="1549"/>
      <c r="K4752" s="1551"/>
      <c r="L4752" s="1581"/>
      <c r="M4752" s="1591">
        <v>44</v>
      </c>
      <c r="N4752" s="305"/>
    </row>
    <row r="4753" spans="1:14" ht="45" customHeight="1">
      <c r="A4753" s="1575"/>
      <c r="B4753" s="3147" t="s">
        <v>365</v>
      </c>
      <c r="C4753" s="1575"/>
      <c r="D4753" s="1585" t="s">
        <v>1980</v>
      </c>
      <c r="E4753" s="1586" t="s">
        <v>3378</v>
      </c>
      <c r="F4753" s="1577">
        <v>2239</v>
      </c>
      <c r="G4753" s="1578" t="s">
        <v>1017</v>
      </c>
      <c r="H4753" s="1587">
        <v>2100</v>
      </c>
      <c r="I4753" s="1587"/>
      <c r="J4753" s="1587"/>
      <c r="K4753" s="1567"/>
      <c r="L4753" s="1588">
        <v>1988</v>
      </c>
      <c r="M4753" s="1587"/>
      <c r="N4753" s="305"/>
    </row>
    <row r="4754" spans="1:14">
      <c r="A4754" s="1495"/>
      <c r="B4754" s="3138" t="s">
        <v>365</v>
      </c>
      <c r="C4754" s="1495"/>
      <c r="D4754" s="1561" t="s">
        <v>1980</v>
      </c>
      <c r="E4754" s="1590" t="s">
        <v>3378</v>
      </c>
      <c r="F4754" s="1574">
        <v>2239</v>
      </c>
      <c r="G4754" s="1583" t="s">
        <v>1295</v>
      </c>
      <c r="H4754" s="1549"/>
      <c r="I4754" s="1549">
        <v>2100</v>
      </c>
      <c r="J4754" s="1549"/>
      <c r="K4754" s="1551"/>
      <c r="L4754" s="1581"/>
      <c r="M4754" s="1591">
        <v>1988</v>
      </c>
      <c r="N4754" s="305"/>
    </row>
    <row r="4755" spans="1:14">
      <c r="A4755" s="1495"/>
      <c r="B4755" s="3138" t="s">
        <v>365</v>
      </c>
      <c r="C4755" s="1495"/>
      <c r="D4755" s="1561" t="s">
        <v>1980</v>
      </c>
      <c r="E4755" s="1590" t="s">
        <v>3378</v>
      </c>
      <c r="F4755" s="1574">
        <v>2239</v>
      </c>
      <c r="G4755" s="1583" t="s">
        <v>319</v>
      </c>
      <c r="H4755" s="1549"/>
      <c r="I4755" s="1549"/>
      <c r="J4755" s="1549"/>
      <c r="K4755" s="1551"/>
      <c r="L4755" s="1581"/>
      <c r="M4755" s="1591">
        <v>231</v>
      </c>
      <c r="N4755" s="305"/>
    </row>
    <row r="4756" spans="1:14">
      <c r="A4756" s="1495"/>
      <c r="B4756" s="3138" t="s">
        <v>365</v>
      </c>
      <c r="C4756" s="1495"/>
      <c r="D4756" s="1561" t="s">
        <v>1980</v>
      </c>
      <c r="E4756" s="1590" t="s">
        <v>3378</v>
      </c>
      <c r="F4756" s="1574">
        <v>2239</v>
      </c>
      <c r="G4756" s="1583" t="s">
        <v>5219</v>
      </c>
      <c r="H4756" s="1549"/>
      <c r="I4756" s="1549"/>
      <c r="J4756" s="1549"/>
      <c r="K4756" s="1551"/>
      <c r="L4756" s="1581"/>
      <c r="M4756" s="1591">
        <v>-231</v>
      </c>
      <c r="N4756" s="305"/>
    </row>
    <row r="4757" spans="1:14">
      <c r="A4757" s="683"/>
      <c r="B4757" s="3129" t="s">
        <v>436</v>
      </c>
      <c r="C4757" s="683" t="s">
        <v>427</v>
      </c>
      <c r="D4757" s="719" t="s">
        <v>1980</v>
      </c>
      <c r="E4757" s="1415" t="s">
        <v>1922</v>
      </c>
      <c r="F4757" s="1698">
        <v>1119</v>
      </c>
      <c r="G4757" s="1691" t="s">
        <v>235</v>
      </c>
      <c r="H4757" s="1966">
        <v>667928.32512000017</v>
      </c>
      <c r="I4757" s="1966"/>
      <c r="J4757" s="1684">
        <v>498739</v>
      </c>
      <c r="K4757" s="2122"/>
      <c r="L4757" s="1966">
        <v>720614.39999999921</v>
      </c>
      <c r="M4757" s="1966"/>
      <c r="N4757" s="1056" t="s">
        <v>3951</v>
      </c>
    </row>
    <row r="4758" spans="1:14" ht="45" customHeight="1">
      <c r="A4758" s="663"/>
      <c r="B4758" s="3130" t="s">
        <v>436</v>
      </c>
      <c r="C4758" s="663" t="s">
        <v>427</v>
      </c>
      <c r="D4758" s="678" t="s">
        <v>1980</v>
      </c>
      <c r="E4758" s="1407" t="s">
        <v>1922</v>
      </c>
      <c r="F4758" s="1413">
        <v>1119</v>
      </c>
      <c r="G4758" s="2504" t="s">
        <v>436</v>
      </c>
      <c r="H4758" s="1970"/>
      <c r="I4758" s="1970">
        <v>667928.32512000017</v>
      </c>
      <c r="J4758" s="1684" t="s">
        <v>1134</v>
      </c>
      <c r="K4758" s="2505"/>
      <c r="L4758" s="1970"/>
      <c r="M4758" s="1970">
        <v>720614.39999999921</v>
      </c>
      <c r="N4758" s="305"/>
    </row>
    <row r="4759" spans="1:14">
      <c r="A4759" s="663"/>
      <c r="B4759" s="3130" t="s">
        <v>436</v>
      </c>
      <c r="C4759" s="663" t="s">
        <v>427</v>
      </c>
      <c r="D4759" s="678" t="s">
        <v>1980</v>
      </c>
      <c r="E4759" s="1407" t="s">
        <v>1922</v>
      </c>
      <c r="F4759" s="1413">
        <v>1119</v>
      </c>
      <c r="G4759" s="2504"/>
      <c r="H4759" s="1970"/>
      <c r="I4759" s="1970"/>
      <c r="J4759" s="1684" t="s">
        <v>1134</v>
      </c>
      <c r="K4759" s="2505"/>
      <c r="L4759" s="1970"/>
      <c r="M4759" s="1970"/>
      <c r="N4759" s="305"/>
    </row>
    <row r="4760" spans="1:14">
      <c r="A4760" s="1406"/>
      <c r="B4760" s="3129" t="s">
        <v>326</v>
      </c>
      <c r="C4760" s="1406" t="s">
        <v>321</v>
      </c>
      <c r="D4760" s="1678" t="s">
        <v>1980</v>
      </c>
      <c r="E4760" s="1406" t="s">
        <v>1923</v>
      </c>
      <c r="F4760" s="1698">
        <v>1119</v>
      </c>
      <c r="G4760" s="1691" t="s">
        <v>226</v>
      </c>
      <c r="H4760" s="2508">
        <v>197514</v>
      </c>
      <c r="I4760" s="1966"/>
      <c r="J4760" s="1684">
        <v>159131</v>
      </c>
      <c r="K4760" s="2122"/>
      <c r="L4760" s="2508">
        <v>157441.40000000002</v>
      </c>
      <c r="M4760" s="1966"/>
      <c r="N4760" s="305"/>
    </row>
    <row r="4761" spans="1:14">
      <c r="A4761" s="1407"/>
      <c r="B4761" s="3130" t="s">
        <v>326</v>
      </c>
      <c r="C4761" s="1407" t="s">
        <v>321</v>
      </c>
      <c r="D4761" s="1679" t="s">
        <v>1980</v>
      </c>
      <c r="E4761" s="1407" t="s">
        <v>1923</v>
      </c>
      <c r="F4761" s="1413">
        <v>1119</v>
      </c>
      <c r="G4761" s="2504" t="s">
        <v>436</v>
      </c>
      <c r="H4761" s="1970"/>
      <c r="I4761" s="1970">
        <v>178468.52000000002</v>
      </c>
      <c r="J4761" s="1684" t="s">
        <v>1134</v>
      </c>
      <c r="K4761" s="2505"/>
      <c r="L4761" s="1970"/>
      <c r="M4761" s="1970">
        <v>154462.40000000002</v>
      </c>
      <c r="N4761" s="305"/>
    </row>
    <row r="4762" spans="1:14">
      <c r="A4762" s="1407"/>
      <c r="B4762" s="3130" t="s">
        <v>326</v>
      </c>
      <c r="C4762" s="1407" t="s">
        <v>321</v>
      </c>
      <c r="D4762" s="1679" t="s">
        <v>1980</v>
      </c>
      <c r="E4762" s="1407" t="s">
        <v>1923</v>
      </c>
      <c r="F4762" s="1413">
        <v>1119</v>
      </c>
      <c r="G4762" s="1803" t="s">
        <v>2874</v>
      </c>
      <c r="H4762" s="1970"/>
      <c r="I4762" s="1970">
        <v>18203.479999999981</v>
      </c>
      <c r="J4762" s="1684" t="s">
        <v>1134</v>
      </c>
      <c r="K4762" s="2505"/>
      <c r="L4762" s="1970"/>
      <c r="M4762" s="2509"/>
      <c r="N4762" s="305"/>
    </row>
    <row r="4763" spans="1:14">
      <c r="A4763" s="1407"/>
      <c r="B4763" s="3130" t="s">
        <v>326</v>
      </c>
      <c r="C4763" s="1407" t="s">
        <v>321</v>
      </c>
      <c r="D4763" s="1679" t="s">
        <v>1980</v>
      </c>
      <c r="E4763" s="1407" t="s">
        <v>1923</v>
      </c>
      <c r="F4763" s="1413">
        <v>1119</v>
      </c>
      <c r="G4763" s="2504" t="s">
        <v>1296</v>
      </c>
      <c r="H4763" s="1970"/>
      <c r="I4763" s="1970">
        <v>842</v>
      </c>
      <c r="J4763" s="1684" t="s">
        <v>1134</v>
      </c>
      <c r="K4763" s="2505"/>
      <c r="L4763" s="1970"/>
      <c r="M4763" s="1970">
        <v>2979</v>
      </c>
      <c r="N4763" s="305"/>
    </row>
    <row r="4764" spans="1:14" ht="20.399999999999999" customHeight="1">
      <c r="A4764" s="683"/>
      <c r="B4764" s="3129" t="s">
        <v>436</v>
      </c>
      <c r="C4764" s="683" t="s">
        <v>427</v>
      </c>
      <c r="D4764" s="719" t="s">
        <v>1980</v>
      </c>
      <c r="E4764" s="1406" t="s">
        <v>1922</v>
      </c>
      <c r="F4764" s="1698">
        <v>1141</v>
      </c>
      <c r="G4764" s="1691" t="s">
        <v>586</v>
      </c>
      <c r="H4764" s="1966">
        <v>2000</v>
      </c>
      <c r="I4764" s="1966"/>
      <c r="J4764" s="1684" t="s">
        <v>1134</v>
      </c>
      <c r="K4764" s="2122"/>
      <c r="L4764" s="1966">
        <v>0</v>
      </c>
      <c r="M4764" s="1966"/>
      <c r="N4764" s="305"/>
    </row>
    <row r="4765" spans="1:14" ht="33.75" customHeight="1">
      <c r="A4765" s="663"/>
      <c r="B4765" s="3130" t="s">
        <v>436</v>
      </c>
      <c r="C4765" s="663" t="s">
        <v>427</v>
      </c>
      <c r="D4765" s="678" t="s">
        <v>1980</v>
      </c>
      <c r="E4765" s="1407" t="s">
        <v>1922</v>
      </c>
      <c r="F4765" s="1413">
        <v>1141</v>
      </c>
      <c r="G4765" s="1803"/>
      <c r="H4765" s="1970"/>
      <c r="I4765" s="1970">
        <v>2000</v>
      </c>
      <c r="J4765" s="1684" t="s">
        <v>1134</v>
      </c>
      <c r="K4765" s="2505"/>
      <c r="L4765" s="1970"/>
      <c r="M4765" s="1970"/>
      <c r="N4765" s="305"/>
    </row>
    <row r="4766" spans="1:14" ht="20.399999999999999">
      <c r="A4766" s="683"/>
      <c r="B4766" s="3129" t="s">
        <v>436</v>
      </c>
      <c r="C4766" s="683" t="s">
        <v>427</v>
      </c>
      <c r="D4766" s="719" t="s">
        <v>1980</v>
      </c>
      <c r="E4766" s="1406" t="s">
        <v>1922</v>
      </c>
      <c r="F4766" s="1698">
        <v>1142</v>
      </c>
      <c r="G4766" s="1691" t="s">
        <v>110</v>
      </c>
      <c r="H4766" s="1966">
        <v>3000</v>
      </c>
      <c r="I4766" s="1966"/>
      <c r="J4766" s="1684">
        <v>2477</v>
      </c>
      <c r="K4766" s="2122"/>
      <c r="L4766" s="1966">
        <v>0</v>
      </c>
      <c r="M4766" s="1966"/>
      <c r="N4766" s="305"/>
    </row>
    <row r="4767" spans="1:14" ht="20.399999999999999">
      <c r="A4767" s="663"/>
      <c r="B4767" s="3130" t="s">
        <v>436</v>
      </c>
      <c r="C4767" s="663" t="s">
        <v>427</v>
      </c>
      <c r="D4767" s="678" t="s">
        <v>1980</v>
      </c>
      <c r="E4767" s="1407" t="s">
        <v>1922</v>
      </c>
      <c r="F4767" s="1413">
        <v>1142</v>
      </c>
      <c r="G4767" s="1803" t="s">
        <v>1994</v>
      </c>
      <c r="H4767" s="1970"/>
      <c r="I4767" s="1970">
        <v>1000</v>
      </c>
      <c r="J4767" s="1684" t="s">
        <v>1134</v>
      </c>
      <c r="K4767" s="2505"/>
      <c r="L4767" s="1970"/>
      <c r="M4767" s="1970"/>
      <c r="N4767" s="305"/>
    </row>
    <row r="4768" spans="1:14" ht="33.75" customHeight="1">
      <c r="A4768" s="663"/>
      <c r="B4768" s="3130" t="s">
        <v>436</v>
      </c>
      <c r="C4768" s="663" t="s">
        <v>427</v>
      </c>
      <c r="D4768" s="678" t="s">
        <v>1980</v>
      </c>
      <c r="E4768" s="1407" t="s">
        <v>1922</v>
      </c>
      <c r="F4768" s="1413">
        <v>1142</v>
      </c>
      <c r="G4768" s="1803" t="s">
        <v>1995</v>
      </c>
      <c r="H4768" s="1970"/>
      <c r="I4768" s="1970">
        <v>2000</v>
      </c>
      <c r="J4768" s="1684" t="s">
        <v>1134</v>
      </c>
      <c r="K4768" s="2505"/>
      <c r="L4768" s="1970"/>
      <c r="M4768" s="1970"/>
      <c r="N4768" s="305"/>
    </row>
    <row r="4769" spans="1:14" ht="20.399999999999999">
      <c r="A4769" s="683"/>
      <c r="B4769" s="3129" t="s">
        <v>436</v>
      </c>
      <c r="C4769" s="683" t="s">
        <v>427</v>
      </c>
      <c r="D4769" s="719" t="s">
        <v>1980</v>
      </c>
      <c r="E4769" s="1406" t="s">
        <v>1922</v>
      </c>
      <c r="F4769" s="1698">
        <v>1145</v>
      </c>
      <c r="G4769" s="1691" t="s">
        <v>1016</v>
      </c>
      <c r="H4769" s="1966">
        <v>800</v>
      </c>
      <c r="I4769" s="1966"/>
      <c r="J4769" s="1684">
        <v>371.48</v>
      </c>
      <c r="K4769" s="2505"/>
      <c r="L4769" s="1966">
        <v>0</v>
      </c>
      <c r="M4769" s="1966"/>
      <c r="N4769" s="305"/>
    </row>
    <row r="4770" spans="1:14" ht="20.399999999999999">
      <c r="A4770" s="663"/>
      <c r="B4770" s="3130" t="s">
        <v>436</v>
      </c>
      <c r="C4770" s="663" t="s">
        <v>427</v>
      </c>
      <c r="D4770" s="678" t="s">
        <v>1980</v>
      </c>
      <c r="E4770" s="1407" t="s">
        <v>1922</v>
      </c>
      <c r="F4770" s="1413">
        <v>1145</v>
      </c>
      <c r="G4770" s="1803" t="s">
        <v>1996</v>
      </c>
      <c r="H4770" s="1970"/>
      <c r="I4770" s="1970">
        <v>300</v>
      </c>
      <c r="J4770" s="1684" t="s">
        <v>1134</v>
      </c>
      <c r="K4770" s="2505"/>
      <c r="L4770" s="1970"/>
      <c r="M4770" s="1970"/>
      <c r="N4770" s="305"/>
    </row>
    <row r="4771" spans="1:14" ht="20.399999999999999">
      <c r="A4771" s="603"/>
      <c r="B4771" s="3130" t="s">
        <v>436</v>
      </c>
      <c r="C4771" s="663" t="s">
        <v>427</v>
      </c>
      <c r="D4771" s="678" t="s">
        <v>1980</v>
      </c>
      <c r="E4771" s="1407" t="s">
        <v>1922</v>
      </c>
      <c r="F4771" s="1413">
        <v>1145</v>
      </c>
      <c r="G4771" s="2165" t="s">
        <v>3172</v>
      </c>
      <c r="H4771" s="2510"/>
      <c r="I4771" s="2510">
        <v>500</v>
      </c>
      <c r="J4771" s="1684" t="s">
        <v>1134</v>
      </c>
      <c r="K4771" s="2511"/>
      <c r="L4771" s="2510"/>
      <c r="M4771" s="2510"/>
      <c r="N4771" s="305"/>
    </row>
    <row r="4772" spans="1:14" ht="20.399999999999999">
      <c r="A4772" s="683"/>
      <c r="B4772" s="3129" t="s">
        <v>436</v>
      </c>
      <c r="C4772" s="683" t="s">
        <v>427</v>
      </c>
      <c r="D4772" s="719" t="s">
        <v>1980</v>
      </c>
      <c r="E4772" s="1406" t="s">
        <v>1922</v>
      </c>
      <c r="F4772" s="1698">
        <v>1146</v>
      </c>
      <c r="G4772" s="1691" t="s">
        <v>579</v>
      </c>
      <c r="H4772" s="1966">
        <v>27500</v>
      </c>
      <c r="I4772" s="1966"/>
      <c r="J4772" s="1684">
        <v>0</v>
      </c>
      <c r="K4772" s="2505"/>
      <c r="L4772" s="1966">
        <v>0</v>
      </c>
      <c r="M4772" s="1966"/>
      <c r="N4772" s="305"/>
    </row>
    <row r="4773" spans="1:14" ht="33.75" customHeight="1">
      <c r="A4773" s="663"/>
      <c r="B4773" s="3130" t="s">
        <v>436</v>
      </c>
      <c r="C4773" s="663" t="s">
        <v>427</v>
      </c>
      <c r="D4773" s="678" t="s">
        <v>1980</v>
      </c>
      <c r="E4773" s="1407" t="s">
        <v>1922</v>
      </c>
      <c r="F4773" s="1413">
        <v>1146</v>
      </c>
      <c r="G4773" s="2504"/>
      <c r="H4773" s="1970"/>
      <c r="I4773" s="1970">
        <v>28000</v>
      </c>
      <c r="J4773" s="1684" t="s">
        <v>1134</v>
      </c>
      <c r="K4773" s="2505"/>
      <c r="L4773" s="1970"/>
      <c r="M4773" s="1970"/>
      <c r="N4773" s="305"/>
    </row>
    <row r="4774" spans="1:14" ht="20.399999999999999">
      <c r="A4774" s="663"/>
      <c r="B4774" s="3130" t="s">
        <v>436</v>
      </c>
      <c r="C4774" s="663" t="s">
        <v>427</v>
      </c>
      <c r="D4774" s="678" t="s">
        <v>1980</v>
      </c>
      <c r="E4774" s="1407" t="s">
        <v>1922</v>
      </c>
      <c r="F4774" s="1413">
        <v>1146</v>
      </c>
      <c r="G4774" s="2165" t="s">
        <v>3172</v>
      </c>
      <c r="H4774" s="1970"/>
      <c r="I4774" s="1970">
        <v>-500</v>
      </c>
      <c r="J4774" s="1684" t="s">
        <v>1134</v>
      </c>
      <c r="K4774" s="2505"/>
      <c r="L4774" s="1970"/>
      <c r="M4774" s="1970"/>
      <c r="N4774" s="305"/>
    </row>
    <row r="4775" spans="1:14" ht="20.399999999999999">
      <c r="A4775" s="683"/>
      <c r="B4775" s="3129" t="s">
        <v>326</v>
      </c>
      <c r="C4775" s="683" t="s">
        <v>321</v>
      </c>
      <c r="D4775" s="719" t="s">
        <v>1980</v>
      </c>
      <c r="E4775" s="1406" t="s">
        <v>1923</v>
      </c>
      <c r="F4775" s="1698">
        <v>1146</v>
      </c>
      <c r="G4775" s="1691" t="s">
        <v>579</v>
      </c>
      <c r="H4775" s="2508">
        <v>500</v>
      </c>
      <c r="I4775" s="1966"/>
      <c r="J4775" s="1684">
        <v>0</v>
      </c>
      <c r="K4775" s="2505"/>
      <c r="L4775" s="2508">
        <v>500</v>
      </c>
      <c r="M4775" s="1966"/>
      <c r="N4775" s="305"/>
    </row>
    <row r="4776" spans="1:14">
      <c r="A4776" s="663"/>
      <c r="B4776" s="3130" t="s">
        <v>326</v>
      </c>
      <c r="C4776" s="663" t="s">
        <v>321</v>
      </c>
      <c r="D4776" s="678" t="s">
        <v>1980</v>
      </c>
      <c r="E4776" s="1407" t="s">
        <v>1923</v>
      </c>
      <c r="F4776" s="1413">
        <v>1146</v>
      </c>
      <c r="G4776" s="1803"/>
      <c r="H4776" s="1970"/>
      <c r="I4776" s="1970">
        <v>500</v>
      </c>
      <c r="J4776" s="1684" t="s">
        <v>1134</v>
      </c>
      <c r="K4776" s="2505"/>
      <c r="L4776" s="1970"/>
      <c r="M4776" s="1970">
        <v>500</v>
      </c>
      <c r="N4776" s="305"/>
    </row>
    <row r="4777" spans="1:14">
      <c r="A4777" s="683"/>
      <c r="B4777" s="3129" t="s">
        <v>326</v>
      </c>
      <c r="C4777" s="683" t="s">
        <v>321</v>
      </c>
      <c r="D4777" s="719" t="s">
        <v>1980</v>
      </c>
      <c r="E4777" s="1406" t="s">
        <v>1923</v>
      </c>
      <c r="F4777" s="1698">
        <v>1147</v>
      </c>
      <c r="G4777" s="1691" t="s">
        <v>582</v>
      </c>
      <c r="H4777" s="2508">
        <v>15251</v>
      </c>
      <c r="I4777" s="1966"/>
      <c r="J4777" s="1684">
        <v>13222</v>
      </c>
      <c r="K4777" s="2505"/>
      <c r="L4777" s="2508">
        <v>15251</v>
      </c>
      <c r="M4777" s="1966"/>
      <c r="N4777" s="305"/>
    </row>
    <row r="4778" spans="1:14">
      <c r="A4778" s="663"/>
      <c r="B4778" s="3130" t="s">
        <v>326</v>
      </c>
      <c r="C4778" s="663" t="s">
        <v>321</v>
      </c>
      <c r="D4778" s="678" t="s">
        <v>1980</v>
      </c>
      <c r="E4778" s="1407" t="s">
        <v>1923</v>
      </c>
      <c r="F4778" s="1413">
        <v>1147</v>
      </c>
      <c r="G4778" s="1803"/>
      <c r="H4778" s="1970"/>
      <c r="I4778" s="1970">
        <v>15251</v>
      </c>
      <c r="J4778" s="1684" t="s">
        <v>1134</v>
      </c>
      <c r="K4778" s="2505"/>
      <c r="L4778" s="1970"/>
      <c r="M4778" s="1970">
        <v>15251</v>
      </c>
      <c r="N4778" s="305"/>
    </row>
    <row r="4779" spans="1:14">
      <c r="A4779" s="683"/>
      <c r="B4779" s="3129" t="s">
        <v>436</v>
      </c>
      <c r="C4779" s="683" t="s">
        <v>427</v>
      </c>
      <c r="D4779" s="719" t="s">
        <v>1980</v>
      </c>
      <c r="E4779" s="1406" t="s">
        <v>1922</v>
      </c>
      <c r="F4779" s="1698">
        <v>1147</v>
      </c>
      <c r="G4779" s="1691" t="s">
        <v>367</v>
      </c>
      <c r="H4779" s="1966">
        <v>107201.14005984011</v>
      </c>
      <c r="I4779" s="1966"/>
      <c r="J4779" s="1684">
        <v>89870</v>
      </c>
      <c r="K4779" s="2505"/>
      <c r="L4779" s="1966">
        <v>129590.19682800001</v>
      </c>
      <c r="M4779" s="1966"/>
      <c r="N4779" s="305"/>
    </row>
    <row r="4780" spans="1:14">
      <c r="A4780" s="663" t="s">
        <v>847</v>
      </c>
      <c r="B4780" s="3130" t="s">
        <v>436</v>
      </c>
      <c r="C4780" s="663" t="s">
        <v>427</v>
      </c>
      <c r="D4780" s="678" t="s">
        <v>1980</v>
      </c>
      <c r="E4780" s="1407" t="s">
        <v>1922</v>
      </c>
      <c r="F4780" s="1413">
        <v>1147</v>
      </c>
      <c r="G4780" s="2504" t="s">
        <v>436</v>
      </c>
      <c r="H4780" s="1970"/>
      <c r="I4780" s="1970">
        <v>34661.088384000097</v>
      </c>
      <c r="J4780" s="1684" t="s">
        <v>1134</v>
      </c>
      <c r="K4780" s="2505"/>
      <c r="L4780" s="1970"/>
      <c r="M4780" s="1970">
        <v>61439.258699999991</v>
      </c>
      <c r="N4780" s="305"/>
    </row>
    <row r="4781" spans="1:14">
      <c r="A4781" s="663"/>
      <c r="B4781" s="3130" t="s">
        <v>436</v>
      </c>
      <c r="C4781" s="663" t="s">
        <v>427</v>
      </c>
      <c r="D4781" s="678" t="s">
        <v>1980</v>
      </c>
      <c r="E4781" s="1407" t="s">
        <v>1922</v>
      </c>
      <c r="F4781" s="1413">
        <v>1147</v>
      </c>
      <c r="G4781" s="2504" t="s">
        <v>1209</v>
      </c>
      <c r="H4781" s="1970"/>
      <c r="I4781" s="1970">
        <v>75540.051675840004</v>
      </c>
      <c r="J4781" s="1684" t="s">
        <v>1134</v>
      </c>
      <c r="K4781" s="2505"/>
      <c r="L4781" s="1970"/>
      <c r="M4781" s="1970">
        <v>68150.938128000023</v>
      </c>
      <c r="N4781" s="305"/>
    </row>
    <row r="4782" spans="1:14" ht="20.399999999999999">
      <c r="A4782" s="663"/>
      <c r="B4782" s="3130" t="s">
        <v>436</v>
      </c>
      <c r="C4782" s="663" t="s">
        <v>427</v>
      </c>
      <c r="D4782" s="678" t="s">
        <v>1980</v>
      </c>
      <c r="E4782" s="1407" t="s">
        <v>1922</v>
      </c>
      <c r="F4782" s="1413">
        <v>1147</v>
      </c>
      <c r="G4782" s="1803" t="s">
        <v>3106</v>
      </c>
      <c r="H4782" s="1970"/>
      <c r="I4782" s="1970">
        <v>-1000</v>
      </c>
      <c r="J4782" s="1684" t="s">
        <v>1134</v>
      </c>
      <c r="K4782" s="2505"/>
      <c r="L4782" s="1970"/>
      <c r="M4782" s="1970"/>
      <c r="N4782" s="305"/>
    </row>
    <row r="4783" spans="1:14">
      <c r="A4783" s="683"/>
      <c r="B4783" s="3129" t="s">
        <v>326</v>
      </c>
      <c r="C4783" s="683" t="s">
        <v>321</v>
      </c>
      <c r="D4783" s="719" t="s">
        <v>1980</v>
      </c>
      <c r="E4783" s="1406" t="s">
        <v>1923</v>
      </c>
      <c r="F4783" s="1698">
        <v>1148</v>
      </c>
      <c r="G4783" s="1691" t="s">
        <v>112</v>
      </c>
      <c r="H4783" s="2508">
        <v>0</v>
      </c>
      <c r="I4783" s="1966"/>
      <c r="J4783" s="1684" t="s">
        <v>1134</v>
      </c>
      <c r="K4783" s="2505"/>
      <c r="L4783" s="2508">
        <v>0</v>
      </c>
      <c r="M4783" s="1966"/>
      <c r="N4783" s="305"/>
    </row>
    <row r="4784" spans="1:14">
      <c r="A4784" s="663"/>
      <c r="B4784" s="3130" t="s">
        <v>326</v>
      </c>
      <c r="C4784" s="663" t="s">
        <v>321</v>
      </c>
      <c r="D4784" s="678" t="s">
        <v>1980</v>
      </c>
      <c r="E4784" s="1407" t="s">
        <v>1923</v>
      </c>
      <c r="F4784" s="1413">
        <v>1148</v>
      </c>
      <c r="G4784" s="818"/>
      <c r="H4784" s="1970"/>
      <c r="I4784" s="1970"/>
      <c r="J4784" s="1684" t="s">
        <v>1134</v>
      </c>
      <c r="K4784" s="2505"/>
      <c r="L4784" s="1970"/>
      <c r="M4784" s="1970"/>
      <c r="N4784" s="305"/>
    </row>
    <row r="4785" spans="1:32" ht="33.75" customHeight="1">
      <c r="A4785" s="1495"/>
      <c r="B4785" s="3130" t="s">
        <v>436</v>
      </c>
      <c r="C4785" s="663" t="s">
        <v>427</v>
      </c>
      <c r="D4785" s="678" t="s">
        <v>1980</v>
      </c>
      <c r="E4785" s="1407" t="s">
        <v>1922</v>
      </c>
      <c r="F4785" s="1413">
        <v>1147</v>
      </c>
      <c r="G4785" s="1803" t="s">
        <v>3284</v>
      </c>
      <c r="H4785" s="2512"/>
      <c r="I4785" s="2512">
        <v>-2000</v>
      </c>
      <c r="J4785" s="1806"/>
      <c r="K4785" s="2513"/>
      <c r="L4785" s="2512"/>
      <c r="M4785" s="2512"/>
      <c r="N4785" s="305"/>
    </row>
    <row r="4786" spans="1:32">
      <c r="A4786" s="683"/>
      <c r="B4786" s="3129" t="s">
        <v>436</v>
      </c>
      <c r="C4786" s="683" t="s">
        <v>427</v>
      </c>
      <c r="D4786" s="719" t="s">
        <v>1980</v>
      </c>
      <c r="E4786" s="1406" t="s">
        <v>1922</v>
      </c>
      <c r="F4786" s="1698">
        <v>1148</v>
      </c>
      <c r="G4786" s="1691" t="s">
        <v>112</v>
      </c>
      <c r="H4786" s="1966">
        <v>2000</v>
      </c>
      <c r="I4786" s="1966"/>
      <c r="J4786" s="1684">
        <v>29751</v>
      </c>
      <c r="K4786" s="2505"/>
      <c r="L4786" s="1966">
        <v>2000</v>
      </c>
      <c r="M4786" s="1966"/>
      <c r="N4786" s="305"/>
    </row>
    <row r="4787" spans="1:32" ht="20.399999999999999">
      <c r="A4787" s="663"/>
      <c r="B4787" s="3130" t="s">
        <v>436</v>
      </c>
      <c r="C4787" s="663" t="s">
        <v>427</v>
      </c>
      <c r="D4787" s="678" t="s">
        <v>1980</v>
      </c>
      <c r="E4787" s="1407" t="s">
        <v>1922</v>
      </c>
      <c r="F4787" s="1413">
        <v>1148</v>
      </c>
      <c r="G4787" s="2504" t="s">
        <v>1019</v>
      </c>
      <c r="H4787" s="1970"/>
      <c r="I4787" s="1970">
        <v>2000</v>
      </c>
      <c r="J4787" s="1684" t="s">
        <v>1134</v>
      </c>
      <c r="K4787" s="2505"/>
      <c r="L4787" s="1970"/>
      <c r="M4787" s="1970">
        <v>2000</v>
      </c>
      <c r="N4787" s="305"/>
    </row>
    <row r="4788" spans="1:32" ht="33.75" customHeight="1">
      <c r="A4788" s="1182"/>
      <c r="B4788" s="3130" t="s">
        <v>436</v>
      </c>
      <c r="C4788" s="663" t="s">
        <v>427</v>
      </c>
      <c r="D4788" s="678" t="s">
        <v>1980</v>
      </c>
      <c r="E4788" s="1407" t="s">
        <v>1922</v>
      </c>
      <c r="F4788" s="1413">
        <v>1148</v>
      </c>
      <c r="G4788" s="2506" t="s">
        <v>2755</v>
      </c>
      <c r="H4788" s="1972"/>
      <c r="I4788" s="1972"/>
      <c r="J4788" s="1684" t="s">
        <v>1134</v>
      </c>
      <c r="K4788" s="2507"/>
      <c r="L4788" s="1972"/>
      <c r="M4788" s="1972"/>
      <c r="N4788" s="305"/>
    </row>
    <row r="4789" spans="1:32" ht="51">
      <c r="A4789" s="683"/>
      <c r="B4789" s="3129" t="s">
        <v>772</v>
      </c>
      <c r="C4789" s="683" t="s">
        <v>322</v>
      </c>
      <c r="D4789" s="719" t="s">
        <v>1980</v>
      </c>
      <c r="E4789" s="720" t="s">
        <v>1922</v>
      </c>
      <c r="F4789" s="824">
        <v>1150</v>
      </c>
      <c r="G4789" s="800" t="s">
        <v>723</v>
      </c>
      <c r="H4789" s="893">
        <v>600</v>
      </c>
      <c r="I4789" s="893"/>
      <c r="J4789" s="1654">
        <v>0</v>
      </c>
      <c r="K4789" s="1252"/>
      <c r="L4789" s="893">
        <v>600</v>
      </c>
      <c r="M4789" s="893"/>
      <c r="N4789" s="305"/>
    </row>
    <row r="4790" spans="1:32" ht="61.2">
      <c r="A4790" s="663"/>
      <c r="B4790" s="3130" t="s">
        <v>772</v>
      </c>
      <c r="C4790" s="663" t="s">
        <v>322</v>
      </c>
      <c r="D4790" s="678" t="s">
        <v>1980</v>
      </c>
      <c r="E4790" s="700" t="s">
        <v>1922</v>
      </c>
      <c r="F4790" s="795">
        <v>1150</v>
      </c>
      <c r="G4790" s="750" t="s">
        <v>911</v>
      </c>
      <c r="H4790" s="752"/>
      <c r="I4790" s="752">
        <v>600</v>
      </c>
      <c r="J4790" s="1654" t="s">
        <v>1134</v>
      </c>
      <c r="K4790" s="1252"/>
      <c r="L4790" s="752"/>
      <c r="M4790" s="1991">
        <v>600</v>
      </c>
      <c r="N4790" s="305"/>
    </row>
    <row r="4791" spans="1:32" ht="45" customHeight="1">
      <c r="A4791" s="683"/>
      <c r="B4791" s="3129" t="s">
        <v>436</v>
      </c>
      <c r="C4791" s="683" t="s">
        <v>427</v>
      </c>
      <c r="D4791" s="719" t="s">
        <v>1980</v>
      </c>
      <c r="E4791" s="1406" t="s">
        <v>1922</v>
      </c>
      <c r="F4791" s="1698">
        <v>1210</v>
      </c>
      <c r="G4791" s="1691" t="s">
        <v>113</v>
      </c>
      <c r="H4791" s="1966">
        <v>196050.33169110486</v>
      </c>
      <c r="I4791" s="1966"/>
      <c r="J4791" s="1684">
        <v>148649</v>
      </c>
      <c r="K4791" s="2122"/>
      <c r="L4791" s="1966">
        <v>206713.30027254228</v>
      </c>
      <c r="M4791" s="1966"/>
      <c r="N4791" s="305"/>
    </row>
    <row r="4792" spans="1:32">
      <c r="A4792" s="663"/>
      <c r="B4792" s="3130" t="s">
        <v>436</v>
      </c>
      <c r="C4792" s="663" t="s">
        <v>427</v>
      </c>
      <c r="D4792" s="678" t="s">
        <v>1980</v>
      </c>
      <c r="E4792" s="1407" t="s">
        <v>1922</v>
      </c>
      <c r="F4792" s="1413">
        <v>1210</v>
      </c>
      <c r="G4792" s="1803"/>
      <c r="H4792" s="1970"/>
      <c r="I4792" s="1970">
        <v>196050.33169110486</v>
      </c>
      <c r="J4792" s="1684" t="s">
        <v>1134</v>
      </c>
      <c r="K4792" s="2505"/>
      <c r="L4792" s="1970"/>
      <c r="M4792" s="1970">
        <v>206713.30027254228</v>
      </c>
      <c r="N4792" s="305"/>
    </row>
    <row r="4793" spans="1:32" ht="33.75" customHeight="1">
      <c r="A4793" s="663"/>
      <c r="B4793" s="3130" t="s">
        <v>436</v>
      </c>
      <c r="C4793" s="663" t="s">
        <v>427</v>
      </c>
      <c r="D4793" s="678" t="s">
        <v>1980</v>
      </c>
      <c r="E4793" s="1407" t="s">
        <v>1922</v>
      </c>
      <c r="F4793" s="1413">
        <v>1210</v>
      </c>
      <c r="G4793" s="2504"/>
      <c r="H4793" s="1970"/>
      <c r="I4793" s="1970"/>
      <c r="J4793" s="1684" t="s">
        <v>1134</v>
      </c>
      <c r="K4793" s="2505"/>
      <c r="L4793" s="1970"/>
      <c r="M4793" s="1970"/>
      <c r="N4793" s="305"/>
    </row>
    <row r="4794" spans="1:32">
      <c r="A4794" s="683"/>
      <c r="B4794" s="3129" t="s">
        <v>326</v>
      </c>
      <c r="C4794" s="720" t="s">
        <v>321</v>
      </c>
      <c r="D4794" s="823" t="s">
        <v>1980</v>
      </c>
      <c r="E4794" s="1406" t="s">
        <v>1923</v>
      </c>
      <c r="F4794" s="1698">
        <v>1210</v>
      </c>
      <c r="G4794" s="1691" t="s">
        <v>204</v>
      </c>
      <c r="H4794" s="2122">
        <v>42884</v>
      </c>
      <c r="I4794" s="1966"/>
      <c r="J4794" s="1684">
        <v>41320</v>
      </c>
      <c r="K4794" s="2122"/>
      <c r="L4794" s="2508">
        <v>34153.341060000006</v>
      </c>
      <c r="M4794" s="1966"/>
      <c r="N4794" s="305"/>
    </row>
    <row r="4795" spans="1:32">
      <c r="A4795" s="663"/>
      <c r="B4795" s="3130" t="s">
        <v>326</v>
      </c>
      <c r="C4795" s="700" t="s">
        <v>321</v>
      </c>
      <c r="D4795" s="794" t="s">
        <v>1980</v>
      </c>
      <c r="E4795" s="1407" t="s">
        <v>1923</v>
      </c>
      <c r="F4795" s="1413">
        <v>1210</v>
      </c>
      <c r="G4795" s="1803"/>
      <c r="H4795" s="1970"/>
      <c r="I4795" s="1970">
        <v>44803.384768000004</v>
      </c>
      <c r="J4795" s="1684" t="s">
        <v>1134</v>
      </c>
      <c r="K4795" s="2122"/>
      <c r="L4795" s="1970"/>
      <c r="M4795" s="1970">
        <v>34153.341060000006</v>
      </c>
      <c r="N4795" s="305"/>
    </row>
    <row r="4796" spans="1:32">
      <c r="A4796" s="663"/>
      <c r="B4796" s="3130" t="s">
        <v>326</v>
      </c>
      <c r="C4796" s="700" t="s">
        <v>321</v>
      </c>
      <c r="D4796" s="794" t="s">
        <v>1980</v>
      </c>
      <c r="E4796" s="1407" t="s">
        <v>1923</v>
      </c>
      <c r="F4796" s="1413">
        <v>1210</v>
      </c>
      <c r="G4796" s="1803" t="s">
        <v>2874</v>
      </c>
      <c r="H4796" s="1970"/>
      <c r="I4796" s="1970">
        <v>4294.6152319999965</v>
      </c>
      <c r="J4796" s="1684" t="s">
        <v>1134</v>
      </c>
      <c r="K4796" s="2122"/>
      <c r="L4796" s="1970"/>
      <c r="M4796" s="1970"/>
      <c r="N4796" s="305"/>
    </row>
    <row r="4797" spans="1:32" ht="20.399999999999999">
      <c r="A4797" s="663"/>
      <c r="B4797" s="3130" t="s">
        <v>326</v>
      </c>
      <c r="C4797" s="700" t="s">
        <v>321</v>
      </c>
      <c r="D4797" s="794" t="s">
        <v>1980</v>
      </c>
      <c r="E4797" s="1407" t="s">
        <v>1923</v>
      </c>
      <c r="F4797" s="1413">
        <v>1210</v>
      </c>
      <c r="G4797" s="2504" t="s">
        <v>3069</v>
      </c>
      <c r="H4797" s="1970"/>
      <c r="I4797" s="1970">
        <v>-2000</v>
      </c>
      <c r="J4797" s="1684" t="s">
        <v>1134</v>
      </c>
      <c r="K4797" s="2122"/>
      <c r="L4797" s="1970"/>
      <c r="M4797" s="1970"/>
      <c r="N4797" s="2015"/>
      <c r="O4797" s="3"/>
      <c r="P4797" s="3"/>
      <c r="Q4797" s="3"/>
      <c r="R4797" s="3"/>
      <c r="S4797" s="3"/>
      <c r="T4797" s="3"/>
      <c r="U4797" s="3"/>
      <c r="V4797" s="3"/>
      <c r="W4797" s="3"/>
      <c r="X4797" s="3"/>
      <c r="Y4797" s="3"/>
      <c r="Z4797" s="3"/>
      <c r="AA4797" s="3"/>
      <c r="AB4797" s="3"/>
      <c r="AC4797" s="3"/>
      <c r="AD4797" s="3"/>
      <c r="AE4797" s="3"/>
      <c r="AF4797" s="3"/>
    </row>
    <row r="4798" spans="1:32" ht="20.399999999999999">
      <c r="A4798" s="663"/>
      <c r="B4798" s="3130" t="s">
        <v>326</v>
      </c>
      <c r="C4798" s="700" t="s">
        <v>321</v>
      </c>
      <c r="D4798" s="794" t="s">
        <v>1980</v>
      </c>
      <c r="E4798" s="1407" t="s">
        <v>1923</v>
      </c>
      <c r="F4798" s="1413">
        <v>1210</v>
      </c>
      <c r="G4798" s="2504" t="s">
        <v>3173</v>
      </c>
      <c r="H4798" s="1970"/>
      <c r="I4798" s="1970">
        <v>-5000</v>
      </c>
      <c r="J4798" s="1684" t="s">
        <v>1134</v>
      </c>
      <c r="K4798" s="2122"/>
      <c r="L4798" s="1970"/>
      <c r="M4798" s="1970"/>
      <c r="N4798" s="305"/>
      <c r="O4798" s="7"/>
      <c r="P4798" s="7"/>
      <c r="Q4798" s="7"/>
      <c r="R4798" s="3"/>
      <c r="S4798" s="3"/>
      <c r="T4798" s="3"/>
      <c r="U4798" s="3"/>
      <c r="V4798" s="3"/>
      <c r="W4798" s="3"/>
      <c r="X4798" s="3"/>
      <c r="Y4798" s="3"/>
      <c r="Z4798" s="3"/>
      <c r="AA4798" s="3"/>
      <c r="AB4798" s="3"/>
      <c r="AC4798" s="3"/>
      <c r="AD4798" s="3"/>
      <c r="AE4798" s="3"/>
      <c r="AF4798" s="3"/>
    </row>
    <row r="4799" spans="1:32">
      <c r="A4799" s="683"/>
      <c r="B4799" s="3129" t="s">
        <v>436</v>
      </c>
      <c r="C4799" s="683" t="s">
        <v>427</v>
      </c>
      <c r="D4799" s="719" t="s">
        <v>1980</v>
      </c>
      <c r="E4799" s="1406" t="s">
        <v>1922</v>
      </c>
      <c r="F4799" s="1698">
        <v>1221</v>
      </c>
      <c r="G4799" s="1691" t="s">
        <v>114</v>
      </c>
      <c r="H4799" s="1966">
        <v>40984.430885811467</v>
      </c>
      <c r="I4799" s="1966"/>
      <c r="J4799" s="1684">
        <v>40832</v>
      </c>
      <c r="K4799" s="2122"/>
      <c r="L4799" s="1966">
        <v>40442.105194082818</v>
      </c>
      <c r="M4799" s="1966"/>
      <c r="N4799" s="305"/>
      <c r="O4799" s="7"/>
      <c r="P4799" s="7"/>
      <c r="Q4799" s="7"/>
      <c r="R4799" s="3"/>
      <c r="S4799" s="3"/>
      <c r="T4799" s="3"/>
      <c r="U4799" s="3"/>
      <c r="V4799" s="3"/>
      <c r="W4799" s="3"/>
      <c r="X4799" s="3"/>
      <c r="Y4799" s="3"/>
      <c r="Z4799" s="3"/>
      <c r="AA4799" s="3"/>
      <c r="AB4799" s="3"/>
      <c r="AC4799" s="3"/>
      <c r="AD4799" s="3"/>
      <c r="AE4799" s="3"/>
      <c r="AF4799" s="3"/>
    </row>
    <row r="4800" spans="1:32">
      <c r="A4800" s="663"/>
      <c r="B4800" s="3130" t="s">
        <v>436</v>
      </c>
      <c r="C4800" s="663" t="s">
        <v>427</v>
      </c>
      <c r="D4800" s="678" t="s">
        <v>1980</v>
      </c>
      <c r="E4800" s="1407" t="s">
        <v>1922</v>
      </c>
      <c r="F4800" s="1413">
        <v>1221</v>
      </c>
      <c r="G4800" s="1803" t="s">
        <v>1213</v>
      </c>
      <c r="H4800" s="1970"/>
      <c r="I4800" s="1970">
        <v>38984.430885811467</v>
      </c>
      <c r="J4800" s="1684" t="s">
        <v>1134</v>
      </c>
      <c r="K4800" s="2505"/>
      <c r="L4800" s="1970"/>
      <c r="M4800" s="1970">
        <v>40442.105194082818</v>
      </c>
      <c r="N4800" s="305"/>
      <c r="O4800" s="7"/>
      <c r="P4800" s="7"/>
      <c r="Q4800" s="7"/>
      <c r="R4800" s="3"/>
      <c r="S4800" s="3"/>
      <c r="T4800" s="3"/>
      <c r="U4800" s="3"/>
      <c r="V4800" s="3"/>
      <c r="W4800" s="3"/>
      <c r="X4800" s="3"/>
      <c r="Y4800" s="3"/>
      <c r="Z4800" s="3"/>
      <c r="AA4800" s="3"/>
      <c r="AB4800" s="3"/>
      <c r="AC4800" s="3"/>
      <c r="AD4800" s="3"/>
      <c r="AE4800" s="3"/>
      <c r="AF4800" s="3"/>
    </row>
    <row r="4801" spans="1:32" ht="20.399999999999999">
      <c r="A4801" s="663"/>
      <c r="B4801" s="3130" t="s">
        <v>436</v>
      </c>
      <c r="C4801" s="663" t="s">
        <v>427</v>
      </c>
      <c r="D4801" s="678" t="s">
        <v>1980</v>
      </c>
      <c r="E4801" s="1407" t="s">
        <v>1922</v>
      </c>
      <c r="F4801" s="1413">
        <v>1221</v>
      </c>
      <c r="G4801" s="1803" t="s">
        <v>3284</v>
      </c>
      <c r="H4801" s="1970"/>
      <c r="I4801" s="1970">
        <v>2000</v>
      </c>
      <c r="J4801" s="1684" t="s">
        <v>1134</v>
      </c>
      <c r="K4801" s="2505"/>
      <c r="L4801" s="1970"/>
      <c r="M4801" s="1970"/>
      <c r="N4801" s="305"/>
      <c r="O4801" s="7"/>
      <c r="P4801" s="7"/>
      <c r="Q4801" s="7"/>
      <c r="R4801" s="7"/>
      <c r="S4801" s="7"/>
      <c r="T4801" s="7"/>
      <c r="U4801" s="7"/>
      <c r="V4801" s="7"/>
      <c r="W4801" s="7"/>
      <c r="X4801" s="7"/>
      <c r="Y4801" s="7"/>
      <c r="Z4801" s="7"/>
      <c r="AA4801" s="7"/>
      <c r="AB4801" s="7"/>
      <c r="AC4801" s="7"/>
      <c r="AD4801" s="7"/>
      <c r="AE4801" s="7"/>
      <c r="AF4801" s="7"/>
    </row>
    <row r="4802" spans="1:32" ht="202.5" customHeight="1">
      <c r="A4802" s="683"/>
      <c r="B4802" s="3129" t="s">
        <v>326</v>
      </c>
      <c r="C4802" s="683" t="s">
        <v>321</v>
      </c>
      <c r="D4802" s="719" t="s">
        <v>1980</v>
      </c>
      <c r="E4802" s="1406" t="s">
        <v>1923</v>
      </c>
      <c r="F4802" s="1698">
        <v>1221</v>
      </c>
      <c r="G4802" s="1691" t="s">
        <v>114</v>
      </c>
      <c r="H4802" s="2122">
        <v>6013</v>
      </c>
      <c r="I4802" s="1966"/>
      <c r="J4802" s="1684">
        <v>4541</v>
      </c>
      <c r="K4802" s="2122"/>
      <c r="L4802" s="2122">
        <v>6000</v>
      </c>
      <c r="M4802" s="1966"/>
      <c r="N4802" s="305"/>
      <c r="O4802" s="7"/>
      <c r="P4802" s="7"/>
      <c r="Q4802" s="7"/>
      <c r="R4802" s="3"/>
      <c r="S4802" s="3"/>
      <c r="T4802" s="3"/>
      <c r="U4802" s="3"/>
      <c r="V4802" s="3"/>
      <c r="W4802" s="3"/>
      <c r="X4802" s="3"/>
      <c r="Y4802" s="3"/>
      <c r="Z4802" s="3"/>
      <c r="AA4802" s="3"/>
      <c r="AB4802" s="3"/>
      <c r="AC4802" s="3"/>
      <c r="AD4802" s="3"/>
      <c r="AE4802" s="3"/>
    </row>
    <row r="4803" spans="1:32">
      <c r="A4803" s="663"/>
      <c r="B4803" s="3130" t="s">
        <v>326</v>
      </c>
      <c r="C4803" s="663" t="s">
        <v>321</v>
      </c>
      <c r="D4803" s="678" t="s">
        <v>1980</v>
      </c>
      <c r="E4803" s="1407" t="s">
        <v>1923</v>
      </c>
      <c r="F4803" s="1413">
        <v>1221</v>
      </c>
      <c r="G4803" s="2504" t="s">
        <v>436</v>
      </c>
      <c r="H4803" s="1970"/>
      <c r="I4803" s="1970">
        <v>1013</v>
      </c>
      <c r="J4803" s="1684" t="s">
        <v>1134</v>
      </c>
      <c r="K4803" s="2122"/>
      <c r="L4803" s="1970"/>
      <c r="M4803" s="1970">
        <v>6000</v>
      </c>
      <c r="N4803" s="305"/>
      <c r="O4803" s="7"/>
      <c r="P4803" s="7"/>
      <c r="Q4803" s="7"/>
      <c r="R4803" s="7"/>
      <c r="S4803" s="7"/>
      <c r="T4803" s="7"/>
      <c r="U4803" s="7"/>
      <c r="V4803" s="7"/>
      <c r="W4803" s="7"/>
      <c r="X4803" s="7"/>
      <c r="Y4803" s="7"/>
      <c r="Z4803" s="7"/>
      <c r="AA4803" s="7"/>
      <c r="AB4803" s="7"/>
      <c r="AC4803" s="7"/>
      <c r="AD4803" s="7"/>
      <c r="AE4803" s="7"/>
      <c r="AF4803" s="7"/>
    </row>
    <row r="4804" spans="1:32" ht="20.399999999999999">
      <c r="A4804" s="663"/>
      <c r="B4804" s="3130" t="s">
        <v>326</v>
      </c>
      <c r="C4804" s="663" t="s">
        <v>321</v>
      </c>
      <c r="D4804" s="678" t="s">
        <v>1980</v>
      </c>
      <c r="E4804" s="1407" t="s">
        <v>1923</v>
      </c>
      <c r="F4804" s="1413">
        <v>1221</v>
      </c>
      <c r="G4804" s="2504" t="s">
        <v>3069</v>
      </c>
      <c r="H4804" s="1970"/>
      <c r="I4804" s="1970">
        <v>2000</v>
      </c>
      <c r="J4804" s="1684" t="s">
        <v>1134</v>
      </c>
      <c r="K4804" s="2122"/>
      <c r="L4804" s="1970"/>
      <c r="M4804" s="1970"/>
      <c r="N4804" s="305"/>
      <c r="O4804" s="7"/>
      <c r="P4804" s="7"/>
      <c r="Q4804" s="7"/>
      <c r="R4804" s="3"/>
      <c r="S4804" s="3"/>
      <c r="T4804" s="3"/>
      <c r="U4804" s="3"/>
      <c r="V4804" s="3"/>
      <c r="W4804" s="3"/>
      <c r="X4804" s="3"/>
      <c r="Y4804" s="3"/>
      <c r="Z4804" s="3"/>
      <c r="AA4804" s="3"/>
      <c r="AB4804" s="3"/>
      <c r="AC4804" s="3"/>
      <c r="AD4804" s="3"/>
      <c r="AE4804" s="3"/>
      <c r="AF4804" s="3"/>
    </row>
    <row r="4805" spans="1:32" ht="20.399999999999999">
      <c r="A4805" s="663"/>
      <c r="B4805" s="3130" t="s">
        <v>326</v>
      </c>
      <c r="C4805" s="663" t="s">
        <v>321</v>
      </c>
      <c r="D4805" s="678" t="s">
        <v>1980</v>
      </c>
      <c r="E4805" s="1407" t="s">
        <v>1923</v>
      </c>
      <c r="F4805" s="1413">
        <v>1221</v>
      </c>
      <c r="G4805" s="2504" t="s">
        <v>3173</v>
      </c>
      <c r="H4805" s="1970"/>
      <c r="I4805" s="1970">
        <v>5000</v>
      </c>
      <c r="J4805" s="1684" t="s">
        <v>1134</v>
      </c>
      <c r="K4805" s="2122"/>
      <c r="L4805" s="1970"/>
      <c r="M4805" s="1970"/>
      <c r="N4805" s="305"/>
      <c r="O4805" s="7"/>
      <c r="P4805" s="7"/>
      <c r="Q4805" s="7"/>
      <c r="R4805" s="3"/>
      <c r="S4805" s="3"/>
      <c r="T4805" s="3"/>
      <c r="U4805" s="3"/>
      <c r="V4805" s="3"/>
      <c r="W4805" s="3"/>
      <c r="X4805" s="3"/>
      <c r="Y4805" s="3"/>
      <c r="Z4805" s="3"/>
      <c r="AA4805" s="3"/>
      <c r="AB4805" s="3"/>
      <c r="AC4805" s="3"/>
      <c r="AD4805" s="3"/>
      <c r="AE4805" s="3"/>
      <c r="AF4805" s="3"/>
    </row>
    <row r="4806" spans="1:32">
      <c r="A4806" s="683"/>
      <c r="B4806" s="3129" t="s">
        <v>436</v>
      </c>
      <c r="C4806" s="683" t="s">
        <v>322</v>
      </c>
      <c r="D4806" s="719" t="s">
        <v>1980</v>
      </c>
      <c r="E4806" s="720" t="s">
        <v>1922</v>
      </c>
      <c r="F4806" s="824">
        <v>1223</v>
      </c>
      <c r="G4806" s="800" t="s">
        <v>791</v>
      </c>
      <c r="H4806" s="893">
        <v>2325</v>
      </c>
      <c r="I4806" s="893"/>
      <c r="J4806" s="1654">
        <v>450</v>
      </c>
      <c r="K4806" s="1251"/>
      <c r="L4806" s="893">
        <v>1800</v>
      </c>
      <c r="M4806" s="893"/>
      <c r="N4806" s="305"/>
      <c r="O4806" s="7"/>
      <c r="P4806" s="7"/>
      <c r="Q4806" s="7"/>
      <c r="R4806" s="7"/>
      <c r="S4806" s="7"/>
      <c r="T4806" s="7"/>
      <c r="U4806" s="7"/>
      <c r="V4806" s="7"/>
      <c r="W4806" s="7"/>
      <c r="X4806" s="7"/>
      <c r="Y4806" s="7"/>
      <c r="Z4806" s="7"/>
      <c r="AA4806" s="7"/>
      <c r="AB4806" s="7"/>
      <c r="AC4806" s="7"/>
      <c r="AD4806" s="7"/>
      <c r="AE4806" s="7"/>
      <c r="AF4806" s="7"/>
    </row>
    <row r="4807" spans="1:32" ht="30.6">
      <c r="A4807" s="663" t="s">
        <v>847</v>
      </c>
      <c r="B4807" s="3130" t="s">
        <v>436</v>
      </c>
      <c r="C4807" s="663" t="s">
        <v>322</v>
      </c>
      <c r="D4807" s="678" t="s">
        <v>1980</v>
      </c>
      <c r="E4807" s="700" t="s">
        <v>1922</v>
      </c>
      <c r="F4807" s="795">
        <v>1223</v>
      </c>
      <c r="G4807" s="1883" t="s">
        <v>4913</v>
      </c>
      <c r="H4807" s="752"/>
      <c r="I4807" s="752">
        <v>2325</v>
      </c>
      <c r="J4807" s="1654" t="s">
        <v>1134</v>
      </c>
      <c r="K4807" s="1251"/>
      <c r="L4807" s="752"/>
      <c r="M4807" s="752">
        <v>1800</v>
      </c>
      <c r="N4807" s="305"/>
      <c r="O4807" s="7"/>
      <c r="P4807" s="7"/>
      <c r="Q4807" s="7"/>
      <c r="R4807" s="3"/>
      <c r="S4807" s="3"/>
      <c r="T4807" s="3"/>
      <c r="U4807" s="3"/>
      <c r="V4807" s="3"/>
      <c r="W4807" s="3"/>
      <c r="X4807" s="3"/>
      <c r="Y4807" s="3"/>
      <c r="Z4807" s="3"/>
      <c r="AA4807" s="3"/>
      <c r="AB4807" s="3"/>
      <c r="AC4807" s="3"/>
      <c r="AD4807" s="3"/>
      <c r="AE4807" s="3"/>
      <c r="AF4807" s="3"/>
    </row>
    <row r="4808" spans="1:32" ht="30.6">
      <c r="A4808" s="663"/>
      <c r="B4808" s="3130" t="s">
        <v>436</v>
      </c>
      <c r="C4808" s="663" t="s">
        <v>322</v>
      </c>
      <c r="D4808" s="678" t="s">
        <v>1980</v>
      </c>
      <c r="E4808" s="700" t="s">
        <v>1922</v>
      </c>
      <c r="F4808" s="795">
        <v>1223</v>
      </c>
      <c r="G4808" s="830" t="s">
        <v>1946</v>
      </c>
      <c r="H4808" s="752"/>
      <c r="I4808" s="752"/>
      <c r="J4808" s="1654" t="s">
        <v>1134</v>
      </c>
      <c r="K4808" s="1251"/>
      <c r="L4808" s="752"/>
      <c r="M4808" s="752"/>
      <c r="N4808" s="305"/>
      <c r="O4808" s="7"/>
      <c r="P4808" s="7"/>
      <c r="Q4808" s="7"/>
      <c r="R4808" s="3"/>
      <c r="S4808" s="3"/>
      <c r="T4808" s="3"/>
      <c r="U4808" s="3"/>
      <c r="V4808" s="3"/>
      <c r="W4808" s="3"/>
      <c r="X4808" s="3"/>
      <c r="Y4808" s="3"/>
      <c r="Z4808" s="3"/>
      <c r="AA4808" s="3"/>
      <c r="AB4808" s="3"/>
      <c r="AC4808" s="3"/>
      <c r="AD4808" s="3"/>
      <c r="AE4808" s="3"/>
      <c r="AF4808" s="3"/>
    </row>
    <row r="4809" spans="1:32">
      <c r="A4809" s="683"/>
      <c r="B4809" s="3129" t="s">
        <v>772</v>
      </c>
      <c r="C4809" s="683" t="s">
        <v>427</v>
      </c>
      <c r="D4809" s="719" t="s">
        <v>1980</v>
      </c>
      <c r="E4809" s="720" t="s">
        <v>1922</v>
      </c>
      <c r="F4809" s="824">
        <v>1228</v>
      </c>
      <c r="G4809" s="800" t="s">
        <v>614</v>
      </c>
      <c r="H4809" s="893">
        <v>7600</v>
      </c>
      <c r="I4809" s="893"/>
      <c r="J4809" s="1654">
        <v>2257</v>
      </c>
      <c r="K4809" s="1251"/>
      <c r="L4809" s="893">
        <v>7900</v>
      </c>
      <c r="M4809" s="893"/>
      <c r="N4809" s="305"/>
      <c r="O4809" s="187"/>
      <c r="P4809" s="187"/>
      <c r="Q4809" s="187"/>
      <c r="R4809" s="187"/>
      <c r="S4809" s="187"/>
      <c r="T4809" s="187"/>
      <c r="U4809" s="187"/>
      <c r="V4809" s="187"/>
      <c r="W4809" s="187"/>
      <c r="X4809" s="187"/>
      <c r="Y4809" s="187"/>
      <c r="Z4809" s="187"/>
      <c r="AA4809" s="187"/>
      <c r="AB4809" s="187"/>
      <c r="AC4809" s="187"/>
      <c r="AD4809" s="187"/>
      <c r="AE4809" s="187"/>
      <c r="AF4809" s="187"/>
    </row>
    <row r="4810" spans="1:32" ht="40.799999999999997">
      <c r="A4810" s="663"/>
      <c r="B4810" s="3130" t="s">
        <v>772</v>
      </c>
      <c r="C4810" s="663" t="s">
        <v>427</v>
      </c>
      <c r="D4810" s="678" t="s">
        <v>1980</v>
      </c>
      <c r="E4810" s="700" t="s">
        <v>1922</v>
      </c>
      <c r="F4810" s="795">
        <v>1228</v>
      </c>
      <c r="G4810" s="1993" t="s">
        <v>1420</v>
      </c>
      <c r="H4810" s="748"/>
      <c r="I4810" s="748">
        <v>1800</v>
      </c>
      <c r="J4810" s="1654" t="s">
        <v>1134</v>
      </c>
      <c r="K4810" s="1314"/>
      <c r="L4810" s="748"/>
      <c r="M4810" s="748">
        <v>1800</v>
      </c>
      <c r="N4810" s="305"/>
      <c r="O4810" s="187"/>
      <c r="P4810" s="187"/>
      <c r="Q4810" s="187"/>
      <c r="R4810" s="187"/>
      <c r="S4810" s="187"/>
      <c r="T4810" s="187"/>
      <c r="U4810" s="187"/>
      <c r="V4810" s="187"/>
      <c r="W4810" s="187"/>
      <c r="X4810" s="187"/>
      <c r="Y4810" s="187"/>
      <c r="Z4810" s="187"/>
      <c r="AA4810" s="187"/>
      <c r="AB4810" s="187"/>
      <c r="AC4810" s="187"/>
      <c r="AD4810" s="187"/>
      <c r="AE4810" s="187"/>
      <c r="AF4810" s="187"/>
    </row>
    <row r="4811" spans="1:32">
      <c r="A4811" s="663"/>
      <c r="B4811" s="3130" t="s">
        <v>772</v>
      </c>
      <c r="C4811" s="663" t="s">
        <v>427</v>
      </c>
      <c r="D4811" s="678" t="s">
        <v>1980</v>
      </c>
      <c r="E4811" s="700" t="s">
        <v>1922</v>
      </c>
      <c r="F4811" s="795">
        <v>1228</v>
      </c>
      <c r="G4811" s="1993" t="s">
        <v>4914</v>
      </c>
      <c r="H4811" s="748"/>
      <c r="I4811" s="748">
        <v>5800</v>
      </c>
      <c r="J4811" s="1654" t="s">
        <v>1134</v>
      </c>
      <c r="K4811" s="1314"/>
      <c r="L4811" s="748"/>
      <c r="M4811" s="748">
        <v>5800</v>
      </c>
      <c r="N4811" s="305"/>
      <c r="O4811" s="7"/>
      <c r="P4811" s="7"/>
      <c r="Q4811" s="7"/>
      <c r="R4811" s="7"/>
      <c r="S4811" s="7"/>
      <c r="T4811" s="7"/>
      <c r="U4811" s="7"/>
      <c r="V4811" s="7"/>
      <c r="W4811" s="7"/>
      <c r="X4811" s="7"/>
      <c r="Y4811" s="7"/>
      <c r="Z4811" s="7"/>
      <c r="AA4811" s="7"/>
      <c r="AB4811" s="7"/>
      <c r="AC4811" s="7"/>
      <c r="AD4811" s="7"/>
      <c r="AE4811" s="7"/>
      <c r="AF4811" s="7"/>
    </row>
    <row r="4812" spans="1:32">
      <c r="A4812" s="1669"/>
      <c r="B4812" s="3130" t="s">
        <v>772</v>
      </c>
      <c r="C4812" s="663" t="s">
        <v>427</v>
      </c>
      <c r="D4812" s="678" t="s">
        <v>1980</v>
      </c>
      <c r="E4812" s="700" t="s">
        <v>1922</v>
      </c>
      <c r="F4812" s="795">
        <v>1228</v>
      </c>
      <c r="G4812" s="1994" t="s">
        <v>3907</v>
      </c>
      <c r="H4812" s="1964"/>
      <c r="I4812" s="1964"/>
      <c r="J4812" s="1739"/>
      <c r="K4812" s="1995"/>
      <c r="L4812" s="1964"/>
      <c r="M4812" s="1964">
        <v>300</v>
      </c>
      <c r="N4812" s="75"/>
      <c r="O4812" s="7"/>
      <c r="P4812" s="7"/>
      <c r="Q4812" s="7"/>
      <c r="R4812" s="3"/>
      <c r="S4812" s="3"/>
      <c r="T4812" s="3"/>
      <c r="U4812" s="3"/>
      <c r="V4812" s="3"/>
      <c r="W4812" s="3"/>
      <c r="X4812" s="3"/>
      <c r="Y4812" s="3"/>
      <c r="Z4812" s="3"/>
      <c r="AA4812" s="3"/>
      <c r="AB4812" s="3"/>
      <c r="AC4812" s="3"/>
      <c r="AD4812" s="3"/>
      <c r="AE4812" s="3"/>
      <c r="AF4812" s="3"/>
    </row>
    <row r="4813" spans="1:32">
      <c r="A4813" s="683"/>
      <c r="B4813" s="3129" t="s">
        <v>772</v>
      </c>
      <c r="C4813" s="683" t="s">
        <v>322</v>
      </c>
      <c r="D4813" s="719" t="s">
        <v>1980</v>
      </c>
      <c r="E4813" s="720" t="s">
        <v>1922</v>
      </c>
      <c r="F4813" s="824">
        <v>2111</v>
      </c>
      <c r="G4813" s="800" t="s">
        <v>213</v>
      </c>
      <c r="H4813" s="893">
        <v>0</v>
      </c>
      <c r="I4813" s="893"/>
      <c r="J4813" s="1654" t="s">
        <v>1134</v>
      </c>
      <c r="K4813" s="1251"/>
      <c r="L4813" s="893">
        <v>0</v>
      </c>
      <c r="M4813" s="893"/>
      <c r="N4813" s="75" t="s">
        <v>1425</v>
      </c>
      <c r="O4813" s="7"/>
      <c r="P4813" s="7"/>
      <c r="Q4813" s="7"/>
      <c r="R4813" s="3"/>
      <c r="S4813" s="3"/>
      <c r="T4813" s="3"/>
      <c r="U4813" s="3"/>
      <c r="V4813" s="3"/>
      <c r="W4813" s="3"/>
      <c r="X4813" s="3"/>
      <c r="Y4813" s="3"/>
      <c r="Z4813" s="3"/>
      <c r="AA4813" s="3"/>
      <c r="AB4813" s="3"/>
      <c r="AC4813" s="3"/>
      <c r="AD4813" s="3"/>
      <c r="AE4813" s="3"/>
      <c r="AF4813" s="3"/>
    </row>
    <row r="4814" spans="1:32">
      <c r="A4814" s="663"/>
      <c r="B4814" s="3130" t="s">
        <v>772</v>
      </c>
      <c r="C4814" s="663" t="s">
        <v>322</v>
      </c>
      <c r="D4814" s="678" t="s">
        <v>1980</v>
      </c>
      <c r="E4814" s="700" t="s">
        <v>1922</v>
      </c>
      <c r="F4814" s="795">
        <v>2111</v>
      </c>
      <c r="G4814" s="750"/>
      <c r="H4814" s="748"/>
      <c r="I4814" s="748"/>
      <c r="J4814" s="1654" t="s">
        <v>1134</v>
      </c>
      <c r="K4814" s="1314"/>
      <c r="L4814" s="748"/>
      <c r="M4814" s="748"/>
      <c r="N4814" s="75" t="s">
        <v>1425</v>
      </c>
      <c r="O4814" s="7"/>
      <c r="P4814" s="7"/>
      <c r="Q4814" s="7"/>
      <c r="R4814" s="3"/>
      <c r="S4814" s="3"/>
      <c r="T4814" s="3"/>
      <c r="U4814" s="3"/>
      <c r="V4814" s="3"/>
      <c r="W4814" s="3"/>
      <c r="X4814" s="3"/>
      <c r="Y4814" s="3"/>
      <c r="Z4814" s="3"/>
      <c r="AA4814" s="3"/>
      <c r="AB4814" s="3"/>
      <c r="AC4814" s="3"/>
      <c r="AD4814" s="3"/>
      <c r="AE4814" s="3"/>
      <c r="AF4814" s="3"/>
    </row>
    <row r="4815" spans="1:32">
      <c r="A4815" s="683"/>
      <c r="B4815" s="3136" t="s">
        <v>773</v>
      </c>
      <c r="C4815" s="683" t="s">
        <v>322</v>
      </c>
      <c r="D4815" s="719" t="s">
        <v>1980</v>
      </c>
      <c r="E4815" s="720" t="s">
        <v>1922</v>
      </c>
      <c r="F4815" s="824">
        <v>2112</v>
      </c>
      <c r="G4815" s="800" t="s">
        <v>215</v>
      </c>
      <c r="H4815" s="893">
        <v>0</v>
      </c>
      <c r="I4815" s="893"/>
      <c r="J4815" s="1654" t="s">
        <v>1134</v>
      </c>
      <c r="K4815" s="1251"/>
      <c r="L4815" s="893">
        <v>0</v>
      </c>
      <c r="M4815" s="893"/>
      <c r="N4815" s="305"/>
      <c r="O4815" s="7"/>
      <c r="P4815" s="7"/>
      <c r="Q4815" s="7"/>
      <c r="R4815" s="7"/>
      <c r="S4815" s="7"/>
      <c r="T4815" s="7"/>
      <c r="U4815" s="7"/>
      <c r="V4815" s="7"/>
      <c r="W4815" s="7"/>
      <c r="X4815" s="7"/>
      <c r="Y4815" s="7"/>
      <c r="Z4815" s="7"/>
      <c r="AA4815" s="7"/>
      <c r="AB4815" s="7"/>
      <c r="AC4815" s="7"/>
      <c r="AD4815" s="7"/>
      <c r="AE4815" s="7"/>
      <c r="AF4815" s="7"/>
    </row>
    <row r="4816" spans="1:32">
      <c r="A4816" s="663" t="s">
        <v>848</v>
      </c>
      <c r="B4816" s="3130" t="s">
        <v>773</v>
      </c>
      <c r="C4816" s="663" t="s">
        <v>322</v>
      </c>
      <c r="D4816" s="678" t="s">
        <v>1980</v>
      </c>
      <c r="E4816" s="700" t="s">
        <v>1922</v>
      </c>
      <c r="F4816" s="795">
        <v>2112</v>
      </c>
      <c r="G4816" s="750"/>
      <c r="H4816" s="748"/>
      <c r="I4816" s="748"/>
      <c r="J4816" s="1654" t="s">
        <v>1134</v>
      </c>
      <c r="K4816" s="1314"/>
      <c r="L4816" s="748"/>
      <c r="M4816" s="748"/>
      <c r="N4816" s="305"/>
      <c r="O4816" s="7"/>
      <c r="P4816" s="7"/>
      <c r="Q4816" s="7"/>
      <c r="R4816" s="7"/>
      <c r="S4816" s="7"/>
      <c r="T4816" s="7"/>
      <c r="U4816" s="7"/>
      <c r="V4816" s="7"/>
      <c r="W4816" s="7"/>
      <c r="X4816" s="7"/>
      <c r="Y4816" s="7"/>
      <c r="Z4816" s="7"/>
      <c r="AA4816" s="7"/>
      <c r="AB4816" s="7"/>
      <c r="AC4816" s="7"/>
      <c r="AD4816" s="7"/>
      <c r="AE4816" s="7"/>
      <c r="AF4816" s="7"/>
    </row>
    <row r="4817" spans="1:32">
      <c r="A4817" s="683"/>
      <c r="B4817" s="3136" t="s">
        <v>772</v>
      </c>
      <c r="C4817" s="683" t="s">
        <v>322</v>
      </c>
      <c r="D4817" s="719" t="s">
        <v>1980</v>
      </c>
      <c r="E4817" s="720" t="s">
        <v>1922</v>
      </c>
      <c r="F4817" s="824">
        <v>2121</v>
      </c>
      <c r="G4817" s="800" t="s">
        <v>1037</v>
      </c>
      <c r="H4817" s="893">
        <v>40</v>
      </c>
      <c r="I4817" s="893"/>
      <c r="J4817" s="1654">
        <v>40</v>
      </c>
      <c r="K4817" s="1251"/>
      <c r="L4817" s="893">
        <v>0</v>
      </c>
      <c r="M4817" s="893"/>
      <c r="N4817" s="305"/>
      <c r="O4817" s="7"/>
      <c r="P4817" s="7"/>
      <c r="Q4817" s="7"/>
      <c r="R4817" s="3"/>
      <c r="S4817" s="3"/>
      <c r="T4817" s="3"/>
      <c r="U4817" s="3"/>
      <c r="V4817" s="3"/>
      <c r="W4817" s="3"/>
      <c r="X4817" s="3"/>
      <c r="Y4817" s="3"/>
      <c r="Z4817" s="3"/>
      <c r="AA4817" s="3"/>
      <c r="AB4817" s="3"/>
      <c r="AC4817" s="3"/>
      <c r="AD4817" s="3"/>
      <c r="AE4817" s="3"/>
      <c r="AF4817" s="3"/>
    </row>
    <row r="4818" spans="1:32" ht="20.399999999999999">
      <c r="A4818" s="663" t="s">
        <v>848</v>
      </c>
      <c r="B4818" s="3130" t="s">
        <v>772</v>
      </c>
      <c r="C4818" s="663" t="s">
        <v>322</v>
      </c>
      <c r="D4818" s="678" t="s">
        <v>1980</v>
      </c>
      <c r="E4818" s="700" t="s">
        <v>1922</v>
      </c>
      <c r="F4818" s="795">
        <v>2121</v>
      </c>
      <c r="G4818" s="750" t="s">
        <v>3058</v>
      </c>
      <c r="H4818" s="748"/>
      <c r="I4818" s="748">
        <v>40</v>
      </c>
      <c r="J4818" s="1654" t="s">
        <v>1134</v>
      </c>
      <c r="K4818" s="1314"/>
      <c r="L4818" s="748"/>
      <c r="M4818" s="748"/>
      <c r="N4818" s="305"/>
      <c r="O4818" s="7"/>
      <c r="P4818" s="7"/>
      <c r="Q4818" s="7"/>
      <c r="R4818" s="7"/>
      <c r="S4818" s="7"/>
      <c r="T4818" s="7"/>
      <c r="U4818" s="7"/>
      <c r="V4818" s="7"/>
      <c r="W4818" s="7"/>
      <c r="X4818" s="7"/>
      <c r="Y4818" s="7"/>
      <c r="Z4818" s="7"/>
      <c r="AA4818" s="7"/>
      <c r="AB4818" s="7"/>
      <c r="AC4818" s="7"/>
      <c r="AD4818" s="7"/>
      <c r="AE4818" s="7"/>
      <c r="AF4818" s="7"/>
    </row>
    <row r="4819" spans="1:32" ht="20.399999999999999">
      <c r="A4819" s="683"/>
      <c r="B4819" s="3136" t="s">
        <v>772</v>
      </c>
      <c r="C4819" s="683" t="s">
        <v>322</v>
      </c>
      <c r="D4819" s="719" t="s">
        <v>1980</v>
      </c>
      <c r="E4819" s="720" t="s">
        <v>1922</v>
      </c>
      <c r="F4819" s="824">
        <v>2122</v>
      </c>
      <c r="G4819" s="800" t="s">
        <v>1038</v>
      </c>
      <c r="H4819" s="893">
        <v>4</v>
      </c>
      <c r="I4819" s="893"/>
      <c r="J4819" s="1654">
        <v>4</v>
      </c>
      <c r="K4819" s="1251"/>
      <c r="L4819" s="893">
        <v>0</v>
      </c>
      <c r="M4819" s="893"/>
      <c r="N4819" s="305"/>
      <c r="O4819" s="7"/>
      <c r="P4819" s="7"/>
      <c r="Q4819" s="7"/>
      <c r="R4819" s="7"/>
      <c r="S4819" s="7"/>
      <c r="T4819" s="7"/>
      <c r="U4819" s="7"/>
      <c r="V4819" s="7"/>
      <c r="W4819" s="7"/>
      <c r="X4819" s="7"/>
      <c r="Y4819" s="7"/>
      <c r="Z4819" s="7"/>
      <c r="AA4819" s="7"/>
      <c r="AB4819" s="7"/>
      <c r="AC4819" s="7"/>
      <c r="AD4819" s="7"/>
      <c r="AE4819" s="7"/>
      <c r="AF4819" s="7"/>
    </row>
    <row r="4820" spans="1:32" ht="11.4" customHeight="1">
      <c r="A4820" s="663" t="s">
        <v>848</v>
      </c>
      <c r="B4820" s="3130" t="s">
        <v>772</v>
      </c>
      <c r="C4820" s="663" t="s">
        <v>322</v>
      </c>
      <c r="D4820" s="678" t="s">
        <v>1980</v>
      </c>
      <c r="E4820" s="700" t="s">
        <v>1922</v>
      </c>
      <c r="F4820" s="795">
        <v>2122</v>
      </c>
      <c r="G4820" s="750" t="s">
        <v>3059</v>
      </c>
      <c r="H4820" s="748"/>
      <c r="I4820" s="748">
        <v>4</v>
      </c>
      <c r="J4820" s="1654" t="s">
        <v>1134</v>
      </c>
      <c r="K4820" s="1314"/>
      <c r="L4820" s="748"/>
      <c r="M4820" s="748"/>
      <c r="N4820" s="305"/>
      <c r="O4820" s="7"/>
      <c r="P4820" s="7"/>
      <c r="Q4820" s="7"/>
      <c r="R4820" s="7"/>
      <c r="S4820" s="7"/>
      <c r="T4820" s="7"/>
      <c r="U4820" s="7"/>
      <c r="V4820" s="7"/>
      <c r="W4820" s="7"/>
      <c r="X4820" s="7"/>
      <c r="Y4820" s="7"/>
      <c r="Z4820" s="7"/>
      <c r="AA4820" s="7"/>
      <c r="AB4820" s="7"/>
      <c r="AC4820" s="7"/>
      <c r="AD4820" s="7"/>
      <c r="AE4820" s="7"/>
      <c r="AF4820" s="7"/>
    </row>
    <row r="4821" spans="1:32">
      <c r="A4821" s="683"/>
      <c r="B4821" s="3129" t="s">
        <v>772</v>
      </c>
      <c r="C4821" s="683" t="s">
        <v>320</v>
      </c>
      <c r="D4821" s="719" t="s">
        <v>1980</v>
      </c>
      <c r="E4821" s="720" t="s">
        <v>1922</v>
      </c>
      <c r="F4821" s="824">
        <v>2210</v>
      </c>
      <c r="G4821" s="800" t="s">
        <v>572</v>
      </c>
      <c r="H4821" s="893">
        <v>4468.3999999999996</v>
      </c>
      <c r="I4821" s="893"/>
      <c r="J4821" s="1654">
        <v>4065</v>
      </c>
      <c r="K4821" s="1251"/>
      <c r="L4821" s="893">
        <v>4436.3999999999996</v>
      </c>
      <c r="M4821" s="893"/>
      <c r="N4821" s="305"/>
      <c r="O4821" s="7"/>
      <c r="P4821" s="7"/>
      <c r="Q4821" s="7"/>
      <c r="R4821" s="7"/>
      <c r="S4821" s="7"/>
      <c r="T4821" s="7"/>
      <c r="U4821" s="7"/>
      <c r="V4821" s="7"/>
      <c r="W4821" s="7"/>
      <c r="X4821" s="7"/>
      <c r="Y4821" s="7"/>
      <c r="Z4821" s="7"/>
      <c r="AA4821" s="7"/>
      <c r="AB4821" s="7"/>
      <c r="AC4821" s="7"/>
      <c r="AD4821" s="7"/>
      <c r="AE4821" s="7"/>
      <c r="AF4821" s="7"/>
    </row>
    <row r="4822" spans="1:32" ht="33.75" customHeight="1">
      <c r="A4822" s="663"/>
      <c r="B4822" s="3130" t="s">
        <v>772</v>
      </c>
      <c r="C4822" s="663" t="s">
        <v>320</v>
      </c>
      <c r="D4822" s="678" t="s">
        <v>1980</v>
      </c>
      <c r="E4822" s="700" t="s">
        <v>1922</v>
      </c>
      <c r="F4822" s="795">
        <v>2210</v>
      </c>
      <c r="G4822" s="1993" t="s">
        <v>2331</v>
      </c>
      <c r="H4822" s="748"/>
      <c r="I4822" s="748">
        <v>2468.4</v>
      </c>
      <c r="J4822" s="1654" t="s">
        <v>1134</v>
      </c>
      <c r="K4822" s="1314"/>
      <c r="L4822" s="748"/>
      <c r="M4822" s="1996">
        <v>2468.4</v>
      </c>
      <c r="N4822" s="305"/>
      <c r="O4822" s="7"/>
      <c r="P4822" s="7"/>
      <c r="Q4822" s="7"/>
      <c r="R4822" s="7"/>
      <c r="S4822" s="7"/>
      <c r="T4822" s="7"/>
      <c r="U4822" s="7"/>
      <c r="V4822" s="7"/>
      <c r="W4822" s="7"/>
      <c r="X4822" s="7"/>
      <c r="Y4822" s="7"/>
      <c r="Z4822" s="7"/>
      <c r="AA4822" s="7"/>
      <c r="AB4822" s="7"/>
      <c r="AC4822" s="7"/>
      <c r="AD4822" s="7"/>
      <c r="AE4822" s="7"/>
      <c r="AF4822" s="7"/>
    </row>
    <row r="4823" spans="1:32" ht="71.400000000000006">
      <c r="A4823" s="663" t="s">
        <v>849</v>
      </c>
      <c r="B4823" s="3130" t="s">
        <v>772</v>
      </c>
      <c r="C4823" s="663" t="s">
        <v>320</v>
      </c>
      <c r="D4823" s="678" t="s">
        <v>1980</v>
      </c>
      <c r="E4823" s="700" t="s">
        <v>1922</v>
      </c>
      <c r="F4823" s="795">
        <v>2210</v>
      </c>
      <c r="G4823" s="1993" t="s">
        <v>3908</v>
      </c>
      <c r="H4823" s="748"/>
      <c r="I4823" s="748">
        <v>2000</v>
      </c>
      <c r="J4823" s="1654" t="s">
        <v>1134</v>
      </c>
      <c r="K4823" s="1314"/>
      <c r="L4823" s="748"/>
      <c r="M4823" s="1964">
        <v>1968</v>
      </c>
      <c r="N4823" s="305"/>
      <c r="O4823" s="7"/>
      <c r="P4823" s="7"/>
      <c r="Q4823" s="7"/>
      <c r="R4823" s="7"/>
      <c r="S4823" s="7"/>
      <c r="T4823" s="7"/>
      <c r="U4823" s="7"/>
      <c r="V4823" s="7"/>
      <c r="W4823" s="7"/>
      <c r="X4823" s="7"/>
      <c r="Y4823" s="7"/>
      <c r="Z4823" s="7"/>
      <c r="AA4823" s="7"/>
      <c r="AB4823" s="7"/>
      <c r="AC4823" s="7"/>
      <c r="AD4823" s="7"/>
      <c r="AE4823" s="7"/>
      <c r="AF4823" s="7"/>
    </row>
    <row r="4824" spans="1:32">
      <c r="A4824" s="683"/>
      <c r="B4824" s="3129" t="s">
        <v>772</v>
      </c>
      <c r="C4824" s="683" t="s">
        <v>320</v>
      </c>
      <c r="D4824" s="719" t="s">
        <v>1980</v>
      </c>
      <c r="E4824" s="720" t="s">
        <v>1922</v>
      </c>
      <c r="F4824" s="824">
        <v>2223</v>
      </c>
      <c r="G4824" s="800" t="s">
        <v>154</v>
      </c>
      <c r="H4824" s="893">
        <v>18220</v>
      </c>
      <c r="I4824" s="893"/>
      <c r="J4824" s="1654">
        <v>10815</v>
      </c>
      <c r="K4824" s="1251"/>
      <c r="L4824" s="893">
        <v>18227</v>
      </c>
      <c r="M4824" s="893"/>
      <c r="N4824" s="305"/>
      <c r="O4824" s="7"/>
      <c r="P4824" s="7"/>
      <c r="Q4824" s="7"/>
      <c r="R4824" s="7"/>
      <c r="S4824" s="7"/>
      <c r="T4824" s="7"/>
      <c r="U4824" s="7"/>
      <c r="V4824" s="7"/>
      <c r="W4824" s="7"/>
      <c r="X4824" s="7"/>
      <c r="Y4824" s="7"/>
      <c r="Z4824" s="7"/>
      <c r="AA4824" s="7"/>
      <c r="AB4824" s="7"/>
      <c r="AC4824" s="7"/>
      <c r="AD4824" s="7"/>
      <c r="AE4824" s="7"/>
      <c r="AF4824" s="7"/>
    </row>
    <row r="4825" spans="1:32" ht="11.4" customHeight="1">
      <c r="A4825" s="663"/>
      <c r="B4825" s="3130" t="s">
        <v>772</v>
      </c>
      <c r="C4825" s="663" t="s">
        <v>320</v>
      </c>
      <c r="D4825" s="678" t="s">
        <v>1980</v>
      </c>
      <c r="E4825" s="700" t="s">
        <v>1922</v>
      </c>
      <c r="F4825" s="795">
        <v>2223</v>
      </c>
      <c r="G4825" s="1997" t="s">
        <v>2332</v>
      </c>
      <c r="H4825" s="748"/>
      <c r="I4825" s="748">
        <v>22220</v>
      </c>
      <c r="J4825" s="1654" t="s">
        <v>1134</v>
      </c>
      <c r="K4825" s="1314"/>
      <c r="L4825" s="748"/>
      <c r="M4825" s="2831">
        <v>18227</v>
      </c>
      <c r="N4825" s="305"/>
      <c r="O4825" s="7"/>
      <c r="P4825" s="7"/>
      <c r="Q4825" s="7"/>
      <c r="R4825" s="7"/>
      <c r="S4825" s="7"/>
      <c r="T4825" s="7"/>
      <c r="U4825" s="7"/>
      <c r="V4825" s="7"/>
      <c r="W4825" s="7"/>
      <c r="X4825" s="7"/>
      <c r="Y4825" s="7"/>
      <c r="Z4825" s="7"/>
      <c r="AA4825" s="7"/>
      <c r="AB4825" s="7"/>
      <c r="AC4825" s="7"/>
      <c r="AD4825" s="7"/>
      <c r="AE4825" s="7"/>
      <c r="AF4825" s="7"/>
    </row>
    <row r="4826" spans="1:32">
      <c r="A4826" s="663"/>
      <c r="B4826" s="3130" t="s">
        <v>772</v>
      </c>
      <c r="C4826" s="663" t="s">
        <v>320</v>
      </c>
      <c r="D4826" s="678" t="s">
        <v>1980</v>
      </c>
      <c r="E4826" s="700" t="s">
        <v>1922</v>
      </c>
      <c r="F4826" s="795">
        <v>2223</v>
      </c>
      <c r="G4826" s="830" t="s">
        <v>1654</v>
      </c>
      <c r="H4826" s="748"/>
      <c r="I4826" s="748">
        <v>-4000</v>
      </c>
      <c r="J4826" s="1654" t="s">
        <v>1134</v>
      </c>
      <c r="K4826" s="1314"/>
      <c r="L4826" s="748"/>
      <c r="M4826" s="1996"/>
      <c r="N4826" s="305"/>
      <c r="O4826" s="7"/>
      <c r="P4826" s="7"/>
      <c r="Q4826" s="7"/>
      <c r="R4826" s="7"/>
      <c r="S4826" s="7"/>
      <c r="T4826" s="7"/>
      <c r="U4826" s="7"/>
      <c r="V4826" s="7"/>
      <c r="W4826" s="7"/>
      <c r="X4826" s="7"/>
      <c r="Y4826" s="7"/>
      <c r="Z4826" s="7"/>
      <c r="AA4826" s="7"/>
      <c r="AB4826" s="7"/>
      <c r="AC4826" s="7"/>
      <c r="AD4826" s="7"/>
      <c r="AE4826" s="7"/>
      <c r="AF4826" s="7"/>
    </row>
    <row r="4827" spans="1:32">
      <c r="A4827" s="683"/>
      <c r="B4827" s="3129" t="s">
        <v>772</v>
      </c>
      <c r="C4827" s="683" t="s">
        <v>322</v>
      </c>
      <c r="D4827" s="719" t="s">
        <v>1980</v>
      </c>
      <c r="E4827" s="720" t="s">
        <v>1922</v>
      </c>
      <c r="F4827" s="824">
        <v>2233</v>
      </c>
      <c r="G4827" s="800" t="s">
        <v>236</v>
      </c>
      <c r="H4827" s="893">
        <v>1940</v>
      </c>
      <c r="I4827" s="893"/>
      <c r="J4827" s="1654">
        <v>1029</v>
      </c>
      <c r="K4827" s="1251"/>
      <c r="L4827" s="893">
        <v>1940</v>
      </c>
      <c r="M4827" s="893"/>
      <c r="N4827" s="305"/>
      <c r="O4827" s="7"/>
      <c r="P4827" s="7"/>
      <c r="Q4827" s="7"/>
      <c r="R4827" s="7"/>
      <c r="S4827" s="7"/>
      <c r="T4827" s="7"/>
      <c r="U4827" s="7"/>
      <c r="V4827" s="7"/>
      <c r="W4827" s="7"/>
      <c r="X4827" s="7"/>
      <c r="Y4827" s="7"/>
      <c r="Z4827" s="7"/>
      <c r="AA4827" s="7"/>
      <c r="AB4827" s="7"/>
      <c r="AC4827" s="7"/>
      <c r="AD4827" s="7"/>
      <c r="AE4827" s="7"/>
      <c r="AF4827" s="7"/>
    </row>
    <row r="4828" spans="1:32" ht="81.599999999999994">
      <c r="A4828" s="663" t="s">
        <v>850</v>
      </c>
      <c r="B4828" s="3130" t="s">
        <v>772</v>
      </c>
      <c r="C4828" s="663" t="s">
        <v>322</v>
      </c>
      <c r="D4828" s="678" t="s">
        <v>1980</v>
      </c>
      <c r="E4828" s="700" t="s">
        <v>1922</v>
      </c>
      <c r="F4828" s="795">
        <v>2233</v>
      </c>
      <c r="G4828" s="1993" t="s">
        <v>2333</v>
      </c>
      <c r="H4828" s="748"/>
      <c r="I4828" s="748">
        <v>1300</v>
      </c>
      <c r="J4828" s="1654" t="s">
        <v>1134</v>
      </c>
      <c r="K4828" s="1314"/>
      <c r="L4828" s="748"/>
      <c r="M4828" s="1996">
        <v>1300</v>
      </c>
      <c r="N4828" s="305"/>
      <c r="O4828" s="7"/>
      <c r="P4828" s="7"/>
      <c r="Q4828" s="7"/>
      <c r="R4828" s="7"/>
      <c r="S4828" s="7"/>
      <c r="T4828" s="7"/>
      <c r="U4828" s="7"/>
      <c r="V4828" s="7"/>
      <c r="W4828" s="7"/>
      <c r="X4828" s="7"/>
      <c r="Y4828" s="7"/>
      <c r="Z4828" s="7"/>
      <c r="AA4828" s="7"/>
      <c r="AB4828" s="7"/>
      <c r="AC4828" s="7"/>
      <c r="AD4828" s="7"/>
      <c r="AE4828" s="7"/>
      <c r="AF4828" s="7"/>
    </row>
    <row r="4829" spans="1:32" ht="30.6">
      <c r="A4829" s="663" t="s">
        <v>850</v>
      </c>
      <c r="B4829" s="3130" t="s">
        <v>772</v>
      </c>
      <c r="C4829" s="663" t="s">
        <v>322</v>
      </c>
      <c r="D4829" s="678" t="s">
        <v>1980</v>
      </c>
      <c r="E4829" s="700" t="s">
        <v>1922</v>
      </c>
      <c r="F4829" s="795">
        <v>2233</v>
      </c>
      <c r="G4829" s="1993" t="s">
        <v>3909</v>
      </c>
      <c r="H4829" s="748"/>
      <c r="I4829" s="748">
        <v>640</v>
      </c>
      <c r="J4829" s="1654" t="s">
        <v>1134</v>
      </c>
      <c r="K4829" s="1314"/>
      <c r="L4829" s="748"/>
      <c r="M4829" s="1996">
        <v>640</v>
      </c>
      <c r="N4829" s="305"/>
      <c r="O4829" s="7"/>
      <c r="P4829" s="7"/>
      <c r="Q4829" s="7"/>
      <c r="R4829" s="7"/>
      <c r="S4829" s="7"/>
      <c r="T4829" s="7"/>
      <c r="U4829" s="7"/>
      <c r="V4829" s="7"/>
      <c r="W4829" s="7"/>
      <c r="X4829" s="7"/>
      <c r="Y4829" s="7"/>
      <c r="Z4829" s="7"/>
      <c r="AA4829" s="7"/>
      <c r="AB4829" s="7"/>
      <c r="AC4829" s="7"/>
      <c r="AD4829" s="7"/>
      <c r="AE4829" s="7"/>
      <c r="AF4829" s="7"/>
    </row>
    <row r="4830" spans="1:32" ht="20.399999999999999">
      <c r="A4830" s="849"/>
      <c r="B4830" s="3129" t="s">
        <v>772</v>
      </c>
      <c r="C4830" s="683" t="s">
        <v>322</v>
      </c>
      <c r="D4830" s="719" t="s">
        <v>1980</v>
      </c>
      <c r="E4830" s="720" t="s">
        <v>1922</v>
      </c>
      <c r="F4830" s="824">
        <v>2234</v>
      </c>
      <c r="G4830" s="800" t="s">
        <v>237</v>
      </c>
      <c r="H4830" s="893">
        <v>2740</v>
      </c>
      <c r="I4830" s="893"/>
      <c r="J4830" s="1654">
        <v>416</v>
      </c>
      <c r="K4830" s="1251"/>
      <c r="L4830" s="893">
        <v>1940</v>
      </c>
      <c r="M4830" s="893"/>
      <c r="N4830" s="305"/>
      <c r="O4830" s="7"/>
      <c r="P4830" s="7"/>
      <c r="Q4830" s="7"/>
      <c r="R4830" s="7"/>
      <c r="S4830" s="7"/>
      <c r="T4830" s="7"/>
      <c r="U4830" s="7"/>
      <c r="V4830" s="7"/>
      <c r="W4830" s="7"/>
      <c r="X4830" s="7"/>
      <c r="Y4830" s="7"/>
      <c r="Z4830" s="7"/>
      <c r="AA4830" s="7"/>
      <c r="AB4830" s="7"/>
      <c r="AC4830" s="7"/>
      <c r="AD4830" s="7"/>
      <c r="AE4830" s="7"/>
      <c r="AF4830" s="7"/>
    </row>
    <row r="4831" spans="1:32">
      <c r="A4831" s="841" t="s">
        <v>851</v>
      </c>
      <c r="B4831" s="3137" t="s">
        <v>772</v>
      </c>
      <c r="C4831" s="841" t="s">
        <v>322</v>
      </c>
      <c r="D4831" s="1999" t="s">
        <v>1980</v>
      </c>
      <c r="E4831" s="700" t="s">
        <v>1922</v>
      </c>
      <c r="F4831" s="795">
        <v>2234</v>
      </c>
      <c r="G4831" s="1998" t="s">
        <v>3910</v>
      </c>
      <c r="H4831" s="748"/>
      <c r="I4831" s="748">
        <v>1440</v>
      </c>
      <c r="J4831" s="1654" t="s">
        <v>1134</v>
      </c>
      <c r="K4831" s="1314"/>
      <c r="L4831" s="748"/>
      <c r="M4831" s="1996">
        <v>900</v>
      </c>
      <c r="N4831" s="305"/>
      <c r="O4831" s="7"/>
      <c r="P4831" s="7"/>
      <c r="Q4831" s="7"/>
      <c r="R4831" s="7"/>
      <c r="S4831" s="7"/>
      <c r="T4831" s="7"/>
      <c r="U4831" s="7"/>
      <c r="V4831" s="7"/>
      <c r="W4831" s="7"/>
      <c r="X4831" s="7"/>
      <c r="Y4831" s="7"/>
      <c r="Z4831" s="7"/>
      <c r="AA4831" s="7"/>
      <c r="AB4831" s="7"/>
      <c r="AC4831" s="7"/>
      <c r="AD4831" s="7"/>
      <c r="AE4831" s="7"/>
      <c r="AF4831" s="7"/>
    </row>
    <row r="4832" spans="1:32" ht="45" customHeight="1">
      <c r="A4832" s="841" t="s">
        <v>851</v>
      </c>
      <c r="B4832" s="3137" t="s">
        <v>772</v>
      </c>
      <c r="C4832" s="841" t="s">
        <v>322</v>
      </c>
      <c r="D4832" s="1999" t="s">
        <v>1980</v>
      </c>
      <c r="E4832" s="700" t="s">
        <v>1922</v>
      </c>
      <c r="F4832" s="795">
        <v>2234</v>
      </c>
      <c r="G4832" s="1998" t="s">
        <v>3911</v>
      </c>
      <c r="H4832" s="748"/>
      <c r="I4832" s="748">
        <v>1300</v>
      </c>
      <c r="J4832" s="1654" t="s">
        <v>1134</v>
      </c>
      <c r="K4832" s="1314"/>
      <c r="L4832" s="748"/>
      <c r="M4832" s="1996">
        <v>1040</v>
      </c>
      <c r="N4832" s="305"/>
      <c r="O4832" s="7"/>
      <c r="P4832" s="7"/>
      <c r="Q4832" s="7"/>
      <c r="R4832" s="7"/>
      <c r="S4832" s="7"/>
      <c r="T4832" s="7"/>
      <c r="U4832" s="7"/>
      <c r="V4832" s="7"/>
      <c r="W4832" s="7"/>
      <c r="X4832" s="7"/>
      <c r="Y4832" s="7"/>
      <c r="Z4832" s="7"/>
      <c r="AA4832" s="7"/>
      <c r="AB4832" s="7"/>
      <c r="AC4832" s="7"/>
      <c r="AD4832" s="7"/>
      <c r="AE4832" s="7"/>
      <c r="AF4832" s="7"/>
    </row>
    <row r="4833" spans="1:32" ht="191.25" customHeight="1">
      <c r="A4833" s="720"/>
      <c r="B4833" s="3129" t="s">
        <v>772</v>
      </c>
      <c r="C4833" s="720" t="s">
        <v>322</v>
      </c>
      <c r="D4833" s="823" t="s">
        <v>1980</v>
      </c>
      <c r="E4833" s="720" t="s">
        <v>1922</v>
      </c>
      <c r="F4833" s="824">
        <v>2235</v>
      </c>
      <c r="G4833" s="800" t="s">
        <v>1139</v>
      </c>
      <c r="H4833" s="893">
        <v>2050</v>
      </c>
      <c r="I4833" s="893"/>
      <c r="J4833" s="1654">
        <v>1101</v>
      </c>
      <c r="K4833" s="1251"/>
      <c r="L4833" s="893">
        <v>1500</v>
      </c>
      <c r="M4833" s="893"/>
      <c r="N4833" s="305"/>
      <c r="O4833" s="7"/>
      <c r="P4833" s="7"/>
      <c r="Q4833" s="7"/>
      <c r="R4833" s="7"/>
      <c r="S4833" s="7"/>
      <c r="T4833" s="7"/>
      <c r="U4833" s="7"/>
      <c r="V4833" s="7"/>
      <c r="W4833" s="7"/>
      <c r="X4833" s="7"/>
      <c r="Y4833" s="7"/>
      <c r="Z4833" s="7"/>
      <c r="AA4833" s="7"/>
      <c r="AB4833" s="7"/>
      <c r="AC4833" s="7"/>
      <c r="AD4833" s="7"/>
      <c r="AE4833" s="7"/>
      <c r="AF4833" s="7"/>
    </row>
    <row r="4834" spans="1:32" ht="20.399999999999999">
      <c r="A4834" s="841" t="s">
        <v>846</v>
      </c>
      <c r="B4834" s="3137" t="s">
        <v>772</v>
      </c>
      <c r="C4834" s="841" t="s">
        <v>322</v>
      </c>
      <c r="D4834" s="1999" t="s">
        <v>1980</v>
      </c>
      <c r="E4834" s="700" t="s">
        <v>1922</v>
      </c>
      <c r="F4834" s="795">
        <v>2235</v>
      </c>
      <c r="G4834" s="1993" t="s">
        <v>3912</v>
      </c>
      <c r="H4834" s="748"/>
      <c r="I4834" s="748">
        <v>2500</v>
      </c>
      <c r="J4834" s="1654" t="s">
        <v>1134</v>
      </c>
      <c r="K4834" s="1314"/>
      <c r="L4834" s="748"/>
      <c r="M4834" s="748">
        <v>1500</v>
      </c>
      <c r="N4834" s="305"/>
      <c r="O4834" s="7"/>
      <c r="P4834" s="7"/>
      <c r="Q4834" s="7"/>
      <c r="R4834" s="7"/>
      <c r="S4834" s="7"/>
      <c r="T4834" s="7"/>
      <c r="U4834" s="7"/>
      <c r="V4834" s="7"/>
      <c r="W4834" s="7"/>
      <c r="X4834" s="7"/>
      <c r="Y4834" s="7"/>
      <c r="Z4834" s="7"/>
      <c r="AA4834" s="7"/>
      <c r="AB4834" s="7"/>
      <c r="AC4834" s="7"/>
      <c r="AD4834" s="7"/>
      <c r="AE4834" s="7"/>
      <c r="AF4834" s="7"/>
    </row>
    <row r="4835" spans="1:32" ht="20.399999999999999">
      <c r="A4835" s="841" t="s">
        <v>846</v>
      </c>
      <c r="B4835" s="3137" t="s">
        <v>772</v>
      </c>
      <c r="C4835" s="841" t="s">
        <v>322</v>
      </c>
      <c r="D4835" s="1999" t="s">
        <v>1980</v>
      </c>
      <c r="E4835" s="700" t="s">
        <v>1922</v>
      </c>
      <c r="F4835" s="795">
        <v>2235</v>
      </c>
      <c r="G4835" s="830" t="s">
        <v>3405</v>
      </c>
      <c r="H4835" s="748"/>
      <c r="I4835" s="748">
        <v>-450</v>
      </c>
      <c r="J4835" s="1654" t="s">
        <v>1134</v>
      </c>
      <c r="K4835" s="1314"/>
      <c r="L4835" s="748"/>
      <c r="M4835" s="1988"/>
      <c r="N4835" s="305"/>
      <c r="O4835" s="7"/>
      <c r="P4835" s="7"/>
      <c r="Q4835" s="7"/>
      <c r="R4835" s="7"/>
      <c r="S4835" s="7"/>
      <c r="T4835" s="7"/>
      <c r="V4835" s="7"/>
      <c r="W4835" s="7"/>
      <c r="X4835" s="7"/>
      <c r="Y4835" s="7"/>
      <c r="Z4835" s="7"/>
      <c r="AA4835" s="7"/>
      <c r="AB4835" s="7"/>
      <c r="AC4835" s="7"/>
      <c r="AD4835" s="7"/>
      <c r="AE4835" s="7"/>
      <c r="AF4835" s="7"/>
    </row>
    <row r="4836" spans="1:32">
      <c r="A4836" s="720"/>
      <c r="B4836" s="3129" t="s">
        <v>772</v>
      </c>
      <c r="C4836" s="720" t="s">
        <v>320</v>
      </c>
      <c r="D4836" s="823" t="s">
        <v>1980</v>
      </c>
      <c r="E4836" s="720" t="s">
        <v>1922</v>
      </c>
      <c r="F4836" s="824">
        <v>2239</v>
      </c>
      <c r="G4836" s="800" t="s">
        <v>738</v>
      </c>
      <c r="H4836" s="893">
        <v>3579</v>
      </c>
      <c r="I4836" s="893"/>
      <c r="J4836" s="1654">
        <v>5242</v>
      </c>
      <c r="K4836" s="1251"/>
      <c r="L4836" s="893">
        <v>17335</v>
      </c>
      <c r="M4836" s="893"/>
      <c r="N4836" s="177"/>
      <c r="O4836" s="7"/>
      <c r="P4836" s="7"/>
      <c r="Q4836" s="7"/>
      <c r="R4836" s="7"/>
      <c r="S4836" s="7"/>
      <c r="T4836" s="7"/>
      <c r="V4836" s="7"/>
      <c r="W4836" s="7"/>
      <c r="X4836" s="7"/>
      <c r="Y4836" s="7"/>
      <c r="Z4836" s="7"/>
      <c r="AA4836" s="7"/>
      <c r="AB4836" s="7"/>
      <c r="AC4836" s="7"/>
      <c r="AD4836" s="7"/>
      <c r="AE4836" s="7"/>
      <c r="AF4836" s="7"/>
    </row>
    <row r="4837" spans="1:32" ht="20.399999999999999">
      <c r="A4837" s="841" t="s">
        <v>846</v>
      </c>
      <c r="B4837" s="3137" t="s">
        <v>772</v>
      </c>
      <c r="C4837" s="841" t="s">
        <v>320</v>
      </c>
      <c r="D4837" s="1999" t="s">
        <v>1980</v>
      </c>
      <c r="E4837" s="700" t="s">
        <v>1922</v>
      </c>
      <c r="F4837" s="795">
        <v>2239</v>
      </c>
      <c r="G4837" s="1883" t="s">
        <v>3913</v>
      </c>
      <c r="H4837" s="748"/>
      <c r="I4837" s="748">
        <v>1280</v>
      </c>
      <c r="J4837" s="1654" t="s">
        <v>1134</v>
      </c>
      <c r="K4837" s="1314"/>
      <c r="L4837" s="748"/>
      <c r="M4837" s="1964">
        <v>640</v>
      </c>
      <c r="N4837" s="177"/>
      <c r="O4837" s="7"/>
      <c r="P4837" s="7"/>
      <c r="Q4837" s="7"/>
      <c r="R4837" s="7"/>
      <c r="S4837" s="7"/>
      <c r="T4837" s="7"/>
      <c r="V4837" s="7"/>
      <c r="W4837" s="7"/>
      <c r="X4837" s="7"/>
      <c r="Y4837" s="7"/>
      <c r="Z4837" s="7"/>
      <c r="AA4837" s="7"/>
      <c r="AB4837" s="7"/>
      <c r="AC4837" s="7"/>
      <c r="AD4837" s="7"/>
      <c r="AE4837" s="7"/>
      <c r="AF4837" s="7"/>
    </row>
    <row r="4838" spans="1:32" ht="40.799999999999997">
      <c r="A4838" s="841" t="s">
        <v>846</v>
      </c>
      <c r="B4838" s="3137" t="s">
        <v>772</v>
      </c>
      <c r="C4838" s="841" t="s">
        <v>320</v>
      </c>
      <c r="D4838" s="1999" t="s">
        <v>1980</v>
      </c>
      <c r="E4838" s="700" t="s">
        <v>1922</v>
      </c>
      <c r="F4838" s="795">
        <v>2239</v>
      </c>
      <c r="G4838" s="1883" t="s">
        <v>4915</v>
      </c>
      <c r="H4838" s="748"/>
      <c r="I4838" s="748">
        <v>1275</v>
      </c>
      <c r="J4838" s="1654" t="s">
        <v>1134</v>
      </c>
      <c r="K4838" s="1314"/>
      <c r="L4838" s="748"/>
      <c r="M4838" s="1964">
        <v>1275</v>
      </c>
      <c r="N4838" s="655" t="s">
        <v>4498</v>
      </c>
      <c r="O4838" s="7"/>
      <c r="P4838" s="7"/>
      <c r="Q4838" s="7"/>
      <c r="R4838" s="7"/>
      <c r="S4838" s="7"/>
      <c r="T4838" s="7"/>
      <c r="U4838" s="7"/>
      <c r="V4838" s="7"/>
      <c r="W4838" s="7"/>
      <c r="X4838" s="7"/>
      <c r="Y4838" s="7"/>
      <c r="Z4838" s="7"/>
      <c r="AA4838" s="7"/>
      <c r="AB4838" s="7"/>
      <c r="AC4838" s="7"/>
      <c r="AD4838" s="7"/>
      <c r="AE4838" s="7"/>
      <c r="AF4838" s="7"/>
    </row>
    <row r="4839" spans="1:32" ht="30.6">
      <c r="A4839" s="2000"/>
      <c r="B4839" s="3137" t="s">
        <v>772</v>
      </c>
      <c r="C4839" s="841" t="s">
        <v>322</v>
      </c>
      <c r="D4839" s="1999" t="s">
        <v>1980</v>
      </c>
      <c r="E4839" s="700" t="s">
        <v>1922</v>
      </c>
      <c r="F4839" s="795">
        <v>2239</v>
      </c>
      <c r="G4839" s="2001" t="s">
        <v>3214</v>
      </c>
      <c r="H4839" s="2002"/>
      <c r="I4839" s="2002">
        <v>-847</v>
      </c>
      <c r="J4839" s="1654" t="s">
        <v>1134</v>
      </c>
      <c r="K4839" s="2003"/>
      <c r="L4839" s="2002"/>
      <c r="M4839" s="2002"/>
      <c r="N4839" s="177"/>
      <c r="O4839" s="7"/>
      <c r="P4839" s="7"/>
      <c r="Q4839" s="7"/>
      <c r="R4839" s="7"/>
      <c r="S4839" s="7"/>
      <c r="T4839" s="7"/>
      <c r="U4839" s="7"/>
      <c r="V4839" s="7"/>
      <c r="W4839" s="7"/>
      <c r="X4839" s="7"/>
      <c r="Y4839" s="7"/>
      <c r="Z4839" s="7"/>
      <c r="AA4839" s="7"/>
      <c r="AB4839" s="7"/>
      <c r="AC4839" s="7"/>
      <c r="AD4839" s="7"/>
      <c r="AE4839" s="7"/>
      <c r="AF4839" s="7"/>
    </row>
    <row r="4840" spans="1:32" ht="40.799999999999997">
      <c r="A4840" s="841"/>
      <c r="B4840" s="3137" t="s">
        <v>772</v>
      </c>
      <c r="C4840" s="841" t="s">
        <v>322</v>
      </c>
      <c r="D4840" s="1999" t="s">
        <v>1980</v>
      </c>
      <c r="E4840" s="700" t="s">
        <v>1922</v>
      </c>
      <c r="F4840" s="795">
        <v>2239</v>
      </c>
      <c r="G4840" s="1883" t="s">
        <v>3915</v>
      </c>
      <c r="H4840" s="748"/>
      <c r="I4840" s="748">
        <v>1180</v>
      </c>
      <c r="J4840" s="1654" t="s">
        <v>1134</v>
      </c>
      <c r="K4840" s="1314"/>
      <c r="L4840" s="748"/>
      <c r="M4840" s="1964">
        <v>1180</v>
      </c>
      <c r="N4840" s="177"/>
      <c r="O4840" s="7"/>
      <c r="P4840" s="7"/>
      <c r="Q4840" s="7"/>
      <c r="R4840" s="7"/>
      <c r="S4840" s="7"/>
      <c r="T4840" s="7"/>
      <c r="V4840" s="7"/>
      <c r="W4840" s="7"/>
      <c r="X4840" s="7"/>
      <c r="Y4840" s="7"/>
      <c r="Z4840" s="7"/>
      <c r="AA4840" s="7"/>
      <c r="AB4840" s="7"/>
      <c r="AC4840" s="7"/>
      <c r="AD4840" s="7"/>
      <c r="AE4840" s="7"/>
      <c r="AF4840" s="7"/>
    </row>
    <row r="4841" spans="1:32" ht="30.6">
      <c r="A4841" s="2004"/>
      <c r="B4841" s="3137" t="s">
        <v>772</v>
      </c>
      <c r="C4841" s="841" t="s">
        <v>322</v>
      </c>
      <c r="D4841" s="1999" t="s">
        <v>1980</v>
      </c>
      <c r="E4841" s="700" t="s">
        <v>1922</v>
      </c>
      <c r="F4841" s="795">
        <v>2239</v>
      </c>
      <c r="G4841" s="1883" t="s">
        <v>3916</v>
      </c>
      <c r="H4841" s="1964"/>
      <c r="I4841" s="1964"/>
      <c r="J4841" s="1739"/>
      <c r="K4841" s="1995"/>
      <c r="L4841" s="1964"/>
      <c r="M4841" s="1964">
        <v>14240</v>
      </c>
      <c r="N4841" s="177"/>
      <c r="O4841" s="7"/>
      <c r="P4841" s="7"/>
      <c r="Q4841" s="7"/>
      <c r="R4841" s="7"/>
      <c r="S4841" s="7"/>
      <c r="T4841" s="7"/>
      <c r="U4841" s="7"/>
      <c r="V4841" s="7"/>
      <c r="W4841" s="7"/>
      <c r="X4841" s="7"/>
      <c r="Y4841" s="7"/>
      <c r="Z4841" s="7"/>
      <c r="AA4841" s="7"/>
      <c r="AB4841" s="7"/>
      <c r="AC4841" s="7"/>
      <c r="AD4841" s="7"/>
      <c r="AE4841" s="7"/>
      <c r="AF4841" s="7"/>
    </row>
    <row r="4842" spans="1:32" ht="30.6">
      <c r="A4842" s="841" t="s">
        <v>846</v>
      </c>
      <c r="B4842" s="3137" t="s">
        <v>772</v>
      </c>
      <c r="C4842" s="841" t="s">
        <v>322</v>
      </c>
      <c r="D4842" s="1999" t="s">
        <v>1980</v>
      </c>
      <c r="E4842" s="700" t="s">
        <v>1922</v>
      </c>
      <c r="F4842" s="795">
        <v>2239</v>
      </c>
      <c r="G4842" s="830" t="s">
        <v>2334</v>
      </c>
      <c r="H4842" s="748"/>
      <c r="I4842" s="748">
        <v>168</v>
      </c>
      <c r="J4842" s="1654" t="s">
        <v>1134</v>
      </c>
      <c r="K4842" s="1314"/>
      <c r="L4842" s="748"/>
      <c r="M4842" s="748"/>
      <c r="N4842" s="7"/>
      <c r="O4842" s="7"/>
      <c r="P4842" s="7"/>
      <c r="Q4842" s="7"/>
      <c r="R4842" s="7"/>
      <c r="S4842" s="7"/>
      <c r="T4842" s="7"/>
      <c r="U4842" s="7"/>
      <c r="V4842" s="7"/>
      <c r="W4842" s="7"/>
      <c r="X4842" s="7"/>
      <c r="Y4842" s="7"/>
      <c r="Z4842" s="7"/>
      <c r="AA4842" s="7"/>
      <c r="AB4842" s="7"/>
      <c r="AC4842" s="7"/>
      <c r="AD4842" s="7"/>
      <c r="AE4842" s="7"/>
      <c r="AF4842" s="7"/>
    </row>
    <row r="4843" spans="1:32" ht="202.5" customHeight="1">
      <c r="A4843" s="700"/>
      <c r="B4843" s="3130" t="s">
        <v>772</v>
      </c>
      <c r="C4843" s="700" t="s">
        <v>320</v>
      </c>
      <c r="D4843" s="794" t="s">
        <v>1980</v>
      </c>
      <c r="E4843" s="700" t="s">
        <v>1922</v>
      </c>
      <c r="F4843" s="795">
        <v>2239</v>
      </c>
      <c r="G4843" s="830" t="s">
        <v>2335</v>
      </c>
      <c r="H4843" s="752"/>
      <c r="I4843" s="752">
        <v>567</v>
      </c>
      <c r="J4843" s="1654" t="s">
        <v>1134</v>
      </c>
      <c r="K4843" s="1251"/>
      <c r="L4843" s="752"/>
      <c r="M4843" s="752"/>
      <c r="N4843" s="7"/>
      <c r="O4843" s="7"/>
      <c r="P4843" s="7"/>
      <c r="Q4843" s="7"/>
      <c r="R4843" s="7"/>
      <c r="S4843" s="7"/>
      <c r="T4843" s="7"/>
      <c r="U4843" s="7"/>
      <c r="V4843" s="7"/>
      <c r="W4843" s="7"/>
      <c r="X4843" s="7"/>
      <c r="Y4843" s="7"/>
      <c r="Z4843" s="7"/>
      <c r="AA4843" s="7"/>
      <c r="AB4843" s="7"/>
      <c r="AC4843" s="7"/>
      <c r="AD4843" s="7"/>
      <c r="AE4843" s="7"/>
      <c r="AF4843" s="7"/>
    </row>
    <row r="4844" spans="1:32" ht="191.25" customHeight="1">
      <c r="A4844" s="1119"/>
      <c r="B4844" s="3130" t="s">
        <v>772</v>
      </c>
      <c r="C4844" s="700" t="s">
        <v>320</v>
      </c>
      <c r="D4844" s="794" t="s">
        <v>1980</v>
      </c>
      <c r="E4844" s="700" t="s">
        <v>1922</v>
      </c>
      <c r="F4844" s="795">
        <v>2239</v>
      </c>
      <c r="G4844" s="2001" t="s">
        <v>3058</v>
      </c>
      <c r="H4844" s="1454"/>
      <c r="I4844" s="1454">
        <v>-40</v>
      </c>
      <c r="J4844" s="1654" t="s">
        <v>1134</v>
      </c>
      <c r="K4844" s="2005"/>
      <c r="L4844" s="1454"/>
      <c r="M4844" s="1454"/>
      <c r="N4844" s="7"/>
      <c r="O4844" s="7"/>
      <c r="P4844" s="7"/>
      <c r="Q4844" s="7"/>
      <c r="R4844" s="7"/>
      <c r="S4844" s="7"/>
      <c r="T4844" s="7"/>
      <c r="U4844" s="7"/>
      <c r="V4844" s="7"/>
      <c r="W4844" s="7"/>
      <c r="X4844" s="7"/>
      <c r="Y4844" s="7"/>
      <c r="Z4844" s="7"/>
      <c r="AA4844" s="7"/>
      <c r="AB4844" s="7"/>
      <c r="AC4844" s="7"/>
      <c r="AD4844" s="7"/>
      <c r="AE4844" s="7"/>
      <c r="AF4844" s="7"/>
    </row>
    <row r="4845" spans="1:32" ht="20.399999999999999">
      <c r="A4845" s="1119"/>
      <c r="B4845" s="3130" t="s">
        <v>772</v>
      </c>
      <c r="C4845" s="700" t="s">
        <v>320</v>
      </c>
      <c r="D4845" s="794" t="s">
        <v>1980</v>
      </c>
      <c r="E4845" s="700" t="s">
        <v>1922</v>
      </c>
      <c r="F4845" s="795">
        <v>2239</v>
      </c>
      <c r="G4845" s="750" t="s">
        <v>3059</v>
      </c>
      <c r="H4845" s="748"/>
      <c r="I4845" s="748">
        <v>-4</v>
      </c>
      <c r="J4845" s="1654" t="s">
        <v>1134</v>
      </c>
      <c r="K4845" s="1314"/>
      <c r="L4845" s="748"/>
      <c r="M4845" s="748"/>
      <c r="N4845" s="7"/>
      <c r="O4845" s="7"/>
      <c r="P4845" s="7"/>
      <c r="Q4845" s="7"/>
      <c r="R4845" s="7"/>
      <c r="S4845" s="7"/>
      <c r="T4845" s="7"/>
      <c r="U4845" s="7"/>
      <c r="V4845" s="7"/>
      <c r="W4845" s="7"/>
      <c r="X4845" s="7"/>
      <c r="Y4845" s="7"/>
      <c r="Z4845" s="7"/>
      <c r="AA4845" s="7"/>
      <c r="AB4845" s="7"/>
      <c r="AC4845" s="7"/>
      <c r="AD4845" s="7"/>
      <c r="AE4845" s="7"/>
      <c r="AF4845" s="7"/>
    </row>
    <row r="4846" spans="1:32">
      <c r="A4846" s="683"/>
      <c r="B4846" s="3129" t="s">
        <v>772</v>
      </c>
      <c r="C4846" s="683" t="s">
        <v>320</v>
      </c>
      <c r="D4846" s="719" t="s">
        <v>1980</v>
      </c>
      <c r="E4846" s="720" t="s">
        <v>1922</v>
      </c>
      <c r="F4846" s="824">
        <v>2241</v>
      </c>
      <c r="G4846" s="800" t="s">
        <v>156</v>
      </c>
      <c r="H4846" s="893">
        <v>540</v>
      </c>
      <c r="I4846" s="893"/>
      <c r="J4846" s="1654">
        <v>125.51</v>
      </c>
      <c r="K4846" s="1251"/>
      <c r="L4846" s="893">
        <v>540</v>
      </c>
      <c r="M4846" s="893"/>
      <c r="N4846" s="7"/>
      <c r="O4846" s="7"/>
      <c r="P4846" s="7"/>
      <c r="Q4846" s="7"/>
      <c r="R4846" s="7"/>
      <c r="S4846" s="7"/>
      <c r="T4846" s="7"/>
      <c r="U4846" s="7"/>
      <c r="V4846" s="7"/>
      <c r="W4846" s="7"/>
      <c r="X4846" s="7"/>
      <c r="Y4846" s="7"/>
      <c r="Z4846" s="7"/>
      <c r="AA4846" s="7"/>
      <c r="AB4846" s="7"/>
      <c r="AC4846" s="7"/>
      <c r="AD4846" s="7"/>
      <c r="AE4846" s="7"/>
      <c r="AF4846" s="7"/>
    </row>
    <row r="4847" spans="1:32">
      <c r="A4847" s="774"/>
      <c r="B4847" s="3137" t="s">
        <v>772</v>
      </c>
      <c r="C4847" s="774" t="s">
        <v>320</v>
      </c>
      <c r="D4847" s="873" t="s">
        <v>1980</v>
      </c>
      <c r="E4847" s="700" t="s">
        <v>1922</v>
      </c>
      <c r="F4847" s="795">
        <v>2241</v>
      </c>
      <c r="G4847" s="1008" t="s">
        <v>794</v>
      </c>
      <c r="H4847" s="748"/>
      <c r="I4847" s="748">
        <v>540</v>
      </c>
      <c r="J4847" s="1654" t="s">
        <v>1134</v>
      </c>
      <c r="K4847" s="2006"/>
      <c r="L4847" s="748"/>
      <c r="M4847" s="748">
        <v>540</v>
      </c>
      <c r="N4847" s="7"/>
      <c r="O4847" s="7"/>
      <c r="P4847" s="7"/>
      <c r="Q4847" s="7"/>
      <c r="R4847" s="7"/>
      <c r="S4847" s="7"/>
      <c r="T4847" s="7"/>
      <c r="V4847" s="7"/>
      <c r="W4847" s="7"/>
      <c r="X4847" s="7"/>
      <c r="Y4847" s="7"/>
      <c r="Z4847" s="7"/>
      <c r="AA4847" s="7"/>
      <c r="AB4847" s="7"/>
      <c r="AC4847" s="7"/>
      <c r="AD4847" s="7"/>
      <c r="AE4847" s="7"/>
      <c r="AF4847" s="7"/>
    </row>
    <row r="4848" spans="1:32">
      <c r="A4848" s="1135"/>
      <c r="B4848" s="3137" t="s">
        <v>772</v>
      </c>
      <c r="C4848" s="774" t="s">
        <v>320</v>
      </c>
      <c r="D4848" s="873" t="s">
        <v>1980</v>
      </c>
      <c r="E4848" s="700" t="s">
        <v>1922</v>
      </c>
      <c r="F4848" s="795">
        <v>2241</v>
      </c>
      <c r="G4848" s="2007"/>
      <c r="H4848" s="2002"/>
      <c r="I4848" s="2002"/>
      <c r="J4848" s="1654" t="s">
        <v>1134</v>
      </c>
      <c r="K4848" s="2008"/>
      <c r="L4848" s="2002"/>
      <c r="M4848" s="2002"/>
      <c r="N4848" s="7"/>
      <c r="O4848" s="7"/>
      <c r="P4848" s="7"/>
      <c r="Q4848" s="7"/>
      <c r="R4848" s="7"/>
      <c r="S4848" s="7"/>
      <c r="T4848" s="7"/>
      <c r="V4848" s="7"/>
      <c r="W4848" s="7"/>
      <c r="X4848" s="7"/>
      <c r="Y4848" s="7"/>
      <c r="Z4848" s="7"/>
      <c r="AA4848" s="7"/>
      <c r="AB4848" s="7"/>
      <c r="AC4848" s="7"/>
      <c r="AD4848" s="7"/>
      <c r="AE4848" s="7"/>
      <c r="AF4848" s="7"/>
    </row>
    <row r="4849" spans="1:32" ht="20.399999999999999">
      <c r="A4849" s="683"/>
      <c r="B4849" s="3129" t="s">
        <v>772</v>
      </c>
      <c r="C4849" s="683" t="s">
        <v>320</v>
      </c>
      <c r="D4849" s="719" t="s">
        <v>1980</v>
      </c>
      <c r="E4849" s="720" t="s">
        <v>1922</v>
      </c>
      <c r="F4849" s="824">
        <v>2243</v>
      </c>
      <c r="G4849" s="800" t="s">
        <v>198</v>
      </c>
      <c r="H4849" s="893">
        <v>300</v>
      </c>
      <c r="I4849" s="893"/>
      <c r="J4849" s="1654">
        <v>0</v>
      </c>
      <c r="K4849" s="1251"/>
      <c r="L4849" s="893">
        <v>300</v>
      </c>
      <c r="M4849" s="893"/>
      <c r="N4849" s="1644"/>
      <c r="O4849" s="7"/>
      <c r="P4849" s="7"/>
      <c r="Q4849" s="7"/>
      <c r="R4849" s="7"/>
      <c r="S4849" s="7"/>
      <c r="T4849" s="7"/>
      <c r="V4849" s="7"/>
      <c r="W4849" s="7"/>
      <c r="X4849" s="7"/>
      <c r="Y4849" s="7"/>
      <c r="Z4849" s="7"/>
      <c r="AA4849" s="7"/>
      <c r="AB4849" s="7"/>
      <c r="AC4849" s="7"/>
      <c r="AD4849" s="7"/>
      <c r="AE4849" s="7"/>
      <c r="AF4849" s="7"/>
    </row>
    <row r="4850" spans="1:32">
      <c r="A4850" s="774"/>
      <c r="B4850" s="3137" t="s">
        <v>772</v>
      </c>
      <c r="C4850" s="774" t="s">
        <v>320</v>
      </c>
      <c r="D4850" s="678" t="s">
        <v>1980</v>
      </c>
      <c r="E4850" s="700" t="s">
        <v>1922</v>
      </c>
      <c r="F4850" s="795">
        <v>2243</v>
      </c>
      <c r="G4850" s="830" t="s">
        <v>1421</v>
      </c>
      <c r="H4850" s="748"/>
      <c r="I4850" s="748">
        <v>300</v>
      </c>
      <c r="J4850" s="1654" t="s">
        <v>1134</v>
      </c>
      <c r="K4850" s="1314"/>
      <c r="L4850" s="748"/>
      <c r="M4850" s="748">
        <v>300</v>
      </c>
      <c r="N4850" s="381" t="s">
        <v>4486</v>
      </c>
      <c r="O4850" s="7"/>
      <c r="P4850" s="7"/>
      <c r="Q4850" s="7"/>
      <c r="R4850" s="7"/>
      <c r="S4850" s="7"/>
      <c r="T4850" s="7"/>
      <c r="V4850" s="7"/>
      <c r="W4850" s="7"/>
      <c r="X4850" s="7"/>
      <c r="Y4850" s="7"/>
      <c r="Z4850" s="7"/>
      <c r="AA4850" s="7"/>
      <c r="AB4850" s="7"/>
      <c r="AC4850" s="7"/>
      <c r="AD4850" s="7"/>
      <c r="AE4850" s="7"/>
      <c r="AF4850" s="7"/>
    </row>
    <row r="4851" spans="1:32">
      <c r="A4851" s="683"/>
      <c r="B4851" s="3129" t="s">
        <v>772</v>
      </c>
      <c r="C4851" s="683" t="s">
        <v>320</v>
      </c>
      <c r="D4851" s="719" t="s">
        <v>1980</v>
      </c>
      <c r="E4851" s="720" t="s">
        <v>1922</v>
      </c>
      <c r="F4851" s="824">
        <v>2247</v>
      </c>
      <c r="G4851" s="800" t="s">
        <v>161</v>
      </c>
      <c r="H4851" s="893">
        <v>11100</v>
      </c>
      <c r="I4851" s="893"/>
      <c r="J4851" s="1654">
        <v>7200</v>
      </c>
      <c r="K4851" s="1251"/>
      <c r="L4851" s="893">
        <v>10600</v>
      </c>
      <c r="M4851" s="893"/>
      <c r="N4851" s="1644"/>
    </row>
    <row r="4852" spans="1:32">
      <c r="A4852" s="774"/>
      <c r="B4852" s="3137" t="s">
        <v>772</v>
      </c>
      <c r="C4852" s="774" t="s">
        <v>320</v>
      </c>
      <c r="D4852" s="873" t="s">
        <v>1980</v>
      </c>
      <c r="E4852" s="700" t="s">
        <v>1922</v>
      </c>
      <c r="F4852" s="795">
        <v>2247</v>
      </c>
      <c r="G4852" s="1883" t="s">
        <v>2336</v>
      </c>
      <c r="H4852" s="748"/>
      <c r="I4852" s="748">
        <v>10600</v>
      </c>
      <c r="J4852" s="1654" t="s">
        <v>1134</v>
      </c>
      <c r="K4852" s="1314"/>
      <c r="L4852" s="748"/>
      <c r="M4852" s="748">
        <v>10600</v>
      </c>
      <c r="N4852" s="75"/>
      <c r="O4852" s="7"/>
      <c r="P4852" s="7"/>
      <c r="Q4852" s="7"/>
      <c r="R4852" s="7"/>
      <c r="S4852" s="7"/>
      <c r="T4852" s="7"/>
      <c r="U4852" s="7"/>
      <c r="V4852" s="7"/>
      <c r="W4852" s="7"/>
      <c r="X4852" s="7"/>
      <c r="Y4852" s="7"/>
      <c r="Z4852" s="7"/>
      <c r="AA4852" s="7"/>
      <c r="AB4852" s="7"/>
      <c r="AC4852" s="7"/>
      <c r="AD4852" s="7"/>
      <c r="AE4852" s="7"/>
      <c r="AF4852" s="7"/>
    </row>
    <row r="4853" spans="1:32" ht="20.399999999999999">
      <c r="A4853" s="774"/>
      <c r="B4853" s="3137" t="s">
        <v>772</v>
      </c>
      <c r="C4853" s="774" t="s">
        <v>320</v>
      </c>
      <c r="D4853" s="873" t="s">
        <v>1980</v>
      </c>
      <c r="E4853" s="700" t="s">
        <v>1922</v>
      </c>
      <c r="F4853" s="795">
        <v>2247</v>
      </c>
      <c r="G4853" s="745" t="s">
        <v>2711</v>
      </c>
      <c r="H4853" s="748"/>
      <c r="I4853" s="748">
        <v>1500</v>
      </c>
      <c r="J4853" s="1654" t="s">
        <v>1134</v>
      </c>
      <c r="K4853" s="1313"/>
      <c r="L4853" s="748"/>
      <c r="M4853" s="748"/>
      <c r="N4853" s="1610" t="s">
        <v>4439</v>
      </c>
      <c r="O4853" s="7"/>
      <c r="P4853" s="7"/>
      <c r="Q4853" s="7"/>
      <c r="R4853" s="7"/>
      <c r="S4853" s="7"/>
      <c r="T4853" s="7"/>
      <c r="U4853" s="7"/>
      <c r="V4853" s="7"/>
      <c r="W4853" s="7"/>
      <c r="X4853" s="7"/>
      <c r="Y4853" s="7"/>
      <c r="Z4853" s="7"/>
      <c r="AA4853" s="7"/>
      <c r="AB4853" s="7"/>
      <c r="AC4853" s="7"/>
      <c r="AD4853" s="7"/>
      <c r="AE4853" s="7"/>
      <c r="AF4853" s="7"/>
    </row>
    <row r="4854" spans="1:32" ht="71.400000000000006">
      <c r="A4854" s="1572"/>
      <c r="B4854" s="3137" t="s">
        <v>772</v>
      </c>
      <c r="C4854" s="774" t="s">
        <v>320</v>
      </c>
      <c r="D4854" s="873" t="s">
        <v>1980</v>
      </c>
      <c r="E4854" s="700" t="s">
        <v>1922</v>
      </c>
      <c r="F4854" s="795">
        <v>2247</v>
      </c>
      <c r="G4854" s="1983" t="s">
        <v>3369</v>
      </c>
      <c r="H4854" s="1573"/>
      <c r="I4854" s="1573">
        <v>-1000</v>
      </c>
      <c r="J4854" s="1655"/>
      <c r="K4854" s="1984"/>
      <c r="L4854" s="1573"/>
      <c r="M4854" s="1573"/>
      <c r="N4854" s="75"/>
      <c r="O4854" s="7"/>
      <c r="P4854" s="7"/>
      <c r="Q4854" s="7"/>
      <c r="R4854" s="7"/>
      <c r="S4854" s="7"/>
      <c r="T4854" s="7"/>
      <c r="U4854" s="7"/>
      <c r="V4854" s="7"/>
      <c r="W4854" s="7"/>
      <c r="X4854" s="7"/>
      <c r="Y4854" s="7"/>
      <c r="Z4854" s="7"/>
      <c r="AA4854" s="7"/>
      <c r="AB4854" s="7"/>
      <c r="AC4854" s="7"/>
      <c r="AD4854" s="7"/>
      <c r="AE4854" s="7"/>
      <c r="AF4854" s="7"/>
    </row>
    <row r="4855" spans="1:32" ht="20.399999999999999">
      <c r="A4855" s="683"/>
      <c r="B4855" s="3129" t="s">
        <v>772</v>
      </c>
      <c r="C4855" s="683" t="s">
        <v>320</v>
      </c>
      <c r="D4855" s="719" t="s">
        <v>1980</v>
      </c>
      <c r="E4855" s="720" t="s">
        <v>1922</v>
      </c>
      <c r="F4855" s="824">
        <v>2249</v>
      </c>
      <c r="G4855" s="800" t="s">
        <v>282</v>
      </c>
      <c r="H4855" s="893">
        <v>4500</v>
      </c>
      <c r="I4855" s="893"/>
      <c r="J4855" s="1654">
        <v>0</v>
      </c>
      <c r="K4855" s="1251"/>
      <c r="L4855" s="893">
        <v>3660</v>
      </c>
      <c r="M4855" s="893"/>
      <c r="N4855" s="75"/>
      <c r="O4855" s="7"/>
      <c r="P4855" s="7"/>
      <c r="Q4855" s="7"/>
      <c r="R4855" s="7"/>
      <c r="S4855" s="7"/>
      <c r="T4855" s="7"/>
      <c r="U4855" s="7"/>
      <c r="V4855" s="7"/>
      <c r="W4855" s="7"/>
      <c r="X4855" s="7"/>
      <c r="Y4855" s="7"/>
      <c r="Z4855" s="7"/>
      <c r="AA4855" s="7"/>
      <c r="AB4855" s="7"/>
      <c r="AC4855" s="7"/>
      <c r="AD4855" s="7"/>
      <c r="AE4855" s="7"/>
      <c r="AF4855" s="7"/>
    </row>
    <row r="4856" spans="1:32" ht="30.6">
      <c r="A4856" s="774"/>
      <c r="B4856" s="3137" t="s">
        <v>772</v>
      </c>
      <c r="C4856" s="774" t="s">
        <v>320</v>
      </c>
      <c r="D4856" s="678" t="s">
        <v>1980</v>
      </c>
      <c r="E4856" s="700" t="s">
        <v>1922</v>
      </c>
      <c r="F4856" s="795">
        <v>2249</v>
      </c>
      <c r="G4856" s="1883" t="s">
        <v>3914</v>
      </c>
      <c r="H4856" s="748"/>
      <c r="I4856" s="748">
        <v>4500</v>
      </c>
      <c r="J4856" s="1654" t="s">
        <v>1134</v>
      </c>
      <c r="K4856" s="1314"/>
      <c r="L4856" s="748"/>
      <c r="M4856" s="1964">
        <v>3660</v>
      </c>
      <c r="N4856" s="75"/>
      <c r="O4856" s="7"/>
      <c r="P4856" s="7"/>
      <c r="Q4856" s="7"/>
      <c r="R4856" s="7"/>
      <c r="S4856" s="7"/>
      <c r="T4856" s="7"/>
      <c r="U4856" s="7"/>
      <c r="V4856" s="7"/>
      <c r="W4856" s="7"/>
      <c r="X4856" s="7"/>
      <c r="Y4856" s="7"/>
      <c r="Z4856" s="7"/>
      <c r="AA4856" s="7"/>
      <c r="AB4856" s="7"/>
      <c r="AC4856" s="7"/>
      <c r="AD4856" s="7"/>
      <c r="AE4856" s="7"/>
      <c r="AF4856" s="7"/>
    </row>
    <row r="4857" spans="1:32">
      <c r="A4857" s="683"/>
      <c r="B4857" s="3129" t="s">
        <v>772</v>
      </c>
      <c r="C4857" s="683" t="s">
        <v>320</v>
      </c>
      <c r="D4857" s="719" t="s">
        <v>1980</v>
      </c>
      <c r="E4857" s="720" t="s">
        <v>1922</v>
      </c>
      <c r="F4857" s="824">
        <v>2250</v>
      </c>
      <c r="G4857" s="800" t="s">
        <v>778</v>
      </c>
      <c r="H4857" s="893">
        <v>2200.6759999999995</v>
      </c>
      <c r="I4857" s="893"/>
      <c r="J4857" s="1654">
        <v>1357</v>
      </c>
      <c r="K4857" s="1251"/>
      <c r="L4857" s="893">
        <v>2281.52</v>
      </c>
      <c r="M4857" s="893"/>
      <c r="N4857" s="75" t="s">
        <v>4707</v>
      </c>
      <c r="O4857" s="7"/>
      <c r="P4857" s="7"/>
      <c r="Q4857" s="7"/>
      <c r="R4857" s="7"/>
      <c r="S4857" s="7"/>
      <c r="T4857" s="7"/>
      <c r="U4857" s="7"/>
      <c r="V4857" s="7"/>
      <c r="W4857" s="7"/>
      <c r="X4857" s="7"/>
      <c r="Y4857" s="7"/>
      <c r="Z4857" s="7"/>
      <c r="AA4857" s="7"/>
      <c r="AB4857" s="7"/>
      <c r="AC4857" s="7"/>
      <c r="AD4857" s="7"/>
      <c r="AE4857" s="7"/>
      <c r="AF4857" s="7"/>
    </row>
    <row r="4858" spans="1:32" ht="71.400000000000006">
      <c r="A4858" s="774"/>
      <c r="B4858" s="3137" t="s">
        <v>772</v>
      </c>
      <c r="C4858" s="774" t="s">
        <v>320</v>
      </c>
      <c r="D4858" s="873" t="s">
        <v>1980</v>
      </c>
      <c r="E4858" s="700" t="s">
        <v>1922</v>
      </c>
      <c r="F4858" s="795">
        <v>2250</v>
      </c>
      <c r="G4858" s="2009" t="s">
        <v>3917</v>
      </c>
      <c r="H4858" s="748"/>
      <c r="I4858" s="748">
        <v>1311.1559999999997</v>
      </c>
      <c r="J4858" s="1654" t="s">
        <v>1134</v>
      </c>
      <c r="K4858" s="1314"/>
      <c r="L4858" s="748"/>
      <c r="M4858" s="1964">
        <v>1284</v>
      </c>
      <c r="N4858" s="75"/>
      <c r="O4858" s="7"/>
      <c r="P4858" s="7"/>
      <c r="Q4858" s="7"/>
      <c r="R4858" s="7"/>
      <c r="S4858" s="7"/>
      <c r="T4858" s="7"/>
      <c r="U4858" s="7"/>
      <c r="V4858" s="7"/>
      <c r="W4858" s="7"/>
      <c r="X4858" s="7"/>
      <c r="Y4858" s="7"/>
      <c r="Z4858" s="7"/>
      <c r="AA4858" s="7"/>
      <c r="AB4858" s="7"/>
      <c r="AC4858" s="7"/>
      <c r="AD4858" s="7"/>
      <c r="AE4858" s="7"/>
      <c r="AF4858" s="7"/>
    </row>
    <row r="4859" spans="1:32" ht="51">
      <c r="A4859" s="663" t="s">
        <v>849</v>
      </c>
      <c r="B4859" s="3130" t="s">
        <v>772</v>
      </c>
      <c r="C4859" s="663" t="s">
        <v>320</v>
      </c>
      <c r="D4859" s="678" t="s">
        <v>1980</v>
      </c>
      <c r="E4859" s="700" t="s">
        <v>1922</v>
      </c>
      <c r="F4859" s="795">
        <v>2250</v>
      </c>
      <c r="G4859" s="2010" t="s">
        <v>2337</v>
      </c>
      <c r="H4859" s="748"/>
      <c r="I4859" s="748">
        <v>299.52</v>
      </c>
      <c r="J4859" s="1654" t="s">
        <v>1134</v>
      </c>
      <c r="K4859" s="1314"/>
      <c r="L4859" s="748"/>
      <c r="M4859" s="2011">
        <v>299.52</v>
      </c>
      <c r="N4859" s="75"/>
      <c r="O4859" s="7"/>
      <c r="P4859" s="7"/>
      <c r="Q4859" s="7"/>
      <c r="R4859" s="7"/>
      <c r="S4859" s="7"/>
      <c r="T4859" s="7"/>
      <c r="U4859" s="7"/>
      <c r="V4859" s="7"/>
      <c r="W4859" s="7"/>
      <c r="X4859" s="7"/>
      <c r="Y4859" s="7"/>
      <c r="Z4859" s="7"/>
      <c r="AA4859" s="7"/>
      <c r="AB4859" s="7"/>
      <c r="AC4859" s="7"/>
      <c r="AD4859" s="7"/>
      <c r="AE4859" s="7"/>
      <c r="AF4859" s="7"/>
    </row>
    <row r="4860" spans="1:32" ht="33.75" customHeight="1">
      <c r="A4860" s="663" t="s">
        <v>849</v>
      </c>
      <c r="B4860" s="3130" t="s">
        <v>772</v>
      </c>
      <c r="C4860" s="663" t="s">
        <v>320</v>
      </c>
      <c r="D4860" s="678" t="s">
        <v>1980</v>
      </c>
      <c r="E4860" s="700" t="s">
        <v>1922</v>
      </c>
      <c r="F4860" s="795">
        <v>2250</v>
      </c>
      <c r="G4860" s="2010" t="s">
        <v>2338</v>
      </c>
      <c r="H4860" s="748"/>
      <c r="I4860" s="748">
        <v>590</v>
      </c>
      <c r="J4860" s="1654" t="s">
        <v>1134</v>
      </c>
      <c r="K4860" s="1314"/>
      <c r="L4860" s="748"/>
      <c r="M4860" s="2011">
        <v>590</v>
      </c>
      <c r="N4860" s="75"/>
      <c r="O4860" s="3"/>
      <c r="P4860" s="3"/>
      <c r="Q4860" s="3"/>
      <c r="R4860" s="3"/>
      <c r="S4860" s="3"/>
      <c r="T4860" s="3"/>
      <c r="U4860" s="3"/>
      <c r="V4860" s="3"/>
      <c r="W4860" s="3"/>
      <c r="X4860" s="3"/>
      <c r="Y4860" s="3"/>
      <c r="Z4860" s="3"/>
      <c r="AA4860" s="3"/>
      <c r="AB4860" s="3"/>
      <c r="AC4860" s="3"/>
      <c r="AD4860" s="3"/>
      <c r="AE4860" s="3"/>
      <c r="AF4860" s="3"/>
    </row>
    <row r="4861" spans="1:32" ht="20.399999999999999">
      <c r="A4861" s="1135"/>
      <c r="B4861" s="3137" t="s">
        <v>772</v>
      </c>
      <c r="C4861" s="774" t="s">
        <v>320</v>
      </c>
      <c r="D4861" s="873" t="s">
        <v>1980</v>
      </c>
      <c r="E4861" s="700" t="s">
        <v>1922</v>
      </c>
      <c r="F4861" s="795">
        <v>2250</v>
      </c>
      <c r="G4861" s="1883" t="s">
        <v>4916</v>
      </c>
      <c r="H4861" s="2002"/>
      <c r="I4861" s="2002"/>
      <c r="J4861" s="1654" t="s">
        <v>1134</v>
      </c>
      <c r="K4861" s="2008"/>
      <c r="L4861" s="2002"/>
      <c r="M4861" s="2011">
        <v>108</v>
      </c>
      <c r="N4861" s="75"/>
      <c r="O4861" s="7"/>
      <c r="P4861" s="7"/>
      <c r="Q4861" s="7"/>
      <c r="R4861" s="7"/>
      <c r="S4861" s="7"/>
      <c r="T4861" s="7"/>
      <c r="U4861" s="7"/>
      <c r="V4861" s="7"/>
      <c r="W4861" s="7"/>
      <c r="X4861" s="7"/>
      <c r="Y4861" s="7"/>
      <c r="Z4861" s="7"/>
      <c r="AA4861" s="7"/>
      <c r="AB4861" s="7"/>
      <c r="AC4861" s="7"/>
      <c r="AD4861" s="7"/>
      <c r="AE4861" s="7"/>
      <c r="AF4861" s="7"/>
    </row>
    <row r="4862" spans="1:32">
      <c r="A4862" s="683"/>
      <c r="B4862" s="3129" t="s">
        <v>772</v>
      </c>
      <c r="C4862" s="683" t="s">
        <v>320</v>
      </c>
      <c r="D4862" s="719" t="s">
        <v>1980</v>
      </c>
      <c r="E4862" s="720" t="s">
        <v>1922</v>
      </c>
      <c r="F4862" s="685">
        <v>2264</v>
      </c>
      <c r="G4862" s="686" t="s">
        <v>125</v>
      </c>
      <c r="H4862" s="731">
        <v>0</v>
      </c>
      <c r="I4862" s="731"/>
      <c r="J4862" s="1494" t="s">
        <v>1134</v>
      </c>
      <c r="K4862" s="747"/>
      <c r="L4862" s="860">
        <v>0</v>
      </c>
      <c r="M4862" s="860"/>
      <c r="N4862" s="75"/>
      <c r="O4862" s="7"/>
      <c r="P4862" s="7"/>
      <c r="Q4862" s="7"/>
      <c r="R4862" s="7"/>
      <c r="S4862" s="7"/>
      <c r="T4862" s="7"/>
      <c r="U4862" s="7"/>
      <c r="V4862" s="7"/>
      <c r="W4862" s="7"/>
      <c r="X4862" s="7"/>
      <c r="Y4862" s="7"/>
      <c r="Z4862" s="7"/>
      <c r="AA4862" s="7"/>
      <c r="AB4862" s="7"/>
      <c r="AC4862" s="7"/>
      <c r="AD4862" s="7"/>
      <c r="AE4862" s="7"/>
      <c r="AF4862" s="7"/>
    </row>
    <row r="4863" spans="1:32" ht="33.75" customHeight="1">
      <c r="A4863" s="663"/>
      <c r="B4863" s="3130" t="s">
        <v>772</v>
      </c>
      <c r="C4863" s="663" t="s">
        <v>320</v>
      </c>
      <c r="D4863" s="678" t="s">
        <v>1980</v>
      </c>
      <c r="E4863" s="700" t="s">
        <v>1922</v>
      </c>
      <c r="F4863" s="679">
        <v>2264</v>
      </c>
      <c r="G4863" s="753"/>
      <c r="H4863" s="741"/>
      <c r="I4863" s="741"/>
      <c r="J4863" s="1494" t="s">
        <v>1134</v>
      </c>
      <c r="K4863" s="732"/>
      <c r="L4863" s="859"/>
      <c r="M4863" s="859"/>
      <c r="N4863" s="75"/>
      <c r="O4863" s="7"/>
      <c r="P4863" s="7"/>
      <c r="Q4863" s="7"/>
      <c r="R4863" s="7"/>
      <c r="S4863" s="7"/>
      <c r="T4863" s="7"/>
      <c r="U4863" s="7"/>
      <c r="V4863" s="7"/>
      <c r="W4863" s="7"/>
      <c r="X4863" s="7"/>
      <c r="Y4863" s="7"/>
      <c r="Z4863" s="7"/>
      <c r="AA4863" s="7"/>
      <c r="AB4863" s="7"/>
      <c r="AC4863" s="7"/>
      <c r="AD4863" s="7"/>
      <c r="AE4863" s="7"/>
      <c r="AF4863" s="7"/>
    </row>
    <row r="4864" spans="1:32">
      <c r="A4864" s="683"/>
      <c r="B4864" s="3129" t="s">
        <v>772</v>
      </c>
      <c r="C4864" s="683" t="s">
        <v>322</v>
      </c>
      <c r="D4864" s="719" t="s">
        <v>1980</v>
      </c>
      <c r="E4864" s="720" t="s">
        <v>1922</v>
      </c>
      <c r="F4864" s="824">
        <v>2311</v>
      </c>
      <c r="G4864" s="800" t="s">
        <v>129</v>
      </c>
      <c r="H4864" s="893">
        <v>2812.5</v>
      </c>
      <c r="I4864" s="893"/>
      <c r="J4864" s="1654">
        <v>2228</v>
      </c>
      <c r="K4864" s="1251"/>
      <c r="L4864" s="893">
        <v>2726.25</v>
      </c>
      <c r="M4864" s="893"/>
      <c r="N4864" s="75"/>
      <c r="O4864" s="7"/>
      <c r="P4864" s="7"/>
      <c r="Q4864" s="7"/>
      <c r="R4864" s="7"/>
      <c r="S4864" s="7"/>
      <c r="T4864" s="7"/>
      <c r="U4864" s="7"/>
      <c r="V4864" s="7"/>
      <c r="W4864" s="7"/>
      <c r="X4864" s="7"/>
      <c r="Y4864" s="7"/>
      <c r="Z4864" s="7"/>
      <c r="AA4864" s="7"/>
      <c r="AB4864" s="7"/>
      <c r="AC4864" s="7"/>
      <c r="AD4864" s="7"/>
      <c r="AE4864" s="7"/>
      <c r="AF4864" s="7"/>
    </row>
    <row r="4865" spans="1:32" ht="30.6">
      <c r="A4865" s="663"/>
      <c r="B4865" s="3130" t="s">
        <v>772</v>
      </c>
      <c r="C4865" s="663" t="s">
        <v>322</v>
      </c>
      <c r="D4865" s="678" t="s">
        <v>1980</v>
      </c>
      <c r="E4865" s="700" t="s">
        <v>1922</v>
      </c>
      <c r="F4865" s="795">
        <v>2311</v>
      </c>
      <c r="G4865" s="1703" t="s">
        <v>1101</v>
      </c>
      <c r="H4865" s="748"/>
      <c r="I4865" s="748">
        <v>600</v>
      </c>
      <c r="J4865" s="1654" t="s">
        <v>1134</v>
      </c>
      <c r="K4865" s="1314"/>
      <c r="L4865" s="748"/>
      <c r="M4865" s="1964">
        <v>600</v>
      </c>
      <c r="N4865" s="75"/>
      <c r="O4865" s="7"/>
      <c r="P4865" s="7"/>
      <c r="Q4865" s="7"/>
      <c r="R4865" s="7"/>
      <c r="S4865" s="7"/>
      <c r="T4865" s="7"/>
      <c r="U4865" s="7"/>
      <c r="V4865" s="7"/>
      <c r="W4865" s="7"/>
      <c r="X4865" s="7"/>
      <c r="Y4865" s="7"/>
      <c r="Z4865" s="7"/>
      <c r="AA4865" s="7"/>
      <c r="AB4865" s="7"/>
      <c r="AC4865" s="7"/>
      <c r="AD4865" s="7"/>
      <c r="AE4865" s="7"/>
      <c r="AF4865" s="7"/>
    </row>
    <row r="4866" spans="1:32" ht="20.399999999999999">
      <c r="A4866" s="663"/>
      <c r="B4866" s="3130" t="s">
        <v>772</v>
      </c>
      <c r="C4866" s="663" t="s">
        <v>322</v>
      </c>
      <c r="D4866" s="678" t="s">
        <v>1980</v>
      </c>
      <c r="E4866" s="700" t="s">
        <v>1922</v>
      </c>
      <c r="F4866" s="795">
        <v>2311</v>
      </c>
      <c r="G4866" s="2012" t="s">
        <v>1422</v>
      </c>
      <c r="H4866" s="748"/>
      <c r="I4866" s="748">
        <v>192.5</v>
      </c>
      <c r="J4866" s="1654" t="s">
        <v>1134</v>
      </c>
      <c r="K4866" s="1314"/>
      <c r="L4866" s="748"/>
      <c r="M4866" s="1964">
        <v>192.5</v>
      </c>
      <c r="N4866" s="75" t="s">
        <v>4708</v>
      </c>
      <c r="O4866" s="7"/>
      <c r="P4866" s="7"/>
      <c r="Q4866" s="7"/>
      <c r="R4866" s="7"/>
      <c r="S4866" s="7"/>
      <c r="T4866" s="7"/>
      <c r="U4866" s="7"/>
      <c r="V4866" s="7"/>
      <c r="W4866" s="7"/>
      <c r="X4866" s="7"/>
      <c r="Y4866" s="7"/>
      <c r="Z4866" s="7"/>
      <c r="AA4866" s="7"/>
      <c r="AB4866" s="7"/>
      <c r="AC4866" s="7"/>
      <c r="AD4866" s="7"/>
      <c r="AE4866" s="7"/>
      <c r="AF4866" s="7"/>
    </row>
    <row r="4867" spans="1:32">
      <c r="A4867" s="663"/>
      <c r="B4867" s="3130" t="s">
        <v>772</v>
      </c>
      <c r="C4867" s="663" t="s">
        <v>322</v>
      </c>
      <c r="D4867" s="678" t="s">
        <v>1980</v>
      </c>
      <c r="E4867" s="700" t="s">
        <v>1922</v>
      </c>
      <c r="F4867" s="795">
        <v>2311</v>
      </c>
      <c r="G4867" s="2013" t="s">
        <v>1102</v>
      </c>
      <c r="H4867" s="748"/>
      <c r="I4867" s="748">
        <v>100</v>
      </c>
      <c r="J4867" s="1654" t="s">
        <v>1134</v>
      </c>
      <c r="K4867" s="1314"/>
      <c r="L4867" s="748"/>
      <c r="M4867" s="1964">
        <v>100</v>
      </c>
      <c r="N4867" s="75"/>
      <c r="O4867" s="7"/>
      <c r="P4867" s="7"/>
      <c r="Q4867" s="7"/>
      <c r="R4867" s="7"/>
      <c r="S4867" s="7"/>
      <c r="T4867" s="7"/>
      <c r="V4867" s="7"/>
      <c r="W4867" s="7"/>
      <c r="X4867" s="7"/>
      <c r="Y4867" s="7"/>
      <c r="Z4867" s="7"/>
      <c r="AA4867" s="7"/>
      <c r="AB4867" s="7"/>
      <c r="AC4867" s="7"/>
      <c r="AD4867" s="7"/>
      <c r="AE4867" s="7"/>
      <c r="AF4867" s="7"/>
    </row>
    <row r="4868" spans="1:32" ht="33.75" customHeight="1">
      <c r="A4868" s="663"/>
      <c r="B4868" s="3130" t="s">
        <v>772</v>
      </c>
      <c r="C4868" s="663" t="s">
        <v>322</v>
      </c>
      <c r="D4868" s="678" t="s">
        <v>1980</v>
      </c>
      <c r="E4868" s="700" t="s">
        <v>1922</v>
      </c>
      <c r="F4868" s="795">
        <v>2311</v>
      </c>
      <c r="G4868" s="1883" t="s">
        <v>3918</v>
      </c>
      <c r="H4868" s="748"/>
      <c r="I4868" s="748">
        <v>1920</v>
      </c>
      <c r="J4868" s="1654" t="s">
        <v>1134</v>
      </c>
      <c r="K4868" s="1314"/>
      <c r="L4868" s="748"/>
      <c r="M4868" s="1964">
        <v>1833.75</v>
      </c>
      <c r="N4868" s="75"/>
      <c r="O4868" s="3"/>
      <c r="P4868" s="3"/>
      <c r="Q4868" s="3"/>
      <c r="R4868" s="3"/>
      <c r="S4868" s="3"/>
      <c r="T4868" s="3"/>
      <c r="U4868" s="3"/>
      <c r="V4868" s="3"/>
      <c r="W4868" s="3"/>
      <c r="X4868" s="3"/>
      <c r="Y4868" s="3"/>
      <c r="Z4868" s="3"/>
      <c r="AA4868" s="3"/>
      <c r="AB4868" s="3"/>
      <c r="AC4868" s="3"/>
      <c r="AD4868" s="3"/>
      <c r="AE4868" s="3"/>
      <c r="AF4868" s="3"/>
    </row>
    <row r="4869" spans="1:32">
      <c r="A4869" s="683"/>
      <c r="B4869" s="3129" t="s">
        <v>772</v>
      </c>
      <c r="C4869" s="683" t="s">
        <v>322</v>
      </c>
      <c r="D4869" s="719" t="s">
        <v>1980</v>
      </c>
      <c r="E4869" s="720" t="s">
        <v>1922</v>
      </c>
      <c r="F4869" s="824">
        <v>2312</v>
      </c>
      <c r="G4869" s="800" t="s">
        <v>131</v>
      </c>
      <c r="H4869" s="893">
        <v>5272.8</v>
      </c>
      <c r="I4869" s="893"/>
      <c r="J4869" s="1654">
        <v>5474</v>
      </c>
      <c r="K4869" s="1251"/>
      <c r="L4869" s="893">
        <v>4393</v>
      </c>
      <c r="M4869" s="893"/>
      <c r="N4869" s="75"/>
      <c r="O4869" s="7"/>
      <c r="P4869" s="7"/>
      <c r="Q4869" s="7"/>
      <c r="R4869" s="7"/>
      <c r="S4869" s="7"/>
      <c r="T4869" s="7"/>
      <c r="U4869" s="7"/>
      <c r="V4869" s="7"/>
      <c r="W4869" s="7"/>
      <c r="X4869" s="7"/>
      <c r="Y4869" s="7"/>
      <c r="Z4869" s="7"/>
      <c r="AA4869" s="7"/>
      <c r="AB4869" s="7"/>
      <c r="AC4869" s="7"/>
      <c r="AD4869" s="7"/>
      <c r="AE4869" s="7"/>
      <c r="AF4869" s="7"/>
    </row>
    <row r="4870" spans="1:32" ht="30.6">
      <c r="A4870" s="663"/>
      <c r="B4870" s="3130" t="s">
        <v>772</v>
      </c>
      <c r="C4870" s="663" t="s">
        <v>322</v>
      </c>
      <c r="D4870" s="678" t="s">
        <v>1980</v>
      </c>
      <c r="E4870" s="700" t="s">
        <v>1922</v>
      </c>
      <c r="F4870" s="795">
        <v>2312</v>
      </c>
      <c r="G4870" s="1883" t="s">
        <v>3919</v>
      </c>
      <c r="H4870" s="748"/>
      <c r="I4870" s="748"/>
      <c r="J4870" s="1654"/>
      <c r="K4870" s="1314"/>
      <c r="L4870" s="748"/>
      <c r="M4870" s="748">
        <v>1280</v>
      </c>
      <c r="N4870" s="75"/>
      <c r="O4870" s="7"/>
      <c r="P4870" s="7"/>
      <c r="Q4870" s="7"/>
      <c r="R4870" s="7"/>
      <c r="S4870" s="7"/>
      <c r="T4870" s="7"/>
      <c r="U4870" s="7"/>
      <c r="V4870" s="7"/>
      <c r="W4870" s="7"/>
      <c r="X4870" s="7"/>
      <c r="Y4870" s="7"/>
      <c r="Z4870" s="7"/>
      <c r="AA4870" s="7"/>
      <c r="AB4870" s="7"/>
      <c r="AC4870" s="7"/>
      <c r="AD4870" s="7"/>
      <c r="AE4870" s="7"/>
      <c r="AF4870" s="7"/>
    </row>
    <row r="4871" spans="1:32" ht="40.799999999999997">
      <c r="A4871" s="663"/>
      <c r="B4871" s="3130" t="s">
        <v>772</v>
      </c>
      <c r="C4871" s="663" t="s">
        <v>322</v>
      </c>
      <c r="D4871" s="678" t="s">
        <v>1980</v>
      </c>
      <c r="E4871" s="700" t="s">
        <v>1922</v>
      </c>
      <c r="F4871" s="795">
        <v>2312</v>
      </c>
      <c r="G4871" s="1883" t="s">
        <v>3920</v>
      </c>
      <c r="H4871" s="748"/>
      <c r="I4871" s="748"/>
      <c r="J4871" s="1654"/>
      <c r="K4871" s="1314"/>
      <c r="L4871" s="748"/>
      <c r="M4871" s="748">
        <v>1202</v>
      </c>
      <c r="N4871" s="75"/>
      <c r="O4871" s="7"/>
      <c r="P4871" s="7"/>
      <c r="Q4871" s="7"/>
      <c r="R4871" s="7"/>
      <c r="S4871" s="7"/>
      <c r="T4871" s="7"/>
      <c r="U4871" s="7"/>
      <c r="V4871" s="7"/>
      <c r="W4871" s="7"/>
      <c r="X4871" s="7"/>
      <c r="Y4871" s="7"/>
      <c r="Z4871" s="7"/>
      <c r="AA4871" s="7"/>
      <c r="AB4871" s="7"/>
      <c r="AC4871" s="7"/>
      <c r="AD4871" s="7"/>
      <c r="AE4871" s="7"/>
      <c r="AF4871" s="7"/>
    </row>
    <row r="4872" spans="1:32" ht="20.399999999999999">
      <c r="A4872" s="663"/>
      <c r="B4872" s="3130" t="s">
        <v>772</v>
      </c>
      <c r="C4872" s="663" t="s">
        <v>322</v>
      </c>
      <c r="D4872" s="678" t="s">
        <v>1980</v>
      </c>
      <c r="E4872" s="700" t="s">
        <v>1922</v>
      </c>
      <c r="F4872" s="795">
        <v>2312</v>
      </c>
      <c r="G4872" s="1883" t="s">
        <v>3921</v>
      </c>
      <c r="H4872" s="748"/>
      <c r="I4872" s="748"/>
      <c r="J4872" s="1654"/>
      <c r="K4872" s="1314"/>
      <c r="L4872" s="748"/>
      <c r="M4872" s="748">
        <v>61</v>
      </c>
      <c r="N4872" s="75"/>
      <c r="O4872" s="7"/>
      <c r="P4872" s="7"/>
      <c r="Q4872" s="7"/>
      <c r="R4872" s="7"/>
      <c r="S4872" s="7"/>
      <c r="T4872" s="7"/>
      <c r="U4872" s="7"/>
      <c r="V4872" s="7"/>
      <c r="W4872" s="7"/>
      <c r="X4872" s="7"/>
      <c r="Y4872" s="7"/>
      <c r="Z4872" s="7"/>
      <c r="AA4872" s="7"/>
      <c r="AB4872" s="7"/>
      <c r="AC4872" s="7"/>
      <c r="AD4872" s="7"/>
      <c r="AE4872" s="7"/>
      <c r="AF4872" s="7"/>
    </row>
    <row r="4873" spans="1:32" ht="20.399999999999999">
      <c r="A4873" s="663"/>
      <c r="B4873" s="3130" t="s">
        <v>772</v>
      </c>
      <c r="C4873" s="663" t="s">
        <v>322</v>
      </c>
      <c r="D4873" s="678" t="s">
        <v>1980</v>
      </c>
      <c r="E4873" s="700" t="s">
        <v>1922</v>
      </c>
      <c r="F4873" s="795">
        <v>2312</v>
      </c>
      <c r="G4873" s="1883" t="s">
        <v>3922</v>
      </c>
      <c r="H4873" s="748"/>
      <c r="I4873" s="748"/>
      <c r="J4873" s="1654"/>
      <c r="K4873" s="1314"/>
      <c r="L4873" s="748"/>
      <c r="M4873" s="748">
        <v>119</v>
      </c>
      <c r="N4873" s="75"/>
      <c r="O4873" s="7"/>
      <c r="P4873" s="7"/>
      <c r="Q4873" s="7"/>
      <c r="R4873" s="7"/>
      <c r="S4873" s="7"/>
      <c r="T4873" s="7"/>
      <c r="U4873" s="7"/>
      <c r="V4873" s="7"/>
      <c r="W4873" s="7"/>
      <c r="X4873" s="7"/>
      <c r="Y4873" s="7"/>
      <c r="Z4873" s="7"/>
      <c r="AA4873" s="7"/>
      <c r="AB4873" s="7"/>
      <c r="AC4873" s="7"/>
      <c r="AD4873" s="7"/>
      <c r="AE4873" s="7"/>
      <c r="AF4873" s="7"/>
    </row>
    <row r="4874" spans="1:32" ht="11.4" customHeight="1">
      <c r="A4874" s="663"/>
      <c r="B4874" s="3130" t="s">
        <v>772</v>
      </c>
      <c r="C4874" s="663" t="s">
        <v>322</v>
      </c>
      <c r="D4874" s="678" t="s">
        <v>1980</v>
      </c>
      <c r="E4874" s="700" t="s">
        <v>1922</v>
      </c>
      <c r="F4874" s="795">
        <v>2312</v>
      </c>
      <c r="G4874" s="1883" t="s">
        <v>3923</v>
      </c>
      <c r="H4874" s="748"/>
      <c r="I4874" s="748"/>
      <c r="J4874" s="1654"/>
      <c r="K4874" s="1314"/>
      <c r="L4874" s="748"/>
      <c r="M4874" s="748">
        <v>0</v>
      </c>
      <c r="N4874" s="75"/>
      <c r="O4874" s="7"/>
      <c r="P4874" s="7"/>
      <c r="Q4874" s="7"/>
      <c r="R4874" s="193"/>
      <c r="S4874" s="126"/>
      <c r="T4874" s="126"/>
      <c r="U4874" s="7"/>
      <c r="V4874" s="7"/>
      <c r="W4874" s="7"/>
      <c r="X4874" s="7"/>
      <c r="Y4874" s="7"/>
      <c r="Z4874" s="7"/>
      <c r="AA4874" s="7"/>
      <c r="AB4874" s="7"/>
      <c r="AC4874" s="7"/>
      <c r="AD4874" s="7"/>
      <c r="AE4874" s="7"/>
      <c r="AF4874" s="7"/>
    </row>
    <row r="4875" spans="1:32" ht="20.399999999999999">
      <c r="A4875" s="663"/>
      <c r="B4875" s="3130" t="s">
        <v>772</v>
      </c>
      <c r="C4875" s="663" t="s">
        <v>322</v>
      </c>
      <c r="D4875" s="678" t="s">
        <v>1980</v>
      </c>
      <c r="E4875" s="700" t="s">
        <v>1922</v>
      </c>
      <c r="F4875" s="795">
        <v>2312</v>
      </c>
      <c r="G4875" s="1883" t="s">
        <v>3924</v>
      </c>
      <c r="H4875" s="748"/>
      <c r="I4875" s="748"/>
      <c r="J4875" s="1654"/>
      <c r="K4875" s="1314"/>
      <c r="L4875" s="748"/>
      <c r="M4875" s="748">
        <v>972</v>
      </c>
      <c r="N4875" s="75"/>
      <c r="O4875" s="7"/>
      <c r="P4875" s="7"/>
      <c r="Q4875" s="7"/>
      <c r="R4875" s="193"/>
      <c r="S4875" s="126"/>
      <c r="T4875" s="126"/>
      <c r="U4875" s="7"/>
      <c r="V4875" s="7"/>
      <c r="W4875" s="7"/>
      <c r="X4875" s="7"/>
      <c r="Y4875" s="7"/>
      <c r="Z4875" s="7"/>
      <c r="AA4875" s="7"/>
      <c r="AB4875" s="7"/>
      <c r="AC4875" s="7"/>
      <c r="AD4875" s="7"/>
      <c r="AE4875" s="7"/>
      <c r="AF4875" s="7"/>
    </row>
    <row r="4876" spans="1:32" ht="20.399999999999999">
      <c r="A4876" s="663"/>
      <c r="B4876" s="3130" t="s">
        <v>772</v>
      </c>
      <c r="C4876" s="663" t="s">
        <v>322</v>
      </c>
      <c r="D4876" s="678" t="s">
        <v>1980</v>
      </c>
      <c r="E4876" s="700" t="s">
        <v>1922</v>
      </c>
      <c r="F4876" s="795">
        <v>2312</v>
      </c>
      <c r="G4876" s="1883" t="s">
        <v>3925</v>
      </c>
      <c r="H4876" s="748"/>
      <c r="I4876" s="748"/>
      <c r="J4876" s="1654"/>
      <c r="K4876" s="1314"/>
      <c r="L4876" s="748"/>
      <c r="M4876" s="748">
        <v>0</v>
      </c>
      <c r="N4876" s="1644"/>
      <c r="O4876" s="7"/>
      <c r="P4876" s="7"/>
      <c r="Q4876" s="7"/>
      <c r="R4876" s="7"/>
      <c r="S4876" s="7"/>
      <c r="T4876" s="7"/>
      <c r="U4876" s="7"/>
      <c r="V4876" s="7"/>
      <c r="W4876" s="7"/>
      <c r="X4876" s="7"/>
      <c r="Y4876" s="7"/>
      <c r="Z4876" s="7"/>
      <c r="AA4876" s="7"/>
      <c r="AB4876" s="7"/>
      <c r="AC4876" s="7"/>
      <c r="AD4876" s="7"/>
      <c r="AE4876" s="7"/>
      <c r="AF4876" s="7"/>
    </row>
    <row r="4877" spans="1:32" ht="20.399999999999999">
      <c r="A4877" s="663"/>
      <c r="B4877" s="3130" t="s">
        <v>772</v>
      </c>
      <c r="C4877" s="663" t="s">
        <v>322</v>
      </c>
      <c r="D4877" s="678" t="s">
        <v>1980</v>
      </c>
      <c r="E4877" s="700" t="s">
        <v>1922</v>
      </c>
      <c r="F4877" s="795">
        <v>2312</v>
      </c>
      <c r="G4877" s="1883" t="s">
        <v>3926</v>
      </c>
      <c r="H4877" s="748"/>
      <c r="I4877" s="748"/>
      <c r="J4877" s="1654"/>
      <c r="K4877" s="1314"/>
      <c r="L4877" s="748"/>
      <c r="M4877" s="748">
        <v>437</v>
      </c>
      <c r="N4877" s="1644"/>
      <c r="O4877" s="7"/>
      <c r="P4877" s="7"/>
      <c r="Q4877" s="7"/>
      <c r="R4877" s="7"/>
      <c r="S4877" s="7"/>
      <c r="T4877" s="7"/>
      <c r="U4877" s="7"/>
      <c r="V4877" s="7"/>
      <c r="W4877" s="7"/>
      <c r="X4877" s="7"/>
      <c r="Y4877" s="7"/>
      <c r="Z4877" s="7"/>
      <c r="AA4877" s="7"/>
      <c r="AB4877" s="7"/>
      <c r="AC4877" s="7"/>
      <c r="AD4877" s="7"/>
      <c r="AE4877" s="7"/>
      <c r="AF4877" s="7"/>
    </row>
    <row r="4878" spans="1:32" ht="20.399999999999999">
      <c r="A4878" s="663"/>
      <c r="B4878" s="3130" t="s">
        <v>772</v>
      </c>
      <c r="C4878" s="663" t="s">
        <v>322</v>
      </c>
      <c r="D4878" s="678" t="s">
        <v>1980</v>
      </c>
      <c r="E4878" s="700" t="s">
        <v>1922</v>
      </c>
      <c r="F4878" s="795">
        <v>2312</v>
      </c>
      <c r="G4878" s="1883" t="s">
        <v>3927</v>
      </c>
      <c r="H4878" s="748"/>
      <c r="I4878" s="748"/>
      <c r="J4878" s="1654"/>
      <c r="K4878" s="1314"/>
      <c r="L4878" s="748"/>
      <c r="M4878" s="748">
        <v>132</v>
      </c>
      <c r="N4878" s="1644"/>
      <c r="O4878" s="7"/>
      <c r="P4878" s="7"/>
      <c r="Q4878" s="7"/>
      <c r="R4878" s="7"/>
      <c r="S4878" s="7"/>
      <c r="T4878" s="7"/>
      <c r="U4878" s="7"/>
      <c r="V4878" s="7"/>
      <c r="W4878" s="7"/>
      <c r="X4878" s="7"/>
      <c r="Y4878" s="7"/>
      <c r="Z4878" s="7"/>
      <c r="AA4878" s="7"/>
      <c r="AB4878" s="7"/>
      <c r="AC4878" s="7"/>
      <c r="AD4878" s="7"/>
      <c r="AE4878" s="7"/>
      <c r="AF4878" s="7"/>
    </row>
    <row r="4879" spans="1:32" ht="20.399999999999999">
      <c r="A4879" s="1669"/>
      <c r="B4879" s="3130" t="s">
        <v>772</v>
      </c>
      <c r="C4879" s="663" t="s">
        <v>322</v>
      </c>
      <c r="D4879" s="678" t="s">
        <v>1980</v>
      </c>
      <c r="E4879" s="700" t="s">
        <v>1922</v>
      </c>
      <c r="F4879" s="795">
        <v>2312</v>
      </c>
      <c r="G4879" s="1990" t="s">
        <v>3950</v>
      </c>
      <c r="H4879" s="1964"/>
      <c r="I4879" s="1964"/>
      <c r="J4879" s="1739"/>
      <c r="K4879" s="1995"/>
      <c r="L4879" s="1964"/>
      <c r="M4879" s="1964">
        <v>190</v>
      </c>
      <c r="N4879" s="1644"/>
      <c r="O4879" s="7"/>
      <c r="P4879" s="7"/>
      <c r="Q4879" s="7"/>
      <c r="R4879" s="7"/>
      <c r="S4879" s="7"/>
      <c r="T4879" s="7"/>
      <c r="U4879" s="7"/>
      <c r="V4879" s="7"/>
      <c r="W4879" s="7"/>
      <c r="X4879" s="7"/>
      <c r="Y4879" s="7"/>
      <c r="Z4879" s="7"/>
      <c r="AA4879" s="7"/>
      <c r="AB4879" s="7"/>
      <c r="AC4879" s="7"/>
      <c r="AD4879" s="7"/>
      <c r="AE4879" s="7"/>
      <c r="AF4879" s="7"/>
    </row>
    <row r="4880" spans="1:32" ht="30.6">
      <c r="A4880" s="663" t="s">
        <v>853</v>
      </c>
      <c r="B4880" s="3130" t="s">
        <v>772</v>
      </c>
      <c r="C4880" s="663" t="s">
        <v>322</v>
      </c>
      <c r="D4880" s="678" t="s">
        <v>1980</v>
      </c>
      <c r="E4880" s="700" t="s">
        <v>1922</v>
      </c>
      <c r="F4880" s="795">
        <v>2312</v>
      </c>
      <c r="G4880" s="830" t="s">
        <v>2339</v>
      </c>
      <c r="H4880" s="748"/>
      <c r="I4880" s="748">
        <v>1737</v>
      </c>
      <c r="J4880" s="1654" t="s">
        <v>1134</v>
      </c>
      <c r="K4880" s="1314"/>
      <c r="L4880" s="748"/>
      <c r="M4880" s="748"/>
      <c r="N4880" s="1644"/>
      <c r="O4880" s="7"/>
      <c r="P4880" s="7"/>
      <c r="Q4880" s="7"/>
      <c r="R4880" s="7"/>
      <c r="S4880" s="7"/>
      <c r="T4880" s="7"/>
      <c r="U4880" s="7"/>
      <c r="V4880" s="7"/>
      <c r="W4880" s="7"/>
      <c r="X4880" s="7"/>
      <c r="Y4880" s="7"/>
      <c r="Z4880" s="7"/>
      <c r="AA4880" s="7"/>
      <c r="AB4880" s="7"/>
      <c r="AC4880" s="7"/>
      <c r="AD4880" s="7"/>
      <c r="AE4880" s="7"/>
    </row>
    <row r="4881" spans="1:32" ht="30.6">
      <c r="A4881" s="663" t="s">
        <v>853</v>
      </c>
      <c r="B4881" s="3130" t="s">
        <v>772</v>
      </c>
      <c r="C4881" s="663" t="s">
        <v>322</v>
      </c>
      <c r="D4881" s="678" t="s">
        <v>1980</v>
      </c>
      <c r="E4881" s="700" t="s">
        <v>1922</v>
      </c>
      <c r="F4881" s="795">
        <v>2312</v>
      </c>
      <c r="G4881" s="830" t="s">
        <v>2340</v>
      </c>
      <c r="H4881" s="748"/>
      <c r="I4881" s="748">
        <v>705</v>
      </c>
      <c r="J4881" s="1654" t="s">
        <v>1134</v>
      </c>
      <c r="K4881" s="1314"/>
      <c r="L4881" s="748"/>
      <c r="M4881" s="748"/>
      <c r="N4881" s="1644"/>
    </row>
    <row r="4882" spans="1:32" ht="30.6">
      <c r="A4882" s="663" t="s">
        <v>853</v>
      </c>
      <c r="B4882" s="3130" t="s">
        <v>772</v>
      </c>
      <c r="C4882" s="663" t="s">
        <v>322</v>
      </c>
      <c r="D4882" s="678" t="s">
        <v>1980</v>
      </c>
      <c r="E4882" s="700" t="s">
        <v>1922</v>
      </c>
      <c r="F4882" s="795">
        <v>2312</v>
      </c>
      <c r="G4882" s="830" t="s">
        <v>2341</v>
      </c>
      <c r="H4882" s="748"/>
      <c r="I4882" s="748">
        <v>320</v>
      </c>
      <c r="J4882" s="1654" t="s">
        <v>1134</v>
      </c>
      <c r="K4882" s="1314"/>
      <c r="L4882" s="748"/>
      <c r="M4882" s="748"/>
      <c r="N4882" s="1644"/>
    </row>
    <row r="4883" spans="1:32" ht="51">
      <c r="A4883" s="663" t="s">
        <v>853</v>
      </c>
      <c r="B4883" s="3130" t="s">
        <v>772</v>
      </c>
      <c r="C4883" s="663" t="s">
        <v>322</v>
      </c>
      <c r="D4883" s="678" t="s">
        <v>1980</v>
      </c>
      <c r="E4883" s="700" t="s">
        <v>1922</v>
      </c>
      <c r="F4883" s="795">
        <v>2312</v>
      </c>
      <c r="G4883" s="830" t="s">
        <v>2342</v>
      </c>
      <c r="H4883" s="748"/>
      <c r="I4883" s="748">
        <v>778</v>
      </c>
      <c r="J4883" s="1654" t="s">
        <v>1134</v>
      </c>
      <c r="K4883" s="1314"/>
      <c r="L4883" s="748"/>
      <c r="M4883" s="748"/>
      <c r="N4883" s="1644"/>
      <c r="O4883" s="7"/>
      <c r="P4883" s="7"/>
      <c r="Q4883" s="7"/>
      <c r="R4883" s="7"/>
      <c r="S4883" s="7"/>
      <c r="T4883" s="7"/>
      <c r="U4883" s="7"/>
      <c r="V4883" s="7"/>
      <c r="W4883" s="7"/>
      <c r="X4883" s="7"/>
      <c r="Y4883" s="7"/>
      <c r="Z4883" s="7"/>
      <c r="AA4883" s="7"/>
      <c r="AB4883" s="7"/>
      <c r="AC4883" s="7"/>
      <c r="AD4883" s="7"/>
      <c r="AE4883" s="7"/>
      <c r="AF4883" s="7"/>
    </row>
    <row r="4884" spans="1:32" ht="30.6">
      <c r="A4884" s="663" t="s">
        <v>853</v>
      </c>
      <c r="B4884" s="3130" t="s">
        <v>772</v>
      </c>
      <c r="C4884" s="663" t="s">
        <v>322</v>
      </c>
      <c r="D4884" s="678" t="s">
        <v>1980</v>
      </c>
      <c r="E4884" s="700" t="s">
        <v>1922</v>
      </c>
      <c r="F4884" s="795">
        <v>2312</v>
      </c>
      <c r="G4884" s="830" t="s">
        <v>2343</v>
      </c>
      <c r="H4884" s="748"/>
      <c r="I4884" s="748">
        <v>1190</v>
      </c>
      <c r="J4884" s="1654" t="s">
        <v>1134</v>
      </c>
      <c r="K4884" s="1314"/>
      <c r="L4884" s="748"/>
      <c r="M4884" s="748"/>
      <c r="N4884" s="1644"/>
      <c r="O4884" s="3"/>
      <c r="P4884" s="3"/>
      <c r="Q4884" s="3"/>
      <c r="R4884" s="3"/>
      <c r="S4884" s="3"/>
      <c r="T4884" s="3"/>
      <c r="U4884" s="3"/>
      <c r="V4884" s="3"/>
      <c r="W4884" s="3"/>
      <c r="X4884" s="3"/>
      <c r="Y4884" s="3"/>
      <c r="Z4884" s="3"/>
      <c r="AA4884" s="3"/>
      <c r="AB4884" s="3"/>
      <c r="AC4884" s="3"/>
      <c r="AD4884" s="3"/>
      <c r="AE4884" s="3"/>
      <c r="AF4884" s="3"/>
    </row>
    <row r="4885" spans="1:32" ht="20.399999999999999">
      <c r="A4885" s="663" t="s">
        <v>853</v>
      </c>
      <c r="B4885" s="3130" t="s">
        <v>772</v>
      </c>
      <c r="C4885" s="663" t="s">
        <v>322</v>
      </c>
      <c r="D4885" s="678" t="s">
        <v>1980</v>
      </c>
      <c r="E4885" s="700" t="s">
        <v>1922</v>
      </c>
      <c r="F4885" s="795">
        <v>2312</v>
      </c>
      <c r="G4885" s="830" t="s">
        <v>2344</v>
      </c>
      <c r="H4885" s="748"/>
      <c r="I4885" s="748">
        <v>519.79999999999995</v>
      </c>
      <c r="J4885" s="1654" t="s">
        <v>1134</v>
      </c>
      <c r="K4885" s="1314"/>
      <c r="L4885" s="748"/>
      <c r="M4885" s="748"/>
      <c r="N4885" s="75"/>
      <c r="O4885" s="3"/>
      <c r="P4885" s="3"/>
      <c r="Q4885" s="3"/>
      <c r="R4885" s="3"/>
      <c r="S4885" s="3"/>
      <c r="T4885" s="3"/>
      <c r="U4885" s="3"/>
      <c r="V4885" s="3"/>
      <c r="W4885" s="3"/>
      <c r="X4885" s="3"/>
      <c r="Y4885" s="3"/>
      <c r="Z4885" s="3"/>
      <c r="AA4885" s="3"/>
      <c r="AB4885" s="3"/>
      <c r="AC4885" s="3"/>
      <c r="AD4885" s="3"/>
      <c r="AE4885" s="3"/>
      <c r="AF4885" s="3"/>
    </row>
    <row r="4886" spans="1:32" ht="30.6">
      <c r="A4886" s="663" t="s">
        <v>853</v>
      </c>
      <c r="B4886" s="3130" t="s">
        <v>772</v>
      </c>
      <c r="C4886" s="663" t="s">
        <v>322</v>
      </c>
      <c r="D4886" s="678" t="s">
        <v>1980</v>
      </c>
      <c r="E4886" s="700" t="s">
        <v>1922</v>
      </c>
      <c r="F4886" s="795">
        <v>2312</v>
      </c>
      <c r="G4886" s="830" t="s">
        <v>3214</v>
      </c>
      <c r="H4886" s="748"/>
      <c r="I4886" s="748">
        <v>847</v>
      </c>
      <c r="J4886" s="1654" t="s">
        <v>1134</v>
      </c>
      <c r="K4886" s="1314"/>
      <c r="L4886" s="748"/>
      <c r="M4886" s="748"/>
      <c r="N4886" s="75"/>
      <c r="O4886" s="3"/>
      <c r="P4886" s="3"/>
      <c r="Q4886" s="3"/>
      <c r="R4886" s="3"/>
      <c r="S4886" s="3"/>
      <c r="T4886" s="3"/>
      <c r="U4886" s="3"/>
      <c r="V4886" s="3"/>
      <c r="W4886" s="3"/>
      <c r="X4886" s="3"/>
      <c r="Y4886" s="3"/>
      <c r="Z4886" s="3"/>
      <c r="AA4886" s="3"/>
      <c r="AB4886" s="3"/>
      <c r="AC4886" s="3"/>
      <c r="AD4886" s="3"/>
      <c r="AE4886" s="3"/>
      <c r="AF4886" s="3"/>
    </row>
    <row r="4887" spans="1:32" ht="30.6">
      <c r="A4887" s="603"/>
      <c r="B4887" s="3130" t="s">
        <v>772</v>
      </c>
      <c r="C4887" s="663" t="s">
        <v>322</v>
      </c>
      <c r="D4887" s="678" t="s">
        <v>1980</v>
      </c>
      <c r="E4887" s="700" t="s">
        <v>1922</v>
      </c>
      <c r="F4887" s="795">
        <v>2312</v>
      </c>
      <c r="G4887" s="830" t="s">
        <v>3215</v>
      </c>
      <c r="H4887" s="2002"/>
      <c r="I4887" s="2002">
        <v>885</v>
      </c>
      <c r="J4887" s="1654" t="s">
        <v>1134</v>
      </c>
      <c r="K4887" s="2003"/>
      <c r="L4887" s="2002"/>
      <c r="M4887" s="2002"/>
      <c r="N4887" s="75"/>
      <c r="O4887" s="7"/>
      <c r="P4887" s="7"/>
      <c r="Q4887" s="7"/>
      <c r="R4887" s="3"/>
      <c r="S4887" s="3"/>
      <c r="T4887" s="3"/>
      <c r="U4887" s="3"/>
      <c r="V4887" s="3"/>
      <c r="W4887" s="3"/>
      <c r="X4887" s="3"/>
      <c r="Y4887" s="3"/>
      <c r="Z4887" s="3"/>
      <c r="AA4887" s="3"/>
      <c r="AB4887" s="3"/>
      <c r="AC4887" s="3"/>
      <c r="AD4887" s="3"/>
      <c r="AE4887" s="3"/>
      <c r="AF4887" s="3"/>
    </row>
    <row r="4888" spans="1:32" ht="20.399999999999999">
      <c r="A4888" s="663" t="s">
        <v>853</v>
      </c>
      <c r="B4888" s="3130" t="s">
        <v>772</v>
      </c>
      <c r="C4888" s="663" t="s">
        <v>322</v>
      </c>
      <c r="D4888" s="678" t="s">
        <v>1980</v>
      </c>
      <c r="E4888" s="700" t="s">
        <v>1922</v>
      </c>
      <c r="F4888" s="795">
        <v>2312</v>
      </c>
      <c r="G4888" s="2014" t="s">
        <v>3456</v>
      </c>
      <c r="H4888" s="748"/>
      <c r="I4888" s="748">
        <v>-1709</v>
      </c>
      <c r="J4888" s="1654" t="s">
        <v>1134</v>
      </c>
      <c r="K4888" s="1314"/>
      <c r="L4888" s="748"/>
      <c r="M4888" s="748"/>
      <c r="N4888" s="75"/>
      <c r="O4888" s="7"/>
      <c r="P4888" s="7"/>
      <c r="Q4888" s="7"/>
      <c r="R4888" s="7"/>
      <c r="S4888" s="7"/>
      <c r="T4888" s="7"/>
      <c r="U4888" s="7"/>
      <c r="V4888" s="7"/>
      <c r="W4888" s="7"/>
      <c r="X4888" s="7"/>
      <c r="Y4888" s="7"/>
      <c r="Z4888" s="7"/>
      <c r="AA4888" s="7"/>
      <c r="AB4888" s="7"/>
      <c r="AC4888" s="7"/>
      <c r="AD4888" s="7"/>
      <c r="AE4888" s="7"/>
      <c r="AF4888" s="7"/>
    </row>
    <row r="4889" spans="1:32" ht="11.4" customHeight="1">
      <c r="A4889" s="683"/>
      <c r="B4889" s="3129" t="s">
        <v>772</v>
      </c>
      <c r="C4889" s="683" t="s">
        <v>320</v>
      </c>
      <c r="D4889" s="719" t="s">
        <v>1980</v>
      </c>
      <c r="E4889" s="720" t="s">
        <v>1922</v>
      </c>
      <c r="F4889" s="824">
        <v>2314</v>
      </c>
      <c r="G4889" s="800" t="s">
        <v>1143</v>
      </c>
      <c r="H4889" s="893">
        <v>1939</v>
      </c>
      <c r="I4889" s="893"/>
      <c r="J4889" s="1654">
        <v>1438</v>
      </c>
      <c r="K4889" s="1251"/>
      <c r="L4889" s="893">
        <v>1934</v>
      </c>
      <c r="M4889" s="893"/>
      <c r="N4889" s="75"/>
      <c r="O4889" s="7"/>
      <c r="P4889" s="7"/>
      <c r="Q4889" s="7"/>
      <c r="R4889" s="3"/>
      <c r="S4889" s="3"/>
      <c r="T4889" s="3"/>
      <c r="U4889" s="3"/>
      <c r="V4889" s="3"/>
      <c r="W4889" s="3"/>
      <c r="X4889" s="3"/>
      <c r="Y4889" s="3"/>
      <c r="Z4889" s="3"/>
      <c r="AA4889" s="3"/>
      <c r="AB4889" s="3"/>
      <c r="AC4889" s="3"/>
      <c r="AD4889" s="3"/>
      <c r="AE4889" s="3"/>
    </row>
    <row r="4890" spans="1:32" ht="30.6">
      <c r="A4890" s="663"/>
      <c r="B4890" s="3130" t="s">
        <v>772</v>
      </c>
      <c r="C4890" s="663" t="s">
        <v>320</v>
      </c>
      <c r="D4890" s="678" t="s">
        <v>1980</v>
      </c>
      <c r="E4890" s="700" t="s">
        <v>1922</v>
      </c>
      <c r="F4890" s="795">
        <v>2314</v>
      </c>
      <c r="G4890" s="2012" t="s">
        <v>857</v>
      </c>
      <c r="H4890" s="1964"/>
      <c r="I4890" s="1964">
        <v>300</v>
      </c>
      <c r="J4890" s="1739" t="s">
        <v>1134</v>
      </c>
      <c r="K4890" s="1995"/>
      <c r="L4890" s="1964"/>
      <c r="M4890" s="1964">
        <v>300</v>
      </c>
      <c r="N4890" s="75"/>
      <c r="O4890" s="7"/>
      <c r="P4890" s="7"/>
      <c r="Q4890" s="7"/>
      <c r="R4890" s="7"/>
      <c r="S4890" s="7"/>
      <c r="T4890" s="7"/>
      <c r="U4890" s="7"/>
      <c r="V4890" s="7"/>
      <c r="W4890" s="7"/>
      <c r="X4890" s="7"/>
      <c r="Y4890" s="7"/>
      <c r="Z4890" s="7"/>
      <c r="AA4890" s="7"/>
      <c r="AB4890" s="7"/>
      <c r="AC4890" s="7"/>
      <c r="AD4890" s="7"/>
      <c r="AE4890" s="7"/>
      <c r="AF4890" s="7"/>
    </row>
    <row r="4891" spans="1:32" ht="30.6">
      <c r="A4891" s="663"/>
      <c r="B4891" s="3130" t="s">
        <v>772</v>
      </c>
      <c r="C4891" s="663" t="s">
        <v>320</v>
      </c>
      <c r="D4891" s="678" t="s">
        <v>1980</v>
      </c>
      <c r="E4891" s="700" t="s">
        <v>1922</v>
      </c>
      <c r="F4891" s="795">
        <v>2314</v>
      </c>
      <c r="G4891" s="1703" t="s">
        <v>858</v>
      </c>
      <c r="H4891" s="1964"/>
      <c r="I4891" s="1964">
        <v>250</v>
      </c>
      <c r="J4891" s="1739" t="s">
        <v>1134</v>
      </c>
      <c r="K4891" s="1995"/>
      <c r="L4891" s="1964"/>
      <c r="M4891" s="1964">
        <v>250</v>
      </c>
      <c r="N4891" s="75"/>
      <c r="O4891" s="7"/>
      <c r="P4891" s="7"/>
      <c r="Q4891" s="7"/>
      <c r="R4891" s="3"/>
      <c r="S4891" s="3"/>
      <c r="T4891" s="3"/>
      <c r="U4891" s="3"/>
      <c r="V4891" s="3"/>
      <c r="W4891" s="3"/>
      <c r="X4891" s="3"/>
      <c r="Y4891" s="3"/>
      <c r="Z4891" s="3"/>
      <c r="AA4891" s="3"/>
      <c r="AB4891" s="3"/>
      <c r="AC4891" s="3"/>
      <c r="AD4891" s="3"/>
      <c r="AE4891" s="3"/>
      <c r="AF4891" s="3"/>
    </row>
    <row r="4892" spans="1:32" ht="33.75" customHeight="1">
      <c r="A4892" s="663"/>
      <c r="B4892" s="3130" t="s">
        <v>772</v>
      </c>
      <c r="C4892" s="663" t="s">
        <v>320</v>
      </c>
      <c r="D4892" s="678" t="s">
        <v>1980</v>
      </c>
      <c r="E4892" s="700" t="s">
        <v>1922</v>
      </c>
      <c r="F4892" s="795">
        <v>2314</v>
      </c>
      <c r="G4892" s="1883" t="s">
        <v>3928</v>
      </c>
      <c r="H4892" s="1964"/>
      <c r="I4892" s="1964">
        <v>250</v>
      </c>
      <c r="J4892" s="1739" t="s">
        <v>1134</v>
      </c>
      <c r="K4892" s="1995"/>
      <c r="L4892" s="1964"/>
      <c r="M4892" s="1964">
        <v>250</v>
      </c>
      <c r="N4892" s="1644"/>
      <c r="O4892" s="7"/>
      <c r="P4892" s="7"/>
      <c r="Q4892" s="7"/>
      <c r="R4892" s="3"/>
      <c r="S4892" s="3"/>
      <c r="T4892" s="3"/>
      <c r="U4892" s="3"/>
      <c r="V4892" s="3"/>
      <c r="W4892" s="3"/>
      <c r="X4892" s="3"/>
      <c r="Y4892" s="3"/>
      <c r="Z4892" s="3"/>
      <c r="AA4892" s="3"/>
      <c r="AB4892" s="3"/>
      <c r="AC4892" s="3"/>
      <c r="AD4892" s="3"/>
      <c r="AE4892" s="3"/>
      <c r="AF4892" s="3"/>
    </row>
    <row r="4893" spans="1:32" ht="30.6">
      <c r="A4893" s="663"/>
      <c r="B4893" s="3130" t="s">
        <v>772</v>
      </c>
      <c r="C4893" s="663" t="s">
        <v>320</v>
      </c>
      <c r="D4893" s="678" t="s">
        <v>1980</v>
      </c>
      <c r="E4893" s="700" t="s">
        <v>1922</v>
      </c>
      <c r="F4893" s="795">
        <v>2314</v>
      </c>
      <c r="G4893" s="1993" t="s">
        <v>3929</v>
      </c>
      <c r="H4893" s="1964"/>
      <c r="I4893" s="1964">
        <v>549</v>
      </c>
      <c r="J4893" s="1739" t="s">
        <v>1134</v>
      </c>
      <c r="K4893" s="1995"/>
      <c r="L4893" s="1964"/>
      <c r="M4893" s="1964">
        <v>594</v>
      </c>
      <c r="N4893" s="1644"/>
      <c r="O4893" s="7"/>
      <c r="P4893" s="7"/>
      <c r="Q4893" s="7"/>
      <c r="R4893" s="7"/>
      <c r="S4893" s="7"/>
      <c r="T4893" s="7"/>
      <c r="U4893" s="7"/>
      <c r="V4893" s="7"/>
      <c r="W4893" s="7"/>
      <c r="X4893" s="7"/>
      <c r="Y4893" s="7"/>
      <c r="Z4893" s="7"/>
      <c r="AA4893" s="7"/>
      <c r="AB4893" s="7"/>
      <c r="AC4893" s="7"/>
      <c r="AD4893" s="7"/>
      <c r="AE4893" s="7"/>
      <c r="AF4893" s="7"/>
    </row>
    <row r="4894" spans="1:32" ht="40.799999999999997">
      <c r="A4894" s="663"/>
      <c r="B4894" s="3130" t="s">
        <v>772</v>
      </c>
      <c r="C4894" s="663" t="s">
        <v>320</v>
      </c>
      <c r="D4894" s="678" t="s">
        <v>1980</v>
      </c>
      <c r="E4894" s="700" t="s">
        <v>1922</v>
      </c>
      <c r="F4894" s="795">
        <v>2314</v>
      </c>
      <c r="G4894" s="1993" t="s">
        <v>2345</v>
      </c>
      <c r="H4894" s="1964"/>
      <c r="I4894" s="1964">
        <v>420</v>
      </c>
      <c r="J4894" s="1739" t="s">
        <v>1134</v>
      </c>
      <c r="K4894" s="1995"/>
      <c r="L4894" s="1964"/>
      <c r="M4894" s="1964">
        <v>420</v>
      </c>
      <c r="N4894" s="75"/>
      <c r="O4894" s="7"/>
      <c r="P4894" s="7"/>
      <c r="Q4894" s="7"/>
      <c r="R4894" s="3"/>
      <c r="S4894" s="3"/>
      <c r="T4894" s="3"/>
      <c r="U4894" s="3"/>
      <c r="V4894" s="3"/>
      <c r="W4894" s="3"/>
      <c r="X4894" s="3"/>
      <c r="Y4894" s="3"/>
      <c r="Z4894" s="3"/>
      <c r="AA4894" s="3"/>
      <c r="AB4894" s="3"/>
      <c r="AC4894" s="3"/>
      <c r="AD4894" s="3"/>
      <c r="AE4894" s="3"/>
      <c r="AF4894" s="3"/>
    </row>
    <row r="4895" spans="1:32">
      <c r="A4895" s="663"/>
      <c r="B4895" s="3130" t="s">
        <v>772</v>
      </c>
      <c r="C4895" s="663" t="s">
        <v>320</v>
      </c>
      <c r="D4895" s="678" t="s">
        <v>1980</v>
      </c>
      <c r="E4895" s="700" t="s">
        <v>1922</v>
      </c>
      <c r="F4895" s="795">
        <v>2314</v>
      </c>
      <c r="G4895" s="1881" t="s">
        <v>2346</v>
      </c>
      <c r="H4895" s="1964"/>
      <c r="I4895" s="1964">
        <v>70</v>
      </c>
      <c r="J4895" s="1739" t="s">
        <v>1134</v>
      </c>
      <c r="K4895" s="1995"/>
      <c r="L4895" s="1964"/>
      <c r="M4895" s="1964">
        <v>70</v>
      </c>
      <c r="N4895" s="75"/>
      <c r="O4895" s="7"/>
      <c r="P4895" s="7"/>
      <c r="Q4895" s="7"/>
      <c r="R4895" s="3"/>
      <c r="S4895" s="3"/>
      <c r="T4895" s="3"/>
      <c r="U4895" s="3"/>
      <c r="V4895" s="3"/>
      <c r="W4895" s="3"/>
      <c r="X4895" s="3"/>
      <c r="Y4895" s="3"/>
      <c r="Z4895" s="3"/>
      <c r="AA4895" s="3"/>
      <c r="AB4895" s="3"/>
      <c r="AC4895" s="3"/>
      <c r="AD4895" s="3"/>
      <c r="AE4895" s="3"/>
      <c r="AF4895" s="3"/>
    </row>
    <row r="4896" spans="1:32">
      <c r="A4896" s="663"/>
      <c r="B4896" s="3130" t="s">
        <v>772</v>
      </c>
      <c r="C4896" s="663" t="s">
        <v>320</v>
      </c>
      <c r="D4896" s="678" t="s">
        <v>1980</v>
      </c>
      <c r="E4896" s="700" t="s">
        <v>1922</v>
      </c>
      <c r="F4896" s="795">
        <v>2314</v>
      </c>
      <c r="G4896" s="1881" t="s">
        <v>3930</v>
      </c>
      <c r="H4896" s="1964"/>
      <c r="I4896" s="1964">
        <v>100</v>
      </c>
      <c r="J4896" s="1739" t="s">
        <v>1134</v>
      </c>
      <c r="K4896" s="1995"/>
      <c r="L4896" s="1964"/>
      <c r="M4896" s="1964">
        <v>50</v>
      </c>
      <c r="N4896" s="75"/>
      <c r="O4896" s="187"/>
      <c r="P4896" s="187"/>
      <c r="Q4896" s="187"/>
      <c r="R4896" s="187"/>
      <c r="S4896" s="187"/>
      <c r="T4896" s="187"/>
      <c r="U4896" s="187"/>
      <c r="V4896" s="187"/>
      <c r="W4896" s="187"/>
      <c r="X4896" s="187"/>
      <c r="Y4896" s="187"/>
      <c r="Z4896" s="187"/>
      <c r="AA4896" s="187"/>
      <c r="AB4896" s="187"/>
      <c r="AC4896" s="187"/>
      <c r="AD4896" s="187"/>
      <c r="AE4896" s="187"/>
      <c r="AF4896" s="187"/>
    </row>
    <row r="4897" spans="1:32">
      <c r="A4897" s="683"/>
      <c r="B4897" s="3129" t="s">
        <v>772</v>
      </c>
      <c r="C4897" s="683" t="s">
        <v>320</v>
      </c>
      <c r="D4897" s="719" t="s">
        <v>1980</v>
      </c>
      <c r="E4897" s="720" t="s">
        <v>1922</v>
      </c>
      <c r="F4897" s="824">
        <v>2322</v>
      </c>
      <c r="G4897" s="800" t="s">
        <v>229</v>
      </c>
      <c r="H4897" s="893">
        <v>435</v>
      </c>
      <c r="I4897" s="893"/>
      <c r="J4897" s="1654">
        <v>232</v>
      </c>
      <c r="K4897" s="1251"/>
      <c r="L4897" s="893">
        <v>300</v>
      </c>
      <c r="M4897" s="893"/>
      <c r="N4897" s="75"/>
      <c r="O4897" s="187"/>
      <c r="P4897" s="187"/>
      <c r="Q4897" s="187"/>
      <c r="R4897" s="187"/>
      <c r="S4897" s="187"/>
      <c r="T4897" s="187"/>
      <c r="U4897" s="187"/>
      <c r="V4897" s="187"/>
      <c r="W4897" s="187"/>
      <c r="X4897" s="187"/>
      <c r="Y4897" s="187"/>
      <c r="Z4897" s="187"/>
      <c r="AA4897" s="187"/>
      <c r="AB4897" s="187"/>
      <c r="AC4897" s="187"/>
      <c r="AD4897" s="187"/>
      <c r="AE4897" s="187"/>
      <c r="AF4897" s="187"/>
    </row>
    <row r="4898" spans="1:32" ht="30.6">
      <c r="A4898" s="663"/>
      <c r="B4898" s="3130" t="s">
        <v>772</v>
      </c>
      <c r="C4898" s="663" t="s">
        <v>320</v>
      </c>
      <c r="D4898" s="678" t="s">
        <v>1980</v>
      </c>
      <c r="E4898" s="700" t="s">
        <v>1922</v>
      </c>
      <c r="F4898" s="795">
        <v>2322</v>
      </c>
      <c r="G4898" s="830" t="s">
        <v>2764</v>
      </c>
      <c r="H4898" s="748"/>
      <c r="I4898" s="748">
        <v>435</v>
      </c>
      <c r="J4898" s="1654" t="s">
        <v>1134</v>
      </c>
      <c r="K4898" s="1314"/>
      <c r="L4898" s="748"/>
      <c r="M4898" s="1996">
        <v>300</v>
      </c>
      <c r="N4898" s="75"/>
      <c r="O4898" s="7"/>
      <c r="P4898" s="7"/>
      <c r="Q4898" s="7"/>
      <c r="R4898" s="7"/>
      <c r="S4898" s="7"/>
      <c r="T4898" s="7"/>
      <c r="U4898" s="7"/>
      <c r="V4898" s="7"/>
      <c r="W4898" s="7"/>
      <c r="X4898" s="7"/>
      <c r="Y4898" s="7"/>
      <c r="Z4898" s="7"/>
      <c r="AA4898" s="7"/>
      <c r="AB4898" s="7"/>
      <c r="AC4898" s="7"/>
      <c r="AD4898" s="7"/>
      <c r="AE4898" s="7"/>
      <c r="AF4898" s="7"/>
    </row>
    <row r="4899" spans="1:32">
      <c r="A4899" s="683"/>
      <c r="B4899" s="3129" t="s">
        <v>772</v>
      </c>
      <c r="C4899" s="683" t="s">
        <v>322</v>
      </c>
      <c r="D4899" s="719" t="s">
        <v>1980</v>
      </c>
      <c r="E4899" s="720" t="s">
        <v>1922</v>
      </c>
      <c r="F4899" s="824">
        <v>2341</v>
      </c>
      <c r="G4899" s="800" t="s">
        <v>208</v>
      </c>
      <c r="H4899" s="893">
        <v>240</v>
      </c>
      <c r="I4899" s="893"/>
      <c r="J4899" s="1654">
        <v>124.33</v>
      </c>
      <c r="K4899" s="1251"/>
      <c r="L4899" s="893">
        <v>240</v>
      </c>
      <c r="M4899" s="893"/>
      <c r="N4899" s="1644"/>
      <c r="O4899" s="7"/>
      <c r="P4899" s="7"/>
      <c r="Q4899" s="7"/>
      <c r="R4899" s="3"/>
      <c r="S4899" s="3"/>
      <c r="T4899" s="3"/>
      <c r="U4899" s="3"/>
      <c r="V4899" s="3"/>
      <c r="W4899" s="3"/>
      <c r="X4899" s="3"/>
      <c r="Y4899" s="3"/>
      <c r="Z4899" s="3"/>
      <c r="AA4899" s="3"/>
      <c r="AB4899" s="3"/>
      <c r="AC4899" s="3"/>
      <c r="AD4899" s="3"/>
      <c r="AE4899" s="3"/>
      <c r="AF4899" s="3"/>
    </row>
    <row r="4900" spans="1:32" ht="20.399999999999999">
      <c r="A4900" s="663"/>
      <c r="B4900" s="3130" t="s">
        <v>772</v>
      </c>
      <c r="C4900" s="663" t="s">
        <v>322</v>
      </c>
      <c r="D4900" s="678" t="s">
        <v>1980</v>
      </c>
      <c r="E4900" s="700" t="s">
        <v>1922</v>
      </c>
      <c r="F4900" s="795">
        <v>2341</v>
      </c>
      <c r="G4900" s="745" t="s">
        <v>2347</v>
      </c>
      <c r="H4900" s="748"/>
      <c r="I4900" s="748">
        <v>240</v>
      </c>
      <c r="J4900" s="1654" t="s">
        <v>1134</v>
      </c>
      <c r="K4900" s="1314"/>
      <c r="L4900" s="748"/>
      <c r="M4900" s="748">
        <v>240</v>
      </c>
      <c r="N4900" s="1490" t="s">
        <v>4707</v>
      </c>
      <c r="O4900" s="7"/>
      <c r="P4900" s="7"/>
      <c r="Q4900" s="7"/>
      <c r="R4900" s="3"/>
      <c r="S4900" s="3"/>
      <c r="T4900" s="3"/>
      <c r="U4900" s="3"/>
      <c r="V4900" s="3"/>
      <c r="W4900" s="3"/>
      <c r="X4900" s="3"/>
      <c r="Y4900" s="3"/>
      <c r="Z4900" s="3"/>
      <c r="AA4900" s="3"/>
      <c r="AB4900" s="3"/>
      <c r="AC4900" s="3"/>
      <c r="AD4900" s="3"/>
      <c r="AE4900" s="3"/>
      <c r="AF4900" s="3"/>
    </row>
    <row r="4901" spans="1:32">
      <c r="A4901" s="720"/>
      <c r="B4901" s="3129" t="s">
        <v>772</v>
      </c>
      <c r="C4901" s="720" t="s">
        <v>320</v>
      </c>
      <c r="D4901" s="823" t="s">
        <v>1980</v>
      </c>
      <c r="E4901" s="720" t="s">
        <v>1922</v>
      </c>
      <c r="F4901" s="824">
        <v>2350</v>
      </c>
      <c r="G4901" s="800" t="s">
        <v>792</v>
      </c>
      <c r="H4901" s="893">
        <v>5038</v>
      </c>
      <c r="I4901" s="893"/>
      <c r="J4901" s="1654">
        <v>4280</v>
      </c>
      <c r="K4901" s="1251"/>
      <c r="L4901" s="893">
        <v>4778</v>
      </c>
      <c r="M4901" s="893"/>
      <c r="N4901" s="1644"/>
      <c r="O4901" s="3"/>
      <c r="P4901" s="3"/>
      <c r="Q4901" s="3"/>
      <c r="R4901" s="3"/>
      <c r="S4901" s="3"/>
      <c r="T4901" s="3"/>
      <c r="U4901" s="3"/>
      <c r="V4901" s="3"/>
      <c r="W4901" s="3"/>
      <c r="X4901" s="3"/>
      <c r="Y4901" s="3"/>
      <c r="Z4901" s="3"/>
      <c r="AA4901" s="3"/>
      <c r="AB4901" s="3"/>
      <c r="AC4901" s="3"/>
      <c r="AD4901" s="3"/>
      <c r="AE4901" s="3"/>
      <c r="AF4901" s="3"/>
    </row>
    <row r="4902" spans="1:32" ht="51">
      <c r="A4902" s="700"/>
      <c r="B4902" s="3130" t="s">
        <v>772</v>
      </c>
      <c r="C4902" s="700" t="s">
        <v>320</v>
      </c>
      <c r="D4902" s="794" t="s">
        <v>1980</v>
      </c>
      <c r="E4902" s="700" t="s">
        <v>1922</v>
      </c>
      <c r="F4902" s="795">
        <v>2350</v>
      </c>
      <c r="G4902" s="830" t="s">
        <v>3931</v>
      </c>
      <c r="H4902" s="748"/>
      <c r="I4902" s="748">
        <v>2200</v>
      </c>
      <c r="J4902" s="1654" t="s">
        <v>1134</v>
      </c>
      <c r="K4902" s="1314"/>
      <c r="L4902" s="748"/>
      <c r="M4902" s="748">
        <v>990</v>
      </c>
      <c r="N4902" s="1644"/>
      <c r="O4902" s="7"/>
      <c r="P4902" s="7"/>
      <c r="Q4902" s="7"/>
      <c r="R4902" s="7"/>
      <c r="S4902" s="7"/>
      <c r="T4902" s="7"/>
      <c r="U4902" s="7"/>
      <c r="V4902" s="7"/>
      <c r="W4902" s="7"/>
      <c r="X4902" s="7"/>
      <c r="Y4902" s="7"/>
      <c r="Z4902" s="7"/>
      <c r="AA4902" s="7"/>
      <c r="AB4902" s="7"/>
      <c r="AC4902" s="7"/>
      <c r="AD4902" s="7"/>
      <c r="AE4902" s="7"/>
      <c r="AF4902" s="7"/>
    </row>
    <row r="4903" spans="1:32" ht="191.25" customHeight="1">
      <c r="A4903" s="700"/>
      <c r="B4903" s="3130" t="s">
        <v>772</v>
      </c>
      <c r="C4903" s="700" t="s">
        <v>320</v>
      </c>
      <c r="D4903" s="794" t="s">
        <v>1980</v>
      </c>
      <c r="E4903" s="700" t="s">
        <v>1922</v>
      </c>
      <c r="F4903" s="795">
        <v>2350</v>
      </c>
      <c r="G4903" s="1993" t="s">
        <v>2348</v>
      </c>
      <c r="H4903" s="748"/>
      <c r="I4903" s="748">
        <v>528</v>
      </c>
      <c r="J4903" s="1654" t="s">
        <v>1134</v>
      </c>
      <c r="K4903" s="1314"/>
      <c r="L4903" s="748"/>
      <c r="M4903" s="748">
        <v>528</v>
      </c>
      <c r="N4903" s="1644"/>
      <c r="O4903" s="7"/>
      <c r="P4903" s="7"/>
      <c r="Q4903" s="7"/>
      <c r="R4903" s="7"/>
      <c r="S4903" s="7"/>
      <c r="T4903" s="7"/>
      <c r="U4903" s="7"/>
      <c r="V4903" s="7"/>
      <c r="W4903" s="7"/>
      <c r="X4903" s="7"/>
      <c r="Y4903" s="7"/>
      <c r="Z4903" s="7"/>
      <c r="AA4903" s="7"/>
      <c r="AB4903" s="7"/>
      <c r="AC4903" s="7"/>
      <c r="AD4903" s="7"/>
      <c r="AE4903" s="7"/>
      <c r="AF4903" s="7"/>
    </row>
    <row r="4904" spans="1:32" ht="30.6">
      <c r="A4904" s="700"/>
      <c r="B4904" s="3130" t="s">
        <v>772</v>
      </c>
      <c r="C4904" s="700" t="s">
        <v>320</v>
      </c>
      <c r="D4904" s="794" t="s">
        <v>1980</v>
      </c>
      <c r="E4904" s="700" t="s">
        <v>1922</v>
      </c>
      <c r="F4904" s="795">
        <v>2350</v>
      </c>
      <c r="G4904" s="2012" t="s">
        <v>3932</v>
      </c>
      <c r="H4904" s="748"/>
      <c r="I4904" s="748">
        <v>300</v>
      </c>
      <c r="J4904" s="1654" t="s">
        <v>1134</v>
      </c>
      <c r="K4904" s="1314"/>
      <c r="L4904" s="748"/>
      <c r="M4904" s="748">
        <v>560</v>
      </c>
      <c r="N4904" s="1644"/>
      <c r="O4904" s="7"/>
      <c r="P4904" s="7"/>
      <c r="Q4904" s="7"/>
      <c r="R4904" s="7"/>
      <c r="S4904" s="7"/>
      <c r="T4904" s="7"/>
      <c r="U4904" s="7"/>
      <c r="V4904" s="7"/>
      <c r="W4904" s="7"/>
      <c r="X4904" s="7"/>
      <c r="Y4904" s="7"/>
      <c r="Z4904" s="7"/>
      <c r="AA4904" s="7"/>
      <c r="AB4904" s="7"/>
      <c r="AC4904" s="7"/>
      <c r="AD4904" s="7"/>
      <c r="AE4904" s="7"/>
      <c r="AF4904" s="7"/>
    </row>
    <row r="4905" spans="1:32" ht="40.799999999999997">
      <c r="A4905" s="700" t="s">
        <v>853</v>
      </c>
      <c r="B4905" s="3130" t="s">
        <v>772</v>
      </c>
      <c r="C4905" s="700" t="s">
        <v>322</v>
      </c>
      <c r="D4905" s="794" t="s">
        <v>1980</v>
      </c>
      <c r="E4905" s="700" t="s">
        <v>1922</v>
      </c>
      <c r="F4905" s="795">
        <v>2350</v>
      </c>
      <c r="G4905" s="1883" t="s">
        <v>3933</v>
      </c>
      <c r="H4905" s="748"/>
      <c r="I4905" s="748">
        <v>770</v>
      </c>
      <c r="J4905" s="1654" t="s">
        <v>1134</v>
      </c>
      <c r="K4905" s="1314"/>
      <c r="L4905" s="748"/>
      <c r="M4905" s="748">
        <v>770</v>
      </c>
      <c r="N4905" s="75"/>
      <c r="O4905" s="187"/>
      <c r="P4905" s="187"/>
      <c r="Q4905" s="187"/>
      <c r="R4905" s="187"/>
      <c r="S4905" s="187"/>
      <c r="T4905" s="187"/>
      <c r="U4905" s="187"/>
      <c r="V4905" s="187"/>
      <c r="W4905" s="187"/>
      <c r="X4905" s="187"/>
      <c r="Y4905" s="187"/>
      <c r="Z4905" s="187"/>
      <c r="AA4905" s="187"/>
      <c r="AB4905" s="187"/>
      <c r="AC4905" s="187"/>
      <c r="AD4905" s="187"/>
      <c r="AE4905" s="187"/>
      <c r="AF4905" s="187"/>
    </row>
    <row r="4906" spans="1:32">
      <c r="A4906" s="700"/>
      <c r="B4906" s="3130" t="s">
        <v>772</v>
      </c>
      <c r="C4906" s="700" t="s">
        <v>320</v>
      </c>
      <c r="D4906" s="794" t="s">
        <v>1980</v>
      </c>
      <c r="E4906" s="700" t="s">
        <v>1922</v>
      </c>
      <c r="F4906" s="795">
        <v>2350</v>
      </c>
      <c r="G4906" s="745" t="s">
        <v>1424</v>
      </c>
      <c r="H4906" s="748"/>
      <c r="I4906" s="748">
        <v>100</v>
      </c>
      <c r="J4906" s="1654" t="s">
        <v>1134</v>
      </c>
      <c r="K4906" s="1314"/>
      <c r="L4906" s="748"/>
      <c r="M4906" s="748">
        <v>100</v>
      </c>
      <c r="N4906" s="75"/>
      <c r="O4906" s="187"/>
      <c r="P4906" s="187"/>
      <c r="Q4906" s="187"/>
      <c r="R4906" s="187"/>
      <c r="S4906" s="187"/>
      <c r="T4906" s="187"/>
      <c r="U4906" s="187"/>
      <c r="V4906" s="187"/>
      <c r="W4906" s="187"/>
      <c r="X4906" s="187"/>
      <c r="Y4906" s="187"/>
      <c r="Z4906" s="187"/>
      <c r="AA4906" s="187"/>
      <c r="AB4906" s="187"/>
      <c r="AC4906" s="187"/>
      <c r="AD4906" s="187"/>
      <c r="AE4906" s="187"/>
      <c r="AF4906" s="187"/>
    </row>
    <row r="4907" spans="1:32" ht="20.399999999999999">
      <c r="A4907" s="700" t="s">
        <v>855</v>
      </c>
      <c r="B4907" s="3130" t="s">
        <v>772</v>
      </c>
      <c r="C4907" s="700" t="s">
        <v>320</v>
      </c>
      <c r="D4907" s="794" t="s">
        <v>1980</v>
      </c>
      <c r="E4907" s="700" t="s">
        <v>1922</v>
      </c>
      <c r="F4907" s="795">
        <v>2350</v>
      </c>
      <c r="G4907" s="1993" t="s">
        <v>2350</v>
      </c>
      <c r="H4907" s="748"/>
      <c r="I4907" s="748">
        <v>165</v>
      </c>
      <c r="J4907" s="1654" t="s">
        <v>1134</v>
      </c>
      <c r="K4907" s="1314"/>
      <c r="L4907" s="748"/>
      <c r="M4907" s="748">
        <v>165</v>
      </c>
      <c r="N4907" s="75"/>
      <c r="O4907" s="187"/>
      <c r="P4907" s="187"/>
      <c r="Q4907" s="187"/>
      <c r="R4907" s="4"/>
      <c r="S4907" s="4"/>
      <c r="T4907" s="4"/>
      <c r="V4907" s="187"/>
      <c r="W4907" s="187"/>
      <c r="X4907" s="187"/>
      <c r="Y4907" s="187"/>
      <c r="Z4907" s="187"/>
      <c r="AA4907" s="187"/>
      <c r="AB4907" s="187"/>
      <c r="AC4907" s="187"/>
      <c r="AD4907" s="187"/>
      <c r="AE4907" s="187"/>
      <c r="AF4907" s="187"/>
    </row>
    <row r="4908" spans="1:32" ht="40.799999999999997">
      <c r="A4908" s="700" t="s">
        <v>855</v>
      </c>
      <c r="B4908" s="3130" t="s">
        <v>772</v>
      </c>
      <c r="C4908" s="700" t="s">
        <v>320</v>
      </c>
      <c r="D4908" s="794" t="s">
        <v>1980</v>
      </c>
      <c r="E4908" s="700" t="s">
        <v>1922</v>
      </c>
      <c r="F4908" s="795">
        <v>2350</v>
      </c>
      <c r="G4908" s="1993" t="s">
        <v>3934</v>
      </c>
      <c r="H4908" s="748"/>
      <c r="I4908" s="748">
        <v>280</v>
      </c>
      <c r="J4908" s="1654" t="s">
        <v>1134</v>
      </c>
      <c r="K4908" s="1314"/>
      <c r="L4908" s="748"/>
      <c r="M4908" s="748">
        <v>315</v>
      </c>
      <c r="N4908" s="75"/>
      <c r="O4908" s="187"/>
      <c r="P4908" s="187"/>
      <c r="Q4908" s="187"/>
      <c r="R4908" s="187"/>
      <c r="S4908" s="187"/>
      <c r="T4908" s="187"/>
      <c r="U4908" s="187"/>
      <c r="V4908" s="187"/>
      <c r="W4908" s="187"/>
      <c r="X4908" s="187"/>
      <c r="Y4908" s="187"/>
      <c r="Z4908" s="187"/>
      <c r="AA4908" s="187"/>
      <c r="AB4908" s="187"/>
      <c r="AC4908" s="187"/>
      <c r="AD4908" s="187"/>
      <c r="AE4908" s="187"/>
      <c r="AF4908" s="187"/>
    </row>
    <row r="4909" spans="1:32" ht="30.6">
      <c r="A4909" s="700" t="s">
        <v>853</v>
      </c>
      <c r="B4909" s="3130" t="s">
        <v>772</v>
      </c>
      <c r="C4909" s="700" t="s">
        <v>320</v>
      </c>
      <c r="D4909" s="794" t="s">
        <v>1980</v>
      </c>
      <c r="E4909" s="700" t="s">
        <v>1922</v>
      </c>
      <c r="F4909" s="795">
        <v>2350</v>
      </c>
      <c r="G4909" s="2012" t="s">
        <v>1426</v>
      </c>
      <c r="H4909" s="748"/>
      <c r="I4909" s="748">
        <v>240</v>
      </c>
      <c r="J4909" s="1654" t="s">
        <v>1134</v>
      </c>
      <c r="K4909" s="1314"/>
      <c r="L4909" s="748"/>
      <c r="M4909" s="748">
        <v>240</v>
      </c>
      <c r="N4909" s="75"/>
      <c r="O4909" s="187"/>
      <c r="P4909" s="187"/>
      <c r="Q4909" s="187"/>
      <c r="R4909" s="187"/>
      <c r="S4909" s="187"/>
      <c r="T4909" s="187"/>
      <c r="U4909" s="187"/>
      <c r="V4909" s="187"/>
      <c r="W4909" s="187"/>
      <c r="X4909" s="187"/>
      <c r="Y4909" s="187"/>
      <c r="Z4909" s="187"/>
      <c r="AA4909" s="187"/>
      <c r="AB4909" s="187"/>
      <c r="AC4909" s="187"/>
      <c r="AD4909" s="187"/>
      <c r="AE4909" s="187"/>
      <c r="AF4909" s="187"/>
    </row>
    <row r="4910" spans="1:32">
      <c r="A4910" s="1724"/>
      <c r="B4910" s="3130" t="s">
        <v>772</v>
      </c>
      <c r="C4910" s="700" t="s">
        <v>320</v>
      </c>
      <c r="D4910" s="794" t="s">
        <v>1980</v>
      </c>
      <c r="E4910" s="700" t="s">
        <v>1922</v>
      </c>
      <c r="F4910" s="795">
        <v>2350</v>
      </c>
      <c r="G4910" s="2012" t="s">
        <v>3935</v>
      </c>
      <c r="H4910" s="1964"/>
      <c r="I4910" s="1964"/>
      <c r="J4910" s="1739"/>
      <c r="K4910" s="1995"/>
      <c r="L4910" s="1964"/>
      <c r="M4910" s="1964">
        <v>100</v>
      </c>
      <c r="N4910" s="75"/>
      <c r="O4910" s="187"/>
      <c r="P4910" s="187"/>
      <c r="Q4910" s="187"/>
      <c r="R4910" s="187"/>
      <c r="S4910" s="187"/>
      <c r="T4910" s="187"/>
      <c r="U4910" s="187"/>
      <c r="V4910" s="187"/>
      <c r="W4910" s="187"/>
      <c r="X4910" s="187"/>
      <c r="Y4910" s="187"/>
      <c r="Z4910" s="187"/>
      <c r="AA4910" s="187"/>
      <c r="AB4910" s="187"/>
      <c r="AC4910" s="187"/>
      <c r="AD4910" s="187"/>
      <c r="AE4910" s="187"/>
      <c r="AF4910" s="187"/>
    </row>
    <row r="4911" spans="1:32" ht="20.399999999999999">
      <c r="A4911" s="700"/>
      <c r="B4911" s="3130" t="s">
        <v>772</v>
      </c>
      <c r="C4911" s="700" t="s">
        <v>320</v>
      </c>
      <c r="D4911" s="794" t="s">
        <v>1980</v>
      </c>
      <c r="E4911" s="700" t="s">
        <v>1922</v>
      </c>
      <c r="F4911" s="795">
        <v>2350</v>
      </c>
      <c r="G4911" s="1993" t="s">
        <v>2351</v>
      </c>
      <c r="H4911" s="748"/>
      <c r="I4911" s="748">
        <v>170</v>
      </c>
      <c r="J4911" s="1654" t="s">
        <v>1134</v>
      </c>
      <c r="K4911" s="1314"/>
      <c r="L4911" s="748"/>
      <c r="M4911" s="748">
        <v>170</v>
      </c>
      <c r="N4911" s="75"/>
      <c r="O4911" s="187"/>
      <c r="P4911" s="187"/>
      <c r="Q4911" s="187"/>
      <c r="R4911" s="187"/>
      <c r="S4911" s="187"/>
      <c r="T4911" s="187"/>
      <c r="U4911" s="187"/>
      <c r="V4911" s="187"/>
      <c r="W4911" s="187"/>
      <c r="X4911" s="187"/>
      <c r="Y4911" s="187"/>
      <c r="Z4911" s="187"/>
      <c r="AA4911" s="187"/>
      <c r="AB4911" s="187"/>
      <c r="AC4911" s="187"/>
      <c r="AD4911" s="187"/>
      <c r="AE4911" s="187"/>
      <c r="AF4911" s="187"/>
    </row>
    <row r="4912" spans="1:32">
      <c r="A4912" s="700"/>
      <c r="B4912" s="3130" t="s">
        <v>772</v>
      </c>
      <c r="C4912" s="700" t="s">
        <v>320</v>
      </c>
      <c r="D4912" s="794" t="s">
        <v>1980</v>
      </c>
      <c r="E4912" s="700" t="s">
        <v>1922</v>
      </c>
      <c r="F4912" s="795">
        <v>2350</v>
      </c>
      <c r="G4912" s="1994" t="s">
        <v>2352</v>
      </c>
      <c r="H4912" s="748"/>
      <c r="I4912" s="748">
        <v>120</v>
      </c>
      <c r="J4912" s="1654" t="s">
        <v>1134</v>
      </c>
      <c r="K4912" s="1314"/>
      <c r="L4912" s="748"/>
      <c r="M4912" s="748"/>
      <c r="N4912" s="75"/>
      <c r="O4912" s="7"/>
      <c r="P4912" s="7"/>
      <c r="Q4912" s="7"/>
      <c r="R4912" s="7"/>
      <c r="S4912" s="7"/>
      <c r="T4912" s="7"/>
      <c r="U4912" s="7"/>
      <c r="V4912" s="7"/>
      <c r="W4912" s="7"/>
      <c r="X4912" s="7"/>
      <c r="Y4912" s="7"/>
      <c r="Z4912" s="7"/>
      <c r="AA4912" s="7"/>
      <c r="AB4912" s="7"/>
      <c r="AC4912" s="7"/>
      <c r="AD4912" s="7"/>
      <c r="AE4912" s="7"/>
      <c r="AF4912" s="7"/>
    </row>
    <row r="4913" spans="1:32" ht="20.399999999999999">
      <c r="A4913" s="1724"/>
      <c r="B4913" s="3130" t="s">
        <v>772</v>
      </c>
      <c r="C4913" s="700" t="s">
        <v>320</v>
      </c>
      <c r="D4913" s="794" t="s">
        <v>1980</v>
      </c>
      <c r="E4913" s="700" t="s">
        <v>1922</v>
      </c>
      <c r="F4913" s="795">
        <v>2350</v>
      </c>
      <c r="G4913" s="1993" t="s">
        <v>3936</v>
      </c>
      <c r="H4913" s="1964"/>
      <c r="I4913" s="1964"/>
      <c r="J4913" s="1739"/>
      <c r="K4913" s="1995"/>
      <c r="L4913" s="1964"/>
      <c r="M4913" s="1964">
        <v>180</v>
      </c>
      <c r="N4913" s="75"/>
      <c r="O4913" s="7"/>
      <c r="P4913" s="7"/>
      <c r="Q4913" s="7"/>
      <c r="R4913" s="7"/>
      <c r="S4913" s="7"/>
      <c r="T4913" s="7"/>
      <c r="U4913" s="7"/>
      <c r="V4913" s="7"/>
      <c r="W4913" s="7"/>
      <c r="X4913" s="7"/>
      <c r="Y4913" s="7"/>
      <c r="Z4913" s="7"/>
      <c r="AA4913" s="7"/>
      <c r="AB4913" s="7"/>
      <c r="AC4913" s="7"/>
      <c r="AD4913" s="7"/>
      <c r="AE4913" s="7"/>
      <c r="AF4913" s="7"/>
    </row>
    <row r="4914" spans="1:32" ht="20.399999999999999">
      <c r="A4914" s="700"/>
      <c r="B4914" s="3130" t="s">
        <v>772</v>
      </c>
      <c r="C4914" s="700" t="s">
        <v>320</v>
      </c>
      <c r="D4914" s="794" t="s">
        <v>1980</v>
      </c>
      <c r="E4914" s="700" t="s">
        <v>1922</v>
      </c>
      <c r="F4914" s="795">
        <v>2350</v>
      </c>
      <c r="G4914" s="1993" t="s">
        <v>3937</v>
      </c>
      <c r="H4914" s="748"/>
      <c r="I4914" s="748">
        <v>165</v>
      </c>
      <c r="J4914" s="1654" t="s">
        <v>1134</v>
      </c>
      <c r="K4914" s="1314"/>
      <c r="L4914" s="748"/>
      <c r="M4914" s="748">
        <v>220</v>
      </c>
      <c r="N4914" s="1644"/>
      <c r="O4914" s="7"/>
      <c r="P4914" s="7"/>
      <c r="Q4914" s="7"/>
      <c r="R4914" s="7"/>
      <c r="S4914" s="7"/>
      <c r="T4914" s="7"/>
      <c r="U4914" s="7"/>
      <c r="V4914" s="7"/>
      <c r="W4914" s="7"/>
      <c r="X4914" s="7"/>
      <c r="Y4914" s="7"/>
      <c r="Z4914" s="7"/>
      <c r="AA4914" s="7"/>
      <c r="AB4914" s="7"/>
      <c r="AC4914" s="7"/>
      <c r="AD4914" s="7"/>
      <c r="AE4914" s="7"/>
      <c r="AF4914" s="7"/>
    </row>
    <row r="4915" spans="1:32" ht="30.6">
      <c r="A4915" s="700" t="s">
        <v>853</v>
      </c>
      <c r="B4915" s="3130" t="s">
        <v>772</v>
      </c>
      <c r="C4915" s="700" t="s">
        <v>322</v>
      </c>
      <c r="D4915" s="794" t="s">
        <v>1980</v>
      </c>
      <c r="E4915" s="700" t="s">
        <v>1922</v>
      </c>
      <c r="F4915" s="795">
        <v>2350</v>
      </c>
      <c r="G4915" s="1883" t="s">
        <v>1423</v>
      </c>
      <c r="H4915" s="748"/>
      <c r="I4915" s="748"/>
      <c r="J4915" s="1654" t="s">
        <v>1134</v>
      </c>
      <c r="K4915" s="1314"/>
      <c r="L4915" s="748"/>
      <c r="M4915" s="748">
        <v>440</v>
      </c>
      <c r="N4915" s="1644"/>
      <c r="O4915" s="7"/>
      <c r="P4915" s="7"/>
      <c r="Q4915" s="7"/>
      <c r="R4915" s="7"/>
      <c r="S4915" s="7"/>
      <c r="T4915" s="7"/>
      <c r="U4915" s="7"/>
      <c r="V4915" s="7"/>
      <c r="W4915" s="7"/>
      <c r="X4915" s="7"/>
      <c r="Y4915" s="7"/>
      <c r="Z4915" s="7"/>
      <c r="AA4915" s="7"/>
      <c r="AB4915" s="7"/>
      <c r="AC4915" s="7"/>
      <c r="AD4915" s="7"/>
      <c r="AE4915" s="7"/>
      <c r="AF4915" s="7"/>
    </row>
    <row r="4916" spans="1:32">
      <c r="A4916" s="720"/>
      <c r="B4916" s="3129" t="s">
        <v>772</v>
      </c>
      <c r="C4916" s="720" t="s">
        <v>320</v>
      </c>
      <c r="D4916" s="823" t="s">
        <v>1980</v>
      </c>
      <c r="E4916" s="720" t="s">
        <v>1922</v>
      </c>
      <c r="F4916" s="824">
        <v>2361</v>
      </c>
      <c r="G4916" s="720" t="s">
        <v>1434</v>
      </c>
      <c r="H4916" s="893">
        <v>0</v>
      </c>
      <c r="I4916" s="893"/>
      <c r="J4916" s="1654" t="s">
        <v>1134</v>
      </c>
      <c r="K4916" s="1251"/>
      <c r="L4916" s="893">
        <v>1460</v>
      </c>
      <c r="M4916" s="893"/>
      <c r="N4916" s="1644"/>
      <c r="O4916" s="7"/>
      <c r="P4916" s="7"/>
      <c r="Q4916" s="7"/>
      <c r="R4916" s="7"/>
      <c r="S4916" s="7"/>
      <c r="T4916" s="7"/>
      <c r="U4916" s="7"/>
      <c r="V4916" s="7"/>
      <c r="W4916" s="7"/>
      <c r="X4916" s="7"/>
      <c r="Y4916" s="7"/>
      <c r="Z4916" s="7"/>
      <c r="AA4916" s="7"/>
      <c r="AB4916" s="7"/>
      <c r="AC4916" s="7"/>
      <c r="AD4916" s="7"/>
      <c r="AE4916" s="7"/>
      <c r="AF4916" s="7"/>
    </row>
    <row r="4917" spans="1:32" ht="30.6" customHeight="1">
      <c r="A4917" s="700" t="s">
        <v>853</v>
      </c>
      <c r="B4917" s="3130" t="s">
        <v>772</v>
      </c>
      <c r="C4917" s="700" t="s">
        <v>322</v>
      </c>
      <c r="D4917" s="794" t="s">
        <v>1980</v>
      </c>
      <c r="E4917" s="700" t="s">
        <v>1922</v>
      </c>
      <c r="F4917" s="795">
        <v>2361</v>
      </c>
      <c r="G4917" s="1883" t="s">
        <v>3923</v>
      </c>
      <c r="H4917" s="748"/>
      <c r="I4917" s="748"/>
      <c r="J4917" s="1654" t="s">
        <v>1134</v>
      </c>
      <c r="K4917" s="1314"/>
      <c r="L4917" s="748"/>
      <c r="M4917" s="748">
        <v>1460</v>
      </c>
      <c r="N4917" s="75"/>
      <c r="O4917" s="7"/>
      <c r="P4917" s="7"/>
      <c r="Q4917" s="7"/>
      <c r="R4917" s="7"/>
      <c r="S4917" s="7"/>
      <c r="T4917" s="7"/>
      <c r="U4917" s="7"/>
      <c r="V4917" s="7"/>
      <c r="W4917" s="7"/>
      <c r="X4917" s="7"/>
      <c r="Y4917" s="7"/>
      <c r="Z4917" s="7"/>
      <c r="AA4917" s="7"/>
      <c r="AB4917" s="7"/>
      <c r="AC4917" s="7"/>
      <c r="AD4917" s="7"/>
      <c r="AE4917" s="7"/>
      <c r="AF4917" s="7"/>
    </row>
    <row r="4918" spans="1:32">
      <c r="A4918" s="720"/>
      <c r="B4918" s="3129" t="s">
        <v>772</v>
      </c>
      <c r="C4918" s="720" t="s">
        <v>322</v>
      </c>
      <c r="D4918" s="823" t="s">
        <v>1980</v>
      </c>
      <c r="E4918" s="720" t="s">
        <v>1922</v>
      </c>
      <c r="F4918" s="824">
        <v>2370</v>
      </c>
      <c r="G4918" s="800" t="s">
        <v>209</v>
      </c>
      <c r="H4918" s="893">
        <v>9547.25</v>
      </c>
      <c r="I4918" s="893"/>
      <c r="J4918" s="1654">
        <v>9462</v>
      </c>
      <c r="K4918" s="1251"/>
      <c r="L4918" s="893">
        <v>11293</v>
      </c>
      <c r="M4918" s="893"/>
      <c r="N4918" s="75"/>
      <c r="O4918" s="7"/>
      <c r="P4918" s="7"/>
      <c r="Q4918" s="7"/>
      <c r="R4918" s="7"/>
      <c r="S4918" s="7"/>
      <c r="T4918" s="7"/>
      <c r="U4918" s="7"/>
      <c r="V4918" s="7"/>
      <c r="W4918" s="7"/>
      <c r="X4918" s="7"/>
      <c r="Y4918" s="7"/>
      <c r="Z4918" s="7"/>
      <c r="AA4918" s="7"/>
      <c r="AB4918" s="7"/>
      <c r="AC4918" s="7"/>
      <c r="AD4918" s="7"/>
      <c r="AE4918" s="7"/>
      <c r="AF4918" s="7"/>
    </row>
    <row r="4919" spans="1:32" ht="183.6">
      <c r="A4919" s="700"/>
      <c r="B4919" s="3130" t="s">
        <v>772</v>
      </c>
      <c r="C4919" s="700" t="s">
        <v>322</v>
      </c>
      <c r="D4919" s="794" t="s">
        <v>1980</v>
      </c>
      <c r="E4919" s="700" t="s">
        <v>1922</v>
      </c>
      <c r="F4919" s="795">
        <v>2370</v>
      </c>
      <c r="G4919" s="1883" t="s">
        <v>2349</v>
      </c>
      <c r="H4919" s="748"/>
      <c r="I4919" s="748">
        <v>5544.0000000000009</v>
      </c>
      <c r="J4919" s="1654" t="s">
        <v>1134</v>
      </c>
      <c r="K4919" s="1314"/>
      <c r="L4919" s="748"/>
      <c r="M4919" s="1964">
        <v>5544.0000000000009</v>
      </c>
      <c r="N4919" s="1644"/>
      <c r="O4919" s="187"/>
      <c r="P4919" s="187"/>
      <c r="Q4919" s="187"/>
      <c r="R4919" s="187"/>
      <c r="S4919" s="187"/>
      <c r="T4919" s="187"/>
      <c r="U4919" s="187"/>
      <c r="V4919" s="187"/>
      <c r="W4919" s="187"/>
      <c r="X4919" s="187"/>
      <c r="Y4919" s="187"/>
      <c r="Z4919" s="187"/>
      <c r="AA4919" s="187"/>
      <c r="AB4919" s="187"/>
      <c r="AC4919" s="187"/>
      <c r="AD4919" s="187"/>
      <c r="AE4919" s="187"/>
      <c r="AF4919" s="187"/>
    </row>
    <row r="4920" spans="1:32" ht="71.400000000000006">
      <c r="A4920" s="700"/>
      <c r="B4920" s="3130" t="s">
        <v>772</v>
      </c>
      <c r="C4920" s="700" t="s">
        <v>322</v>
      </c>
      <c r="D4920" s="794" t="s">
        <v>1980</v>
      </c>
      <c r="E4920" s="700" t="s">
        <v>1922</v>
      </c>
      <c r="F4920" s="795">
        <v>2370</v>
      </c>
      <c r="G4920" s="1883" t="s">
        <v>3938</v>
      </c>
      <c r="H4920" s="748"/>
      <c r="I4920" s="748">
        <v>480</v>
      </c>
      <c r="J4920" s="1654" t="s">
        <v>1134</v>
      </c>
      <c r="K4920" s="1314"/>
      <c r="L4920" s="748"/>
      <c r="M4920" s="1964">
        <v>460</v>
      </c>
      <c r="N4920" s="1644"/>
      <c r="O4920" s="187"/>
      <c r="P4920" s="187"/>
      <c r="Q4920" s="187"/>
      <c r="R4920" s="187"/>
      <c r="S4920" s="187"/>
      <c r="T4920" s="187"/>
      <c r="U4920" s="187"/>
      <c r="V4920" s="187"/>
      <c r="W4920" s="187"/>
      <c r="X4920" s="187"/>
      <c r="Y4920" s="187"/>
      <c r="Z4920" s="187"/>
      <c r="AA4920" s="187"/>
      <c r="AB4920" s="187"/>
      <c r="AC4920" s="187"/>
      <c r="AD4920" s="187"/>
      <c r="AE4920" s="187"/>
      <c r="AF4920" s="187"/>
    </row>
    <row r="4921" spans="1:32" ht="51">
      <c r="A4921" s="700"/>
      <c r="B4921" s="3130" t="s">
        <v>772</v>
      </c>
      <c r="C4921" s="700" t="s">
        <v>322</v>
      </c>
      <c r="D4921" s="794" t="s">
        <v>1980</v>
      </c>
      <c r="E4921" s="700" t="s">
        <v>1922</v>
      </c>
      <c r="F4921" s="795">
        <v>2370</v>
      </c>
      <c r="G4921" s="1883" t="s">
        <v>3939</v>
      </c>
      <c r="H4921" s="748"/>
      <c r="I4921" s="748">
        <v>402</v>
      </c>
      <c r="J4921" s="1654" t="s">
        <v>1134</v>
      </c>
      <c r="K4921" s="1314"/>
      <c r="L4921" s="748"/>
      <c r="M4921" s="748">
        <v>380</v>
      </c>
      <c r="N4921" s="1644"/>
      <c r="O4921" s="187"/>
      <c r="P4921" s="187"/>
      <c r="Q4921" s="187"/>
      <c r="R4921" s="187"/>
      <c r="S4921" s="187"/>
      <c r="T4921" s="187"/>
      <c r="U4921" s="187"/>
      <c r="V4921" s="187"/>
      <c r="W4921" s="187"/>
      <c r="X4921" s="187"/>
      <c r="Y4921" s="187"/>
      <c r="Z4921" s="187"/>
      <c r="AA4921" s="187"/>
      <c r="AB4921" s="187"/>
      <c r="AC4921" s="187"/>
      <c r="AD4921" s="187"/>
      <c r="AE4921" s="187"/>
      <c r="AF4921" s="187"/>
    </row>
    <row r="4922" spans="1:32" ht="30.6" customHeight="1">
      <c r="A4922" s="700"/>
      <c r="B4922" s="3130" t="s">
        <v>772</v>
      </c>
      <c r="C4922" s="700" t="s">
        <v>322</v>
      </c>
      <c r="D4922" s="794" t="s">
        <v>1980</v>
      </c>
      <c r="E4922" s="700" t="s">
        <v>1922</v>
      </c>
      <c r="F4922" s="795">
        <v>2370</v>
      </c>
      <c r="G4922" s="1883" t="s">
        <v>3940</v>
      </c>
      <c r="H4922" s="748"/>
      <c r="I4922" s="748">
        <v>548</v>
      </c>
      <c r="J4922" s="1654" t="s">
        <v>1134</v>
      </c>
      <c r="K4922" s="1314"/>
      <c r="L4922" s="748"/>
      <c r="M4922" s="748">
        <v>600</v>
      </c>
      <c r="N4922" s="1644"/>
      <c r="O4922" s="187"/>
      <c r="P4922" s="187"/>
      <c r="Q4922" s="187"/>
      <c r="R4922" s="187"/>
      <c r="S4922" s="187"/>
      <c r="T4922" s="187"/>
      <c r="U4922" s="187"/>
      <c r="V4922" s="187"/>
      <c r="W4922" s="187"/>
      <c r="X4922" s="187"/>
      <c r="Y4922" s="187"/>
      <c r="Z4922" s="187"/>
      <c r="AA4922" s="187"/>
      <c r="AB4922" s="187"/>
      <c r="AC4922" s="187"/>
      <c r="AD4922" s="187"/>
      <c r="AE4922" s="7"/>
      <c r="AF4922" s="7"/>
    </row>
    <row r="4923" spans="1:32" ht="61.2">
      <c r="A4923" s="700"/>
      <c r="B4923" s="3130" t="s">
        <v>772</v>
      </c>
      <c r="C4923" s="700" t="s">
        <v>322</v>
      </c>
      <c r="D4923" s="794" t="s">
        <v>1980</v>
      </c>
      <c r="E4923" s="700" t="s">
        <v>1922</v>
      </c>
      <c r="F4923" s="795">
        <v>2370</v>
      </c>
      <c r="G4923" s="1883" t="s">
        <v>3941</v>
      </c>
      <c r="H4923" s="748"/>
      <c r="I4923" s="748">
        <v>201.45000000000002</v>
      </c>
      <c r="J4923" s="1654" t="s">
        <v>1134</v>
      </c>
      <c r="K4923" s="1314"/>
      <c r="L4923" s="748"/>
      <c r="M4923" s="748">
        <v>300</v>
      </c>
      <c r="N4923" s="1644"/>
      <c r="O4923" s="187"/>
      <c r="P4923" s="187"/>
      <c r="Q4923" s="187"/>
      <c r="R4923" s="187"/>
      <c r="S4923" s="187"/>
      <c r="T4923" s="187"/>
      <c r="U4923" s="187"/>
      <c r="V4923" s="187"/>
      <c r="W4923" s="187"/>
      <c r="X4923" s="187"/>
      <c r="Y4923" s="187"/>
      <c r="Z4923" s="187"/>
      <c r="AA4923" s="187"/>
      <c r="AB4923" s="187"/>
      <c r="AC4923" s="187"/>
      <c r="AD4923" s="187"/>
      <c r="AE4923" s="187"/>
      <c r="AF4923" s="187"/>
    </row>
    <row r="4924" spans="1:32" ht="132.6">
      <c r="A4924" s="700"/>
      <c r="B4924" s="3130" t="s">
        <v>772</v>
      </c>
      <c r="C4924" s="700" t="s">
        <v>322</v>
      </c>
      <c r="D4924" s="794" t="s">
        <v>1980</v>
      </c>
      <c r="E4924" s="700" t="s">
        <v>1922</v>
      </c>
      <c r="F4924" s="795">
        <v>2370</v>
      </c>
      <c r="G4924" s="1883" t="s">
        <v>3942</v>
      </c>
      <c r="H4924" s="748"/>
      <c r="I4924" s="748">
        <v>2200</v>
      </c>
      <c r="J4924" s="1654" t="s">
        <v>1134</v>
      </c>
      <c r="K4924" s="1314"/>
      <c r="L4924" s="748"/>
      <c r="M4924" s="748">
        <v>1540</v>
      </c>
      <c r="N4924" s="1644" t="s">
        <v>4466</v>
      </c>
      <c r="O4924" s="187"/>
      <c r="P4924" s="187"/>
      <c r="Q4924" s="187"/>
      <c r="R4924" s="187"/>
      <c r="S4924" s="187"/>
      <c r="T4924" s="187"/>
      <c r="U4924" s="187"/>
      <c r="V4924" s="187"/>
      <c r="W4924" s="187"/>
      <c r="X4924" s="187"/>
      <c r="Y4924" s="187"/>
      <c r="Z4924" s="187"/>
      <c r="AA4924" s="187"/>
      <c r="AB4924" s="187"/>
      <c r="AC4924" s="187"/>
      <c r="AD4924" s="187"/>
      <c r="AE4924" s="187"/>
      <c r="AF4924" s="187"/>
    </row>
    <row r="4925" spans="1:32" ht="30.6">
      <c r="A4925" s="700" t="s">
        <v>855</v>
      </c>
      <c r="B4925" s="3130" t="s">
        <v>772</v>
      </c>
      <c r="C4925" s="700" t="s">
        <v>322</v>
      </c>
      <c r="D4925" s="794" t="s">
        <v>1980</v>
      </c>
      <c r="E4925" s="700" t="s">
        <v>1922</v>
      </c>
      <c r="F4925" s="795">
        <v>2370</v>
      </c>
      <c r="G4925" s="1993" t="s">
        <v>3943</v>
      </c>
      <c r="H4925" s="748"/>
      <c r="I4925" s="748">
        <v>107.80000000000001</v>
      </c>
      <c r="J4925" s="1654" t="s">
        <v>1134</v>
      </c>
      <c r="K4925" s="1314"/>
      <c r="L4925" s="748"/>
      <c r="M4925" s="1964">
        <v>649</v>
      </c>
      <c r="N4925" s="1644"/>
      <c r="O4925" s="187"/>
      <c r="P4925" s="187"/>
      <c r="Q4925" s="187"/>
      <c r="R4925" s="187"/>
      <c r="S4925" s="187"/>
      <c r="T4925" s="187"/>
      <c r="U4925" s="187"/>
      <c r="V4925" s="187"/>
      <c r="W4925" s="187"/>
      <c r="X4925" s="187"/>
      <c r="Y4925" s="187"/>
      <c r="Z4925" s="187"/>
      <c r="AA4925" s="187"/>
      <c r="AB4925" s="187"/>
      <c r="AC4925" s="187"/>
      <c r="AD4925" s="187"/>
      <c r="AE4925" s="187"/>
      <c r="AF4925" s="187"/>
    </row>
    <row r="4926" spans="1:32" ht="30.6">
      <c r="A4926" s="700" t="s">
        <v>856</v>
      </c>
      <c r="B4926" s="3130" t="s">
        <v>772</v>
      </c>
      <c r="C4926" s="700" t="s">
        <v>322</v>
      </c>
      <c r="D4926" s="794" t="s">
        <v>1980</v>
      </c>
      <c r="E4926" s="700" t="s">
        <v>1922</v>
      </c>
      <c r="F4926" s="795">
        <v>2370</v>
      </c>
      <c r="G4926" s="1993" t="s">
        <v>3944</v>
      </c>
      <c r="H4926" s="748"/>
      <c r="I4926" s="748">
        <v>84</v>
      </c>
      <c r="J4926" s="1654" t="s">
        <v>1134</v>
      </c>
      <c r="K4926" s="1314"/>
      <c r="L4926" s="748"/>
      <c r="M4926" s="1964">
        <v>245</v>
      </c>
      <c r="N4926" s="1644"/>
      <c r="O4926" s="187"/>
      <c r="P4926" s="187"/>
      <c r="Q4926" s="187"/>
      <c r="R4926" s="187"/>
      <c r="S4926" s="187"/>
      <c r="T4926" s="187"/>
      <c r="U4926" s="187"/>
      <c r="V4926" s="187"/>
      <c r="W4926" s="187"/>
      <c r="X4926" s="187"/>
      <c r="Y4926" s="187"/>
      <c r="Z4926" s="187"/>
      <c r="AA4926" s="187"/>
      <c r="AB4926" s="187"/>
      <c r="AC4926" s="187"/>
      <c r="AD4926" s="187"/>
      <c r="AE4926" s="187"/>
      <c r="AF4926" s="187"/>
    </row>
    <row r="4927" spans="1:32" ht="30.6">
      <c r="A4927" s="700" t="s">
        <v>856</v>
      </c>
      <c r="B4927" s="3130" t="s">
        <v>772</v>
      </c>
      <c r="C4927" s="700" t="s">
        <v>322</v>
      </c>
      <c r="D4927" s="794" t="s">
        <v>1980</v>
      </c>
      <c r="E4927" s="700" t="s">
        <v>1922</v>
      </c>
      <c r="F4927" s="795">
        <v>2370</v>
      </c>
      <c r="G4927" s="1993" t="s">
        <v>3945</v>
      </c>
      <c r="H4927" s="748"/>
      <c r="I4927" s="748">
        <v>440</v>
      </c>
      <c r="J4927" s="1654" t="s">
        <v>1134</v>
      </c>
      <c r="K4927" s="1314"/>
      <c r="L4927" s="748"/>
      <c r="M4927" s="1964">
        <v>200</v>
      </c>
      <c r="N4927" s="1644"/>
      <c r="O4927" s="187"/>
      <c r="P4927" s="187"/>
      <c r="Q4927" s="187"/>
      <c r="R4927" s="187"/>
      <c r="S4927" s="187"/>
      <c r="T4927" s="187"/>
      <c r="U4927" s="187"/>
      <c r="V4927" s="187"/>
      <c r="W4927" s="187"/>
      <c r="X4927" s="187"/>
      <c r="Y4927" s="187"/>
      <c r="Z4927" s="187"/>
      <c r="AA4927" s="187"/>
      <c r="AB4927" s="187"/>
      <c r="AC4927" s="187"/>
      <c r="AD4927" s="187"/>
      <c r="AE4927" s="187"/>
      <c r="AF4927" s="187"/>
    </row>
    <row r="4928" spans="1:32" ht="30.6">
      <c r="A4928" s="700"/>
      <c r="B4928" s="3130" t="s">
        <v>772</v>
      </c>
      <c r="C4928" s="700" t="s">
        <v>322</v>
      </c>
      <c r="D4928" s="794" t="s">
        <v>1980</v>
      </c>
      <c r="E4928" s="700" t="s">
        <v>1922</v>
      </c>
      <c r="F4928" s="795">
        <v>2370</v>
      </c>
      <c r="G4928" s="1993" t="s">
        <v>3946</v>
      </c>
      <c r="H4928" s="748"/>
      <c r="I4928" s="748">
        <v>70</v>
      </c>
      <c r="J4928" s="1654" t="s">
        <v>1134</v>
      </c>
      <c r="K4928" s="1314"/>
      <c r="L4928" s="748"/>
      <c r="M4928" s="1964">
        <v>245</v>
      </c>
      <c r="N4928" s="1644"/>
      <c r="O4928" s="187"/>
      <c r="P4928" s="187"/>
      <c r="Q4928" s="187"/>
      <c r="R4928" s="187"/>
      <c r="S4928" s="187"/>
      <c r="T4928" s="187"/>
      <c r="U4928" s="187"/>
      <c r="V4928" s="187"/>
      <c r="W4928" s="187"/>
      <c r="X4928" s="187"/>
      <c r="Y4928" s="187"/>
      <c r="Z4928" s="187"/>
      <c r="AA4928" s="187"/>
      <c r="AB4928" s="187"/>
      <c r="AC4928" s="187"/>
      <c r="AD4928" s="187"/>
      <c r="AE4928" s="187"/>
      <c r="AF4928" s="187"/>
    </row>
    <row r="4929" spans="1:32" ht="30.6">
      <c r="A4929" s="700" t="s">
        <v>859</v>
      </c>
      <c r="B4929" s="3130" t="s">
        <v>772</v>
      </c>
      <c r="C4929" s="700" t="s">
        <v>320</v>
      </c>
      <c r="D4929" s="794" t="s">
        <v>1980</v>
      </c>
      <c r="E4929" s="700" t="s">
        <v>1922</v>
      </c>
      <c r="F4929" s="795">
        <v>2370</v>
      </c>
      <c r="G4929" s="1993" t="s">
        <v>3947</v>
      </c>
      <c r="H4929" s="748"/>
      <c r="I4929" s="748">
        <v>440</v>
      </c>
      <c r="J4929" s="1654" t="s">
        <v>1134</v>
      </c>
      <c r="K4929" s="1314"/>
      <c r="L4929" s="748"/>
      <c r="M4929" s="1964">
        <v>260</v>
      </c>
      <c r="N4929" s="1490" t="s">
        <v>4444</v>
      </c>
      <c r="O4929" s="187"/>
      <c r="P4929" s="187"/>
      <c r="Q4929" s="187"/>
      <c r="R4929" s="187"/>
      <c r="S4929" s="187"/>
      <c r="T4929" s="187"/>
      <c r="U4929" s="187"/>
      <c r="V4929" s="187"/>
      <c r="W4929" s="187"/>
      <c r="X4929" s="187"/>
      <c r="Y4929" s="187"/>
      <c r="Z4929" s="187"/>
      <c r="AA4929" s="187"/>
      <c r="AB4929" s="187"/>
      <c r="AC4929" s="187"/>
      <c r="AD4929" s="187"/>
      <c r="AE4929" s="187"/>
      <c r="AF4929" s="187"/>
    </row>
    <row r="4930" spans="1:32" ht="30.6">
      <c r="A4930" s="700"/>
      <c r="B4930" s="3130" t="s">
        <v>772</v>
      </c>
      <c r="C4930" s="700" t="s">
        <v>322</v>
      </c>
      <c r="D4930" s="794" t="s">
        <v>1980</v>
      </c>
      <c r="E4930" s="700" t="s">
        <v>1922</v>
      </c>
      <c r="F4930" s="795">
        <v>2370</v>
      </c>
      <c r="G4930" s="1993" t="s">
        <v>3948</v>
      </c>
      <c r="H4930" s="748"/>
      <c r="I4930" s="748"/>
      <c r="J4930" s="1654" t="s">
        <v>1134</v>
      </c>
      <c r="K4930" s="1314"/>
      <c r="L4930" s="748"/>
      <c r="M4930" s="1964">
        <v>270</v>
      </c>
      <c r="N4930" s="1644"/>
      <c r="O4930" s="187"/>
      <c r="P4930" s="187"/>
      <c r="Q4930" s="187"/>
      <c r="R4930" s="187"/>
      <c r="S4930" s="187"/>
      <c r="T4930" s="187"/>
      <c r="U4930" s="187"/>
      <c r="V4930" s="187"/>
      <c r="W4930" s="187"/>
      <c r="X4930" s="187"/>
      <c r="Y4930" s="187"/>
      <c r="Z4930" s="187"/>
      <c r="AA4930" s="187"/>
      <c r="AB4930" s="187"/>
      <c r="AC4930" s="187"/>
      <c r="AD4930" s="187"/>
      <c r="AE4930" s="187"/>
      <c r="AF4930" s="187"/>
    </row>
    <row r="4931" spans="1:32" ht="30.6">
      <c r="A4931" s="700"/>
      <c r="B4931" s="3130" t="s">
        <v>772</v>
      </c>
      <c r="C4931" s="700" t="s">
        <v>322</v>
      </c>
      <c r="D4931" s="794" t="s">
        <v>1980</v>
      </c>
      <c r="E4931" s="700" t="s">
        <v>1922</v>
      </c>
      <c r="F4931" s="795">
        <v>2370</v>
      </c>
      <c r="G4931" s="1993" t="s">
        <v>3949</v>
      </c>
      <c r="H4931" s="748"/>
      <c r="I4931" s="748"/>
      <c r="J4931" s="1654" t="s">
        <v>1134</v>
      </c>
      <c r="K4931" s="1314"/>
      <c r="L4931" s="748"/>
      <c r="M4931" s="1964">
        <v>600</v>
      </c>
      <c r="N4931" s="1490" t="s">
        <v>4444</v>
      </c>
      <c r="O4931" s="187"/>
      <c r="P4931" s="187"/>
      <c r="Q4931" s="187"/>
      <c r="R4931" s="187"/>
      <c r="S4931" s="187"/>
      <c r="T4931" s="187"/>
      <c r="U4931" s="187"/>
      <c r="V4931" s="187"/>
      <c r="W4931" s="187"/>
      <c r="X4931" s="187"/>
      <c r="Y4931" s="187"/>
      <c r="Z4931" s="187"/>
      <c r="AA4931" s="187"/>
      <c r="AB4931" s="187"/>
      <c r="AC4931" s="187"/>
      <c r="AD4931" s="187"/>
      <c r="AE4931" s="187"/>
      <c r="AF4931" s="187"/>
    </row>
    <row r="4932" spans="1:32" ht="20.399999999999999">
      <c r="A4932" s="700" t="s">
        <v>854</v>
      </c>
      <c r="B4932" s="3130" t="s">
        <v>772</v>
      </c>
      <c r="C4932" s="700" t="s">
        <v>322</v>
      </c>
      <c r="D4932" s="794" t="s">
        <v>1980</v>
      </c>
      <c r="E4932" s="700" t="s">
        <v>1922</v>
      </c>
      <c r="F4932" s="795">
        <v>2370</v>
      </c>
      <c r="G4932" s="2016" t="s">
        <v>3213</v>
      </c>
      <c r="H4932" s="748"/>
      <c r="I4932" s="748">
        <v>-85</v>
      </c>
      <c r="J4932" s="1654" t="s">
        <v>1134</v>
      </c>
      <c r="K4932" s="1314"/>
      <c r="L4932" s="748"/>
      <c r="M4932" s="748"/>
      <c r="N4932" s="1644"/>
      <c r="O4932" s="187"/>
      <c r="P4932" s="187"/>
      <c r="Q4932" s="187"/>
      <c r="R4932" s="187"/>
      <c r="S4932" s="187"/>
      <c r="T4932" s="187"/>
      <c r="U4932" s="187"/>
      <c r="V4932" s="187"/>
      <c r="W4932" s="187"/>
      <c r="X4932" s="187"/>
      <c r="Y4932" s="187"/>
      <c r="Z4932" s="187"/>
      <c r="AA4932" s="187"/>
      <c r="AB4932" s="187"/>
      <c r="AC4932" s="187"/>
      <c r="AD4932" s="187"/>
      <c r="AE4932" s="187"/>
      <c r="AF4932" s="187"/>
    </row>
    <row r="4933" spans="1:32" ht="12" customHeight="1">
      <c r="A4933" s="1119"/>
      <c r="B4933" s="3130" t="s">
        <v>772</v>
      </c>
      <c r="C4933" s="700" t="s">
        <v>322</v>
      </c>
      <c r="D4933" s="794" t="s">
        <v>1980</v>
      </c>
      <c r="E4933" s="700" t="s">
        <v>1922</v>
      </c>
      <c r="F4933" s="795">
        <v>2370</v>
      </c>
      <c r="G4933" s="830" t="s">
        <v>3215</v>
      </c>
      <c r="H4933" s="2002"/>
      <c r="I4933" s="2002">
        <v>-885</v>
      </c>
      <c r="J4933" s="1654" t="s">
        <v>1134</v>
      </c>
      <c r="K4933" s="2003"/>
      <c r="L4933" s="2002"/>
      <c r="M4933" s="2002"/>
      <c r="N4933" s="305"/>
      <c r="O4933" s="7"/>
      <c r="P4933" s="7"/>
      <c r="Q4933" s="7"/>
      <c r="R4933" s="7"/>
      <c r="S4933" s="7"/>
      <c r="T4933" s="7"/>
      <c r="U4933" s="7"/>
      <c r="V4933" s="7"/>
      <c r="W4933" s="7"/>
      <c r="X4933" s="7"/>
      <c r="Y4933" s="7"/>
      <c r="Z4933" s="7"/>
      <c r="AA4933" s="7"/>
      <c r="AB4933" s="7"/>
      <c r="AC4933" s="7"/>
      <c r="AD4933" s="7"/>
      <c r="AE4933" s="7"/>
      <c r="AF4933" s="7"/>
    </row>
    <row r="4934" spans="1:32" ht="12" customHeight="1">
      <c r="A4934" s="683"/>
      <c r="B4934" s="3129" t="s">
        <v>326</v>
      </c>
      <c r="C4934" s="683" t="s">
        <v>321</v>
      </c>
      <c r="D4934" s="719" t="s">
        <v>1980</v>
      </c>
      <c r="E4934" s="720" t="s">
        <v>1923</v>
      </c>
      <c r="F4934" s="824">
        <v>2370</v>
      </c>
      <c r="G4934" s="800" t="s">
        <v>223</v>
      </c>
      <c r="H4934" s="1251">
        <v>5002</v>
      </c>
      <c r="I4934" s="893"/>
      <c r="J4934" s="1494">
        <v>5002</v>
      </c>
      <c r="K4934" s="1314"/>
      <c r="L4934" s="747">
        <v>32</v>
      </c>
      <c r="M4934" s="731"/>
      <c r="N4934" s="305"/>
      <c r="O4934" s="7"/>
      <c r="P4934" s="7"/>
      <c r="Q4934" s="7"/>
      <c r="R4934" s="7"/>
      <c r="S4934" s="7"/>
      <c r="T4934" s="7"/>
      <c r="U4934" s="7"/>
      <c r="V4934" s="7"/>
      <c r="W4934" s="7"/>
      <c r="X4934" s="7"/>
      <c r="Y4934" s="7"/>
      <c r="Z4934" s="7"/>
      <c r="AA4934" s="7"/>
      <c r="AB4934" s="7"/>
      <c r="AC4934" s="7"/>
      <c r="AD4934" s="7"/>
      <c r="AE4934" s="7"/>
      <c r="AF4934" s="7"/>
    </row>
    <row r="4935" spans="1:32" s="204" customFormat="1" ht="11.25" customHeight="1">
      <c r="A4935" s="663"/>
      <c r="B4935" s="3130" t="s">
        <v>326</v>
      </c>
      <c r="C4935" s="663" t="s">
        <v>321</v>
      </c>
      <c r="D4935" s="678" t="s">
        <v>1980</v>
      </c>
      <c r="E4935" s="700" t="s">
        <v>1923</v>
      </c>
      <c r="F4935" s="795">
        <v>2370</v>
      </c>
      <c r="G4935" s="1315" t="s">
        <v>1845</v>
      </c>
      <c r="H4935" s="748"/>
      <c r="I4935" s="748">
        <v>0</v>
      </c>
      <c r="J4935" s="1494" t="s">
        <v>1134</v>
      </c>
      <c r="K4935" s="1314"/>
      <c r="L4935" s="741"/>
      <c r="M4935" s="741">
        <v>32</v>
      </c>
      <c r="N4935" s="381" t="s">
        <v>4443</v>
      </c>
      <c r="O4935" s="203"/>
      <c r="P4935" s="203"/>
      <c r="Q4935" s="203"/>
      <c r="R4935" s="203"/>
      <c r="S4935" s="203"/>
      <c r="T4935" s="203"/>
      <c r="U4935" s="205"/>
      <c r="V4935" s="205"/>
      <c r="W4935" s="205"/>
      <c r="X4935" s="205"/>
      <c r="Y4935" s="205"/>
      <c r="Z4935" s="205"/>
      <c r="AA4935" s="205"/>
      <c r="AB4935" s="205"/>
      <c r="AC4935" s="205"/>
      <c r="AD4935" s="205"/>
      <c r="AE4935" s="205"/>
      <c r="AF4935" s="205"/>
    </row>
    <row r="4936" spans="1:32" s="204" customFormat="1" ht="10.199999999999999">
      <c r="A4936" s="663"/>
      <c r="B4936" s="3130" t="s">
        <v>326</v>
      </c>
      <c r="C4936" s="663" t="s">
        <v>321</v>
      </c>
      <c r="D4936" s="678" t="s">
        <v>1980</v>
      </c>
      <c r="E4936" s="700" t="s">
        <v>1923</v>
      </c>
      <c r="F4936" s="795">
        <v>2370</v>
      </c>
      <c r="G4936" s="1315" t="s">
        <v>1850</v>
      </c>
      <c r="H4936" s="748"/>
      <c r="I4936" s="748">
        <v>5002</v>
      </c>
      <c r="J4936" s="1494" t="s">
        <v>1134</v>
      </c>
      <c r="K4936" s="1314"/>
      <c r="L4936" s="741"/>
      <c r="M4936" s="741"/>
      <c r="N4936" s="305"/>
      <c r="O4936" s="203"/>
      <c r="P4936" s="203"/>
      <c r="Q4936" s="203"/>
      <c r="R4936" s="203"/>
      <c r="S4936" s="203"/>
      <c r="T4936" s="203"/>
      <c r="U4936" s="205"/>
      <c r="V4936" s="205"/>
      <c r="W4936" s="205"/>
      <c r="X4936" s="205"/>
      <c r="Y4936" s="205"/>
      <c r="Z4936" s="205"/>
      <c r="AA4936" s="205"/>
      <c r="AB4936" s="205"/>
      <c r="AC4936" s="205"/>
      <c r="AD4936" s="205"/>
      <c r="AE4936" s="205"/>
      <c r="AF4936" s="205"/>
    </row>
    <row r="4937" spans="1:32" s="204" customFormat="1" ht="11.25" customHeight="1">
      <c r="A4937" s="720"/>
      <c r="B4937" s="3129" t="s">
        <v>772</v>
      </c>
      <c r="C4937" s="720" t="s">
        <v>320</v>
      </c>
      <c r="D4937" s="823" t="s">
        <v>1980</v>
      </c>
      <c r="E4937" s="720" t="s">
        <v>1922</v>
      </c>
      <c r="F4937" s="824">
        <v>2390</v>
      </c>
      <c r="G4937" s="800" t="s">
        <v>135</v>
      </c>
      <c r="H4937" s="893">
        <v>135</v>
      </c>
      <c r="I4937" s="893"/>
      <c r="J4937" s="1654">
        <v>97</v>
      </c>
      <c r="K4937" s="1251"/>
      <c r="L4937" s="893">
        <v>90</v>
      </c>
      <c r="M4937" s="893"/>
      <c r="N4937" s="1644" t="s">
        <v>2557</v>
      </c>
      <c r="O4937" s="203"/>
      <c r="P4937" s="203"/>
      <c r="Q4937" s="203"/>
      <c r="R4937" s="203"/>
      <c r="S4937" s="203"/>
      <c r="T4937" s="203"/>
      <c r="U4937" s="205"/>
      <c r="V4937" s="205"/>
      <c r="W4937" s="205"/>
      <c r="X4937" s="205"/>
      <c r="Y4937" s="205"/>
      <c r="Z4937" s="205"/>
      <c r="AA4937" s="205"/>
      <c r="AB4937" s="205"/>
      <c r="AC4937" s="205"/>
      <c r="AD4937" s="205"/>
      <c r="AE4937" s="205"/>
      <c r="AF4937" s="205"/>
    </row>
    <row r="4938" spans="1:32" ht="30.6">
      <c r="A4938" s="700"/>
      <c r="B4938" s="3130" t="s">
        <v>772</v>
      </c>
      <c r="C4938" s="700" t="s">
        <v>320</v>
      </c>
      <c r="D4938" s="794" t="s">
        <v>1980</v>
      </c>
      <c r="E4938" s="700" t="s">
        <v>1922</v>
      </c>
      <c r="F4938" s="795">
        <v>2390</v>
      </c>
      <c r="G4938" s="1993" t="s">
        <v>4917</v>
      </c>
      <c r="H4938" s="748"/>
      <c r="I4938" s="748">
        <v>135</v>
      </c>
      <c r="J4938" s="1654" t="s">
        <v>1134</v>
      </c>
      <c r="K4938" s="1314"/>
      <c r="L4938" s="748"/>
      <c r="M4938" s="748">
        <v>90</v>
      </c>
      <c r="N4938" s="1644"/>
      <c r="O4938" s="187"/>
      <c r="P4938" s="187"/>
      <c r="Q4938" s="187"/>
      <c r="R4938" s="187"/>
      <c r="S4938" s="187"/>
      <c r="T4938" s="187"/>
      <c r="U4938" s="187"/>
      <c r="V4938" s="187"/>
      <c r="W4938" s="187"/>
      <c r="X4938" s="187"/>
      <c r="Y4938" s="187"/>
      <c r="Z4938" s="187"/>
      <c r="AA4938" s="187"/>
      <c r="AB4938" s="187"/>
      <c r="AC4938" s="187"/>
      <c r="AD4938" s="187"/>
      <c r="AE4938" s="187"/>
      <c r="AF4938" s="187"/>
    </row>
    <row r="4939" spans="1:32" ht="12" customHeight="1">
      <c r="A4939" s="700" t="s">
        <v>860</v>
      </c>
      <c r="B4939" s="3130" t="s">
        <v>772</v>
      </c>
      <c r="C4939" s="700" t="s">
        <v>320</v>
      </c>
      <c r="D4939" s="794" t="s">
        <v>1980</v>
      </c>
      <c r="E4939" s="700" t="s">
        <v>1922</v>
      </c>
      <c r="F4939" s="795">
        <v>2390</v>
      </c>
      <c r="G4939" s="1994"/>
      <c r="H4939" s="748"/>
      <c r="I4939" s="748"/>
      <c r="J4939" s="1654" t="s">
        <v>1134</v>
      </c>
      <c r="K4939" s="1314"/>
      <c r="L4939" s="748"/>
      <c r="M4939" s="748"/>
      <c r="N4939" s="1644"/>
      <c r="O4939" s="187"/>
      <c r="P4939" s="187"/>
      <c r="Q4939" s="187"/>
      <c r="R4939" s="187"/>
      <c r="S4939" s="187"/>
      <c r="T4939" s="187"/>
      <c r="U4939" s="187"/>
      <c r="V4939" s="187"/>
      <c r="W4939" s="187"/>
      <c r="X4939" s="187"/>
      <c r="Y4939" s="187"/>
      <c r="Z4939" s="187"/>
      <c r="AA4939" s="187"/>
      <c r="AB4939" s="187"/>
      <c r="AC4939" s="187"/>
      <c r="AD4939" s="187"/>
      <c r="AE4939" s="187"/>
      <c r="AF4939" s="187"/>
    </row>
    <row r="4940" spans="1:32" ht="20.399999999999999">
      <c r="A4940" s="683"/>
      <c r="B4940" s="3129" t="s">
        <v>772</v>
      </c>
      <c r="C4940" s="683" t="s">
        <v>320</v>
      </c>
      <c r="D4940" s="719" t="s">
        <v>1980</v>
      </c>
      <c r="E4940" s="720" t="s">
        <v>1922</v>
      </c>
      <c r="F4940" s="824">
        <v>2512</v>
      </c>
      <c r="G4940" s="800" t="s">
        <v>779</v>
      </c>
      <c r="H4940" s="893">
        <v>1000</v>
      </c>
      <c r="I4940" s="893"/>
      <c r="J4940" s="1654">
        <v>756</v>
      </c>
      <c r="K4940" s="1251"/>
      <c r="L4940" s="893">
        <v>1000</v>
      </c>
      <c r="M4940" s="893"/>
      <c r="N4940" s="1644"/>
      <c r="O4940" s="7"/>
      <c r="P4940" s="7"/>
      <c r="Q4940" s="7"/>
      <c r="R4940" s="7"/>
      <c r="S4940" s="7"/>
      <c r="T4940" s="7"/>
      <c r="U4940" s="7"/>
      <c r="V4940" s="7"/>
      <c r="W4940" s="7"/>
      <c r="X4940" s="7"/>
      <c r="Y4940" s="7"/>
      <c r="Z4940" s="7"/>
      <c r="AA4940" s="7"/>
      <c r="AB4940" s="7"/>
      <c r="AC4940" s="7"/>
      <c r="AD4940" s="7"/>
      <c r="AE4940" s="7"/>
      <c r="AF4940" s="7"/>
    </row>
    <row r="4941" spans="1:32" ht="20.399999999999999">
      <c r="A4941" s="663"/>
      <c r="B4941" s="3130" t="s">
        <v>772</v>
      </c>
      <c r="C4941" s="663" t="s">
        <v>320</v>
      </c>
      <c r="D4941" s="678" t="s">
        <v>1980</v>
      </c>
      <c r="E4941" s="700" t="s">
        <v>1922</v>
      </c>
      <c r="F4941" s="795">
        <v>2512</v>
      </c>
      <c r="G4941" s="1994" t="s">
        <v>3106</v>
      </c>
      <c r="H4941" s="748"/>
      <c r="I4941" s="748">
        <v>1000</v>
      </c>
      <c r="J4941" s="1654" t="s">
        <v>1134</v>
      </c>
      <c r="K4941" s="1314"/>
      <c r="L4941" s="748"/>
      <c r="M4941" s="748">
        <v>1000</v>
      </c>
      <c r="N4941" s="1644"/>
      <c r="O4941" s="187"/>
      <c r="P4941" s="187"/>
      <c r="Q4941" s="187"/>
      <c r="R4941" s="187"/>
      <c r="S4941" s="187"/>
      <c r="T4941" s="187"/>
      <c r="V4941" s="187"/>
      <c r="W4941" s="187"/>
      <c r="X4941" s="187"/>
      <c r="Y4941" s="187"/>
      <c r="Z4941" s="187"/>
      <c r="AA4941" s="187"/>
      <c r="AB4941" s="187"/>
      <c r="AC4941" s="187"/>
      <c r="AD4941" s="187"/>
      <c r="AE4941" s="187"/>
      <c r="AF4941" s="187"/>
    </row>
    <row r="4942" spans="1:32" ht="20.399999999999999">
      <c r="A4942" s="683"/>
      <c r="B4942" s="3129" t="s">
        <v>774</v>
      </c>
      <c r="C4942" s="720" t="s">
        <v>324</v>
      </c>
      <c r="D4942" s="823" t="s">
        <v>1980</v>
      </c>
      <c r="E4942" s="720" t="s">
        <v>1922</v>
      </c>
      <c r="F4942" s="824">
        <v>5120</v>
      </c>
      <c r="G4942" s="800" t="s">
        <v>588</v>
      </c>
      <c r="H4942" s="893">
        <v>450</v>
      </c>
      <c r="I4942" s="893"/>
      <c r="J4942" s="1654">
        <v>450</v>
      </c>
      <c r="K4942" s="1251"/>
      <c r="L4942" s="893">
        <v>0</v>
      </c>
      <c r="M4942" s="893"/>
      <c r="N4942" s="1644"/>
      <c r="O4942" s="7"/>
      <c r="P4942" s="7"/>
      <c r="Q4942" s="7"/>
      <c r="R4942" s="7"/>
      <c r="S4942" s="7"/>
      <c r="T4942" s="7"/>
      <c r="U4942" s="7"/>
      <c r="V4942" s="7"/>
      <c r="W4942" s="7"/>
      <c r="X4942" s="7"/>
      <c r="Y4942" s="7"/>
      <c r="Z4942" s="7"/>
      <c r="AA4942" s="7"/>
      <c r="AB4942" s="7"/>
      <c r="AC4942" s="7"/>
      <c r="AD4942" s="7"/>
      <c r="AE4942" s="7"/>
      <c r="AF4942" s="7"/>
    </row>
    <row r="4943" spans="1:32" ht="20.399999999999999">
      <c r="A4943" s="663" t="s">
        <v>845</v>
      </c>
      <c r="B4943" s="3130" t="s">
        <v>774</v>
      </c>
      <c r="C4943" s="700" t="s">
        <v>324</v>
      </c>
      <c r="D4943" s="794" t="s">
        <v>1980</v>
      </c>
      <c r="E4943" s="700" t="s">
        <v>1922</v>
      </c>
      <c r="F4943" s="795">
        <v>5120</v>
      </c>
      <c r="G4943" s="830" t="s">
        <v>3405</v>
      </c>
      <c r="H4943" s="748"/>
      <c r="I4943" s="748">
        <v>450</v>
      </c>
      <c r="J4943" s="1654" t="s">
        <v>1134</v>
      </c>
      <c r="K4943" s="1314"/>
      <c r="L4943" s="748"/>
      <c r="M4943" s="1988"/>
      <c r="N4943" s="1644"/>
      <c r="O4943" s="7"/>
      <c r="P4943" s="7"/>
      <c r="Q4943" s="7"/>
      <c r="R4943" s="7"/>
      <c r="S4943" s="7"/>
      <c r="T4943" s="7"/>
      <c r="U4943" s="3"/>
      <c r="V4943" s="3"/>
      <c r="W4943" s="3"/>
      <c r="X4943" s="3"/>
      <c r="Y4943" s="3"/>
      <c r="Z4943" s="3"/>
      <c r="AA4943" s="3"/>
      <c r="AB4943" s="3"/>
      <c r="AC4943" s="3"/>
      <c r="AD4943" s="3"/>
      <c r="AE4943" s="3"/>
      <c r="AF4943" s="3"/>
    </row>
    <row r="4944" spans="1:32">
      <c r="A4944" s="683"/>
      <c r="B4944" s="3129" t="s">
        <v>774</v>
      </c>
      <c r="C4944" s="720" t="s">
        <v>324</v>
      </c>
      <c r="D4944" s="823" t="s">
        <v>1980</v>
      </c>
      <c r="E4944" s="720" t="s">
        <v>1922</v>
      </c>
      <c r="F4944" s="824">
        <v>5238</v>
      </c>
      <c r="G4944" s="800" t="s">
        <v>139</v>
      </c>
      <c r="H4944" s="893">
        <v>2275</v>
      </c>
      <c r="I4944" s="893"/>
      <c r="J4944" s="1654">
        <v>2274.8000000000002</v>
      </c>
      <c r="K4944" s="1251"/>
      <c r="L4944" s="893">
        <v>1330</v>
      </c>
      <c r="M4944" s="893"/>
      <c r="N4944" s="1644"/>
      <c r="O4944" s="7"/>
      <c r="P4944" s="7"/>
      <c r="Q4944" s="7"/>
      <c r="R4944" s="7"/>
      <c r="S4944" s="7"/>
      <c r="T4944" s="7"/>
      <c r="U4944" s="7"/>
      <c r="V4944" s="7"/>
      <c r="W4944" s="7"/>
      <c r="X4944" s="7"/>
      <c r="Y4944" s="7"/>
      <c r="Z4944" s="7"/>
      <c r="AA4944" s="7"/>
      <c r="AB4944" s="7"/>
      <c r="AC4944" s="7"/>
      <c r="AD4944" s="7"/>
      <c r="AE4944" s="7"/>
      <c r="AF4944" s="7"/>
    </row>
    <row r="4945" spans="1:32" ht="20.399999999999999">
      <c r="A4945" s="663"/>
      <c r="B4945" s="3130" t="s">
        <v>774</v>
      </c>
      <c r="C4945" s="700" t="s">
        <v>324</v>
      </c>
      <c r="D4945" s="794" t="s">
        <v>1980</v>
      </c>
      <c r="E4945" s="700" t="s">
        <v>1922</v>
      </c>
      <c r="F4945" s="795">
        <v>5238</v>
      </c>
      <c r="G4945" s="1883" t="s">
        <v>3925</v>
      </c>
      <c r="H4945" s="748"/>
      <c r="I4945" s="748"/>
      <c r="J4945" s="1654"/>
      <c r="K4945" s="1314"/>
      <c r="L4945" s="748"/>
      <c r="M4945" s="748">
        <v>1330</v>
      </c>
      <c r="N4945" s="1644"/>
      <c r="O4945" s="7"/>
      <c r="P4945" s="7"/>
      <c r="Q4945" s="7"/>
      <c r="R4945" s="7"/>
      <c r="S4945" s="7"/>
      <c r="T4945" s="7"/>
      <c r="U4945" s="7"/>
      <c r="V4945" s="7"/>
      <c r="W4945" s="7"/>
      <c r="X4945" s="7"/>
      <c r="Y4945" s="7"/>
      <c r="Z4945" s="7"/>
      <c r="AA4945" s="7"/>
      <c r="AB4945" s="7"/>
      <c r="AC4945" s="7"/>
      <c r="AD4945" s="7"/>
      <c r="AE4945" s="7"/>
      <c r="AF4945" s="7"/>
    </row>
    <row r="4946" spans="1:32" ht="40.799999999999997">
      <c r="A4946" s="663" t="s">
        <v>861</v>
      </c>
      <c r="B4946" s="3130" t="s">
        <v>774</v>
      </c>
      <c r="C4946" s="700" t="s">
        <v>324</v>
      </c>
      <c r="D4946" s="794" t="s">
        <v>1980</v>
      </c>
      <c r="E4946" s="700" t="s">
        <v>1922</v>
      </c>
      <c r="F4946" s="795">
        <v>5238</v>
      </c>
      <c r="G4946" s="830" t="s">
        <v>2353</v>
      </c>
      <c r="H4946" s="748"/>
      <c r="I4946" s="748">
        <v>2190</v>
      </c>
      <c r="J4946" s="1654" t="s">
        <v>1134</v>
      </c>
      <c r="K4946" s="1314"/>
      <c r="L4946" s="748"/>
      <c r="M4946" s="1988"/>
      <c r="N4946" s="2335">
        <v>0</v>
      </c>
      <c r="O4946" s="7"/>
      <c r="P4946" s="7"/>
      <c r="Q4946" s="7"/>
      <c r="R4946" s="7"/>
      <c r="S4946" s="7"/>
      <c r="T4946" s="7"/>
      <c r="U4946" s="7"/>
      <c r="V4946" s="7"/>
      <c r="W4946" s="7"/>
      <c r="X4946" s="7"/>
      <c r="Y4946" s="7"/>
      <c r="Z4946" s="7"/>
      <c r="AA4946" s="7"/>
      <c r="AB4946" s="7"/>
      <c r="AC4946" s="7"/>
      <c r="AD4946" s="7"/>
      <c r="AE4946" s="7"/>
      <c r="AF4946" s="7"/>
    </row>
    <row r="4947" spans="1:32" ht="20.399999999999999">
      <c r="A4947" s="663" t="s">
        <v>861</v>
      </c>
      <c r="B4947" s="3130" t="s">
        <v>774</v>
      </c>
      <c r="C4947" s="700" t="s">
        <v>324</v>
      </c>
      <c r="D4947" s="794" t="s">
        <v>1980</v>
      </c>
      <c r="E4947" s="700" t="s">
        <v>1922</v>
      </c>
      <c r="F4947" s="795">
        <v>5238</v>
      </c>
      <c r="G4947" s="830" t="s">
        <v>3213</v>
      </c>
      <c r="H4947" s="748"/>
      <c r="I4947" s="748">
        <v>85</v>
      </c>
      <c r="J4947" s="1654" t="s">
        <v>1134</v>
      </c>
      <c r="K4947" s="1314"/>
      <c r="L4947" s="748"/>
      <c r="M4947" s="748"/>
      <c r="N4947" s="305" t="s">
        <v>4446</v>
      </c>
      <c r="O4947" s="7"/>
      <c r="P4947" s="7"/>
      <c r="Q4947" s="7"/>
      <c r="R4947" s="7"/>
      <c r="S4947" s="7"/>
      <c r="T4947" s="7"/>
      <c r="U4947" s="7"/>
      <c r="V4947" s="7"/>
      <c r="W4947" s="7"/>
      <c r="X4947" s="7"/>
      <c r="Y4947" s="7"/>
      <c r="Z4947" s="7"/>
      <c r="AA4947" s="7"/>
      <c r="AB4947" s="7"/>
      <c r="AC4947" s="7"/>
      <c r="AD4947" s="7"/>
      <c r="AE4947" s="7"/>
      <c r="AF4947" s="7"/>
    </row>
    <row r="4948" spans="1:32">
      <c r="A4948" s="720"/>
      <c r="B4948" s="3129" t="s">
        <v>774</v>
      </c>
      <c r="C4948" s="720" t="s">
        <v>340</v>
      </c>
      <c r="D4948" s="823" t="s">
        <v>1980</v>
      </c>
      <c r="E4948" s="720" t="s">
        <v>1922</v>
      </c>
      <c r="F4948" s="824">
        <v>5239</v>
      </c>
      <c r="G4948" s="800" t="s">
        <v>138</v>
      </c>
      <c r="H4948" s="893">
        <v>1709</v>
      </c>
      <c r="I4948" s="893"/>
      <c r="J4948" s="1654">
        <v>1709</v>
      </c>
      <c r="K4948" s="1251"/>
      <c r="L4948" s="893">
        <v>0</v>
      </c>
      <c r="M4948" s="893"/>
      <c r="N4948" s="305" t="s">
        <v>4446</v>
      </c>
      <c r="O4948" s="7"/>
      <c r="P4948" s="7"/>
      <c r="Q4948" s="7"/>
      <c r="R4948" s="7"/>
      <c r="S4948" s="7"/>
      <c r="T4948" s="7"/>
      <c r="U4948" s="7"/>
      <c r="V4948" s="7"/>
      <c r="W4948" s="7"/>
      <c r="X4948" s="7"/>
      <c r="Y4948" s="7"/>
      <c r="Z4948" s="7"/>
      <c r="AA4948" s="7"/>
      <c r="AB4948" s="7"/>
      <c r="AC4948" s="7"/>
      <c r="AD4948" s="7"/>
      <c r="AE4948" s="7"/>
      <c r="AF4948" s="7"/>
    </row>
    <row r="4949" spans="1:32" ht="20.399999999999999">
      <c r="A4949" s="1590" t="s">
        <v>861</v>
      </c>
      <c r="B4949" s="3138" t="s">
        <v>774</v>
      </c>
      <c r="C4949" s="1590" t="s">
        <v>324</v>
      </c>
      <c r="D4949" s="1560" t="s">
        <v>1980</v>
      </c>
      <c r="E4949" s="1590" t="s">
        <v>1922</v>
      </c>
      <c r="F4949" s="1562">
        <v>5239</v>
      </c>
      <c r="G4949" s="2014" t="s">
        <v>3456</v>
      </c>
      <c r="H4949" s="1573"/>
      <c r="I4949" s="1573">
        <v>1709</v>
      </c>
      <c r="J4949" s="1573"/>
      <c r="K4949" s="2017"/>
      <c r="L4949" s="1573"/>
      <c r="M4949" s="1573"/>
      <c r="N4949" s="381" t="s">
        <v>4447</v>
      </c>
      <c r="O4949" s="7"/>
      <c r="P4949" s="7"/>
      <c r="Q4949" s="7"/>
      <c r="R4949" s="7"/>
      <c r="S4949" s="7"/>
      <c r="T4949" s="7"/>
      <c r="U4949" s="7"/>
      <c r="V4949" s="7"/>
      <c r="W4949" s="7"/>
      <c r="X4949" s="7"/>
      <c r="Y4949" s="7"/>
      <c r="Z4949" s="7"/>
      <c r="AA4949" s="7"/>
      <c r="AB4949" s="7"/>
      <c r="AC4949" s="7"/>
      <c r="AD4949" s="7"/>
      <c r="AE4949" s="7"/>
      <c r="AF4949" s="7"/>
    </row>
    <row r="4950" spans="1:32">
      <c r="A4950" s="720"/>
      <c r="B4950" s="3129" t="s">
        <v>773</v>
      </c>
      <c r="C4950" s="720" t="s">
        <v>340</v>
      </c>
      <c r="D4950" s="823" t="s">
        <v>1980</v>
      </c>
      <c r="E4950" s="720" t="s">
        <v>1922</v>
      </c>
      <c r="F4950" s="824">
        <v>5239</v>
      </c>
      <c r="G4950" s="800" t="s">
        <v>138</v>
      </c>
      <c r="H4950" s="893"/>
      <c r="I4950" s="893"/>
      <c r="J4950" s="1654"/>
      <c r="K4950" s="1251"/>
      <c r="L4950" s="893">
        <v>10083.44</v>
      </c>
      <c r="M4950" s="893"/>
      <c r="N4950" s="305" t="s">
        <v>4448</v>
      </c>
      <c r="O4950" s="7"/>
      <c r="P4950" s="7"/>
      <c r="Q4950" s="7"/>
      <c r="R4950" s="7"/>
      <c r="S4950" s="7"/>
      <c r="T4950" s="7"/>
      <c r="U4950" s="7"/>
      <c r="V4950" s="7"/>
      <c r="W4950" s="7"/>
      <c r="X4950" s="7"/>
      <c r="Y4950" s="7"/>
      <c r="Z4950" s="7"/>
      <c r="AA4950" s="7"/>
      <c r="AB4950" s="7"/>
      <c r="AC4950" s="7"/>
      <c r="AD4950" s="7"/>
      <c r="AE4950" s="7"/>
      <c r="AF4950" s="7"/>
    </row>
    <row r="4951" spans="1:32" ht="20.399999999999999">
      <c r="A4951" s="1590" t="s">
        <v>861</v>
      </c>
      <c r="B4951" s="3138" t="s">
        <v>773</v>
      </c>
      <c r="C4951" s="1590" t="s">
        <v>324</v>
      </c>
      <c r="D4951" s="1560" t="s">
        <v>1980</v>
      </c>
      <c r="E4951" s="1590" t="s">
        <v>1922</v>
      </c>
      <c r="F4951" s="1562">
        <v>5239</v>
      </c>
      <c r="G4951" s="2014" t="s">
        <v>3953</v>
      </c>
      <c r="H4951" s="1573"/>
      <c r="I4951" s="1573"/>
      <c r="J4951" s="1573"/>
      <c r="K4951" s="2017"/>
      <c r="L4951" s="1573"/>
      <c r="M4951" s="1573">
        <v>1494</v>
      </c>
      <c r="N4951" s="305"/>
      <c r="O4951" s="7"/>
      <c r="P4951" s="7"/>
      <c r="Q4951" s="7"/>
      <c r="R4951" s="7"/>
      <c r="S4951" s="7"/>
      <c r="T4951" s="7"/>
      <c r="U4951" s="7"/>
      <c r="V4951" s="7"/>
      <c r="W4951" s="7"/>
      <c r="X4951" s="7"/>
      <c r="Y4951" s="7"/>
      <c r="Z4951" s="7"/>
      <c r="AA4951" s="7"/>
      <c r="AB4951" s="7"/>
      <c r="AC4951" s="7"/>
      <c r="AD4951" s="7"/>
      <c r="AE4951" s="7"/>
      <c r="AF4951" s="7"/>
    </row>
    <row r="4952" spans="1:32" ht="20.399999999999999">
      <c r="A4952" s="1590" t="s">
        <v>861</v>
      </c>
      <c r="B4952" s="3138" t="s">
        <v>773</v>
      </c>
      <c r="C4952" s="1590" t="s">
        <v>324</v>
      </c>
      <c r="D4952" s="1560" t="s">
        <v>1980</v>
      </c>
      <c r="E4952" s="1590" t="s">
        <v>1922</v>
      </c>
      <c r="F4952" s="1562">
        <v>5239</v>
      </c>
      <c r="G4952" s="2014" t="s">
        <v>3952</v>
      </c>
      <c r="H4952" s="1573"/>
      <c r="I4952" s="1573"/>
      <c r="J4952" s="1573"/>
      <c r="K4952" s="2017"/>
      <c r="L4952" s="1573"/>
      <c r="M4952" s="1573">
        <v>127</v>
      </c>
      <c r="N4952" s="1644"/>
      <c r="O4952" s="187"/>
      <c r="P4952" s="187"/>
      <c r="Q4952" s="187"/>
      <c r="R4952" s="187"/>
      <c r="S4952" s="187"/>
      <c r="T4952" s="187"/>
      <c r="U4952" s="187"/>
      <c r="V4952" s="187"/>
      <c r="W4952" s="187"/>
      <c r="X4952" s="187"/>
      <c r="Y4952" s="187"/>
      <c r="Z4952" s="187"/>
      <c r="AA4952" s="187"/>
      <c r="AB4952" s="187"/>
      <c r="AC4952" s="187"/>
      <c r="AD4952" s="187"/>
      <c r="AE4952" s="187"/>
      <c r="AF4952" s="187"/>
    </row>
    <row r="4953" spans="1:32" ht="20.399999999999999">
      <c r="A4953" s="1590" t="s">
        <v>861</v>
      </c>
      <c r="B4953" s="3138" t="s">
        <v>773</v>
      </c>
      <c r="C4953" s="1590" t="s">
        <v>324</v>
      </c>
      <c r="D4953" s="1560" t="s">
        <v>1980</v>
      </c>
      <c r="E4953" s="1590" t="s">
        <v>1922</v>
      </c>
      <c r="F4953" s="1562">
        <v>5239</v>
      </c>
      <c r="G4953" s="2014" t="s">
        <v>3954</v>
      </c>
      <c r="H4953" s="1573"/>
      <c r="I4953" s="1573"/>
      <c r="J4953" s="1573"/>
      <c r="K4953" s="2017"/>
      <c r="L4953" s="1573"/>
      <c r="M4953" s="1573">
        <v>897</v>
      </c>
      <c r="N4953" s="1644"/>
      <c r="O4953" s="7"/>
      <c r="P4953" s="7"/>
      <c r="Q4953" s="7"/>
      <c r="R4953" s="7"/>
      <c r="S4953" s="7"/>
      <c r="T4953" s="7"/>
      <c r="U4953" s="7"/>
      <c r="V4953" s="7"/>
      <c r="W4953" s="7"/>
      <c r="X4953" s="7"/>
      <c r="Y4953" s="7"/>
      <c r="Z4953" s="7"/>
      <c r="AA4953" s="7"/>
      <c r="AB4953" s="7"/>
      <c r="AC4953" s="7"/>
      <c r="AD4953" s="7"/>
      <c r="AE4953" s="7"/>
      <c r="AF4953" s="7"/>
    </row>
    <row r="4954" spans="1:32" ht="33.75" customHeight="1">
      <c r="A4954" s="1590" t="s">
        <v>861</v>
      </c>
      <c r="B4954" s="3138" t="s">
        <v>773</v>
      </c>
      <c r="C4954" s="1590" t="s">
        <v>324</v>
      </c>
      <c r="D4954" s="1560" t="s">
        <v>1980</v>
      </c>
      <c r="E4954" s="1590" t="s">
        <v>1922</v>
      </c>
      <c r="F4954" s="1562">
        <v>5239</v>
      </c>
      <c r="G4954" s="2014" t="s">
        <v>3955</v>
      </c>
      <c r="H4954" s="1573"/>
      <c r="I4954" s="1573"/>
      <c r="J4954" s="1573"/>
      <c r="K4954" s="2017"/>
      <c r="L4954" s="1573"/>
      <c r="M4954" s="1573">
        <v>955</v>
      </c>
      <c r="N4954" s="1644"/>
      <c r="O4954" s="7"/>
      <c r="P4954" s="7"/>
      <c r="Q4954" s="7"/>
      <c r="R4954" s="7"/>
      <c r="S4954" s="7"/>
      <c r="T4954" s="7"/>
      <c r="U4954" s="7"/>
      <c r="V4954" s="7"/>
      <c r="W4954" s="7"/>
      <c r="X4954" s="7"/>
      <c r="Y4954" s="7"/>
      <c r="Z4954" s="7"/>
      <c r="AA4954" s="7"/>
      <c r="AB4954" s="7"/>
      <c r="AC4954" s="7"/>
      <c r="AD4954" s="7"/>
      <c r="AE4954" s="7"/>
      <c r="AF4954" s="7"/>
    </row>
    <row r="4955" spans="1:32" ht="20.399999999999999">
      <c r="A4955" s="1590" t="s">
        <v>861</v>
      </c>
      <c r="B4955" s="3138" t="s">
        <v>773</v>
      </c>
      <c r="C4955" s="1590" t="s">
        <v>324</v>
      </c>
      <c r="D4955" s="1560" t="s">
        <v>1980</v>
      </c>
      <c r="E4955" s="1590" t="s">
        <v>1922</v>
      </c>
      <c r="F4955" s="1562">
        <v>5239</v>
      </c>
      <c r="G4955" s="2014" t="s">
        <v>3956</v>
      </c>
      <c r="H4955" s="1573"/>
      <c r="I4955" s="1573"/>
      <c r="J4955" s="1573"/>
      <c r="K4955" s="2017"/>
      <c r="L4955" s="1573"/>
      <c r="M4955" s="1573">
        <v>1139</v>
      </c>
      <c r="N4955" s="1644"/>
      <c r="O4955" s="187"/>
      <c r="P4955" s="187"/>
      <c r="Q4955" s="187"/>
      <c r="R4955" s="187"/>
      <c r="S4955" s="187"/>
      <c r="T4955" s="187"/>
      <c r="U4955" s="187"/>
      <c r="V4955" s="187"/>
      <c r="W4955" s="187"/>
      <c r="X4955" s="187"/>
      <c r="Y4955" s="187"/>
      <c r="Z4955" s="187"/>
      <c r="AA4955" s="187"/>
      <c r="AB4955" s="187"/>
      <c r="AC4955" s="187"/>
      <c r="AD4955" s="187"/>
      <c r="AE4955" s="187"/>
    </row>
    <row r="4956" spans="1:32" ht="20.399999999999999">
      <c r="A4956" s="1590" t="s">
        <v>861</v>
      </c>
      <c r="B4956" s="3138" t="s">
        <v>773</v>
      </c>
      <c r="C4956" s="1590" t="s">
        <v>324</v>
      </c>
      <c r="D4956" s="1560" t="s">
        <v>1980</v>
      </c>
      <c r="E4956" s="1590" t="s">
        <v>1922</v>
      </c>
      <c r="F4956" s="1562">
        <v>5239</v>
      </c>
      <c r="G4956" s="2014" t="s">
        <v>3957</v>
      </c>
      <c r="H4956" s="1573"/>
      <c r="I4956" s="1573"/>
      <c r="J4956" s="1573"/>
      <c r="K4956" s="2017"/>
      <c r="L4956" s="1573"/>
      <c r="M4956" s="1573">
        <v>1771.44</v>
      </c>
      <c r="N4956" s="3530" t="s">
        <v>4449</v>
      </c>
      <c r="O4956" s="7"/>
      <c r="P4956" s="7"/>
      <c r="Q4956" s="7"/>
      <c r="R4956" s="7"/>
      <c r="S4956" s="7"/>
      <c r="T4956" s="7"/>
      <c r="U4956" s="7"/>
      <c r="V4956" s="7"/>
      <c r="W4956" s="7"/>
      <c r="X4956" s="7"/>
      <c r="Y4956" s="7"/>
      <c r="Z4956" s="7"/>
      <c r="AA4956" s="7"/>
      <c r="AB4956" s="7"/>
      <c r="AC4956" s="7"/>
      <c r="AD4956" s="7"/>
      <c r="AE4956" s="7"/>
      <c r="AF4956" s="7"/>
    </row>
    <row r="4957" spans="1:32" ht="20.399999999999999">
      <c r="A4957" s="1590" t="s">
        <v>861</v>
      </c>
      <c r="B4957" s="3138" t="s">
        <v>773</v>
      </c>
      <c r="C4957" s="1590" t="s">
        <v>324</v>
      </c>
      <c r="D4957" s="1560" t="s">
        <v>1980</v>
      </c>
      <c r="E4957" s="1590" t="s">
        <v>1922</v>
      </c>
      <c r="F4957" s="1562">
        <v>5239</v>
      </c>
      <c r="G4957" s="2014" t="s">
        <v>3958</v>
      </c>
      <c r="H4957" s="1573"/>
      <c r="I4957" s="1573"/>
      <c r="J4957" s="1573"/>
      <c r="K4957" s="2017"/>
      <c r="L4957" s="1573"/>
      <c r="M4957" s="1573">
        <v>3700</v>
      </c>
      <c r="N4957" s="3530"/>
      <c r="O4957" s="177"/>
      <c r="P4957" s="177"/>
      <c r="Q4957" s="177"/>
      <c r="R4957" s="177"/>
      <c r="S4957" s="177"/>
      <c r="T4957" s="177"/>
      <c r="U4957" s="177"/>
      <c r="V4957" s="177"/>
      <c r="W4957" s="177"/>
      <c r="X4957" s="177"/>
      <c r="Y4957" s="177"/>
      <c r="Z4957" s="177"/>
      <c r="AA4957" s="177"/>
      <c r="AB4957" s="177"/>
      <c r="AC4957" s="177"/>
      <c r="AD4957" s="177"/>
      <c r="AE4957" s="177"/>
      <c r="AF4957" s="177"/>
    </row>
    <row r="4958" spans="1:32" ht="22.5" customHeight="1">
      <c r="A4958" s="683"/>
      <c r="B4958" s="3129" t="s">
        <v>1211</v>
      </c>
      <c r="C4958" s="683" t="s">
        <v>320</v>
      </c>
      <c r="D4958" s="719" t="s">
        <v>1980</v>
      </c>
      <c r="E4958" s="1406" t="s">
        <v>1922</v>
      </c>
      <c r="F4958" s="685">
        <v>7230</v>
      </c>
      <c r="G4958" s="686" t="s">
        <v>1027</v>
      </c>
      <c r="H4958" s="731">
        <v>165990.33061999999</v>
      </c>
      <c r="I4958" s="731"/>
      <c r="J4958" s="1494">
        <v>138329</v>
      </c>
      <c r="K4958" s="747"/>
      <c r="L4958" s="1957">
        <v>176322</v>
      </c>
      <c r="M4958" s="1957"/>
      <c r="N4958" s="2020" t="s">
        <v>4450</v>
      </c>
      <c r="O4958" s="177"/>
      <c r="P4958" s="177"/>
      <c r="Q4958" s="177"/>
      <c r="R4958" s="177"/>
      <c r="S4958" s="177"/>
      <c r="T4958" s="177"/>
      <c r="U4958" s="177"/>
      <c r="V4958" s="177"/>
      <c r="W4958" s="177"/>
      <c r="X4958" s="177"/>
      <c r="Y4958" s="177"/>
      <c r="Z4958" s="177"/>
      <c r="AA4958" s="177"/>
      <c r="AB4958" s="177"/>
      <c r="AC4958" s="177"/>
      <c r="AD4958" s="177"/>
      <c r="AE4958" s="177"/>
      <c r="AF4958" s="177"/>
    </row>
    <row r="4959" spans="1:32">
      <c r="A4959" s="663"/>
      <c r="B4959" s="3130" t="s">
        <v>2534</v>
      </c>
      <c r="C4959" s="663" t="s">
        <v>320</v>
      </c>
      <c r="D4959" s="678" t="s">
        <v>1980</v>
      </c>
      <c r="E4959" s="1407" t="s">
        <v>1922</v>
      </c>
      <c r="F4959" s="679">
        <v>7230</v>
      </c>
      <c r="G4959" s="665" t="s">
        <v>436</v>
      </c>
      <c r="H4959" s="741"/>
      <c r="I4959" s="741">
        <v>107368</v>
      </c>
      <c r="J4959" s="1494" t="s">
        <v>1134</v>
      </c>
      <c r="K4959" s="732"/>
      <c r="L4959" s="1958"/>
      <c r="M4959" s="1958">
        <v>115350</v>
      </c>
      <c r="N4959" s="1644"/>
      <c r="O4959" s="7"/>
      <c r="P4959" s="7"/>
      <c r="Q4959" s="7"/>
      <c r="R4959" s="7"/>
      <c r="S4959" s="7"/>
      <c r="T4959" s="7"/>
      <c r="U4959" s="7"/>
      <c r="V4959" s="7"/>
      <c r="W4959" s="7"/>
      <c r="X4959" s="7"/>
      <c r="Y4959" s="7"/>
      <c r="Z4959" s="7"/>
      <c r="AA4959" s="7"/>
      <c r="AB4959" s="7"/>
      <c r="AC4959" s="7"/>
      <c r="AD4959" s="7"/>
      <c r="AE4959" s="7"/>
      <c r="AF4959" s="7"/>
    </row>
    <row r="4960" spans="1:32">
      <c r="A4960" s="603"/>
      <c r="B4960" s="3130" t="s">
        <v>1211</v>
      </c>
      <c r="C4960" s="663" t="s">
        <v>320</v>
      </c>
      <c r="D4960" s="678" t="s">
        <v>1980</v>
      </c>
      <c r="E4960" s="1407" t="s">
        <v>1922</v>
      </c>
      <c r="F4960" s="679">
        <v>7230</v>
      </c>
      <c r="G4960" s="1129" t="s">
        <v>772</v>
      </c>
      <c r="H4960" s="1136"/>
      <c r="I4960" s="1136">
        <v>52322.330620000001</v>
      </c>
      <c r="J4960" s="1494" t="s">
        <v>1134</v>
      </c>
      <c r="K4960" s="757"/>
      <c r="L4960" s="1960"/>
      <c r="M4960" s="1960">
        <v>60972</v>
      </c>
      <c r="N4960" s="1644"/>
      <c r="O4960" s="7"/>
      <c r="P4960" s="7"/>
      <c r="Q4960" s="7"/>
      <c r="R4960" s="7"/>
      <c r="S4960" s="7"/>
      <c r="T4960" s="7"/>
      <c r="U4960" s="7"/>
      <c r="V4960" s="7"/>
      <c r="W4960" s="7"/>
      <c r="X4960" s="7"/>
      <c r="Y4960" s="7"/>
      <c r="Z4960" s="7"/>
      <c r="AA4960" s="7"/>
      <c r="AB4960" s="7"/>
      <c r="AC4960" s="7"/>
      <c r="AD4960" s="7"/>
      <c r="AE4960" s="7"/>
      <c r="AF4960" s="7"/>
    </row>
    <row r="4961" spans="1:32" ht="22.5" customHeight="1">
      <c r="A4961" s="663"/>
      <c r="B4961" s="3130" t="s">
        <v>1211</v>
      </c>
      <c r="C4961" s="663" t="s">
        <v>320</v>
      </c>
      <c r="D4961" s="678" t="s">
        <v>1980</v>
      </c>
      <c r="E4961" s="1407" t="s">
        <v>1922</v>
      </c>
      <c r="F4961" s="679">
        <v>7230</v>
      </c>
      <c r="G4961" s="665" t="s">
        <v>774</v>
      </c>
      <c r="H4961" s="741"/>
      <c r="I4961" s="741">
        <v>6300</v>
      </c>
      <c r="J4961" s="1494" t="s">
        <v>1134</v>
      </c>
      <c r="K4961" s="732"/>
      <c r="L4961" s="1958"/>
      <c r="M4961" s="1958">
        <v>0</v>
      </c>
      <c r="N4961" s="1644"/>
      <c r="O4961" s="7"/>
      <c r="P4961" s="7"/>
      <c r="Q4961" s="7"/>
      <c r="R4961" s="7"/>
      <c r="S4961" s="7"/>
      <c r="T4961" s="7"/>
      <c r="U4961" s="7"/>
      <c r="V4961" s="7"/>
      <c r="W4961" s="7"/>
      <c r="X4961" s="7"/>
      <c r="Y4961" s="7"/>
      <c r="Z4961" s="7"/>
      <c r="AA4961" s="7"/>
      <c r="AB4961" s="7"/>
      <c r="AC4961" s="7"/>
      <c r="AD4961" s="7"/>
      <c r="AE4961" s="7"/>
      <c r="AF4961" s="7"/>
    </row>
    <row r="4962" spans="1:32">
      <c r="A4962" s="683"/>
      <c r="B4962" s="3129" t="s">
        <v>773</v>
      </c>
      <c r="C4962" s="683" t="s">
        <v>320</v>
      </c>
      <c r="D4962" s="719" t="s">
        <v>1980</v>
      </c>
      <c r="E4962" s="840" t="s">
        <v>1922</v>
      </c>
      <c r="F4962" s="685">
        <v>7230</v>
      </c>
      <c r="G4962" s="686" t="s">
        <v>1027</v>
      </c>
      <c r="H4962" s="731">
        <v>0</v>
      </c>
      <c r="I4962" s="731"/>
      <c r="J4962" s="1494" t="s">
        <v>1134</v>
      </c>
      <c r="K4962" s="747"/>
      <c r="L4962" s="1957">
        <v>0</v>
      </c>
      <c r="M4962" s="1957"/>
      <c r="N4962" s="1644"/>
      <c r="O4962" s="7"/>
      <c r="P4962" s="7"/>
      <c r="Q4962" s="7"/>
      <c r="R4962" s="7"/>
      <c r="S4962" s="7"/>
      <c r="T4962" s="7"/>
      <c r="U4962" s="7"/>
      <c r="V4962" s="7"/>
      <c r="W4962" s="7"/>
      <c r="X4962" s="7"/>
      <c r="Y4962" s="7"/>
      <c r="Z4962" s="7"/>
      <c r="AA4962" s="7"/>
      <c r="AB4962" s="7"/>
      <c r="AC4962" s="7"/>
      <c r="AD4962" s="7"/>
      <c r="AE4962" s="7"/>
      <c r="AF4962" s="7"/>
    </row>
    <row r="4963" spans="1:32">
      <c r="A4963" s="668"/>
      <c r="B4963" s="3144" t="s">
        <v>773</v>
      </c>
      <c r="C4963" s="668" t="s">
        <v>320</v>
      </c>
      <c r="D4963" s="669" t="s">
        <v>1980</v>
      </c>
      <c r="E4963" s="936" t="s">
        <v>1922</v>
      </c>
      <c r="F4963" s="671">
        <v>7230</v>
      </c>
      <c r="G4963" s="717"/>
      <c r="H4963" s="733"/>
      <c r="I4963" s="733"/>
      <c r="J4963" s="1494" t="s">
        <v>1134</v>
      </c>
      <c r="K4963" s="733"/>
      <c r="L4963" s="2353"/>
      <c r="M4963" s="2353"/>
      <c r="N4963" s="1644"/>
      <c r="O4963" s="7"/>
      <c r="P4963" s="7"/>
      <c r="Q4963" s="7"/>
      <c r="R4963" s="7"/>
      <c r="S4963" s="7"/>
      <c r="T4963" s="7"/>
      <c r="U4963" s="7"/>
      <c r="V4963" s="7"/>
      <c r="W4963" s="7"/>
      <c r="X4963" s="7"/>
      <c r="Y4963" s="7"/>
      <c r="Z4963" s="7"/>
      <c r="AA4963" s="7"/>
      <c r="AB4963" s="7"/>
      <c r="AC4963" s="7"/>
      <c r="AD4963" s="7"/>
      <c r="AE4963" s="7"/>
      <c r="AF4963" s="7"/>
    </row>
    <row r="4964" spans="1:32">
      <c r="A4964" s="1575"/>
      <c r="B4964" s="3147" t="s">
        <v>365</v>
      </c>
      <c r="C4964" s="1575"/>
      <c r="D4964" s="1585" t="s">
        <v>1980</v>
      </c>
      <c r="E4964" s="1586" t="s">
        <v>3383</v>
      </c>
      <c r="F4964" s="1577">
        <v>1119</v>
      </c>
      <c r="G4964" s="1578" t="s">
        <v>142</v>
      </c>
      <c r="H4964" s="1587">
        <v>248</v>
      </c>
      <c r="I4964" s="1587"/>
      <c r="J4964" s="1587"/>
      <c r="K4964" s="1567"/>
      <c r="L4964" s="1588">
        <v>248</v>
      </c>
      <c r="M4964" s="1589"/>
      <c r="N4964" s="1644"/>
      <c r="O4964" s="7"/>
      <c r="P4964" s="7"/>
      <c r="Q4964" s="7"/>
      <c r="R4964" s="7"/>
      <c r="S4964" s="7"/>
      <c r="T4964" s="7"/>
      <c r="U4964" s="7"/>
      <c r="V4964" s="7"/>
      <c r="W4964" s="7"/>
      <c r="X4964" s="7"/>
      <c r="Y4964" s="3"/>
      <c r="Z4964" s="3"/>
      <c r="AA4964" s="3"/>
      <c r="AB4964" s="3"/>
      <c r="AC4964" s="3"/>
      <c r="AD4964" s="3"/>
      <c r="AE4964" s="3"/>
      <c r="AF4964" s="3"/>
    </row>
    <row r="4965" spans="1:32">
      <c r="A4965" s="1495"/>
      <c r="B4965" s="3138" t="s">
        <v>365</v>
      </c>
      <c r="C4965" s="1495"/>
      <c r="D4965" s="1561" t="s">
        <v>1980</v>
      </c>
      <c r="E4965" s="1590" t="s">
        <v>3383</v>
      </c>
      <c r="F4965" s="1574">
        <v>1119</v>
      </c>
      <c r="G4965" s="1548" t="s">
        <v>436</v>
      </c>
      <c r="H4965" s="1549"/>
      <c r="I4965" s="1549">
        <v>248</v>
      </c>
      <c r="J4965" s="1549"/>
      <c r="K4965" s="1551"/>
      <c r="L4965" s="1581"/>
      <c r="M4965" s="1591">
        <v>248</v>
      </c>
      <c r="N4965" s="1644"/>
      <c r="O4965" s="3"/>
      <c r="P4965" s="3"/>
      <c r="Q4965" s="3"/>
      <c r="R4965" s="3"/>
      <c r="S4965" s="3"/>
      <c r="T4965" s="3"/>
      <c r="U4965" s="3"/>
      <c r="V4965" s="3"/>
      <c r="W4965" s="3"/>
      <c r="X4965" s="3"/>
      <c r="Y4965" s="3"/>
      <c r="Z4965" s="3"/>
      <c r="AA4965" s="3"/>
      <c r="AB4965" s="3"/>
      <c r="AC4965" s="3"/>
      <c r="AD4965" s="3"/>
      <c r="AE4965" s="3"/>
      <c r="AF4965" s="3"/>
    </row>
    <row r="4966" spans="1:32" s="204" customFormat="1" ht="22.5" customHeight="1">
      <c r="A4966" s="1575"/>
      <c r="B4966" s="3147" t="s">
        <v>365</v>
      </c>
      <c r="C4966" s="1575"/>
      <c r="D4966" s="1585" t="s">
        <v>1980</v>
      </c>
      <c r="E4966" s="1586" t="s">
        <v>3383</v>
      </c>
      <c r="F4966" s="1577">
        <v>1210</v>
      </c>
      <c r="G4966" s="1578" t="s">
        <v>402</v>
      </c>
      <c r="H4966" s="1587">
        <v>58</v>
      </c>
      <c r="I4966" s="1587"/>
      <c r="J4966" s="1587"/>
      <c r="K4966" s="1567"/>
      <c r="L4966" s="1588">
        <v>58</v>
      </c>
      <c r="M4966" s="1587"/>
      <c r="N4966" s="1644"/>
      <c r="O4966" s="203"/>
      <c r="P4966" s="203"/>
      <c r="Q4966" s="203"/>
      <c r="R4966" s="203"/>
      <c r="S4966" s="203"/>
      <c r="T4966" s="203"/>
      <c r="U4966" s="203"/>
      <c r="V4966" s="203"/>
      <c r="W4966" s="203"/>
      <c r="X4966" s="203"/>
      <c r="Y4966" s="203"/>
      <c r="Z4966" s="203"/>
      <c r="AA4966" s="203"/>
      <c r="AB4966" s="203"/>
      <c r="AC4966" s="203"/>
      <c r="AD4966" s="203"/>
      <c r="AE4966" s="203"/>
      <c r="AF4966" s="203"/>
    </row>
    <row r="4967" spans="1:32" s="204" customFormat="1" ht="10.199999999999999">
      <c r="A4967" s="1495"/>
      <c r="B4967" s="3138" t="s">
        <v>365</v>
      </c>
      <c r="C4967" s="1495"/>
      <c r="D4967" s="1561" t="s">
        <v>1980</v>
      </c>
      <c r="E4967" s="1590" t="s">
        <v>3383</v>
      </c>
      <c r="F4967" s="1574">
        <v>1210</v>
      </c>
      <c r="G4967" s="1548"/>
      <c r="H4967" s="1549"/>
      <c r="I4967" s="1549">
        <v>58</v>
      </c>
      <c r="J4967" s="1549"/>
      <c r="K4967" s="1551"/>
      <c r="L4967" s="1581"/>
      <c r="M4967" s="1591">
        <v>58</v>
      </c>
      <c r="N4967" s="1644"/>
      <c r="O4967" s="203"/>
      <c r="P4967" s="203"/>
      <c r="Q4967" s="203"/>
      <c r="R4967" s="203"/>
      <c r="S4967" s="203"/>
      <c r="T4967" s="203"/>
      <c r="U4967" s="203"/>
      <c r="V4967" s="203"/>
      <c r="W4967" s="203"/>
      <c r="X4967" s="203"/>
      <c r="Y4967" s="203"/>
      <c r="Z4967" s="203"/>
      <c r="AA4967" s="203"/>
      <c r="AB4967" s="203"/>
      <c r="AC4967" s="203"/>
      <c r="AD4967" s="203"/>
      <c r="AE4967" s="203"/>
      <c r="AF4967" s="203"/>
    </row>
    <row r="4968" spans="1:32" s="204" customFormat="1" ht="10.199999999999999">
      <c r="A4968" s="1575"/>
      <c r="B4968" s="3147" t="s">
        <v>365</v>
      </c>
      <c r="C4968" s="1575"/>
      <c r="D4968" s="1585" t="s">
        <v>1980</v>
      </c>
      <c r="E4968" s="1586" t="s">
        <v>3383</v>
      </c>
      <c r="F4968" s="1577">
        <v>2239</v>
      </c>
      <c r="G4968" s="1578" t="s">
        <v>1017</v>
      </c>
      <c r="H4968" s="1587">
        <v>2780</v>
      </c>
      <c r="I4968" s="1587"/>
      <c r="J4968" s="1587"/>
      <c r="K4968" s="1567"/>
      <c r="L4968" s="1588">
        <v>2190</v>
      </c>
      <c r="M4968" s="1587"/>
      <c r="N4968" s="1644"/>
      <c r="O4968" s="203"/>
      <c r="P4968" s="203"/>
      <c r="Q4968" s="203"/>
      <c r="R4968" s="203"/>
      <c r="S4968" s="203"/>
      <c r="T4968" s="203"/>
      <c r="U4968" s="203"/>
      <c r="V4968" s="203"/>
      <c r="W4968" s="203"/>
      <c r="X4968" s="203"/>
      <c r="Y4968" s="203"/>
      <c r="Z4968" s="203"/>
      <c r="AA4968" s="203"/>
      <c r="AB4968" s="203"/>
      <c r="AC4968" s="203"/>
      <c r="AD4968" s="203"/>
      <c r="AE4968" s="203"/>
      <c r="AF4968" s="203"/>
    </row>
    <row r="4969" spans="1:32" s="204" customFormat="1" ht="10.199999999999999">
      <c r="A4969" s="1495"/>
      <c r="B4969" s="3138" t="s">
        <v>365</v>
      </c>
      <c r="C4969" s="1495"/>
      <c r="D4969" s="1561" t="s">
        <v>1980</v>
      </c>
      <c r="E4969" s="1590" t="s">
        <v>3383</v>
      </c>
      <c r="F4969" s="1574">
        <v>2239</v>
      </c>
      <c r="G4969" s="1583" t="s">
        <v>1295</v>
      </c>
      <c r="H4969" s="1549"/>
      <c r="I4969" s="1549">
        <v>2780</v>
      </c>
      <c r="J4969" s="1549"/>
      <c r="K4969" s="1551"/>
      <c r="L4969" s="1581"/>
      <c r="M4969" s="1591">
        <v>2190</v>
      </c>
      <c r="N4969" s="1644"/>
      <c r="O4969" s="203"/>
      <c r="P4969" s="203"/>
      <c r="Q4969" s="203"/>
      <c r="R4969" s="203"/>
      <c r="S4969" s="203"/>
      <c r="T4969" s="203"/>
      <c r="U4969" s="205"/>
      <c r="V4969" s="205"/>
      <c r="W4969" s="205"/>
      <c r="X4969" s="205"/>
      <c r="Y4969" s="205"/>
      <c r="Z4969" s="205"/>
      <c r="AA4969" s="205"/>
      <c r="AB4969" s="205"/>
      <c r="AC4969" s="205"/>
      <c r="AD4969" s="205"/>
      <c r="AE4969" s="205"/>
      <c r="AF4969" s="205"/>
    </row>
    <row r="4970" spans="1:32" s="204" customFormat="1" ht="10.199999999999999">
      <c r="A4970" s="1495"/>
      <c r="B4970" s="3138" t="s">
        <v>365</v>
      </c>
      <c r="C4970" s="1495"/>
      <c r="D4970" s="1561" t="s">
        <v>1980</v>
      </c>
      <c r="E4970" s="1590" t="s">
        <v>3383</v>
      </c>
      <c r="F4970" s="1574">
        <v>2239</v>
      </c>
      <c r="G4970" s="1583" t="s">
        <v>319</v>
      </c>
      <c r="H4970" s="1549"/>
      <c r="I4970" s="1549"/>
      <c r="J4970" s="1549"/>
      <c r="K4970" s="1551"/>
      <c r="L4970" s="1581"/>
      <c r="M4970" s="1591">
        <v>306</v>
      </c>
      <c r="N4970" s="1644"/>
      <c r="O4970" s="203"/>
      <c r="P4970" s="203"/>
      <c r="Q4970" s="203"/>
      <c r="R4970" s="203"/>
      <c r="S4970" s="203"/>
      <c r="T4970" s="203"/>
      <c r="U4970" s="205"/>
      <c r="V4970" s="205"/>
      <c r="W4970" s="205"/>
      <c r="X4970" s="205"/>
      <c r="Y4970" s="205"/>
      <c r="Z4970" s="205"/>
      <c r="AA4970" s="205"/>
      <c r="AB4970" s="205"/>
      <c r="AC4970" s="205"/>
      <c r="AD4970" s="205"/>
      <c r="AE4970" s="205"/>
      <c r="AF4970" s="205"/>
    </row>
    <row r="4971" spans="1:32" s="204" customFormat="1" ht="10.199999999999999">
      <c r="A4971" s="1495"/>
      <c r="B4971" s="3138" t="s">
        <v>365</v>
      </c>
      <c r="C4971" s="1495"/>
      <c r="D4971" s="1561" t="s">
        <v>1980</v>
      </c>
      <c r="E4971" s="1590" t="s">
        <v>3383</v>
      </c>
      <c r="F4971" s="1574">
        <v>2239</v>
      </c>
      <c r="G4971" s="1583" t="s">
        <v>5219</v>
      </c>
      <c r="H4971" s="1549"/>
      <c r="I4971" s="1549"/>
      <c r="J4971" s="1549"/>
      <c r="K4971" s="1551"/>
      <c r="L4971" s="1581"/>
      <c r="M4971" s="1591">
        <v>-306</v>
      </c>
      <c r="N4971" s="2339" t="s">
        <v>4452</v>
      </c>
      <c r="O4971" s="203"/>
      <c r="P4971" s="203"/>
      <c r="Q4971" s="203"/>
      <c r="R4971" s="203"/>
      <c r="S4971" s="203"/>
      <c r="T4971" s="203"/>
      <c r="U4971" s="205"/>
      <c r="V4971" s="205"/>
      <c r="W4971" s="205"/>
      <c r="X4971" s="205"/>
      <c r="Y4971" s="205"/>
      <c r="Z4971" s="205"/>
      <c r="AA4971" s="205"/>
      <c r="AB4971" s="205"/>
      <c r="AC4971" s="205"/>
      <c r="AD4971" s="205"/>
      <c r="AE4971" s="205"/>
      <c r="AF4971" s="205"/>
    </row>
    <row r="4972" spans="1:32" s="204" customFormat="1" ht="30.6">
      <c r="A4972" s="683"/>
      <c r="B4972" s="3129" t="s">
        <v>365</v>
      </c>
      <c r="C4972" s="683" t="s">
        <v>323</v>
      </c>
      <c r="D4972" s="719" t="s">
        <v>1980</v>
      </c>
      <c r="E4972" s="742" t="s">
        <v>3328</v>
      </c>
      <c r="F4972" s="824">
        <v>2239</v>
      </c>
      <c r="G4972" s="800" t="s">
        <v>122</v>
      </c>
      <c r="H4972" s="893">
        <v>11200</v>
      </c>
      <c r="I4972" s="893"/>
      <c r="J4972" s="1654">
        <v>4345.6000000000004</v>
      </c>
      <c r="K4972" s="1068"/>
      <c r="L4972" s="893">
        <v>17776</v>
      </c>
      <c r="M4972" s="893"/>
      <c r="N4972" s="2339" t="s">
        <v>4453</v>
      </c>
      <c r="O4972" s="203"/>
      <c r="P4972" s="203"/>
      <c r="Q4972" s="203"/>
      <c r="R4972" s="203"/>
      <c r="S4972" s="203"/>
      <c r="T4972" s="203"/>
      <c r="U4972" s="203"/>
      <c r="V4972" s="203"/>
      <c r="W4972" s="203"/>
      <c r="X4972" s="203"/>
      <c r="Y4972" s="203"/>
      <c r="Z4972" s="203"/>
      <c r="AA4972" s="203"/>
      <c r="AB4972" s="203"/>
      <c r="AC4972" s="203"/>
      <c r="AD4972" s="203"/>
      <c r="AE4972" s="203"/>
      <c r="AF4972" s="203"/>
    </row>
    <row r="4973" spans="1:32" ht="20.399999999999999">
      <c r="A4973" s="743"/>
      <c r="B4973" s="3161" t="s">
        <v>365</v>
      </c>
      <c r="C4973" s="663" t="s">
        <v>323</v>
      </c>
      <c r="D4973" s="678" t="s">
        <v>1980</v>
      </c>
      <c r="E4973" s="700" t="s">
        <v>3328</v>
      </c>
      <c r="F4973" s="795">
        <v>2239</v>
      </c>
      <c r="G4973" s="2195" t="s">
        <v>2916</v>
      </c>
      <c r="H4973" s="2346"/>
      <c r="I4973" s="2346">
        <v>11200</v>
      </c>
      <c r="J4973" s="2331" t="s">
        <v>1134</v>
      </c>
      <c r="K4973" s="2347"/>
      <c r="L4973" s="2346"/>
      <c r="M4973" s="2346">
        <v>15980</v>
      </c>
      <c r="N4973" s="1644"/>
      <c r="O4973" s="7"/>
      <c r="P4973" s="7"/>
      <c r="Q4973" s="7"/>
      <c r="R4973" s="7"/>
      <c r="S4973" s="7"/>
      <c r="T4973" s="7"/>
      <c r="U4973" s="3"/>
      <c r="V4973" s="3"/>
      <c r="W4973" s="3"/>
      <c r="X4973" s="3"/>
      <c r="Y4973" s="3"/>
      <c r="Z4973" s="3"/>
      <c r="AA4973" s="3"/>
      <c r="AB4973" s="3"/>
      <c r="AC4973" s="3"/>
      <c r="AD4973" s="3"/>
      <c r="AE4973" s="3"/>
      <c r="AF4973" s="3"/>
    </row>
    <row r="4974" spans="1:32" ht="20.399999999999999">
      <c r="A4974" s="743"/>
      <c r="B4974" s="3161" t="s">
        <v>365</v>
      </c>
      <c r="C4974" s="663" t="s">
        <v>323</v>
      </c>
      <c r="D4974" s="678" t="s">
        <v>1980</v>
      </c>
      <c r="E4974" s="700" t="s">
        <v>3328</v>
      </c>
      <c r="F4974" s="795">
        <v>2239</v>
      </c>
      <c r="G4974" s="750" t="s">
        <v>1294</v>
      </c>
      <c r="H4974" s="752"/>
      <c r="I4974" s="752"/>
      <c r="J4974" s="1654" t="s">
        <v>1134</v>
      </c>
      <c r="K4974" s="1069"/>
      <c r="L4974" s="752"/>
      <c r="M4974" s="752">
        <v>1796</v>
      </c>
      <c r="N4974" s="1644"/>
      <c r="O4974" s="7"/>
      <c r="P4974" s="7"/>
      <c r="Q4974" s="7"/>
      <c r="R4974" s="3"/>
      <c r="S4974" s="3"/>
      <c r="T4974" s="3"/>
      <c r="U4974" s="3"/>
      <c r="V4974" s="3"/>
      <c r="W4974" s="3"/>
      <c r="X4974" s="3"/>
      <c r="Y4974" s="3"/>
      <c r="Z4974" s="3"/>
      <c r="AA4974" s="3"/>
      <c r="AB4974" s="3"/>
      <c r="AC4974" s="3"/>
      <c r="AD4974" s="3"/>
      <c r="AE4974" s="3"/>
      <c r="AF4974" s="3"/>
    </row>
    <row r="4975" spans="1:32" ht="20.399999999999999">
      <c r="A4975" s="683"/>
      <c r="B4975" s="3129" t="s">
        <v>436</v>
      </c>
      <c r="C4975" s="696" t="s">
        <v>432</v>
      </c>
      <c r="D4975" s="984" t="s">
        <v>1980</v>
      </c>
      <c r="E4975" s="991" t="s">
        <v>2618</v>
      </c>
      <c r="F4975" s="996">
        <v>1119</v>
      </c>
      <c r="G4975" s="800" t="s">
        <v>264</v>
      </c>
      <c r="H4975" s="997">
        <v>313041.77260000003</v>
      </c>
      <c r="I4975" s="1011"/>
      <c r="J4975" s="1494">
        <v>206256</v>
      </c>
      <c r="K4975" s="842"/>
      <c r="L4975" s="986">
        <v>327704.79296319815</v>
      </c>
      <c r="M4975" s="987"/>
      <c r="N4975" s="1644"/>
      <c r="O4975" s="7"/>
      <c r="P4975" s="7"/>
      <c r="Q4975" s="7"/>
      <c r="R4975" s="3"/>
      <c r="S4975" s="3"/>
      <c r="T4975" s="3"/>
      <c r="U4975" s="3"/>
      <c r="V4975" s="3"/>
      <c r="W4975" s="3"/>
      <c r="X4975" s="3"/>
      <c r="Y4975" s="3"/>
      <c r="Z4975" s="3"/>
      <c r="AA4975" s="3"/>
      <c r="AB4975" s="3"/>
      <c r="AC4975" s="3"/>
      <c r="AD4975" s="3"/>
      <c r="AE4975" s="3"/>
      <c r="AF4975" s="3"/>
    </row>
    <row r="4976" spans="1:32">
      <c r="A4976" s="774"/>
      <c r="B4976" s="3137" t="s">
        <v>436</v>
      </c>
      <c r="C4976" s="759" t="s">
        <v>432</v>
      </c>
      <c r="D4976" s="988" t="s">
        <v>1980</v>
      </c>
      <c r="E4976" s="989" t="s">
        <v>2618</v>
      </c>
      <c r="F4976" s="1001">
        <v>1119</v>
      </c>
      <c r="G4976" s="812" t="s">
        <v>1708</v>
      </c>
      <c r="H4976" s="816"/>
      <c r="I4976" s="815">
        <v>277340.77260000003</v>
      </c>
      <c r="J4976" s="1494" t="s">
        <v>1134</v>
      </c>
      <c r="K4976" s="842"/>
      <c r="L4976" s="813"/>
      <c r="M4976" s="817">
        <v>327704.79296319815</v>
      </c>
      <c r="N4976" s="1644"/>
      <c r="O4976" s="7"/>
      <c r="P4976" s="7"/>
      <c r="Q4976" s="7"/>
      <c r="R4976" s="7"/>
      <c r="S4976" s="7"/>
      <c r="T4976" s="7"/>
      <c r="U4976" s="7"/>
      <c r="V4976" s="7"/>
      <c r="W4976" s="7"/>
      <c r="X4976" s="7"/>
      <c r="Y4976" s="7"/>
      <c r="Z4976" s="7"/>
      <c r="AA4976" s="7"/>
      <c r="AB4976" s="7"/>
      <c r="AC4976" s="7"/>
      <c r="AD4976" s="7"/>
      <c r="AE4976" s="7"/>
      <c r="AF4976" s="7"/>
    </row>
    <row r="4977" spans="1:32" ht="40.799999999999997">
      <c r="A4977" s="1353"/>
      <c r="B4977" s="3137" t="s">
        <v>436</v>
      </c>
      <c r="C4977" s="759" t="s">
        <v>432</v>
      </c>
      <c r="D4977" s="988" t="s">
        <v>1980</v>
      </c>
      <c r="E4977" s="989" t="s">
        <v>2618</v>
      </c>
      <c r="F4977" s="1001">
        <v>1119</v>
      </c>
      <c r="G4977" s="1424" t="s">
        <v>2985</v>
      </c>
      <c r="H4977" s="1355"/>
      <c r="I4977" s="1428">
        <v>35701</v>
      </c>
      <c r="J4977" s="1494" t="s">
        <v>1134</v>
      </c>
      <c r="K4977" s="1429"/>
      <c r="L4977" s="1427"/>
      <c r="M4977" s="1480"/>
      <c r="N4977" s="1644"/>
      <c r="O4977" s="7"/>
      <c r="P4977" s="7"/>
      <c r="Q4977" s="7"/>
      <c r="R4977" s="7"/>
      <c r="S4977" s="7"/>
      <c r="T4977" s="7"/>
      <c r="U4977" s="7"/>
      <c r="V4977" s="7"/>
      <c r="W4977" s="7"/>
      <c r="X4977" s="7"/>
      <c r="Y4977" s="7"/>
      <c r="Z4977" s="7"/>
      <c r="AA4977" s="7"/>
      <c r="AB4977" s="7"/>
      <c r="AC4977" s="7"/>
      <c r="AD4977" s="7"/>
      <c r="AE4977" s="7"/>
      <c r="AF4977" s="7"/>
    </row>
    <row r="4978" spans="1:32">
      <c r="A4978" s="683"/>
      <c r="B4978" s="3129" t="s">
        <v>326</v>
      </c>
      <c r="C4978" s="696" t="s">
        <v>321</v>
      </c>
      <c r="D4978" s="984" t="s">
        <v>1980</v>
      </c>
      <c r="E4978" s="994" t="s">
        <v>3329</v>
      </c>
      <c r="F4978" s="996">
        <v>1119</v>
      </c>
      <c r="G4978" s="800" t="s">
        <v>265</v>
      </c>
      <c r="H4978" s="2497">
        <v>1024833</v>
      </c>
      <c r="I4978" s="1011"/>
      <c r="J4978" s="1654">
        <v>610754</v>
      </c>
      <c r="K4978" s="2500"/>
      <c r="L4978" s="2497">
        <v>1309876.0779189256</v>
      </c>
      <c r="M4978" s="2497"/>
      <c r="N4978" s="1644"/>
    </row>
    <row r="4979" spans="1:32">
      <c r="A4979" s="774"/>
      <c r="B4979" s="3137" t="s">
        <v>326</v>
      </c>
      <c r="C4979" s="759" t="s">
        <v>321</v>
      </c>
      <c r="D4979" s="988" t="s">
        <v>1980</v>
      </c>
      <c r="E4979" s="999" t="s">
        <v>3329</v>
      </c>
      <c r="F4979" s="1001">
        <v>1119</v>
      </c>
      <c r="G4979" s="812" t="s">
        <v>1295</v>
      </c>
      <c r="H4979" s="816"/>
      <c r="I4979" s="815">
        <v>3159</v>
      </c>
      <c r="J4979" s="1654" t="s">
        <v>1134</v>
      </c>
      <c r="K4979" s="2500"/>
      <c r="L4979" s="816"/>
      <c r="M4979" s="1012">
        <v>3433</v>
      </c>
      <c r="N4979" s="1644"/>
    </row>
    <row r="4980" spans="1:32" ht="20.399999999999999">
      <c r="A4980" s="774"/>
      <c r="B4980" s="3137" t="s">
        <v>326</v>
      </c>
      <c r="C4980" s="759" t="s">
        <v>321</v>
      </c>
      <c r="D4980" s="1000" t="s">
        <v>1980</v>
      </c>
      <c r="E4980" s="999" t="s">
        <v>3329</v>
      </c>
      <c r="F4980" s="1001">
        <v>1119</v>
      </c>
      <c r="G4980" s="812" t="s">
        <v>4706</v>
      </c>
      <c r="H4980" s="816"/>
      <c r="I4980" s="815">
        <v>694449</v>
      </c>
      <c r="J4980" s="1654" t="s">
        <v>1134</v>
      </c>
      <c r="K4980" s="2500"/>
      <c r="L4980" s="816"/>
      <c r="M4980" s="1012">
        <v>850962.05194595037</v>
      </c>
      <c r="N4980" s="1644"/>
    </row>
    <row r="4981" spans="1:32" ht="20.399999999999999">
      <c r="A4981" s="774"/>
      <c r="B4981" s="3137" t="s">
        <v>326</v>
      </c>
      <c r="C4981" s="759" t="s">
        <v>321</v>
      </c>
      <c r="D4981" s="1000" t="s">
        <v>1980</v>
      </c>
      <c r="E4981" s="999" t="s">
        <v>3329</v>
      </c>
      <c r="F4981" s="1001">
        <v>1119</v>
      </c>
      <c r="G4981" s="812" t="s">
        <v>2875</v>
      </c>
      <c r="H4981" s="816"/>
      <c r="I4981" s="815">
        <v>347225</v>
      </c>
      <c r="J4981" s="1654" t="s">
        <v>1134</v>
      </c>
      <c r="K4981" s="2500"/>
      <c r="L4981" s="816"/>
      <c r="M4981" s="1012">
        <v>455481.02597297519</v>
      </c>
      <c r="N4981" s="1644"/>
    </row>
    <row r="4982" spans="1:32" ht="20.399999999999999">
      <c r="A4982" s="774"/>
      <c r="B4982" s="3137" t="s">
        <v>326</v>
      </c>
      <c r="C4982" s="759" t="s">
        <v>321</v>
      </c>
      <c r="D4982" s="1000" t="s">
        <v>1980</v>
      </c>
      <c r="E4982" s="999" t="s">
        <v>3329</v>
      </c>
      <c r="F4982" s="1001">
        <v>1119</v>
      </c>
      <c r="G4982" s="812" t="s">
        <v>2023</v>
      </c>
      <c r="H4982" s="816"/>
      <c r="I4982" s="815">
        <v>-20000</v>
      </c>
      <c r="J4982" s="1654" t="s">
        <v>1134</v>
      </c>
      <c r="K4982" s="2500"/>
      <c r="L4982" s="816"/>
      <c r="M4982" s="1012"/>
      <c r="N4982" s="2335">
        <v>900</v>
      </c>
    </row>
    <row r="4983" spans="1:32" ht="20.399999999999999">
      <c r="A4983" s="774"/>
      <c r="B4983" s="3137" t="s">
        <v>326</v>
      </c>
      <c r="C4983" s="759" t="s">
        <v>321</v>
      </c>
      <c r="D4983" s="1000" t="s">
        <v>1980</v>
      </c>
      <c r="E4983" s="999" t="s">
        <v>3329</v>
      </c>
      <c r="F4983" s="1001">
        <v>1119</v>
      </c>
      <c r="G4983" s="812" t="s">
        <v>2022</v>
      </c>
      <c r="H4983" s="816"/>
      <c r="I4983" s="815"/>
      <c r="J4983" s="1654" t="s">
        <v>1134</v>
      </c>
      <c r="K4983" s="2500"/>
      <c r="L4983" s="816"/>
      <c r="M4983" s="1012"/>
      <c r="N4983" s="1644"/>
    </row>
    <row r="4984" spans="1:32" ht="20.399999999999999">
      <c r="A4984" s="774"/>
      <c r="B4984" s="3137" t="s">
        <v>326</v>
      </c>
      <c r="C4984" s="759" t="s">
        <v>321</v>
      </c>
      <c r="D4984" s="1000" t="s">
        <v>1980</v>
      </c>
      <c r="E4984" s="999" t="s">
        <v>3329</v>
      </c>
      <c r="F4984" s="1001">
        <v>1119</v>
      </c>
      <c r="G4984" s="812" t="s">
        <v>2021</v>
      </c>
      <c r="H4984" s="816"/>
      <c r="I4984" s="815"/>
      <c r="J4984" s="1654" t="s">
        <v>1134</v>
      </c>
      <c r="K4984" s="2500"/>
      <c r="L4984" s="816"/>
      <c r="M4984" s="1012"/>
      <c r="N4984" s="2335">
        <v>0</v>
      </c>
    </row>
    <row r="4985" spans="1:32" ht="33.75" customHeight="1">
      <c r="A4985" s="774"/>
      <c r="B4985" s="3137" t="s">
        <v>326</v>
      </c>
      <c r="C4985" s="759" t="s">
        <v>321</v>
      </c>
      <c r="D4985" s="1000" t="s">
        <v>1980</v>
      </c>
      <c r="E4985" s="999" t="s">
        <v>3329</v>
      </c>
      <c r="F4985" s="1001">
        <v>1119</v>
      </c>
      <c r="G4985" s="812" t="s">
        <v>2024</v>
      </c>
      <c r="H4985" s="816"/>
      <c r="I4985" s="815"/>
      <c r="J4985" s="1654" t="s">
        <v>1134</v>
      </c>
      <c r="K4985" s="2500"/>
      <c r="L4985" s="816"/>
      <c r="M4985" s="1012"/>
      <c r="N4985" s="2339" t="s">
        <v>4456</v>
      </c>
    </row>
    <row r="4986" spans="1:32">
      <c r="A4986" s="774"/>
      <c r="B4986" s="3137" t="s">
        <v>326</v>
      </c>
      <c r="C4986" s="759" t="s">
        <v>321</v>
      </c>
      <c r="D4986" s="1000" t="s">
        <v>1980</v>
      </c>
      <c r="E4986" s="999" t="s">
        <v>3329</v>
      </c>
      <c r="F4986" s="1001">
        <v>1119</v>
      </c>
      <c r="G4986" s="812" t="s">
        <v>3434</v>
      </c>
      <c r="H4986" s="816"/>
      <c r="I4986" s="815"/>
      <c r="J4986" s="1654" t="s">
        <v>1134</v>
      </c>
      <c r="K4986" s="2500"/>
      <c r="L4986" s="816"/>
      <c r="M4986" s="1012"/>
      <c r="N4986" s="1644"/>
    </row>
    <row r="4987" spans="1:32">
      <c r="A4987" s="683"/>
      <c r="B4987" s="3129" t="s">
        <v>326</v>
      </c>
      <c r="C4987" s="696" t="s">
        <v>321</v>
      </c>
      <c r="D4987" s="984" t="s">
        <v>1980</v>
      </c>
      <c r="E4987" s="1412" t="s">
        <v>3330</v>
      </c>
      <c r="F4987" s="985">
        <v>1119</v>
      </c>
      <c r="G4987" s="686" t="s">
        <v>1291</v>
      </c>
      <c r="H4987" s="1356">
        <v>82433</v>
      </c>
      <c r="I4987" s="1066"/>
      <c r="J4987" s="1494">
        <v>48811.23</v>
      </c>
      <c r="K4987" s="992"/>
      <c r="L4987" s="1356">
        <v>91573.997164010041</v>
      </c>
      <c r="M4987" s="3123"/>
      <c r="N4987" s="1644"/>
    </row>
    <row r="4988" spans="1:32">
      <c r="A4988" s="774"/>
      <c r="B4988" s="3137" t="s">
        <v>326</v>
      </c>
      <c r="C4988" s="759" t="s">
        <v>321</v>
      </c>
      <c r="D4988" s="988" t="s">
        <v>1980</v>
      </c>
      <c r="E4988" s="2356" t="s">
        <v>3330</v>
      </c>
      <c r="F4988" s="990">
        <v>1119</v>
      </c>
      <c r="G4988" s="681" t="s">
        <v>1295</v>
      </c>
      <c r="H4988" s="1002"/>
      <c r="I4988" s="1311">
        <v>517</v>
      </c>
      <c r="J4988" s="1494" t="s">
        <v>1134</v>
      </c>
      <c r="K4988" s="992"/>
      <c r="L4988" s="1002"/>
      <c r="M4988" s="3019">
        <v>107</v>
      </c>
      <c r="N4988" s="1644"/>
    </row>
    <row r="4989" spans="1:32" ht="20.399999999999999">
      <c r="A4989" s="774"/>
      <c r="B4989" s="3137" t="s">
        <v>326</v>
      </c>
      <c r="C4989" s="759" t="s">
        <v>321</v>
      </c>
      <c r="D4989" s="988" t="s">
        <v>1980</v>
      </c>
      <c r="E4989" s="2356" t="s">
        <v>3330</v>
      </c>
      <c r="F4989" s="990">
        <v>1119</v>
      </c>
      <c r="G4989" s="681" t="s">
        <v>2878</v>
      </c>
      <c r="H4989" s="1002"/>
      <c r="I4989" s="1311">
        <v>94467</v>
      </c>
      <c r="J4989" s="1494" t="s">
        <v>1134</v>
      </c>
      <c r="K4989" s="992"/>
      <c r="L4989" s="1002"/>
      <c r="M4989" s="3019">
        <v>74310.998400356024</v>
      </c>
      <c r="N4989" s="1841" t="s">
        <v>4457</v>
      </c>
    </row>
    <row r="4990" spans="1:32">
      <c r="A4990" s="774"/>
      <c r="B4990" s="3137" t="s">
        <v>326</v>
      </c>
      <c r="C4990" s="759" t="s">
        <v>321</v>
      </c>
      <c r="D4990" s="988" t="s">
        <v>1980</v>
      </c>
      <c r="E4990" s="2356" t="s">
        <v>3330</v>
      </c>
      <c r="F4990" s="990">
        <v>1119</v>
      </c>
      <c r="G4990" s="681" t="s">
        <v>2877</v>
      </c>
      <c r="H4990" s="1002"/>
      <c r="I4990" s="1311">
        <v>47234</v>
      </c>
      <c r="J4990" s="1494" t="s">
        <v>1134</v>
      </c>
      <c r="K4990" s="992"/>
      <c r="L4990" s="1002"/>
      <c r="M4990" s="3019">
        <v>37155.998763654017</v>
      </c>
      <c r="N4990" s="2339"/>
    </row>
    <row r="4991" spans="1:32" ht="20.399999999999999" customHeight="1">
      <c r="A4991" s="1572"/>
      <c r="B4991" s="3137" t="s">
        <v>326</v>
      </c>
      <c r="C4991" s="759" t="s">
        <v>321</v>
      </c>
      <c r="D4991" s="988" t="s">
        <v>1980</v>
      </c>
      <c r="E4991" s="2356" t="s">
        <v>3330</v>
      </c>
      <c r="F4991" s="990">
        <v>1119</v>
      </c>
      <c r="G4991" s="1594" t="s">
        <v>3437</v>
      </c>
      <c r="H4991" s="1635"/>
      <c r="I4991" s="1636">
        <v>-20000</v>
      </c>
      <c r="J4991" s="1550"/>
      <c r="K4991" s="1637"/>
      <c r="L4991" s="1635"/>
      <c r="M4991" s="3124">
        <v>-20000</v>
      </c>
      <c r="N4991" s="1841" t="s">
        <v>4458</v>
      </c>
    </row>
    <row r="4992" spans="1:32" ht="20.399999999999999">
      <c r="A4992" s="774"/>
      <c r="B4992" s="3137" t="s">
        <v>326</v>
      </c>
      <c r="C4992" s="759" t="s">
        <v>321</v>
      </c>
      <c r="D4992" s="988" t="s">
        <v>1980</v>
      </c>
      <c r="E4992" s="2356" t="s">
        <v>3330</v>
      </c>
      <c r="F4992" s="990">
        <v>1119</v>
      </c>
      <c r="G4992" s="675" t="s">
        <v>2973</v>
      </c>
      <c r="H4992" s="1002"/>
      <c r="I4992" s="1311">
        <v>-37690</v>
      </c>
      <c r="J4992" s="1494" t="s">
        <v>1134</v>
      </c>
      <c r="K4992" s="992"/>
      <c r="L4992" s="1002"/>
      <c r="M4992" s="3019"/>
      <c r="N4992" s="2339"/>
    </row>
    <row r="4993" spans="1:14" ht="30.6">
      <c r="A4993" s="774"/>
      <c r="B4993" s="3137" t="s">
        <v>326</v>
      </c>
      <c r="C4993" s="759" t="s">
        <v>321</v>
      </c>
      <c r="D4993" s="988" t="s">
        <v>1980</v>
      </c>
      <c r="E4993" s="2356" t="s">
        <v>3330</v>
      </c>
      <c r="F4993" s="990">
        <v>1119</v>
      </c>
      <c r="G4993" s="681" t="s">
        <v>2042</v>
      </c>
      <c r="H4993" s="1002"/>
      <c r="I4993" s="1311">
        <v>-2095</v>
      </c>
      <c r="J4993" s="1494" t="s">
        <v>1134</v>
      </c>
      <c r="K4993" s="992"/>
      <c r="L4993" s="1002"/>
      <c r="M4993" s="3019"/>
      <c r="N4993" s="1841" t="s">
        <v>4460</v>
      </c>
    </row>
    <row r="4994" spans="1:14">
      <c r="A4994" s="683"/>
      <c r="B4994" s="3129" t="s">
        <v>436</v>
      </c>
      <c r="C4994" s="696" t="s">
        <v>432</v>
      </c>
      <c r="D4994" s="993" t="s">
        <v>1980</v>
      </c>
      <c r="E4994" s="991" t="s">
        <v>2618</v>
      </c>
      <c r="F4994" s="996">
        <v>1141</v>
      </c>
      <c r="G4994" s="800" t="s">
        <v>149</v>
      </c>
      <c r="H4994" s="997">
        <v>10</v>
      </c>
      <c r="I4994" s="1011"/>
      <c r="J4994" s="1494">
        <v>8</v>
      </c>
      <c r="K4994" s="842"/>
      <c r="L4994" s="986">
        <v>10</v>
      </c>
      <c r="M4994" s="987"/>
      <c r="N4994" s="1644"/>
    </row>
    <row r="4995" spans="1:14" ht="33.75" customHeight="1">
      <c r="A4995" s="774"/>
      <c r="B4995" s="3137" t="s">
        <v>436</v>
      </c>
      <c r="C4995" s="759" t="s">
        <v>432</v>
      </c>
      <c r="D4995" s="988" t="s">
        <v>1980</v>
      </c>
      <c r="E4995" s="989" t="s">
        <v>2618</v>
      </c>
      <c r="F4995" s="1001">
        <v>1141</v>
      </c>
      <c r="G4995" s="812" t="s">
        <v>3332</v>
      </c>
      <c r="H4995" s="816"/>
      <c r="I4995" s="815">
        <v>10</v>
      </c>
      <c r="J4995" s="1494" t="s">
        <v>1134</v>
      </c>
      <c r="K4995" s="842"/>
      <c r="L4995" s="813"/>
      <c r="M4995" s="817">
        <v>10</v>
      </c>
      <c r="N4995" s="1644"/>
    </row>
    <row r="4996" spans="1:14" ht="22.5" customHeight="1">
      <c r="A4996" s="683"/>
      <c r="B4996" s="3129" t="s">
        <v>436</v>
      </c>
      <c r="C4996" s="696" t="s">
        <v>432</v>
      </c>
      <c r="D4996" s="993" t="s">
        <v>1980</v>
      </c>
      <c r="E4996" s="991" t="s">
        <v>2618</v>
      </c>
      <c r="F4996" s="996">
        <v>1142</v>
      </c>
      <c r="G4996" s="800" t="s">
        <v>110</v>
      </c>
      <c r="H4996" s="997">
        <v>990</v>
      </c>
      <c r="I4996" s="1011"/>
      <c r="J4996" s="1494">
        <v>719</v>
      </c>
      <c r="K4996" s="842"/>
      <c r="L4996" s="986">
        <v>1000</v>
      </c>
      <c r="M4996" s="987"/>
      <c r="N4996" s="1644"/>
    </row>
    <row r="4997" spans="1:14" ht="20.399999999999999">
      <c r="A4997" s="774"/>
      <c r="B4997" s="3137" t="s">
        <v>436</v>
      </c>
      <c r="C4997" s="759" t="s">
        <v>432</v>
      </c>
      <c r="D4997" s="988" t="s">
        <v>1980</v>
      </c>
      <c r="E4997" s="989" t="s">
        <v>2618</v>
      </c>
      <c r="F4997" s="1001">
        <v>1142</v>
      </c>
      <c r="G4997" s="812" t="s">
        <v>1994</v>
      </c>
      <c r="H4997" s="816"/>
      <c r="I4997" s="815">
        <v>1000</v>
      </c>
      <c r="J4997" s="1494" t="s">
        <v>1134</v>
      </c>
      <c r="K4997" s="842"/>
      <c r="L4997" s="813"/>
      <c r="M4997" s="817">
        <v>1000</v>
      </c>
      <c r="N4997" s="381"/>
    </row>
    <row r="4998" spans="1:14" ht="30.6">
      <c r="A4998" s="774"/>
      <c r="B4998" s="3137" t="s">
        <v>436</v>
      </c>
      <c r="C4998" s="759" t="s">
        <v>432</v>
      </c>
      <c r="D4998" s="988" t="s">
        <v>1980</v>
      </c>
      <c r="E4998" s="989" t="s">
        <v>2618</v>
      </c>
      <c r="F4998" s="1001">
        <v>1142</v>
      </c>
      <c r="G4998" s="812" t="s">
        <v>3332</v>
      </c>
      <c r="H4998" s="816"/>
      <c r="I4998" s="815">
        <v>-10</v>
      </c>
      <c r="J4998" s="1494" t="s">
        <v>1134</v>
      </c>
      <c r="K4998" s="842"/>
      <c r="L4998" s="813"/>
      <c r="M4998" s="817"/>
      <c r="N4998" s="381" t="s">
        <v>4461</v>
      </c>
    </row>
    <row r="4999" spans="1:14">
      <c r="A4999" s="683"/>
      <c r="B4999" s="3129" t="s">
        <v>326</v>
      </c>
      <c r="C4999" s="994" t="s">
        <v>321</v>
      </c>
      <c r="D4999" s="2496" t="s">
        <v>1980</v>
      </c>
      <c r="E4999" s="994" t="s">
        <v>3329</v>
      </c>
      <c r="F4999" s="996">
        <v>1146</v>
      </c>
      <c r="G4999" s="800" t="s">
        <v>581</v>
      </c>
      <c r="H4999" s="2497">
        <v>2000</v>
      </c>
      <c r="I4999" s="1011"/>
      <c r="J4999" s="1654">
        <v>1974</v>
      </c>
      <c r="K4999" s="842"/>
      <c r="L4999" s="2497">
        <v>2000</v>
      </c>
      <c r="M4999" s="2322"/>
      <c r="N4999" s="1644"/>
    </row>
    <row r="5000" spans="1:14">
      <c r="A5000" s="774"/>
      <c r="B5000" s="3137" t="s">
        <v>326</v>
      </c>
      <c r="C5000" s="999" t="s">
        <v>321</v>
      </c>
      <c r="D5000" s="1000" t="s">
        <v>1980</v>
      </c>
      <c r="E5000" s="999" t="s">
        <v>3329</v>
      </c>
      <c r="F5000" s="1001">
        <v>1146</v>
      </c>
      <c r="G5000" s="812" t="s">
        <v>326</v>
      </c>
      <c r="H5000" s="816"/>
      <c r="I5000" s="815">
        <v>2000</v>
      </c>
      <c r="J5000" s="1654" t="s">
        <v>1134</v>
      </c>
      <c r="K5000" s="842"/>
      <c r="L5000" s="816"/>
      <c r="M5000" s="1012">
        <v>2000</v>
      </c>
      <c r="N5000" s="1644"/>
    </row>
    <row r="5001" spans="1:14" ht="20.399999999999999">
      <c r="A5001" s="774"/>
      <c r="B5001" s="3137" t="s">
        <v>326</v>
      </c>
      <c r="C5001" s="999" t="s">
        <v>321</v>
      </c>
      <c r="D5001" s="1000" t="s">
        <v>1980</v>
      </c>
      <c r="E5001" s="999" t="s">
        <v>3329</v>
      </c>
      <c r="F5001" s="1001">
        <v>1146</v>
      </c>
      <c r="G5001" s="812" t="s">
        <v>3435</v>
      </c>
      <c r="H5001" s="816"/>
      <c r="I5001" s="815">
        <v>2000</v>
      </c>
      <c r="J5001" s="1654" t="s">
        <v>1134</v>
      </c>
      <c r="K5001" s="842"/>
      <c r="L5001" s="816"/>
      <c r="M5001" s="1012"/>
      <c r="N5001" s="1644"/>
    </row>
    <row r="5002" spans="1:14">
      <c r="A5002" s="683"/>
      <c r="B5002" s="3129" t="s">
        <v>326</v>
      </c>
      <c r="C5002" s="994" t="s">
        <v>321</v>
      </c>
      <c r="D5002" s="2496" t="s">
        <v>1980</v>
      </c>
      <c r="E5002" s="994" t="s">
        <v>3329</v>
      </c>
      <c r="F5002" s="996">
        <v>1147</v>
      </c>
      <c r="G5002" s="800" t="s">
        <v>367</v>
      </c>
      <c r="H5002" s="2497">
        <v>88113</v>
      </c>
      <c r="I5002" s="1011"/>
      <c r="J5002" s="1654">
        <v>67608.160000000003</v>
      </c>
      <c r="K5002" s="842"/>
      <c r="L5002" s="2497">
        <v>49000</v>
      </c>
      <c r="M5002" s="2322"/>
      <c r="N5002" s="1644"/>
    </row>
    <row r="5003" spans="1:14">
      <c r="A5003" s="774"/>
      <c r="B5003" s="3137" t="s">
        <v>326</v>
      </c>
      <c r="C5003" s="999" t="s">
        <v>321</v>
      </c>
      <c r="D5003" s="1000" t="s">
        <v>1980</v>
      </c>
      <c r="E5003" s="999" t="s">
        <v>3329</v>
      </c>
      <c r="F5003" s="1001">
        <v>1147</v>
      </c>
      <c r="G5003" s="812" t="s">
        <v>111</v>
      </c>
      <c r="H5003" s="816"/>
      <c r="I5003" s="815">
        <v>30000</v>
      </c>
      <c r="J5003" s="1654" t="s">
        <v>1134</v>
      </c>
      <c r="K5003" s="842"/>
      <c r="L5003" s="816"/>
      <c r="M5003" s="1012">
        <v>49000</v>
      </c>
      <c r="N5003" s="1644"/>
    </row>
    <row r="5004" spans="1:14" ht="20.399999999999999">
      <c r="A5004" s="774"/>
      <c r="B5004" s="3137" t="s">
        <v>326</v>
      </c>
      <c r="C5004" s="999" t="s">
        <v>321</v>
      </c>
      <c r="D5004" s="1000" t="s">
        <v>1980</v>
      </c>
      <c r="E5004" s="999" t="s">
        <v>3329</v>
      </c>
      <c r="F5004" s="1001">
        <v>1147</v>
      </c>
      <c r="G5004" s="812" t="s">
        <v>2022</v>
      </c>
      <c r="H5004" s="816"/>
      <c r="I5004" s="815">
        <v>20000</v>
      </c>
      <c r="J5004" s="1654" t="s">
        <v>1134</v>
      </c>
      <c r="K5004" s="842"/>
      <c r="L5004" s="816"/>
      <c r="M5004" s="1012"/>
      <c r="N5004" s="1644"/>
    </row>
    <row r="5005" spans="1:14" ht="30.6">
      <c r="A5005" s="1353"/>
      <c r="B5005" s="3137" t="s">
        <v>326</v>
      </c>
      <c r="C5005" s="999" t="s">
        <v>321</v>
      </c>
      <c r="D5005" s="1000" t="s">
        <v>1980</v>
      </c>
      <c r="E5005" s="999" t="s">
        <v>3329</v>
      </c>
      <c r="F5005" s="1001">
        <v>1147</v>
      </c>
      <c r="G5005" s="2245" t="s">
        <v>2974</v>
      </c>
      <c r="H5005" s="1355"/>
      <c r="I5005" s="1428">
        <v>1113</v>
      </c>
      <c r="J5005" s="1654" t="s">
        <v>1134</v>
      </c>
      <c r="K5005" s="2498"/>
      <c r="L5005" s="1355"/>
      <c r="M5005" s="2499"/>
      <c r="N5005" s="1644"/>
    </row>
    <row r="5006" spans="1:14">
      <c r="A5006" s="774"/>
      <c r="B5006" s="3137" t="s">
        <v>326</v>
      </c>
      <c r="C5006" s="999" t="s">
        <v>321</v>
      </c>
      <c r="D5006" s="1000" t="s">
        <v>1980</v>
      </c>
      <c r="E5006" s="999" t="s">
        <v>3329</v>
      </c>
      <c r="F5006" s="1001">
        <v>1147</v>
      </c>
      <c r="G5006" s="812" t="s">
        <v>3412</v>
      </c>
      <c r="H5006" s="816"/>
      <c r="I5006" s="815">
        <v>20000</v>
      </c>
      <c r="J5006" s="1654" t="s">
        <v>1134</v>
      </c>
      <c r="K5006" s="842"/>
      <c r="L5006" s="816"/>
      <c r="M5006" s="1012"/>
      <c r="N5006" s="1644"/>
    </row>
    <row r="5007" spans="1:14" ht="20.399999999999999">
      <c r="A5007" s="774"/>
      <c r="B5007" s="3137" t="s">
        <v>326</v>
      </c>
      <c r="C5007" s="999" t="s">
        <v>321</v>
      </c>
      <c r="D5007" s="1000" t="s">
        <v>1980</v>
      </c>
      <c r="E5007" s="999" t="s">
        <v>3329</v>
      </c>
      <c r="F5007" s="1001">
        <v>1147</v>
      </c>
      <c r="G5007" s="812" t="s">
        <v>3435</v>
      </c>
      <c r="H5007" s="816"/>
      <c r="I5007" s="815">
        <v>-2000</v>
      </c>
      <c r="J5007" s="1654" t="s">
        <v>1134</v>
      </c>
      <c r="K5007" s="842"/>
      <c r="L5007" s="816"/>
      <c r="M5007" s="1012"/>
      <c r="N5007" s="1644"/>
    </row>
    <row r="5008" spans="1:14">
      <c r="A5008" s="683"/>
      <c r="B5008" s="3129" t="s">
        <v>326</v>
      </c>
      <c r="C5008" s="696" t="s">
        <v>321</v>
      </c>
      <c r="D5008" s="984" t="s">
        <v>1980</v>
      </c>
      <c r="E5008" s="1412" t="s">
        <v>3330</v>
      </c>
      <c r="F5008" s="985">
        <v>1147</v>
      </c>
      <c r="G5008" s="686" t="s">
        <v>367</v>
      </c>
      <c r="H5008" s="1356">
        <v>20000</v>
      </c>
      <c r="I5008" s="1066"/>
      <c r="J5008" s="1494">
        <v>12415</v>
      </c>
      <c r="K5008" s="688"/>
      <c r="L5008" s="1356">
        <v>20000</v>
      </c>
      <c r="M5008" s="3123"/>
      <c r="N5008" s="1644"/>
    </row>
    <row r="5009" spans="1:14">
      <c r="A5009" s="774"/>
      <c r="B5009" s="3137" t="s">
        <v>326</v>
      </c>
      <c r="C5009" s="759" t="s">
        <v>321</v>
      </c>
      <c r="D5009" s="988" t="s">
        <v>1980</v>
      </c>
      <c r="E5009" s="2356" t="s">
        <v>3330</v>
      </c>
      <c r="F5009" s="990">
        <v>1147</v>
      </c>
      <c r="G5009" s="675" t="s">
        <v>326</v>
      </c>
      <c r="H5009" s="1002"/>
      <c r="I5009" s="1311">
        <v>20000</v>
      </c>
      <c r="J5009" s="1494" t="s">
        <v>1134</v>
      </c>
      <c r="K5009" s="688"/>
      <c r="L5009" s="1002"/>
      <c r="M5009" s="3019">
        <v>20000</v>
      </c>
      <c r="N5009" s="1644" t="s">
        <v>4467</v>
      </c>
    </row>
    <row r="5010" spans="1:14" ht="22.5" customHeight="1">
      <c r="A5010" s="683"/>
      <c r="B5010" s="3129" t="s">
        <v>436</v>
      </c>
      <c r="C5010" s="696" t="s">
        <v>432</v>
      </c>
      <c r="D5010" s="993" t="s">
        <v>1980</v>
      </c>
      <c r="E5010" s="991" t="s">
        <v>2618</v>
      </c>
      <c r="F5010" s="996">
        <v>1147</v>
      </c>
      <c r="G5010" s="800" t="s">
        <v>367</v>
      </c>
      <c r="H5010" s="997">
        <v>11712.138540200001</v>
      </c>
      <c r="I5010" s="1011"/>
      <c r="J5010" s="1494">
        <v>8242</v>
      </c>
      <c r="K5010" s="842"/>
      <c r="L5010" s="986">
        <v>8454.4158765600005</v>
      </c>
      <c r="M5010" s="987"/>
      <c r="N5010" s="1644" t="s">
        <v>4467</v>
      </c>
    </row>
    <row r="5011" spans="1:14">
      <c r="A5011" s="774"/>
      <c r="B5011" s="3137" t="s">
        <v>436</v>
      </c>
      <c r="C5011" s="759" t="s">
        <v>432</v>
      </c>
      <c r="D5011" s="988" t="s">
        <v>1980</v>
      </c>
      <c r="E5011" s="989" t="s">
        <v>2618</v>
      </c>
      <c r="F5011" s="1001">
        <v>1147</v>
      </c>
      <c r="G5011" s="812" t="s">
        <v>436</v>
      </c>
      <c r="H5011" s="816"/>
      <c r="I5011" s="815">
        <v>12712.138540200001</v>
      </c>
      <c r="J5011" s="1494" t="s">
        <v>1134</v>
      </c>
      <c r="K5011" s="842"/>
      <c r="L5011" s="813"/>
      <c r="M5011" s="817">
        <v>8454.4158765600005</v>
      </c>
      <c r="N5011" s="1644" t="s">
        <v>4467</v>
      </c>
    </row>
    <row r="5012" spans="1:14" ht="20.399999999999999">
      <c r="A5012" s="774"/>
      <c r="B5012" s="3137" t="s">
        <v>436</v>
      </c>
      <c r="C5012" s="759" t="s">
        <v>432</v>
      </c>
      <c r="D5012" s="988" t="s">
        <v>1980</v>
      </c>
      <c r="E5012" s="989" t="s">
        <v>2618</v>
      </c>
      <c r="F5012" s="1001">
        <v>1147</v>
      </c>
      <c r="G5012" s="812" t="s">
        <v>1994</v>
      </c>
      <c r="H5012" s="816"/>
      <c r="I5012" s="815">
        <v>-1000</v>
      </c>
      <c r="J5012" s="1494" t="s">
        <v>1134</v>
      </c>
      <c r="K5012" s="842"/>
      <c r="L5012" s="813"/>
      <c r="M5012" s="817"/>
      <c r="N5012" s="1644" t="s">
        <v>4467</v>
      </c>
    </row>
    <row r="5013" spans="1:14" ht="22.5" customHeight="1">
      <c r="A5013" s="683"/>
      <c r="B5013" s="3129" t="s">
        <v>436</v>
      </c>
      <c r="C5013" s="696" t="s">
        <v>432</v>
      </c>
      <c r="D5013" s="984" t="s">
        <v>1980</v>
      </c>
      <c r="E5013" s="991" t="s">
        <v>2618</v>
      </c>
      <c r="F5013" s="996">
        <v>1148</v>
      </c>
      <c r="G5013" s="800" t="s">
        <v>368</v>
      </c>
      <c r="H5013" s="1070">
        <v>0</v>
      </c>
      <c r="I5013" s="1011"/>
      <c r="J5013" s="1494" t="s">
        <v>1134</v>
      </c>
      <c r="K5013" s="842"/>
      <c r="L5013" s="986">
        <v>0</v>
      </c>
      <c r="M5013" s="987"/>
      <c r="N5013" s="1644"/>
    </row>
    <row r="5014" spans="1:14">
      <c r="A5014" s="663"/>
      <c r="B5014" s="3130" t="s">
        <v>436</v>
      </c>
      <c r="C5014" s="759" t="s">
        <v>432</v>
      </c>
      <c r="D5014" s="988" t="s">
        <v>1980</v>
      </c>
      <c r="E5014" s="989" t="s">
        <v>2618</v>
      </c>
      <c r="F5014" s="1001">
        <v>1148</v>
      </c>
      <c r="G5014" s="812"/>
      <c r="H5014" s="815"/>
      <c r="I5014" s="815"/>
      <c r="J5014" s="1494" t="s">
        <v>1134</v>
      </c>
      <c r="K5014" s="842"/>
      <c r="L5014" s="813"/>
      <c r="M5014" s="813"/>
      <c r="N5014" s="1644"/>
    </row>
    <row r="5015" spans="1:14">
      <c r="A5015" s="683"/>
      <c r="B5015" s="3129" t="s">
        <v>326</v>
      </c>
      <c r="C5015" s="994" t="s">
        <v>321</v>
      </c>
      <c r="D5015" s="2496" t="s">
        <v>1980</v>
      </c>
      <c r="E5015" s="994" t="s">
        <v>3329</v>
      </c>
      <c r="F5015" s="996">
        <v>1148</v>
      </c>
      <c r="G5015" s="800" t="s">
        <v>368</v>
      </c>
      <c r="H5015" s="2497">
        <v>9000</v>
      </c>
      <c r="I5015" s="1011"/>
      <c r="J5015" s="1654">
        <v>0</v>
      </c>
      <c r="K5015" s="842"/>
      <c r="L5015" s="2497">
        <v>9000</v>
      </c>
      <c r="M5015" s="2322"/>
      <c r="N5015" s="1644"/>
    </row>
    <row r="5016" spans="1:14" ht="20.399999999999999">
      <c r="A5016" s="663"/>
      <c r="B5016" s="3130" t="s">
        <v>326</v>
      </c>
      <c r="C5016" s="999" t="s">
        <v>321</v>
      </c>
      <c r="D5016" s="1000" t="s">
        <v>1980</v>
      </c>
      <c r="E5016" s="999" t="s">
        <v>3329</v>
      </c>
      <c r="F5016" s="1001">
        <v>1148</v>
      </c>
      <c r="G5016" s="812" t="s">
        <v>2024</v>
      </c>
      <c r="H5016" s="815"/>
      <c r="I5016" s="815">
        <v>9000</v>
      </c>
      <c r="J5016" s="1654" t="s">
        <v>1134</v>
      </c>
      <c r="K5016" s="842"/>
      <c r="L5016" s="816"/>
      <c r="M5016" s="816">
        <v>9000</v>
      </c>
      <c r="N5016" s="1644"/>
    </row>
    <row r="5017" spans="1:14" ht="20.399999999999999">
      <c r="A5017" s="683"/>
      <c r="B5017" s="3129" t="s">
        <v>772</v>
      </c>
      <c r="C5017" s="696" t="s">
        <v>320</v>
      </c>
      <c r="D5017" s="993" t="s">
        <v>1980</v>
      </c>
      <c r="E5017" s="994" t="s">
        <v>2618</v>
      </c>
      <c r="F5017" s="996">
        <v>1150</v>
      </c>
      <c r="G5017" s="800" t="s">
        <v>403</v>
      </c>
      <c r="H5017" s="997">
        <v>1000</v>
      </c>
      <c r="I5017" s="998"/>
      <c r="J5017" s="1654">
        <v>450</v>
      </c>
      <c r="K5017" s="842"/>
      <c r="L5017" s="997">
        <v>1000</v>
      </c>
      <c r="M5017" s="997"/>
      <c r="N5017" s="1644"/>
    </row>
    <row r="5018" spans="1:14" ht="22.5" customHeight="1">
      <c r="A5018" s="663"/>
      <c r="B5018" s="3130" t="s">
        <v>772</v>
      </c>
      <c r="C5018" s="759" t="s">
        <v>320</v>
      </c>
      <c r="D5018" s="988" t="s">
        <v>1980</v>
      </c>
      <c r="E5018" s="999" t="s">
        <v>2618</v>
      </c>
      <c r="F5018" s="1001">
        <v>1150</v>
      </c>
      <c r="G5018" s="750"/>
      <c r="H5018" s="815"/>
      <c r="I5018" s="815">
        <v>1000</v>
      </c>
      <c r="J5018" s="1654" t="s">
        <v>1134</v>
      </c>
      <c r="K5018" s="809"/>
      <c r="L5018" s="816"/>
      <c r="M5018" s="816">
        <v>1000</v>
      </c>
      <c r="N5018" s="1644"/>
    </row>
    <row r="5019" spans="1:14">
      <c r="A5019" s="683"/>
      <c r="B5019" s="3129" t="s">
        <v>436</v>
      </c>
      <c r="C5019" s="696" t="s">
        <v>432</v>
      </c>
      <c r="D5019" s="993" t="s">
        <v>1980</v>
      </c>
      <c r="E5019" s="991" t="s">
        <v>2618</v>
      </c>
      <c r="F5019" s="996">
        <v>1210</v>
      </c>
      <c r="G5019" s="800" t="s">
        <v>266</v>
      </c>
      <c r="H5019" s="997">
        <v>60134.412543829618</v>
      </c>
      <c r="I5019" s="1011"/>
      <c r="J5019" s="1494">
        <v>49870</v>
      </c>
      <c r="K5019" s="842"/>
      <c r="L5019" s="986">
        <v>59381.854543917885</v>
      </c>
      <c r="M5019" s="987"/>
      <c r="N5019" s="1784"/>
    </row>
    <row r="5020" spans="1:14">
      <c r="A5020" s="774"/>
      <c r="B5020" s="3137" t="s">
        <v>436</v>
      </c>
      <c r="C5020" s="759" t="s">
        <v>432</v>
      </c>
      <c r="D5020" s="988" t="s">
        <v>1980</v>
      </c>
      <c r="E5020" s="989" t="s">
        <v>2618</v>
      </c>
      <c r="F5020" s="1001">
        <v>1210</v>
      </c>
      <c r="G5020" s="812" t="s">
        <v>436</v>
      </c>
      <c r="H5020" s="816"/>
      <c r="I5020" s="815">
        <v>51711.412543829618</v>
      </c>
      <c r="J5020" s="1494" t="s">
        <v>1134</v>
      </c>
      <c r="K5020" s="842"/>
      <c r="L5020" s="813"/>
      <c r="M5020" s="817">
        <v>59381.854543917885</v>
      </c>
      <c r="N5020" s="1784"/>
    </row>
    <row r="5021" spans="1:14" ht="40.799999999999997">
      <c r="A5021" s="1353"/>
      <c r="B5021" s="3137" t="s">
        <v>436</v>
      </c>
      <c r="C5021" s="759" t="s">
        <v>432</v>
      </c>
      <c r="D5021" s="988" t="s">
        <v>1980</v>
      </c>
      <c r="E5021" s="989" t="s">
        <v>2618</v>
      </c>
      <c r="F5021" s="1001">
        <v>1210</v>
      </c>
      <c r="G5021" s="1424" t="s">
        <v>2985</v>
      </c>
      <c r="H5021" s="1355"/>
      <c r="I5021" s="1428">
        <v>8423</v>
      </c>
      <c r="J5021" s="1494" t="s">
        <v>1134</v>
      </c>
      <c r="K5021" s="1429"/>
      <c r="L5021" s="1427"/>
      <c r="M5021" s="1480"/>
      <c r="N5021" s="1644"/>
    </row>
    <row r="5022" spans="1:14">
      <c r="A5022" s="683"/>
      <c r="B5022" s="3129" t="s">
        <v>326</v>
      </c>
      <c r="C5022" s="994" t="s">
        <v>321</v>
      </c>
      <c r="D5022" s="2496" t="s">
        <v>1980</v>
      </c>
      <c r="E5022" s="994" t="s">
        <v>3329</v>
      </c>
      <c r="F5022" s="996">
        <v>1210</v>
      </c>
      <c r="G5022" s="800" t="s">
        <v>204</v>
      </c>
      <c r="H5022" s="2497">
        <v>269340.99804439093</v>
      </c>
      <c r="I5022" s="1011"/>
      <c r="J5022" s="1654">
        <v>159998.04999999999</v>
      </c>
      <c r="K5022" s="2500"/>
      <c r="L5022" s="2497">
        <v>315143.92208107456</v>
      </c>
      <c r="M5022" s="2322"/>
      <c r="N5022" s="1644"/>
    </row>
    <row r="5023" spans="1:14" ht="20.399999999999999">
      <c r="A5023" s="663"/>
      <c r="B5023" s="3130" t="s">
        <v>326</v>
      </c>
      <c r="C5023" s="999" t="s">
        <v>321</v>
      </c>
      <c r="D5023" s="1000" t="s">
        <v>1980</v>
      </c>
      <c r="E5023" s="999" t="s">
        <v>3329</v>
      </c>
      <c r="F5023" s="1001">
        <v>1210</v>
      </c>
      <c r="G5023" s="812" t="s">
        <v>2025</v>
      </c>
      <c r="H5023" s="815"/>
      <c r="I5023" s="815">
        <v>166256.99994359401</v>
      </c>
      <c r="J5023" s="1654" t="s">
        <v>1134</v>
      </c>
      <c r="K5023" s="2500"/>
      <c r="L5023" s="816"/>
      <c r="M5023" s="1012">
        <v>207695.94805404969</v>
      </c>
      <c r="N5023" s="1644"/>
    </row>
    <row r="5024" spans="1:14" ht="20.399999999999999">
      <c r="A5024" s="663"/>
      <c r="B5024" s="3130" t="s">
        <v>326</v>
      </c>
      <c r="C5024" s="999" t="s">
        <v>321</v>
      </c>
      <c r="D5024" s="1000" t="s">
        <v>1980</v>
      </c>
      <c r="E5024" s="999" t="s">
        <v>3329</v>
      </c>
      <c r="F5024" s="1001">
        <v>1210</v>
      </c>
      <c r="G5024" s="812" t="s">
        <v>2026</v>
      </c>
      <c r="H5024" s="815"/>
      <c r="I5024" s="815">
        <v>84827.998100796904</v>
      </c>
      <c r="J5024" s="1654" t="s">
        <v>1134</v>
      </c>
      <c r="K5024" s="2500"/>
      <c r="L5024" s="816"/>
      <c r="M5024" s="1012">
        <v>107447.97402702484</v>
      </c>
      <c r="N5024" s="1644"/>
    </row>
    <row r="5025" spans="1:14" ht="12" customHeight="1">
      <c r="A5025" s="663"/>
      <c r="B5025" s="3130" t="s">
        <v>326</v>
      </c>
      <c r="C5025" s="999" t="s">
        <v>321</v>
      </c>
      <c r="D5025" s="1000" t="s">
        <v>1980</v>
      </c>
      <c r="E5025" s="999" t="s">
        <v>3329</v>
      </c>
      <c r="F5025" s="1001">
        <v>1210</v>
      </c>
      <c r="G5025" s="812" t="s">
        <v>2027</v>
      </c>
      <c r="H5025" s="815"/>
      <c r="I5025" s="815">
        <v>-200</v>
      </c>
      <c r="J5025" s="1654" t="s">
        <v>1134</v>
      </c>
      <c r="K5025" s="2500"/>
      <c r="L5025" s="816"/>
      <c r="M5025" s="1012"/>
      <c r="N5025" s="1644"/>
    </row>
    <row r="5026" spans="1:14" ht="20.399999999999999">
      <c r="A5026" s="774"/>
      <c r="B5026" s="3137" t="s">
        <v>326</v>
      </c>
      <c r="C5026" s="999" t="s">
        <v>321</v>
      </c>
      <c r="D5026" s="1000" t="s">
        <v>1980</v>
      </c>
      <c r="E5026" s="999" t="s">
        <v>3329</v>
      </c>
      <c r="F5026" s="1001">
        <v>1210</v>
      </c>
      <c r="G5026" s="812" t="s">
        <v>2028</v>
      </c>
      <c r="H5026" s="816"/>
      <c r="I5026" s="815"/>
      <c r="J5026" s="1654" t="s">
        <v>1134</v>
      </c>
      <c r="K5026" s="2500"/>
      <c r="L5026" s="816"/>
      <c r="M5026" s="1012"/>
      <c r="N5026" s="1644"/>
    </row>
    <row r="5027" spans="1:14">
      <c r="A5027" s="774"/>
      <c r="B5027" s="3137" t="s">
        <v>326</v>
      </c>
      <c r="C5027" s="999" t="s">
        <v>321</v>
      </c>
      <c r="D5027" s="1000" t="s">
        <v>1980</v>
      </c>
      <c r="E5027" s="999" t="s">
        <v>3329</v>
      </c>
      <c r="F5027" s="1001">
        <v>1210</v>
      </c>
      <c r="G5027" s="812" t="s">
        <v>3434</v>
      </c>
      <c r="H5027" s="816"/>
      <c r="I5027" s="815">
        <v>18456</v>
      </c>
      <c r="J5027" s="1654" t="s">
        <v>1134</v>
      </c>
      <c r="K5027" s="2500"/>
      <c r="L5027" s="816"/>
      <c r="M5027" s="1012"/>
      <c r="N5027" s="1644" t="s">
        <v>4468</v>
      </c>
    </row>
    <row r="5028" spans="1:14">
      <c r="A5028" s="683"/>
      <c r="B5028" s="3129" t="s">
        <v>326</v>
      </c>
      <c r="C5028" s="696" t="s">
        <v>321</v>
      </c>
      <c r="D5028" s="984" t="s">
        <v>1980</v>
      </c>
      <c r="E5028" s="1412" t="s">
        <v>3330</v>
      </c>
      <c r="F5028" s="985">
        <v>1210</v>
      </c>
      <c r="G5028" s="686" t="s">
        <v>267</v>
      </c>
      <c r="H5028" s="1356">
        <v>22746.2</v>
      </c>
      <c r="I5028" s="1066"/>
      <c r="J5028" s="1494">
        <v>14296.04</v>
      </c>
      <c r="K5028" s="992"/>
      <c r="L5028" s="1356">
        <v>25295.002835989959</v>
      </c>
      <c r="M5028" s="3123"/>
      <c r="N5028" s="1644"/>
    </row>
    <row r="5029" spans="1:14">
      <c r="A5029" s="663"/>
      <c r="B5029" s="3130" t="s">
        <v>326</v>
      </c>
      <c r="C5029" s="759" t="s">
        <v>321</v>
      </c>
      <c r="D5029" s="988" t="s">
        <v>1980</v>
      </c>
      <c r="E5029" s="2356" t="s">
        <v>3330</v>
      </c>
      <c r="F5029" s="990">
        <v>1210</v>
      </c>
      <c r="G5029" s="681" t="s">
        <v>1295</v>
      </c>
      <c r="H5029" s="1311"/>
      <c r="I5029" s="1311"/>
      <c r="J5029" s="1494" t="s">
        <v>1134</v>
      </c>
      <c r="K5029" s="992"/>
      <c r="L5029" s="1002"/>
      <c r="M5029" s="3019"/>
      <c r="N5029" s="1644" t="s">
        <v>4469</v>
      </c>
    </row>
    <row r="5030" spans="1:14">
      <c r="A5030" s="663"/>
      <c r="B5030" s="3130" t="s">
        <v>326</v>
      </c>
      <c r="C5030" s="759" t="s">
        <v>321</v>
      </c>
      <c r="D5030" s="988" t="s">
        <v>1980</v>
      </c>
      <c r="E5030" s="2356" t="s">
        <v>3330</v>
      </c>
      <c r="F5030" s="990">
        <v>1210</v>
      </c>
      <c r="G5030" s="681" t="s">
        <v>2878</v>
      </c>
      <c r="H5030" s="1311"/>
      <c r="I5030" s="1311">
        <v>20495.2</v>
      </c>
      <c r="J5030" s="1494" t="s">
        <v>1134</v>
      </c>
      <c r="K5030" s="992"/>
      <c r="L5030" s="1002"/>
      <c r="M5030" s="1002">
        <v>17530.001599643976</v>
      </c>
      <c r="N5030" s="1644"/>
    </row>
    <row r="5031" spans="1:14">
      <c r="A5031" s="663"/>
      <c r="B5031" s="3130" t="s">
        <v>326</v>
      </c>
      <c r="C5031" s="759" t="s">
        <v>321</v>
      </c>
      <c r="D5031" s="988" t="s">
        <v>1980</v>
      </c>
      <c r="E5031" s="2356" t="s">
        <v>3330</v>
      </c>
      <c r="F5031" s="990">
        <v>1210</v>
      </c>
      <c r="G5031" s="681" t="s">
        <v>2877</v>
      </c>
      <c r="H5031" s="1311"/>
      <c r="I5031" s="1311">
        <v>11142</v>
      </c>
      <c r="J5031" s="1494" t="s">
        <v>1134</v>
      </c>
      <c r="K5031" s="992"/>
      <c r="L5031" s="1002"/>
      <c r="M5031" s="1002">
        <v>8765.0012363459828</v>
      </c>
      <c r="N5031" s="1644"/>
    </row>
    <row r="5032" spans="1:14">
      <c r="A5032" s="774"/>
      <c r="B5032" s="3130" t="s">
        <v>326</v>
      </c>
      <c r="C5032" s="759" t="s">
        <v>321</v>
      </c>
      <c r="D5032" s="988" t="s">
        <v>1980</v>
      </c>
      <c r="E5032" s="2356" t="s">
        <v>3330</v>
      </c>
      <c r="F5032" s="990">
        <v>1210</v>
      </c>
      <c r="G5032" s="1594" t="s">
        <v>5237</v>
      </c>
      <c r="H5032" s="1002"/>
      <c r="I5032" s="1311">
        <v>-8891</v>
      </c>
      <c r="J5032" s="1494" t="s">
        <v>1134</v>
      </c>
      <c r="K5032" s="992"/>
      <c r="L5032" s="1002"/>
      <c r="M5032" s="3019">
        <v>-1000</v>
      </c>
      <c r="N5032" s="1644"/>
    </row>
    <row r="5033" spans="1:14" ht="30.6">
      <c r="A5033" s="774"/>
      <c r="B5033" s="3130" t="s">
        <v>326</v>
      </c>
      <c r="C5033" s="759" t="s">
        <v>321</v>
      </c>
      <c r="D5033" s="988" t="s">
        <v>1980</v>
      </c>
      <c r="E5033" s="2356" t="s">
        <v>3330</v>
      </c>
      <c r="F5033" s="990">
        <v>1210</v>
      </c>
      <c r="G5033" s="675" t="s">
        <v>2042</v>
      </c>
      <c r="H5033" s="1002"/>
      <c r="I5033" s="1311"/>
      <c r="J5033" s="1494" t="s">
        <v>1134</v>
      </c>
      <c r="K5033" s="992"/>
      <c r="L5033" s="1002"/>
      <c r="M5033" s="3019"/>
      <c r="N5033" s="1644"/>
    </row>
    <row r="5034" spans="1:14" ht="40.799999999999997">
      <c r="A5034" s="683"/>
      <c r="B5034" s="3129" t="s">
        <v>436</v>
      </c>
      <c r="C5034" s="696" t="s">
        <v>432</v>
      </c>
      <c r="D5034" s="993" t="s">
        <v>1980</v>
      </c>
      <c r="E5034" s="991" t="s">
        <v>2618</v>
      </c>
      <c r="F5034" s="996">
        <v>1221</v>
      </c>
      <c r="G5034" s="800" t="s">
        <v>268</v>
      </c>
      <c r="H5034" s="997">
        <v>19898.391184243665</v>
      </c>
      <c r="I5034" s="1011"/>
      <c r="J5034" s="1494">
        <v>4280</v>
      </c>
      <c r="K5034" s="842"/>
      <c r="L5034" s="986">
        <v>27036.992163640491</v>
      </c>
      <c r="M5034" s="987"/>
      <c r="N5034" s="1644"/>
    </row>
    <row r="5035" spans="1:14">
      <c r="A5035" s="774"/>
      <c r="B5035" s="3137" t="s">
        <v>436</v>
      </c>
      <c r="C5035" s="759" t="s">
        <v>432</v>
      </c>
      <c r="D5035" s="988" t="s">
        <v>1980</v>
      </c>
      <c r="E5035" s="989" t="s">
        <v>2618</v>
      </c>
      <c r="F5035" s="1001">
        <v>1221</v>
      </c>
      <c r="G5035" s="812" t="s">
        <v>436</v>
      </c>
      <c r="H5035" s="816"/>
      <c r="I5035" s="815">
        <v>19898.391184243665</v>
      </c>
      <c r="J5035" s="1494" t="s">
        <v>1134</v>
      </c>
      <c r="K5035" s="842"/>
      <c r="L5035" s="813"/>
      <c r="M5035" s="817">
        <v>27036.992163640491</v>
      </c>
      <c r="N5035" s="1644"/>
    </row>
    <row r="5036" spans="1:14">
      <c r="A5036" s="774"/>
      <c r="B5036" s="3137" t="s">
        <v>436</v>
      </c>
      <c r="C5036" s="759" t="s">
        <v>432</v>
      </c>
      <c r="D5036" s="988" t="s">
        <v>1980</v>
      </c>
      <c r="E5036" s="989" t="s">
        <v>2618</v>
      </c>
      <c r="F5036" s="1001">
        <v>1221</v>
      </c>
      <c r="G5036" s="812"/>
      <c r="H5036" s="816"/>
      <c r="I5036" s="815"/>
      <c r="J5036" s="1494" t="s">
        <v>1134</v>
      </c>
      <c r="K5036" s="842"/>
      <c r="L5036" s="813"/>
      <c r="M5036" s="817"/>
      <c r="N5036" s="1644"/>
    </row>
    <row r="5037" spans="1:14" ht="40.799999999999997">
      <c r="A5037" s="683"/>
      <c r="B5037" s="3129" t="s">
        <v>326</v>
      </c>
      <c r="C5037" s="994" t="s">
        <v>321</v>
      </c>
      <c r="D5037" s="2496" t="s">
        <v>1980</v>
      </c>
      <c r="E5037" s="994" t="s">
        <v>3329</v>
      </c>
      <c r="F5037" s="996">
        <v>1221</v>
      </c>
      <c r="G5037" s="800" t="s">
        <v>397</v>
      </c>
      <c r="H5037" s="2497">
        <v>8800</v>
      </c>
      <c r="I5037" s="1011"/>
      <c r="J5037" s="1654">
        <v>8447.75</v>
      </c>
      <c r="K5037" s="842"/>
      <c r="L5037" s="2497">
        <v>7000</v>
      </c>
      <c r="M5037" s="2322"/>
      <c r="N5037" s="1644"/>
    </row>
    <row r="5038" spans="1:14" ht="20.399999999999999">
      <c r="A5038" s="663"/>
      <c r="B5038" s="3130" t="s">
        <v>326</v>
      </c>
      <c r="C5038" s="999" t="s">
        <v>321</v>
      </c>
      <c r="D5038" s="1000" t="s">
        <v>1980</v>
      </c>
      <c r="E5038" s="999" t="s">
        <v>3329</v>
      </c>
      <c r="F5038" s="1001">
        <v>1221</v>
      </c>
      <c r="G5038" s="812" t="s">
        <v>2027</v>
      </c>
      <c r="H5038" s="816"/>
      <c r="I5038" s="816">
        <v>7000</v>
      </c>
      <c r="J5038" s="1654" t="s">
        <v>1134</v>
      </c>
      <c r="K5038" s="842"/>
      <c r="L5038" s="816"/>
      <c r="M5038" s="816">
        <v>7000</v>
      </c>
      <c r="N5038" s="1644"/>
    </row>
    <row r="5039" spans="1:14" ht="20.399999999999999">
      <c r="A5039" s="663"/>
      <c r="B5039" s="3130" t="s">
        <v>326</v>
      </c>
      <c r="C5039" s="999" t="s">
        <v>321</v>
      </c>
      <c r="D5039" s="1000" t="s">
        <v>1980</v>
      </c>
      <c r="E5039" s="999" t="s">
        <v>3329</v>
      </c>
      <c r="F5039" s="1001">
        <v>1221</v>
      </c>
      <c r="G5039" s="812" t="s">
        <v>2028</v>
      </c>
      <c r="H5039" s="816"/>
      <c r="I5039" s="816">
        <v>1800</v>
      </c>
      <c r="J5039" s="1654" t="s">
        <v>1134</v>
      </c>
      <c r="K5039" s="842"/>
      <c r="L5039" s="816"/>
      <c r="M5039" s="816"/>
      <c r="N5039" s="305" t="s">
        <v>4704</v>
      </c>
    </row>
    <row r="5040" spans="1:14" ht="40.799999999999997">
      <c r="A5040" s="683"/>
      <c r="B5040" s="3129" t="s">
        <v>326</v>
      </c>
      <c r="C5040" s="696" t="s">
        <v>321</v>
      </c>
      <c r="D5040" s="984" t="s">
        <v>1980</v>
      </c>
      <c r="E5040" s="1412" t="s">
        <v>3330</v>
      </c>
      <c r="F5040" s="985">
        <v>1221</v>
      </c>
      <c r="G5040" s="686" t="s">
        <v>397</v>
      </c>
      <c r="H5040" s="1356">
        <v>1789.8000000000002</v>
      </c>
      <c r="I5040" s="1066"/>
      <c r="J5040" s="1494">
        <v>566</v>
      </c>
      <c r="K5040" s="688"/>
      <c r="L5040" s="1356">
        <v>1000</v>
      </c>
      <c r="M5040" s="3123"/>
      <c r="N5040" s="305" t="s">
        <v>4704</v>
      </c>
    </row>
    <row r="5041" spans="1:14">
      <c r="A5041" s="663"/>
      <c r="B5041" s="3130" t="s">
        <v>326</v>
      </c>
      <c r="C5041" s="759" t="s">
        <v>321</v>
      </c>
      <c r="D5041" s="988" t="s">
        <v>1980</v>
      </c>
      <c r="E5041" s="2356" t="s">
        <v>3330</v>
      </c>
      <c r="F5041" s="990">
        <v>1221</v>
      </c>
      <c r="G5041" s="675" t="s">
        <v>927</v>
      </c>
      <c r="H5041" s="1002"/>
      <c r="I5041" s="1002">
        <v>1789.8000000000002</v>
      </c>
      <c r="J5041" s="1494" t="s">
        <v>1134</v>
      </c>
      <c r="K5041" s="688"/>
      <c r="L5041" s="1002"/>
      <c r="M5041" s="1002">
        <v>1000</v>
      </c>
      <c r="N5041" s="1644"/>
    </row>
    <row r="5042" spans="1:14">
      <c r="A5042" s="683"/>
      <c r="B5042" s="3129" t="s">
        <v>326</v>
      </c>
      <c r="C5042" s="994" t="s">
        <v>321</v>
      </c>
      <c r="D5042" s="2496" t="s">
        <v>1980</v>
      </c>
      <c r="E5042" s="994" t="s">
        <v>3329</v>
      </c>
      <c r="F5042" s="996">
        <v>1228</v>
      </c>
      <c r="G5042" s="720" t="s">
        <v>246</v>
      </c>
      <c r="H5042" s="2497">
        <v>200</v>
      </c>
      <c r="I5042" s="998"/>
      <c r="J5042" s="1654">
        <v>200</v>
      </c>
      <c r="K5042" s="842"/>
      <c r="L5042" s="2497">
        <v>200</v>
      </c>
      <c r="M5042" s="997"/>
      <c r="N5042" s="3530" t="s">
        <v>4471</v>
      </c>
    </row>
    <row r="5043" spans="1:14">
      <c r="A5043" s="663"/>
      <c r="B5043" s="3130" t="s">
        <v>326</v>
      </c>
      <c r="C5043" s="999" t="s">
        <v>321</v>
      </c>
      <c r="D5043" s="1000" t="s">
        <v>1980</v>
      </c>
      <c r="E5043" s="999" t="s">
        <v>3329</v>
      </c>
      <c r="F5043" s="1001">
        <v>1228</v>
      </c>
      <c r="G5043" s="812" t="s">
        <v>928</v>
      </c>
      <c r="H5043" s="816"/>
      <c r="I5043" s="815">
        <v>200</v>
      </c>
      <c r="J5043" s="1654" t="s">
        <v>1134</v>
      </c>
      <c r="K5043" s="809"/>
      <c r="L5043" s="816"/>
      <c r="M5043" s="816">
        <v>200</v>
      </c>
      <c r="N5043" s="3530"/>
    </row>
    <row r="5044" spans="1:14">
      <c r="A5044" s="683"/>
      <c r="B5044" s="3129" t="s">
        <v>772</v>
      </c>
      <c r="C5044" s="994" t="s">
        <v>432</v>
      </c>
      <c r="D5044" s="995" t="s">
        <v>1980</v>
      </c>
      <c r="E5044" s="994" t="s">
        <v>2618</v>
      </c>
      <c r="F5044" s="996">
        <v>1228</v>
      </c>
      <c r="G5044" s="720" t="s">
        <v>246</v>
      </c>
      <c r="H5044" s="997">
        <v>3300</v>
      </c>
      <c r="I5044" s="998"/>
      <c r="J5044" s="1654">
        <v>1385</v>
      </c>
      <c r="K5044" s="842"/>
      <c r="L5044" s="997">
        <v>3300</v>
      </c>
      <c r="M5044" s="997"/>
      <c r="N5044" s="1644"/>
    </row>
    <row r="5045" spans="1:14" ht="20.399999999999999">
      <c r="A5045" s="663"/>
      <c r="B5045" s="3130" t="s">
        <v>772</v>
      </c>
      <c r="C5045" s="999" t="s">
        <v>432</v>
      </c>
      <c r="D5045" s="1000" t="s">
        <v>1980</v>
      </c>
      <c r="E5045" s="999" t="s">
        <v>2618</v>
      </c>
      <c r="F5045" s="1001">
        <v>1228</v>
      </c>
      <c r="G5045" s="750" t="s">
        <v>2598</v>
      </c>
      <c r="H5045" s="816"/>
      <c r="I5045" s="815">
        <v>3000</v>
      </c>
      <c r="J5045" s="1654" t="s">
        <v>1134</v>
      </c>
      <c r="K5045" s="809"/>
      <c r="L5045" s="816"/>
      <c r="M5045" s="816">
        <v>3000</v>
      </c>
      <c r="N5045" s="1644"/>
    </row>
    <row r="5046" spans="1:14" ht="20.399999999999999">
      <c r="A5046" s="663"/>
      <c r="B5046" s="3130" t="s">
        <v>772</v>
      </c>
      <c r="C5046" s="999" t="s">
        <v>432</v>
      </c>
      <c r="D5046" s="1000" t="s">
        <v>1980</v>
      </c>
      <c r="E5046" s="999" t="s">
        <v>2618</v>
      </c>
      <c r="F5046" s="795">
        <v>1228</v>
      </c>
      <c r="G5046" s="1153" t="s">
        <v>2726</v>
      </c>
      <c r="H5046" s="1165"/>
      <c r="I5046" s="1165">
        <v>300</v>
      </c>
      <c r="J5046" s="1654" t="s">
        <v>1134</v>
      </c>
      <c r="K5046" s="1439"/>
      <c r="L5046" s="1165"/>
      <c r="M5046" s="1165">
        <v>300</v>
      </c>
      <c r="N5046" s="1644"/>
    </row>
    <row r="5047" spans="1:14">
      <c r="A5047" s="683"/>
      <c r="B5047" s="3129" t="s">
        <v>4440</v>
      </c>
      <c r="C5047" s="994" t="s">
        <v>432</v>
      </c>
      <c r="D5047" s="995" t="s">
        <v>1980</v>
      </c>
      <c r="E5047" s="994" t="s">
        <v>2618</v>
      </c>
      <c r="F5047" s="996">
        <v>1228</v>
      </c>
      <c r="G5047" s="720" t="s">
        <v>246</v>
      </c>
      <c r="H5047" s="997"/>
      <c r="I5047" s="998"/>
      <c r="J5047" s="1654"/>
      <c r="K5047" s="842"/>
      <c r="L5047" s="997">
        <v>32250</v>
      </c>
      <c r="M5047" s="997"/>
      <c r="N5047" s="1644"/>
    </row>
    <row r="5048" spans="1:14">
      <c r="A5048" s="663"/>
      <c r="B5048" s="3130" t="s">
        <v>4440</v>
      </c>
      <c r="C5048" s="999" t="s">
        <v>432</v>
      </c>
      <c r="D5048" s="1000" t="s">
        <v>1980</v>
      </c>
      <c r="E5048" s="999" t="s">
        <v>2618</v>
      </c>
      <c r="F5048" s="1001">
        <v>1228</v>
      </c>
      <c r="G5048" s="2177" t="s">
        <v>4441</v>
      </c>
      <c r="H5048" s="816"/>
      <c r="I5048" s="815"/>
      <c r="J5048" s="1654"/>
      <c r="K5048" s="809"/>
      <c r="L5048" s="816"/>
      <c r="M5048" s="816">
        <v>32250</v>
      </c>
      <c r="N5048" s="1644"/>
    </row>
    <row r="5049" spans="1:14">
      <c r="A5049" s="942"/>
      <c r="B5049" s="3136" t="s">
        <v>773</v>
      </c>
      <c r="C5049" s="994" t="s">
        <v>322</v>
      </c>
      <c r="D5049" s="995" t="s">
        <v>1980</v>
      </c>
      <c r="E5049" s="994" t="s">
        <v>2618</v>
      </c>
      <c r="F5049" s="996">
        <v>2111</v>
      </c>
      <c r="G5049" s="720" t="s">
        <v>1190</v>
      </c>
      <c r="H5049" s="997">
        <v>0</v>
      </c>
      <c r="I5049" s="1003"/>
      <c r="J5049" s="1654" t="s">
        <v>1134</v>
      </c>
      <c r="K5049" s="842"/>
      <c r="L5049" s="997">
        <v>0</v>
      </c>
      <c r="M5049" s="2322"/>
      <c r="N5049" s="1644"/>
    </row>
    <row r="5050" spans="1:14">
      <c r="A5050" s="810"/>
      <c r="B5050" s="3130" t="s">
        <v>773</v>
      </c>
      <c r="C5050" s="999" t="s">
        <v>322</v>
      </c>
      <c r="D5050" s="1000" t="s">
        <v>1980</v>
      </c>
      <c r="E5050" s="999" t="s">
        <v>2618</v>
      </c>
      <c r="F5050" s="1001">
        <v>2111</v>
      </c>
      <c r="G5050" s="750" t="s">
        <v>248</v>
      </c>
      <c r="H5050" s="816"/>
      <c r="I5050" s="816">
        <v>0</v>
      </c>
      <c r="J5050" s="1654" t="s">
        <v>1134</v>
      </c>
      <c r="K5050" s="809"/>
      <c r="L5050" s="816"/>
      <c r="M5050" s="816">
        <v>0</v>
      </c>
      <c r="N5050" s="2335">
        <v>0</v>
      </c>
    </row>
    <row r="5051" spans="1:14">
      <c r="A5051" s="942"/>
      <c r="B5051" s="3136" t="s">
        <v>773</v>
      </c>
      <c r="C5051" s="994" t="s">
        <v>322</v>
      </c>
      <c r="D5051" s="995" t="s">
        <v>1980</v>
      </c>
      <c r="E5051" s="994" t="s">
        <v>2618</v>
      </c>
      <c r="F5051" s="996">
        <v>2121</v>
      </c>
      <c r="G5051" s="720" t="s">
        <v>1037</v>
      </c>
      <c r="H5051" s="997">
        <v>0</v>
      </c>
      <c r="I5051" s="1003"/>
      <c r="J5051" s="1654" t="s">
        <v>1134</v>
      </c>
      <c r="K5051" s="842"/>
      <c r="L5051" s="997">
        <v>0</v>
      </c>
      <c r="M5051" s="2322"/>
      <c r="N5051" s="1644" t="s">
        <v>4475</v>
      </c>
    </row>
    <row r="5052" spans="1:14">
      <c r="A5052" s="810"/>
      <c r="B5052" s="3130" t="s">
        <v>773</v>
      </c>
      <c r="C5052" s="999" t="s">
        <v>322</v>
      </c>
      <c r="D5052" s="1000" t="s">
        <v>1980</v>
      </c>
      <c r="E5052" s="999" t="s">
        <v>2618</v>
      </c>
      <c r="F5052" s="1001">
        <v>2121</v>
      </c>
      <c r="G5052" s="750" t="s">
        <v>1191</v>
      </c>
      <c r="H5052" s="816"/>
      <c r="I5052" s="816">
        <v>0</v>
      </c>
      <c r="J5052" s="1654" t="s">
        <v>1134</v>
      </c>
      <c r="K5052" s="809"/>
      <c r="L5052" s="816"/>
      <c r="M5052" s="816">
        <v>0</v>
      </c>
      <c r="N5052" s="1644" t="s">
        <v>4475</v>
      </c>
    </row>
    <row r="5053" spans="1:14">
      <c r="A5053" s="942"/>
      <c r="B5053" s="3136" t="s">
        <v>773</v>
      </c>
      <c r="C5053" s="994" t="s">
        <v>322</v>
      </c>
      <c r="D5053" s="995" t="s">
        <v>1980</v>
      </c>
      <c r="E5053" s="994" t="s">
        <v>2618</v>
      </c>
      <c r="F5053" s="996">
        <v>2122</v>
      </c>
      <c r="G5053" s="720" t="s">
        <v>1038</v>
      </c>
      <c r="H5053" s="997">
        <v>0</v>
      </c>
      <c r="I5053" s="1003"/>
      <c r="J5053" s="1654" t="s">
        <v>1134</v>
      </c>
      <c r="K5053" s="842"/>
      <c r="L5053" s="997">
        <v>0</v>
      </c>
      <c r="M5053" s="2322"/>
      <c r="N5053" s="1644"/>
    </row>
    <row r="5054" spans="1:14">
      <c r="A5054" s="810"/>
      <c r="B5054" s="3130" t="s">
        <v>773</v>
      </c>
      <c r="C5054" s="999" t="s">
        <v>322</v>
      </c>
      <c r="D5054" s="1000" t="s">
        <v>1980</v>
      </c>
      <c r="E5054" s="999" t="s">
        <v>2618</v>
      </c>
      <c r="F5054" s="1001">
        <v>2122</v>
      </c>
      <c r="G5054" s="750" t="s">
        <v>1189</v>
      </c>
      <c r="H5054" s="816"/>
      <c r="I5054" s="816">
        <v>0</v>
      </c>
      <c r="J5054" s="1654" t="s">
        <v>1134</v>
      </c>
      <c r="K5054" s="809"/>
      <c r="L5054" s="816"/>
      <c r="M5054" s="816">
        <v>0</v>
      </c>
      <c r="N5054" s="2335"/>
    </row>
    <row r="5055" spans="1:14">
      <c r="A5055" s="683"/>
      <c r="B5055" s="3129" t="s">
        <v>772</v>
      </c>
      <c r="C5055" s="994" t="s">
        <v>320</v>
      </c>
      <c r="D5055" s="995" t="s">
        <v>1980</v>
      </c>
      <c r="E5055" s="994" t="s">
        <v>2618</v>
      </c>
      <c r="F5055" s="996">
        <v>2210</v>
      </c>
      <c r="G5055" s="800" t="s">
        <v>740</v>
      </c>
      <c r="H5055" s="997">
        <v>3490</v>
      </c>
      <c r="I5055" s="1003"/>
      <c r="J5055" s="1654">
        <v>2763</v>
      </c>
      <c r="K5055" s="842"/>
      <c r="L5055" s="997">
        <v>1735</v>
      </c>
      <c r="M5055" s="2322"/>
      <c r="N5055" s="1644" t="s">
        <v>4466</v>
      </c>
    </row>
    <row r="5056" spans="1:14" ht="22.5" customHeight="1">
      <c r="A5056" s="663"/>
      <c r="B5056" s="3130" t="s">
        <v>772</v>
      </c>
      <c r="C5056" s="1004" t="s">
        <v>320</v>
      </c>
      <c r="D5056" s="1000" t="s">
        <v>1980</v>
      </c>
      <c r="E5056" s="999" t="s">
        <v>2618</v>
      </c>
      <c r="F5056" s="1001">
        <v>2210</v>
      </c>
      <c r="G5056" s="2326" t="s">
        <v>1530</v>
      </c>
      <c r="H5056" s="2327"/>
      <c r="I5056" s="2328">
        <v>230</v>
      </c>
      <c r="J5056" s="2331" t="s">
        <v>1134</v>
      </c>
      <c r="K5056" s="2210"/>
      <c r="L5056" s="2327"/>
      <c r="M5056" s="2332">
        <v>230</v>
      </c>
      <c r="N5056" s="1644"/>
    </row>
    <row r="5057" spans="1:14" ht="20.399999999999999">
      <c r="A5057" s="663"/>
      <c r="B5057" s="3130" t="s">
        <v>772</v>
      </c>
      <c r="C5057" s="1004" t="s">
        <v>320</v>
      </c>
      <c r="D5057" s="1000" t="s">
        <v>1980</v>
      </c>
      <c r="E5057" s="999" t="s">
        <v>2618</v>
      </c>
      <c r="F5057" s="1001">
        <v>2210</v>
      </c>
      <c r="G5057" s="2195" t="s">
        <v>1531</v>
      </c>
      <c r="H5057" s="2327"/>
      <c r="I5057" s="2328">
        <v>2160</v>
      </c>
      <c r="J5057" s="2331" t="s">
        <v>1134</v>
      </c>
      <c r="K5057" s="2210"/>
      <c r="L5057" s="2327"/>
      <c r="M5057" s="2332">
        <v>0</v>
      </c>
      <c r="N5057" s="1644"/>
    </row>
    <row r="5058" spans="1:14" ht="30.6">
      <c r="A5058" s="663"/>
      <c r="B5058" s="3130" t="s">
        <v>772</v>
      </c>
      <c r="C5058" s="1004" t="s">
        <v>320</v>
      </c>
      <c r="D5058" s="1000" t="s">
        <v>1980</v>
      </c>
      <c r="E5058" s="999" t="s">
        <v>2618</v>
      </c>
      <c r="F5058" s="1001">
        <v>2210</v>
      </c>
      <c r="G5058" s="2195" t="s">
        <v>4442</v>
      </c>
      <c r="H5058" s="2327"/>
      <c r="I5058" s="2328">
        <v>1080</v>
      </c>
      <c r="J5058" s="2331" t="s">
        <v>1134</v>
      </c>
      <c r="K5058" s="2210"/>
      <c r="L5058" s="2327"/>
      <c r="M5058" s="2332">
        <v>1485</v>
      </c>
      <c r="N5058" s="1644"/>
    </row>
    <row r="5059" spans="1:14" ht="20.399999999999999">
      <c r="A5059" s="663"/>
      <c r="B5059" s="3130" t="s">
        <v>772</v>
      </c>
      <c r="C5059" s="1004" t="s">
        <v>320</v>
      </c>
      <c r="D5059" s="1000" t="s">
        <v>1980</v>
      </c>
      <c r="E5059" s="999" t="s">
        <v>2618</v>
      </c>
      <c r="F5059" s="1001">
        <v>2210</v>
      </c>
      <c r="G5059" s="2195" t="s">
        <v>2602</v>
      </c>
      <c r="H5059" s="2327"/>
      <c r="I5059" s="2328">
        <v>20</v>
      </c>
      <c r="J5059" s="2331" t="s">
        <v>1134</v>
      </c>
      <c r="K5059" s="2210"/>
      <c r="L5059" s="2327"/>
      <c r="M5059" s="2332">
        <v>20</v>
      </c>
      <c r="N5059" s="1644"/>
    </row>
    <row r="5060" spans="1:14" ht="45" customHeight="1">
      <c r="A5060" s="1005"/>
      <c r="B5060" s="3129" t="s">
        <v>772</v>
      </c>
      <c r="C5060" s="994" t="s">
        <v>320</v>
      </c>
      <c r="D5060" s="995" t="s">
        <v>1980</v>
      </c>
      <c r="E5060" s="994" t="s">
        <v>2618</v>
      </c>
      <c r="F5060" s="996">
        <v>2223</v>
      </c>
      <c r="G5060" s="800" t="s">
        <v>154</v>
      </c>
      <c r="H5060" s="997">
        <v>44075</v>
      </c>
      <c r="I5060" s="1003"/>
      <c r="J5060" s="1654">
        <v>33191</v>
      </c>
      <c r="K5060" s="842"/>
      <c r="L5060" s="997">
        <v>45300</v>
      </c>
      <c r="M5060" s="2322"/>
      <c r="N5060" s="1644"/>
    </row>
    <row r="5061" spans="1:14">
      <c r="A5061" s="1007"/>
      <c r="B5061" s="3130" t="s">
        <v>772</v>
      </c>
      <c r="C5061" s="1009" t="s">
        <v>320</v>
      </c>
      <c r="D5061" s="1000" t="s">
        <v>1980</v>
      </c>
      <c r="E5061" s="999" t="s">
        <v>2618</v>
      </c>
      <c r="F5061" s="1001">
        <v>2223</v>
      </c>
      <c r="G5061" s="1008" t="s">
        <v>2603</v>
      </c>
      <c r="H5061" s="814"/>
      <c r="I5061" s="816">
        <v>45600</v>
      </c>
      <c r="J5061" s="1654" t="s">
        <v>1134</v>
      </c>
      <c r="K5061" s="809"/>
      <c r="L5061" s="814"/>
      <c r="M5061" s="2328">
        <v>40800</v>
      </c>
      <c r="N5061" s="1644"/>
    </row>
    <row r="5062" spans="1:14">
      <c r="A5062" s="1007"/>
      <c r="B5062" s="3130" t="s">
        <v>772</v>
      </c>
      <c r="C5062" s="1009" t="s">
        <v>320</v>
      </c>
      <c r="D5062" s="1000" t="s">
        <v>1980</v>
      </c>
      <c r="E5062" s="999" t="s">
        <v>2618</v>
      </c>
      <c r="F5062" s="1001">
        <v>2223</v>
      </c>
      <c r="G5062" s="1008" t="s">
        <v>2604</v>
      </c>
      <c r="H5062" s="814"/>
      <c r="I5062" s="816">
        <v>5500</v>
      </c>
      <c r="J5062" s="1654" t="s">
        <v>1134</v>
      </c>
      <c r="K5062" s="809"/>
      <c r="L5062" s="814"/>
      <c r="M5062" s="2328">
        <v>4500</v>
      </c>
      <c r="N5062" s="1644"/>
    </row>
    <row r="5063" spans="1:14">
      <c r="A5063" s="1141"/>
      <c r="B5063" s="3130" t="s">
        <v>772</v>
      </c>
      <c r="C5063" s="1009" t="s">
        <v>320</v>
      </c>
      <c r="D5063" s="1000" t="s">
        <v>1980</v>
      </c>
      <c r="E5063" s="999" t="s">
        <v>2618</v>
      </c>
      <c r="F5063" s="1001">
        <v>2223</v>
      </c>
      <c r="G5063" s="2007" t="s">
        <v>2729</v>
      </c>
      <c r="H5063" s="1142"/>
      <c r="I5063" s="1143">
        <v>-5400</v>
      </c>
      <c r="J5063" s="1654" t="s">
        <v>1134</v>
      </c>
      <c r="K5063" s="1462"/>
      <c r="L5063" s="1142"/>
      <c r="M5063" s="1143"/>
      <c r="N5063" s="1644"/>
    </row>
    <row r="5064" spans="1:14" ht="20.399999999999999">
      <c r="A5064" s="603"/>
      <c r="B5064" s="3130" t="s">
        <v>772</v>
      </c>
      <c r="C5064" s="1009" t="s">
        <v>320</v>
      </c>
      <c r="D5064" s="1000" t="s">
        <v>1980</v>
      </c>
      <c r="E5064" s="999" t="s">
        <v>2618</v>
      </c>
      <c r="F5064" s="1001">
        <v>2223</v>
      </c>
      <c r="G5064" s="1153" t="s">
        <v>3230</v>
      </c>
      <c r="H5064" s="1142"/>
      <c r="I5064" s="1143">
        <v>-1625</v>
      </c>
      <c r="J5064" s="1654" t="s">
        <v>1134</v>
      </c>
      <c r="K5064" s="1462"/>
      <c r="L5064" s="1142"/>
      <c r="M5064" s="1143"/>
      <c r="N5064" s="1644"/>
    </row>
    <row r="5065" spans="1:14" ht="20.399999999999999">
      <c r="A5065" s="683"/>
      <c r="B5065" s="3129" t="s">
        <v>772</v>
      </c>
      <c r="C5065" s="994" t="s">
        <v>322</v>
      </c>
      <c r="D5065" s="995" t="s">
        <v>1980</v>
      </c>
      <c r="E5065" s="994" t="s">
        <v>2618</v>
      </c>
      <c r="F5065" s="996">
        <v>2231</v>
      </c>
      <c r="G5065" s="800" t="s">
        <v>744</v>
      </c>
      <c r="H5065" s="997">
        <v>1550</v>
      </c>
      <c r="I5065" s="1003"/>
      <c r="J5065" s="1654">
        <v>0</v>
      </c>
      <c r="K5065" s="842"/>
      <c r="L5065" s="997">
        <v>1350</v>
      </c>
      <c r="M5065" s="2322"/>
      <c r="N5065" s="1644"/>
    </row>
    <row r="5066" spans="1:14">
      <c r="A5066" s="663"/>
      <c r="B5066" s="3130" t="s">
        <v>772</v>
      </c>
      <c r="C5066" s="999" t="s">
        <v>322</v>
      </c>
      <c r="D5066" s="1000" t="s">
        <v>1980</v>
      </c>
      <c r="E5066" s="999" t="s">
        <v>2618</v>
      </c>
      <c r="F5066" s="1001">
        <v>2231</v>
      </c>
      <c r="G5066" s="2195" t="s">
        <v>1532</v>
      </c>
      <c r="H5066" s="2327"/>
      <c r="I5066" s="2328">
        <v>750</v>
      </c>
      <c r="J5066" s="2331" t="s">
        <v>1134</v>
      </c>
      <c r="K5066" s="2210"/>
      <c r="L5066" s="2327"/>
      <c r="M5066" s="2328">
        <v>500</v>
      </c>
      <c r="N5066" s="1644"/>
    </row>
    <row r="5067" spans="1:14" ht="30.6">
      <c r="A5067" s="663"/>
      <c r="B5067" s="3130" t="s">
        <v>772</v>
      </c>
      <c r="C5067" s="999" t="s">
        <v>322</v>
      </c>
      <c r="D5067" s="1000" t="s">
        <v>1980</v>
      </c>
      <c r="E5067" s="999" t="s">
        <v>2618</v>
      </c>
      <c r="F5067" s="1001">
        <v>2231</v>
      </c>
      <c r="G5067" s="2195" t="s">
        <v>929</v>
      </c>
      <c r="H5067" s="2327"/>
      <c r="I5067" s="2328">
        <v>800</v>
      </c>
      <c r="J5067" s="2331"/>
      <c r="K5067" s="2210"/>
      <c r="L5067" s="2327"/>
      <c r="M5067" s="2328">
        <v>350</v>
      </c>
      <c r="N5067" s="1644"/>
    </row>
    <row r="5068" spans="1:14">
      <c r="A5068" s="2168"/>
      <c r="B5068" s="3130" t="s">
        <v>772</v>
      </c>
      <c r="C5068" s="999" t="s">
        <v>322</v>
      </c>
      <c r="D5068" s="1000" t="s">
        <v>1980</v>
      </c>
      <c r="E5068" s="999" t="s">
        <v>2618</v>
      </c>
      <c r="F5068" s="1001">
        <v>2231</v>
      </c>
      <c r="G5068" s="2195" t="s">
        <v>4445</v>
      </c>
      <c r="H5068" s="2327"/>
      <c r="I5068" s="2328"/>
      <c r="J5068" s="2331" t="s">
        <v>1134</v>
      </c>
      <c r="K5068" s="2210"/>
      <c r="L5068" s="2327"/>
      <c r="M5068" s="2328">
        <v>500</v>
      </c>
      <c r="N5068" s="1644"/>
    </row>
    <row r="5069" spans="1:14" ht="20.399999999999999">
      <c r="A5069" s="683"/>
      <c r="B5069" s="3129" t="s">
        <v>772</v>
      </c>
      <c r="C5069" s="994" t="s">
        <v>322</v>
      </c>
      <c r="D5069" s="995" t="s">
        <v>1980</v>
      </c>
      <c r="E5069" s="994" t="s">
        <v>2618</v>
      </c>
      <c r="F5069" s="996">
        <v>2233</v>
      </c>
      <c r="G5069" s="800" t="s">
        <v>145</v>
      </c>
      <c r="H5069" s="997">
        <v>32100</v>
      </c>
      <c r="I5069" s="1003"/>
      <c r="J5069" s="1654">
        <v>20016</v>
      </c>
      <c r="K5069" s="842"/>
      <c r="L5069" s="997">
        <v>33000</v>
      </c>
      <c r="M5069" s="2322"/>
      <c r="N5069" s="1491" t="s">
        <v>4476</v>
      </c>
    </row>
    <row r="5070" spans="1:14" ht="20.399999999999999">
      <c r="A5070" s="663"/>
      <c r="B5070" s="3130" t="s">
        <v>772</v>
      </c>
      <c r="C5070" s="999" t="s">
        <v>322</v>
      </c>
      <c r="D5070" s="1000" t="s">
        <v>1980</v>
      </c>
      <c r="E5070" s="999" t="s">
        <v>2618</v>
      </c>
      <c r="F5070" s="1001">
        <v>2233</v>
      </c>
      <c r="G5070" s="2195" t="s">
        <v>2605</v>
      </c>
      <c r="H5070" s="2327"/>
      <c r="I5070" s="2334">
        <v>16000</v>
      </c>
      <c r="J5070" s="2331" t="s">
        <v>1134</v>
      </c>
      <c r="K5070" s="2210"/>
      <c r="L5070" s="2327"/>
      <c r="M5070" s="2328">
        <v>17000</v>
      </c>
      <c r="N5070" s="1491" t="s">
        <v>4476</v>
      </c>
    </row>
    <row r="5071" spans="1:14" ht="20.399999999999999">
      <c r="A5071" s="663"/>
      <c r="B5071" s="3130" t="s">
        <v>772</v>
      </c>
      <c r="C5071" s="999" t="s">
        <v>322</v>
      </c>
      <c r="D5071" s="1000" t="s">
        <v>1980</v>
      </c>
      <c r="E5071" s="999" t="s">
        <v>2618</v>
      </c>
      <c r="F5071" s="1001">
        <v>2233</v>
      </c>
      <c r="G5071" s="2195" t="s">
        <v>2606</v>
      </c>
      <c r="H5071" s="2327"/>
      <c r="I5071" s="2334">
        <v>1100</v>
      </c>
      <c r="J5071" s="2331" t="s">
        <v>1134</v>
      </c>
      <c r="K5071" s="2210"/>
      <c r="L5071" s="2327"/>
      <c r="M5071" s="2328">
        <v>1600</v>
      </c>
      <c r="N5071" s="75"/>
    </row>
    <row r="5072" spans="1:14" ht="30.6">
      <c r="A5072" s="663"/>
      <c r="B5072" s="3130" t="s">
        <v>772</v>
      </c>
      <c r="C5072" s="999" t="s">
        <v>322</v>
      </c>
      <c r="D5072" s="1000" t="s">
        <v>1980</v>
      </c>
      <c r="E5072" s="999" t="s">
        <v>2618</v>
      </c>
      <c r="F5072" s="1001">
        <v>2233</v>
      </c>
      <c r="G5072" s="2195" t="s">
        <v>2607</v>
      </c>
      <c r="H5072" s="2327"/>
      <c r="I5072" s="2328">
        <v>6000</v>
      </c>
      <c r="J5072" s="2331" t="s">
        <v>1134</v>
      </c>
      <c r="K5072" s="2210"/>
      <c r="L5072" s="2327"/>
      <c r="M5072" s="2328">
        <v>6000</v>
      </c>
      <c r="N5072" s="75"/>
    </row>
    <row r="5073" spans="1:14">
      <c r="A5073" s="663"/>
      <c r="B5073" s="3130" t="s">
        <v>772</v>
      </c>
      <c r="C5073" s="999" t="s">
        <v>322</v>
      </c>
      <c r="D5073" s="1000" t="s">
        <v>1980</v>
      </c>
      <c r="E5073" s="999" t="s">
        <v>2618</v>
      </c>
      <c r="F5073" s="1001">
        <v>2233</v>
      </c>
      <c r="G5073" s="2195" t="s">
        <v>2609</v>
      </c>
      <c r="H5073" s="2327"/>
      <c r="I5073" s="2334">
        <v>7200</v>
      </c>
      <c r="J5073" s="2331" t="s">
        <v>1134</v>
      </c>
      <c r="K5073" s="2210"/>
      <c r="L5073" s="2327"/>
      <c r="M5073" s="2328">
        <v>8400</v>
      </c>
      <c r="N5073" s="1492" t="s">
        <v>4705</v>
      </c>
    </row>
    <row r="5074" spans="1:14">
      <c r="A5074" s="663"/>
      <c r="B5074" s="3130" t="s">
        <v>772</v>
      </c>
      <c r="C5074" s="999" t="s">
        <v>322</v>
      </c>
      <c r="D5074" s="1000" t="s">
        <v>1980</v>
      </c>
      <c r="E5074" s="999" t="s">
        <v>2618</v>
      </c>
      <c r="F5074" s="1001">
        <v>2233</v>
      </c>
      <c r="G5074" s="2195" t="s">
        <v>2608</v>
      </c>
      <c r="H5074" s="2327"/>
      <c r="I5074" s="2334">
        <v>1800</v>
      </c>
      <c r="J5074" s="2331"/>
      <c r="K5074" s="2210"/>
      <c r="L5074" s="2327"/>
      <c r="M5074" s="2328"/>
      <c r="N5074" s="1492" t="s">
        <v>2625</v>
      </c>
    </row>
    <row r="5075" spans="1:14" ht="20.399999999999999">
      <c r="A5075" s="683"/>
      <c r="B5075" s="3129" t="s">
        <v>772</v>
      </c>
      <c r="C5075" s="994" t="s">
        <v>322</v>
      </c>
      <c r="D5075" s="995" t="s">
        <v>1980</v>
      </c>
      <c r="E5075" s="994" t="s">
        <v>2618</v>
      </c>
      <c r="F5075" s="996">
        <v>2234</v>
      </c>
      <c r="G5075" s="800" t="s">
        <v>930</v>
      </c>
      <c r="H5075" s="997">
        <v>1770</v>
      </c>
      <c r="I5075" s="1006"/>
      <c r="J5075" s="1654">
        <v>705</v>
      </c>
      <c r="K5075" s="842"/>
      <c r="L5075" s="997">
        <v>1770</v>
      </c>
      <c r="M5075" s="997"/>
      <c r="N5075" s="1644"/>
    </row>
    <row r="5076" spans="1:14" ht="11.4" customHeight="1">
      <c r="A5076" s="663"/>
      <c r="B5076" s="3130" t="s">
        <v>772</v>
      </c>
      <c r="C5076" s="999" t="s">
        <v>322</v>
      </c>
      <c r="D5076" s="1000" t="s">
        <v>1980</v>
      </c>
      <c r="E5076" s="999" t="s">
        <v>2618</v>
      </c>
      <c r="F5076" s="1001">
        <v>2234</v>
      </c>
      <c r="G5076" s="2195" t="s">
        <v>2610</v>
      </c>
      <c r="H5076" s="2336"/>
      <c r="I5076" s="2328">
        <v>750</v>
      </c>
      <c r="J5076" s="2331" t="s">
        <v>1134</v>
      </c>
      <c r="K5076" s="2210"/>
      <c r="L5076" s="2336"/>
      <c r="M5076" s="2328">
        <v>750</v>
      </c>
      <c r="N5076" s="1644"/>
    </row>
    <row r="5077" spans="1:14" ht="20.399999999999999">
      <c r="A5077" s="663"/>
      <c r="B5077" s="3130" t="s">
        <v>772</v>
      </c>
      <c r="C5077" s="999" t="s">
        <v>322</v>
      </c>
      <c r="D5077" s="1000" t="s">
        <v>1980</v>
      </c>
      <c r="E5077" s="999" t="s">
        <v>2618</v>
      </c>
      <c r="F5077" s="1001">
        <v>2234</v>
      </c>
      <c r="G5077" s="2195" t="s">
        <v>2611</v>
      </c>
      <c r="H5077" s="2336"/>
      <c r="I5077" s="2328">
        <v>1020</v>
      </c>
      <c r="J5077" s="2331" t="s">
        <v>1134</v>
      </c>
      <c r="K5077" s="2210"/>
      <c r="L5077" s="2336"/>
      <c r="M5077" s="2328">
        <v>1020</v>
      </c>
      <c r="N5077" s="1644"/>
    </row>
    <row r="5078" spans="1:14">
      <c r="A5078" s="683"/>
      <c r="B5078" s="3129" t="s">
        <v>772</v>
      </c>
      <c r="C5078" s="994" t="s">
        <v>322</v>
      </c>
      <c r="D5078" s="995" t="s">
        <v>1980</v>
      </c>
      <c r="E5078" s="994" t="s">
        <v>2618</v>
      </c>
      <c r="F5078" s="996">
        <v>2235</v>
      </c>
      <c r="G5078" s="800" t="s">
        <v>931</v>
      </c>
      <c r="H5078" s="997">
        <v>2700</v>
      </c>
      <c r="I5078" s="1006"/>
      <c r="J5078" s="1654">
        <v>1090.3900000000001</v>
      </c>
      <c r="K5078" s="842"/>
      <c r="L5078" s="997">
        <v>5700</v>
      </c>
      <c r="M5078" s="997"/>
      <c r="N5078" s="1644"/>
    </row>
    <row r="5079" spans="1:14" ht="20.399999999999999">
      <c r="A5079" s="663"/>
      <c r="B5079" s="3130" t="s">
        <v>772</v>
      </c>
      <c r="C5079" s="999" t="s">
        <v>322</v>
      </c>
      <c r="D5079" s="1000" t="s">
        <v>1980</v>
      </c>
      <c r="E5079" s="999" t="s">
        <v>2618</v>
      </c>
      <c r="F5079" s="1001">
        <v>2235</v>
      </c>
      <c r="G5079" s="2195" t="s">
        <v>1533</v>
      </c>
      <c r="H5079" s="2336"/>
      <c r="I5079" s="2328">
        <v>1500</v>
      </c>
      <c r="J5079" s="2331" t="s">
        <v>1134</v>
      </c>
      <c r="K5079" s="2210"/>
      <c r="L5079" s="2336"/>
      <c r="M5079" s="2328">
        <v>1200</v>
      </c>
      <c r="N5079" s="1644"/>
    </row>
    <row r="5080" spans="1:14" ht="20.399999999999999">
      <c r="A5080" s="663"/>
      <c r="B5080" s="3130" t="s">
        <v>772</v>
      </c>
      <c r="C5080" s="999" t="s">
        <v>322</v>
      </c>
      <c r="D5080" s="1000" t="s">
        <v>1980</v>
      </c>
      <c r="E5080" s="999" t="s">
        <v>2618</v>
      </c>
      <c r="F5080" s="1001">
        <v>2235</v>
      </c>
      <c r="G5080" s="2195" t="s">
        <v>1193</v>
      </c>
      <c r="H5080" s="2336"/>
      <c r="I5080" s="2328">
        <v>700</v>
      </c>
      <c r="J5080" s="2331" t="s">
        <v>1134</v>
      </c>
      <c r="K5080" s="2210"/>
      <c r="L5080" s="2336"/>
      <c r="M5080" s="2328">
        <v>500</v>
      </c>
      <c r="N5080" s="1644" t="s">
        <v>4477</v>
      </c>
    </row>
    <row r="5081" spans="1:14" ht="20.399999999999999">
      <c r="A5081" s="663"/>
      <c r="B5081" s="3130" t="s">
        <v>772</v>
      </c>
      <c r="C5081" s="999" t="s">
        <v>322</v>
      </c>
      <c r="D5081" s="1000" t="s">
        <v>1980</v>
      </c>
      <c r="E5081" s="999" t="s">
        <v>2618</v>
      </c>
      <c r="F5081" s="1001">
        <v>2235</v>
      </c>
      <c r="G5081" s="2195" t="s">
        <v>1534</v>
      </c>
      <c r="H5081" s="2336"/>
      <c r="I5081" s="2328">
        <v>500</v>
      </c>
      <c r="J5081" s="2331" t="s">
        <v>1134</v>
      </c>
      <c r="K5081" s="2210"/>
      <c r="L5081" s="2336"/>
      <c r="M5081" s="2328">
        <v>4000</v>
      </c>
      <c r="N5081" s="75"/>
    </row>
    <row r="5082" spans="1:14">
      <c r="A5082" s="683"/>
      <c r="B5082" s="3129" t="s">
        <v>772</v>
      </c>
      <c r="C5082" s="696" t="s">
        <v>322</v>
      </c>
      <c r="D5082" s="993" t="s">
        <v>1980</v>
      </c>
      <c r="E5082" s="994" t="s">
        <v>2618</v>
      </c>
      <c r="F5082" s="996">
        <v>2239</v>
      </c>
      <c r="G5082" s="800" t="s">
        <v>144</v>
      </c>
      <c r="H5082" s="997">
        <v>3826</v>
      </c>
      <c r="I5082" s="1011"/>
      <c r="J5082" s="1654">
        <v>1629</v>
      </c>
      <c r="K5082" s="842"/>
      <c r="L5082" s="997">
        <v>6401.8799999999992</v>
      </c>
      <c r="M5082" s="2322"/>
      <c r="N5082" s="1492" t="s">
        <v>4705</v>
      </c>
    </row>
    <row r="5083" spans="1:14">
      <c r="A5083" s="663"/>
      <c r="B5083" s="3130" t="s">
        <v>772</v>
      </c>
      <c r="C5083" s="759" t="s">
        <v>322</v>
      </c>
      <c r="D5083" s="988" t="s">
        <v>1980</v>
      </c>
      <c r="E5083" s="999" t="s">
        <v>2618</v>
      </c>
      <c r="F5083" s="1001">
        <v>2239</v>
      </c>
      <c r="G5083" s="2195" t="s">
        <v>332</v>
      </c>
      <c r="H5083" s="2327"/>
      <c r="I5083" s="2334">
        <v>150</v>
      </c>
      <c r="J5083" s="2331" t="s">
        <v>1134</v>
      </c>
      <c r="K5083" s="2210"/>
      <c r="L5083" s="2327"/>
      <c r="M5083" s="2328">
        <v>300</v>
      </c>
      <c r="N5083" s="1784"/>
    </row>
    <row r="5084" spans="1:14" ht="30.6">
      <c r="A5084" s="663"/>
      <c r="B5084" s="3130" t="s">
        <v>772</v>
      </c>
      <c r="C5084" s="759" t="s">
        <v>322</v>
      </c>
      <c r="D5084" s="988" t="s">
        <v>1980</v>
      </c>
      <c r="E5084" s="999" t="s">
        <v>2618</v>
      </c>
      <c r="F5084" s="1001">
        <v>2239</v>
      </c>
      <c r="G5084" s="2195" t="s">
        <v>2591</v>
      </c>
      <c r="H5084" s="2327"/>
      <c r="I5084" s="2334">
        <v>250</v>
      </c>
      <c r="J5084" s="2331" t="s">
        <v>1134</v>
      </c>
      <c r="K5084" s="2210"/>
      <c r="L5084" s="2327"/>
      <c r="M5084" s="2328">
        <v>250</v>
      </c>
      <c r="N5084" s="1644"/>
    </row>
    <row r="5085" spans="1:14" ht="20.399999999999999">
      <c r="A5085" s="663"/>
      <c r="B5085" s="3130" t="s">
        <v>772</v>
      </c>
      <c r="C5085" s="759" t="s">
        <v>322</v>
      </c>
      <c r="D5085" s="988" t="s">
        <v>1980</v>
      </c>
      <c r="E5085" s="999" t="s">
        <v>2618</v>
      </c>
      <c r="F5085" s="1001">
        <v>2239</v>
      </c>
      <c r="G5085" s="2195" t="s">
        <v>1192</v>
      </c>
      <c r="H5085" s="2327"/>
      <c r="I5085" s="2334">
        <v>200</v>
      </c>
      <c r="J5085" s="2331" t="s">
        <v>1134</v>
      </c>
      <c r="K5085" s="2210"/>
      <c r="L5085" s="2327"/>
      <c r="M5085" s="2328">
        <v>200</v>
      </c>
      <c r="N5085" s="1644"/>
    </row>
    <row r="5086" spans="1:14" ht="20.399999999999999">
      <c r="A5086" s="663"/>
      <c r="B5086" s="3130" t="s">
        <v>772</v>
      </c>
      <c r="C5086" s="759" t="s">
        <v>322</v>
      </c>
      <c r="D5086" s="988" t="s">
        <v>1980</v>
      </c>
      <c r="E5086" s="999" t="s">
        <v>2618</v>
      </c>
      <c r="F5086" s="1001">
        <v>2239</v>
      </c>
      <c r="G5086" s="2195" t="s">
        <v>2592</v>
      </c>
      <c r="H5086" s="2327"/>
      <c r="I5086" s="2334">
        <v>400</v>
      </c>
      <c r="J5086" s="2331" t="s">
        <v>1134</v>
      </c>
      <c r="K5086" s="2210"/>
      <c r="L5086" s="2327"/>
      <c r="M5086" s="2328">
        <v>400</v>
      </c>
      <c r="N5086" s="1644"/>
    </row>
    <row r="5087" spans="1:14" ht="20.399999999999999">
      <c r="A5087" s="663"/>
      <c r="B5087" s="3130" t="s">
        <v>772</v>
      </c>
      <c r="C5087" s="759" t="s">
        <v>322</v>
      </c>
      <c r="D5087" s="988" t="s">
        <v>1980</v>
      </c>
      <c r="E5087" s="999" t="s">
        <v>2618</v>
      </c>
      <c r="F5087" s="1001">
        <v>2239</v>
      </c>
      <c r="G5087" s="2195" t="s">
        <v>2593</v>
      </c>
      <c r="H5087" s="2327"/>
      <c r="I5087" s="2334">
        <v>600</v>
      </c>
      <c r="J5087" s="2331" t="s">
        <v>1134</v>
      </c>
      <c r="K5087" s="2210"/>
      <c r="L5087" s="2327"/>
      <c r="M5087" s="2328">
        <v>600</v>
      </c>
      <c r="N5087" s="1644"/>
    </row>
    <row r="5088" spans="1:14" ht="20.399999999999999">
      <c r="A5088" s="663"/>
      <c r="B5088" s="3130" t="s">
        <v>772</v>
      </c>
      <c r="C5088" s="759" t="s">
        <v>322</v>
      </c>
      <c r="D5088" s="988" t="s">
        <v>1980</v>
      </c>
      <c r="E5088" s="999" t="s">
        <v>2618</v>
      </c>
      <c r="F5088" s="1001">
        <v>2239</v>
      </c>
      <c r="G5088" s="2195" t="s">
        <v>2612</v>
      </c>
      <c r="H5088" s="2327"/>
      <c r="I5088" s="2334">
        <v>300</v>
      </c>
      <c r="J5088" s="2331" t="s">
        <v>1134</v>
      </c>
      <c r="K5088" s="2210"/>
      <c r="L5088" s="2327"/>
      <c r="M5088" s="2328">
        <v>300</v>
      </c>
      <c r="N5088" s="381" t="s">
        <v>4479</v>
      </c>
    </row>
    <row r="5089" spans="1:14">
      <c r="A5089" s="663"/>
      <c r="B5089" s="3130" t="s">
        <v>772</v>
      </c>
      <c r="C5089" s="759" t="s">
        <v>322</v>
      </c>
      <c r="D5089" s="988" t="s">
        <v>1980</v>
      </c>
      <c r="E5089" s="999" t="s">
        <v>2618</v>
      </c>
      <c r="F5089" s="1001">
        <v>2239</v>
      </c>
      <c r="G5089" s="2195" t="s">
        <v>1194</v>
      </c>
      <c r="H5089" s="2327"/>
      <c r="I5089" s="2334">
        <v>500</v>
      </c>
      <c r="J5089" s="2331" t="s">
        <v>1134</v>
      </c>
      <c r="K5089" s="2210"/>
      <c r="L5089" s="2327"/>
      <c r="M5089" s="2332"/>
      <c r="N5089" s="305"/>
    </row>
    <row r="5090" spans="1:14">
      <c r="A5090" s="663"/>
      <c r="B5090" s="3130" t="s">
        <v>772</v>
      </c>
      <c r="C5090" s="759" t="s">
        <v>322</v>
      </c>
      <c r="D5090" s="988" t="s">
        <v>1980</v>
      </c>
      <c r="E5090" s="999" t="s">
        <v>2618</v>
      </c>
      <c r="F5090" s="1001">
        <v>2239</v>
      </c>
      <c r="G5090" s="2195" t="s">
        <v>1195</v>
      </c>
      <c r="H5090" s="2327"/>
      <c r="I5090" s="2334">
        <v>500</v>
      </c>
      <c r="J5090" s="2331" t="s">
        <v>1134</v>
      </c>
      <c r="K5090" s="2210"/>
      <c r="L5090" s="2327"/>
      <c r="M5090" s="2332">
        <v>500</v>
      </c>
      <c r="N5090" s="1644"/>
    </row>
    <row r="5091" spans="1:14" ht="11.4" customHeight="1">
      <c r="A5091" s="663"/>
      <c r="B5091" s="3130" t="s">
        <v>772</v>
      </c>
      <c r="C5091" s="759" t="s">
        <v>322</v>
      </c>
      <c r="D5091" s="988" t="s">
        <v>1980</v>
      </c>
      <c r="E5091" s="999" t="s">
        <v>2618</v>
      </c>
      <c r="F5091" s="1001">
        <v>2239</v>
      </c>
      <c r="G5091" s="2338" t="s">
        <v>2613</v>
      </c>
      <c r="H5091" s="814"/>
      <c r="I5091" s="815">
        <v>800</v>
      </c>
      <c r="J5091" s="1654" t="s">
        <v>1134</v>
      </c>
      <c r="K5091" s="809"/>
      <c r="L5091" s="814"/>
      <c r="M5091" s="1010"/>
      <c r="N5091" s="1644"/>
    </row>
    <row r="5092" spans="1:14" ht="20.399999999999999">
      <c r="A5092" s="663"/>
      <c r="B5092" s="3130" t="s">
        <v>772</v>
      </c>
      <c r="C5092" s="759" t="s">
        <v>322</v>
      </c>
      <c r="D5092" s="988" t="s">
        <v>1980</v>
      </c>
      <c r="E5092" s="999" t="s">
        <v>2618</v>
      </c>
      <c r="F5092" s="1001">
        <v>2239</v>
      </c>
      <c r="G5092" s="2195" t="s">
        <v>1535</v>
      </c>
      <c r="H5092" s="2327"/>
      <c r="I5092" s="2334">
        <v>100</v>
      </c>
      <c r="J5092" s="2331" t="s">
        <v>1134</v>
      </c>
      <c r="K5092" s="2210"/>
      <c r="L5092" s="2327"/>
      <c r="M5092" s="2332">
        <v>100</v>
      </c>
      <c r="N5092" s="1644"/>
    </row>
    <row r="5093" spans="1:14" ht="20.399999999999999">
      <c r="A5093" s="663"/>
      <c r="B5093" s="3130" t="s">
        <v>772</v>
      </c>
      <c r="C5093" s="759" t="s">
        <v>322</v>
      </c>
      <c r="D5093" s="988" t="s">
        <v>1980</v>
      </c>
      <c r="E5093" s="999" t="s">
        <v>2618</v>
      </c>
      <c r="F5093" s="1001">
        <v>2239</v>
      </c>
      <c r="G5093" s="2195" t="s">
        <v>1536</v>
      </c>
      <c r="H5093" s="2327"/>
      <c r="I5093" s="2334">
        <v>120</v>
      </c>
      <c r="J5093" s="2331" t="s">
        <v>1134</v>
      </c>
      <c r="K5093" s="2210"/>
      <c r="L5093" s="2327"/>
      <c r="M5093" s="2332">
        <v>120</v>
      </c>
      <c r="N5093" s="1644"/>
    </row>
    <row r="5094" spans="1:14">
      <c r="A5094" s="2168"/>
      <c r="B5094" s="3130" t="s">
        <v>772</v>
      </c>
      <c r="C5094" s="759" t="s">
        <v>322</v>
      </c>
      <c r="D5094" s="988" t="s">
        <v>1980</v>
      </c>
      <c r="E5094" s="999" t="s">
        <v>2618</v>
      </c>
      <c r="F5094" s="1001">
        <v>2239</v>
      </c>
      <c r="G5094" s="2195" t="s">
        <v>4451</v>
      </c>
      <c r="H5094" s="2328"/>
      <c r="I5094" s="2334"/>
      <c r="J5094" s="2331" t="s">
        <v>1134</v>
      </c>
      <c r="K5094" s="2210"/>
      <c r="L5094" s="2328"/>
      <c r="M5094" s="2332">
        <v>2640.4</v>
      </c>
      <c r="N5094" s="1644"/>
    </row>
    <row r="5095" spans="1:14" ht="20.399999999999999">
      <c r="A5095" s="2168"/>
      <c r="B5095" s="3130" t="s">
        <v>772</v>
      </c>
      <c r="C5095" s="759" t="s">
        <v>322</v>
      </c>
      <c r="D5095" s="988" t="s">
        <v>1980</v>
      </c>
      <c r="E5095" s="999" t="s">
        <v>2618</v>
      </c>
      <c r="F5095" s="1001">
        <v>2239</v>
      </c>
      <c r="G5095" s="2195" t="s">
        <v>4921</v>
      </c>
      <c r="H5095" s="2328"/>
      <c r="I5095" s="2334"/>
      <c r="J5095" s="2331" t="s">
        <v>1134</v>
      </c>
      <c r="K5095" s="2210"/>
      <c r="L5095" s="2328"/>
      <c r="M5095" s="2332">
        <v>991.48</v>
      </c>
      <c r="N5095" s="1644"/>
    </row>
    <row r="5096" spans="1:14" ht="11.4" customHeight="1">
      <c r="A5096" s="663"/>
      <c r="B5096" s="3130" t="s">
        <v>772</v>
      </c>
      <c r="C5096" s="759" t="s">
        <v>322</v>
      </c>
      <c r="D5096" s="988" t="s">
        <v>1980</v>
      </c>
      <c r="E5096" s="999" t="s">
        <v>2618</v>
      </c>
      <c r="F5096" s="1001">
        <v>2239</v>
      </c>
      <c r="G5096" s="750" t="s">
        <v>2614</v>
      </c>
      <c r="H5096" s="814"/>
      <c r="I5096" s="815">
        <v>620</v>
      </c>
      <c r="J5096" s="1654" t="s">
        <v>1134</v>
      </c>
      <c r="K5096" s="809"/>
      <c r="L5096" s="814"/>
      <c r="M5096" s="1012"/>
      <c r="N5096" s="1644"/>
    </row>
    <row r="5097" spans="1:14" ht="20.399999999999999">
      <c r="A5097" s="663"/>
      <c r="B5097" s="3130" t="s">
        <v>772</v>
      </c>
      <c r="C5097" s="759" t="s">
        <v>322</v>
      </c>
      <c r="D5097" s="988" t="s">
        <v>1980</v>
      </c>
      <c r="E5097" s="999" t="s">
        <v>2618</v>
      </c>
      <c r="F5097" s="1001">
        <v>2239</v>
      </c>
      <c r="G5097" s="750" t="s">
        <v>3333</v>
      </c>
      <c r="H5097" s="814"/>
      <c r="I5097" s="815">
        <v>-714</v>
      </c>
      <c r="J5097" s="1654" t="s">
        <v>1134</v>
      </c>
      <c r="K5097" s="809"/>
      <c r="L5097" s="814"/>
      <c r="M5097" s="816"/>
      <c r="N5097" s="1644"/>
    </row>
    <row r="5098" spans="1:14">
      <c r="A5098" s="683"/>
      <c r="B5098" s="3129" t="s">
        <v>772</v>
      </c>
      <c r="C5098" s="994" t="s">
        <v>320</v>
      </c>
      <c r="D5098" s="995" t="s">
        <v>1980</v>
      </c>
      <c r="E5098" s="994" t="s">
        <v>2618</v>
      </c>
      <c r="F5098" s="996">
        <v>2243</v>
      </c>
      <c r="G5098" s="800" t="s">
        <v>270</v>
      </c>
      <c r="H5098" s="997">
        <v>1190</v>
      </c>
      <c r="I5098" s="1011"/>
      <c r="J5098" s="1654">
        <v>308</v>
      </c>
      <c r="K5098" s="842"/>
      <c r="L5098" s="997">
        <v>2600</v>
      </c>
      <c r="M5098" s="2322"/>
      <c r="N5098" s="1644" t="s">
        <v>4467</v>
      </c>
    </row>
    <row r="5099" spans="1:14">
      <c r="A5099" s="663"/>
      <c r="B5099" s="3130" t="s">
        <v>772</v>
      </c>
      <c r="C5099" s="999" t="s">
        <v>320</v>
      </c>
      <c r="D5099" s="1000" t="s">
        <v>1980</v>
      </c>
      <c r="E5099" s="999" t="s">
        <v>2618</v>
      </c>
      <c r="F5099" s="1001">
        <v>2243</v>
      </c>
      <c r="G5099" s="2195" t="s">
        <v>271</v>
      </c>
      <c r="H5099" s="2327"/>
      <c r="I5099" s="2334">
        <v>100</v>
      </c>
      <c r="J5099" s="2331" t="s">
        <v>1134</v>
      </c>
      <c r="K5099" s="2210"/>
      <c r="L5099" s="2327"/>
      <c r="M5099" s="2332">
        <v>100</v>
      </c>
      <c r="N5099" s="1644" t="s">
        <v>4467</v>
      </c>
    </row>
    <row r="5100" spans="1:14">
      <c r="A5100" s="663"/>
      <c r="B5100" s="3130" t="s">
        <v>772</v>
      </c>
      <c r="C5100" s="999" t="s">
        <v>320</v>
      </c>
      <c r="D5100" s="1000" t="s">
        <v>1980</v>
      </c>
      <c r="E5100" s="999" t="s">
        <v>2618</v>
      </c>
      <c r="F5100" s="1001">
        <v>2243</v>
      </c>
      <c r="G5100" s="2195" t="s">
        <v>1196</v>
      </c>
      <c r="H5100" s="2327"/>
      <c r="I5100" s="2334">
        <v>200</v>
      </c>
      <c r="J5100" s="2331" t="s">
        <v>1134</v>
      </c>
      <c r="K5100" s="2210"/>
      <c r="L5100" s="2327"/>
      <c r="M5100" s="2332">
        <v>200</v>
      </c>
      <c r="N5100" s="1644" t="s">
        <v>4467</v>
      </c>
    </row>
    <row r="5101" spans="1:14">
      <c r="A5101" s="663"/>
      <c r="B5101" s="3130" t="s">
        <v>772</v>
      </c>
      <c r="C5101" s="999" t="s">
        <v>320</v>
      </c>
      <c r="D5101" s="1000" t="s">
        <v>1980</v>
      </c>
      <c r="E5101" s="999" t="s">
        <v>2618</v>
      </c>
      <c r="F5101" s="1001">
        <v>2243</v>
      </c>
      <c r="G5101" s="2195" t="s">
        <v>674</v>
      </c>
      <c r="H5101" s="2327"/>
      <c r="I5101" s="2334">
        <v>100</v>
      </c>
      <c r="J5101" s="2331" t="s">
        <v>1134</v>
      </c>
      <c r="K5101" s="2210"/>
      <c r="L5101" s="2327"/>
      <c r="M5101" s="2332">
        <v>100</v>
      </c>
      <c r="N5101" s="1644" t="s">
        <v>4467</v>
      </c>
    </row>
    <row r="5102" spans="1:14" ht="20.399999999999999">
      <c r="A5102" s="663"/>
      <c r="B5102" s="3130" t="s">
        <v>772</v>
      </c>
      <c r="C5102" s="999" t="s">
        <v>320</v>
      </c>
      <c r="D5102" s="1000" t="s">
        <v>1980</v>
      </c>
      <c r="E5102" s="999" t="s">
        <v>2618</v>
      </c>
      <c r="F5102" s="1001">
        <v>2243</v>
      </c>
      <c r="G5102" s="2195" t="s">
        <v>675</v>
      </c>
      <c r="H5102" s="2327"/>
      <c r="I5102" s="2334">
        <v>200</v>
      </c>
      <c r="J5102" s="2331" t="s">
        <v>1134</v>
      </c>
      <c r="K5102" s="2210"/>
      <c r="L5102" s="2327"/>
      <c r="M5102" s="2332">
        <v>200</v>
      </c>
      <c r="N5102" s="1644" t="s">
        <v>4467</v>
      </c>
    </row>
    <row r="5103" spans="1:14" ht="20.399999999999999">
      <c r="A5103" s="2168"/>
      <c r="B5103" s="3130" t="s">
        <v>772</v>
      </c>
      <c r="C5103" s="999" t="s">
        <v>320</v>
      </c>
      <c r="D5103" s="1000" t="s">
        <v>1980</v>
      </c>
      <c r="E5103" s="999" t="s">
        <v>2618</v>
      </c>
      <c r="F5103" s="1001">
        <v>2243</v>
      </c>
      <c r="G5103" s="2195" t="s">
        <v>4454</v>
      </c>
      <c r="H5103" s="2327"/>
      <c r="I5103" s="2334"/>
      <c r="J5103" s="2331"/>
      <c r="K5103" s="2210"/>
      <c r="L5103" s="2327"/>
      <c r="M5103" s="2332">
        <v>2000</v>
      </c>
      <c r="N5103" s="2345"/>
    </row>
    <row r="5104" spans="1:14">
      <c r="A5104" s="663"/>
      <c r="B5104" s="3130" t="s">
        <v>772</v>
      </c>
      <c r="C5104" s="999" t="s">
        <v>320</v>
      </c>
      <c r="D5104" s="1000" t="s">
        <v>1980</v>
      </c>
      <c r="E5104" s="999" t="s">
        <v>2618</v>
      </c>
      <c r="F5104" s="1001">
        <v>2243</v>
      </c>
      <c r="G5104" s="2195" t="s">
        <v>2867</v>
      </c>
      <c r="H5104" s="2327"/>
      <c r="I5104" s="2334">
        <v>590</v>
      </c>
      <c r="J5104" s="2331" t="s">
        <v>1134</v>
      </c>
      <c r="K5104" s="2210"/>
      <c r="L5104" s="2327"/>
      <c r="M5104" s="2328"/>
      <c r="N5104" s="1644"/>
    </row>
    <row r="5105" spans="1:14">
      <c r="A5105" s="683"/>
      <c r="B5105" s="3129" t="s">
        <v>772</v>
      </c>
      <c r="C5105" s="696" t="s">
        <v>320</v>
      </c>
      <c r="D5105" s="993" t="s">
        <v>1980</v>
      </c>
      <c r="E5105" s="994" t="s">
        <v>2618</v>
      </c>
      <c r="F5105" s="996">
        <v>2244</v>
      </c>
      <c r="G5105" s="805" t="s">
        <v>294</v>
      </c>
      <c r="H5105" s="997">
        <v>714</v>
      </c>
      <c r="I5105" s="1011"/>
      <c r="J5105" s="1654">
        <v>714</v>
      </c>
      <c r="K5105" s="842"/>
      <c r="L5105" s="997">
        <v>714</v>
      </c>
      <c r="M5105" s="2322"/>
      <c r="N5105" s="2365"/>
    </row>
    <row r="5106" spans="1:14">
      <c r="A5106" s="663"/>
      <c r="B5106" s="3130" t="s">
        <v>772</v>
      </c>
      <c r="C5106" s="759" t="s">
        <v>320</v>
      </c>
      <c r="D5106" s="988" t="s">
        <v>1980</v>
      </c>
      <c r="E5106" s="999" t="s">
        <v>2618</v>
      </c>
      <c r="F5106" s="1001">
        <v>2244</v>
      </c>
      <c r="G5106" s="750" t="s">
        <v>294</v>
      </c>
      <c r="H5106" s="816"/>
      <c r="I5106" s="815">
        <v>714</v>
      </c>
      <c r="J5106" s="1654" t="s">
        <v>1134</v>
      </c>
      <c r="K5106" s="809"/>
      <c r="L5106" s="816"/>
      <c r="M5106" s="816">
        <v>714</v>
      </c>
      <c r="N5106" s="1802"/>
    </row>
    <row r="5107" spans="1:14">
      <c r="A5107" s="683"/>
      <c r="B5107" s="3129" t="s">
        <v>772</v>
      </c>
      <c r="C5107" s="696" t="s">
        <v>320</v>
      </c>
      <c r="D5107" s="993" t="s">
        <v>1980</v>
      </c>
      <c r="E5107" s="994" t="s">
        <v>2618</v>
      </c>
      <c r="F5107" s="996">
        <v>2247</v>
      </c>
      <c r="G5107" s="805" t="s">
        <v>161</v>
      </c>
      <c r="H5107" s="997">
        <v>14350</v>
      </c>
      <c r="I5107" s="1011"/>
      <c r="J5107" s="1654">
        <v>9767</v>
      </c>
      <c r="K5107" s="842"/>
      <c r="L5107" s="997">
        <v>15000</v>
      </c>
      <c r="M5107" s="2322"/>
      <c r="N5107" s="1802"/>
    </row>
    <row r="5108" spans="1:14">
      <c r="A5108" s="663"/>
      <c r="B5108" s="3130" t="s">
        <v>772</v>
      </c>
      <c r="C5108" s="759" t="s">
        <v>320</v>
      </c>
      <c r="D5108" s="988" t="s">
        <v>1980</v>
      </c>
      <c r="E5108" s="999" t="s">
        <v>2618</v>
      </c>
      <c r="F5108" s="1001">
        <v>2247</v>
      </c>
      <c r="G5108" s="2195" t="s">
        <v>4455</v>
      </c>
      <c r="H5108" s="2328"/>
      <c r="I5108" s="2334">
        <v>14000</v>
      </c>
      <c r="J5108" s="2331" t="s">
        <v>1134</v>
      </c>
      <c r="K5108" s="2210"/>
      <c r="L5108" s="2328"/>
      <c r="M5108" s="2328">
        <v>15000</v>
      </c>
      <c r="N5108" s="1802"/>
    </row>
    <row r="5109" spans="1:14" ht="20.399999999999999">
      <c r="A5109" s="603"/>
      <c r="B5109" s="3130" t="s">
        <v>772</v>
      </c>
      <c r="C5109" s="759" t="s">
        <v>320</v>
      </c>
      <c r="D5109" s="988" t="s">
        <v>1980</v>
      </c>
      <c r="E5109" s="999" t="s">
        <v>2618</v>
      </c>
      <c r="F5109" s="1001">
        <v>2247</v>
      </c>
      <c r="G5109" s="1153" t="s">
        <v>2717</v>
      </c>
      <c r="H5109" s="1143"/>
      <c r="I5109" s="1158">
        <v>1750</v>
      </c>
      <c r="J5109" s="1654" t="s">
        <v>1134</v>
      </c>
      <c r="K5109" s="1462"/>
      <c r="L5109" s="1143"/>
      <c r="M5109" s="1143"/>
      <c r="N5109" s="1644"/>
    </row>
    <row r="5110" spans="1:14" ht="71.400000000000006">
      <c r="A5110" s="1495"/>
      <c r="B5110" s="3130" t="s">
        <v>772</v>
      </c>
      <c r="C5110" s="759" t="s">
        <v>320</v>
      </c>
      <c r="D5110" s="988" t="s">
        <v>1980</v>
      </c>
      <c r="E5110" s="999" t="s">
        <v>2618</v>
      </c>
      <c r="F5110" s="1001">
        <v>2247</v>
      </c>
      <c r="G5110" s="1569" t="s">
        <v>3369</v>
      </c>
      <c r="H5110" s="1570"/>
      <c r="I5110" s="1571">
        <v>-1400</v>
      </c>
      <c r="J5110" s="1655"/>
      <c r="K5110" s="1640"/>
      <c r="L5110" s="1570"/>
      <c r="M5110" s="1570"/>
      <c r="N5110" s="1841" t="s">
        <v>4488</v>
      </c>
    </row>
    <row r="5111" spans="1:14">
      <c r="A5111" s="683"/>
      <c r="B5111" s="3129" t="s">
        <v>772</v>
      </c>
      <c r="C5111" s="696" t="s">
        <v>320</v>
      </c>
      <c r="D5111" s="993" t="s">
        <v>1980</v>
      </c>
      <c r="E5111" s="994" t="s">
        <v>2618</v>
      </c>
      <c r="F5111" s="996">
        <v>2250</v>
      </c>
      <c r="G5111" s="800" t="s">
        <v>735</v>
      </c>
      <c r="H5111" s="997">
        <v>6600</v>
      </c>
      <c r="I5111" s="1011"/>
      <c r="J5111" s="1654">
        <v>6049</v>
      </c>
      <c r="K5111" s="842"/>
      <c r="L5111" s="997">
        <v>15300</v>
      </c>
      <c r="M5111" s="2322"/>
      <c r="N5111" s="1644"/>
    </row>
    <row r="5112" spans="1:14" ht="11.4" customHeight="1">
      <c r="A5112" s="663"/>
      <c r="B5112" s="3130" t="s">
        <v>772</v>
      </c>
      <c r="C5112" s="759" t="s">
        <v>320</v>
      </c>
      <c r="D5112" s="988" t="s">
        <v>1980</v>
      </c>
      <c r="E5112" s="999" t="s">
        <v>2618</v>
      </c>
      <c r="F5112" s="1001">
        <v>2250</v>
      </c>
      <c r="G5112" s="2326" t="s">
        <v>2601</v>
      </c>
      <c r="H5112" s="2327"/>
      <c r="I5112" s="2328">
        <v>600</v>
      </c>
      <c r="J5112" s="2331" t="s">
        <v>1134</v>
      </c>
      <c r="K5112" s="2210"/>
      <c r="L5112" s="2327"/>
      <c r="M5112" s="2332">
        <v>1200</v>
      </c>
      <c r="N5112" s="1644"/>
    </row>
    <row r="5113" spans="1:14" ht="20.399999999999999">
      <c r="A5113" s="663"/>
      <c r="B5113" s="3130" t="s">
        <v>772</v>
      </c>
      <c r="C5113" s="759" t="s">
        <v>320</v>
      </c>
      <c r="D5113" s="988" t="s">
        <v>1980</v>
      </c>
      <c r="E5113" s="999" t="s">
        <v>2618</v>
      </c>
      <c r="F5113" s="1001">
        <v>2250</v>
      </c>
      <c r="G5113" s="2326" t="s">
        <v>1537</v>
      </c>
      <c r="H5113" s="2327"/>
      <c r="I5113" s="2328">
        <v>100</v>
      </c>
      <c r="J5113" s="2331" t="s">
        <v>1134</v>
      </c>
      <c r="K5113" s="2210"/>
      <c r="L5113" s="2327"/>
      <c r="M5113" s="2332">
        <v>100</v>
      </c>
      <c r="N5113" s="1610"/>
    </row>
    <row r="5114" spans="1:14">
      <c r="A5114" s="663"/>
      <c r="B5114" s="3130" t="s">
        <v>772</v>
      </c>
      <c r="C5114" s="759" t="s">
        <v>320</v>
      </c>
      <c r="D5114" s="988" t="s">
        <v>1980</v>
      </c>
      <c r="E5114" s="999" t="s">
        <v>2618</v>
      </c>
      <c r="F5114" s="1001">
        <v>2250</v>
      </c>
      <c r="G5114" s="2195" t="s">
        <v>2615</v>
      </c>
      <c r="H5114" s="2327"/>
      <c r="I5114" s="2328">
        <v>4500</v>
      </c>
      <c r="J5114" s="2331" t="s">
        <v>1134</v>
      </c>
      <c r="K5114" s="2210"/>
      <c r="L5114" s="2327"/>
      <c r="M5114" s="2722">
        <v>10000</v>
      </c>
      <c r="N5114" s="1644"/>
    </row>
    <row r="5115" spans="1:14" ht="20.399999999999999">
      <c r="A5115" s="2168"/>
      <c r="B5115" s="3130" t="s">
        <v>772</v>
      </c>
      <c r="C5115" s="759" t="s">
        <v>320</v>
      </c>
      <c r="D5115" s="988" t="s">
        <v>1980</v>
      </c>
      <c r="E5115" s="999" t="s">
        <v>2618</v>
      </c>
      <c r="F5115" s="1001">
        <v>2250</v>
      </c>
      <c r="G5115" s="2326" t="s">
        <v>4459</v>
      </c>
      <c r="H5115" s="2327"/>
      <c r="I5115" s="2334"/>
      <c r="J5115" s="2331" t="s">
        <v>1134</v>
      </c>
      <c r="K5115" s="2210"/>
      <c r="L5115" s="2327"/>
      <c r="M5115" s="2332">
        <v>4000</v>
      </c>
      <c r="N5115" s="1841" t="s">
        <v>4488</v>
      </c>
    </row>
    <row r="5116" spans="1:14" ht="40.799999999999997">
      <c r="A5116" s="663"/>
      <c r="B5116" s="3130" t="s">
        <v>772</v>
      </c>
      <c r="C5116" s="759" t="s">
        <v>320</v>
      </c>
      <c r="D5116" s="988" t="s">
        <v>1980</v>
      </c>
      <c r="E5116" s="999" t="s">
        <v>2618</v>
      </c>
      <c r="F5116" s="1001">
        <v>2250</v>
      </c>
      <c r="G5116" s="2326" t="s">
        <v>1538</v>
      </c>
      <c r="H5116" s="2327"/>
      <c r="I5116" s="2334">
        <v>1400</v>
      </c>
      <c r="J5116" s="2331" t="s">
        <v>1134</v>
      </c>
      <c r="K5116" s="2210"/>
      <c r="L5116" s="2327"/>
      <c r="M5116" s="2332"/>
      <c r="N5116" s="1644"/>
    </row>
    <row r="5117" spans="1:14">
      <c r="A5117" s="683"/>
      <c r="B5117" s="3129" t="s">
        <v>772</v>
      </c>
      <c r="C5117" s="696" t="s">
        <v>320</v>
      </c>
      <c r="D5117" s="993" t="s">
        <v>1980</v>
      </c>
      <c r="E5117" s="994" t="s">
        <v>2618</v>
      </c>
      <c r="F5117" s="996">
        <v>2264</v>
      </c>
      <c r="G5117" s="800" t="s">
        <v>1288</v>
      </c>
      <c r="H5117" s="997">
        <v>0</v>
      </c>
      <c r="I5117" s="1011"/>
      <c r="J5117" s="1654" t="s">
        <v>1134</v>
      </c>
      <c r="K5117" s="842"/>
      <c r="L5117" s="997">
        <v>0</v>
      </c>
      <c r="M5117" s="2322"/>
      <c r="N5117" s="1644"/>
    </row>
    <row r="5118" spans="1:14" ht="30.6">
      <c r="A5118" s="663"/>
      <c r="B5118" s="3130" t="s">
        <v>772</v>
      </c>
      <c r="C5118" s="759" t="s">
        <v>320</v>
      </c>
      <c r="D5118" s="988" t="s">
        <v>1980</v>
      </c>
      <c r="E5118" s="999" t="s">
        <v>2618</v>
      </c>
      <c r="F5118" s="1001">
        <v>2264</v>
      </c>
      <c r="G5118" s="745" t="s">
        <v>1539</v>
      </c>
      <c r="H5118" s="814"/>
      <c r="I5118" s="816"/>
      <c r="J5118" s="1654" t="s">
        <v>1134</v>
      </c>
      <c r="K5118" s="809"/>
      <c r="L5118" s="814"/>
      <c r="M5118" s="1012"/>
      <c r="N5118" s="1644"/>
    </row>
    <row r="5119" spans="1:14" ht="20.399999999999999">
      <c r="A5119" s="683"/>
      <c r="B5119" s="3129" t="s">
        <v>772</v>
      </c>
      <c r="C5119" s="696" t="s">
        <v>322</v>
      </c>
      <c r="D5119" s="993" t="s">
        <v>1980</v>
      </c>
      <c r="E5119" s="994" t="s">
        <v>2618</v>
      </c>
      <c r="F5119" s="996">
        <v>2311</v>
      </c>
      <c r="G5119" s="800" t="s">
        <v>129</v>
      </c>
      <c r="H5119" s="997">
        <v>10800</v>
      </c>
      <c r="I5119" s="1003"/>
      <c r="J5119" s="1654"/>
      <c r="K5119" s="842"/>
      <c r="L5119" s="997">
        <v>20000</v>
      </c>
      <c r="M5119" s="2322"/>
      <c r="N5119" s="1841" t="s">
        <v>4488</v>
      </c>
    </row>
    <row r="5120" spans="1:14" ht="51">
      <c r="A5120" s="663"/>
      <c r="B5120" s="3130" t="s">
        <v>772</v>
      </c>
      <c r="C5120" s="759" t="s">
        <v>322</v>
      </c>
      <c r="D5120" s="988" t="s">
        <v>1980</v>
      </c>
      <c r="E5120" s="999" t="s">
        <v>2618</v>
      </c>
      <c r="F5120" s="1001">
        <v>2311</v>
      </c>
      <c r="G5120" s="2195" t="s">
        <v>1540</v>
      </c>
      <c r="H5120" s="814"/>
      <c r="I5120" s="816">
        <v>5500</v>
      </c>
      <c r="J5120" s="1654">
        <v>4999</v>
      </c>
      <c r="K5120" s="809"/>
      <c r="L5120" s="814"/>
      <c r="M5120" s="2332">
        <v>6000</v>
      </c>
      <c r="N5120" s="1644"/>
    </row>
    <row r="5121" spans="1:14" ht="20.399999999999999">
      <c r="A5121" s="663"/>
      <c r="B5121" s="3130" t="s">
        <v>772</v>
      </c>
      <c r="C5121" s="759" t="s">
        <v>322</v>
      </c>
      <c r="D5121" s="988" t="s">
        <v>1980</v>
      </c>
      <c r="E5121" s="999" t="s">
        <v>2618</v>
      </c>
      <c r="F5121" s="1001">
        <v>2311</v>
      </c>
      <c r="G5121" s="2195" t="s">
        <v>1541</v>
      </c>
      <c r="H5121" s="814"/>
      <c r="I5121" s="816">
        <v>3500</v>
      </c>
      <c r="J5121" s="1654">
        <v>6192</v>
      </c>
      <c r="K5121" s="809"/>
      <c r="L5121" s="814"/>
      <c r="M5121" s="2332">
        <v>14000</v>
      </c>
      <c r="N5121" s="1841" t="s">
        <v>4488</v>
      </c>
    </row>
    <row r="5122" spans="1:14" ht="20.399999999999999">
      <c r="A5122" s="603"/>
      <c r="B5122" s="3130" t="s">
        <v>772</v>
      </c>
      <c r="C5122" s="759" t="s">
        <v>322</v>
      </c>
      <c r="D5122" s="988" t="s">
        <v>1980</v>
      </c>
      <c r="E5122" s="999" t="s">
        <v>2618</v>
      </c>
      <c r="F5122" s="1001">
        <v>2311</v>
      </c>
      <c r="G5122" s="1153" t="s">
        <v>3299</v>
      </c>
      <c r="H5122" s="1142"/>
      <c r="I5122" s="1143">
        <v>1800</v>
      </c>
      <c r="J5122" s="1654" t="s">
        <v>1134</v>
      </c>
      <c r="K5122" s="1462"/>
      <c r="L5122" s="1142"/>
      <c r="M5122" s="2340"/>
      <c r="N5122" s="1644"/>
    </row>
    <row r="5123" spans="1:14">
      <c r="A5123" s="683"/>
      <c r="B5123" s="3129" t="s">
        <v>772</v>
      </c>
      <c r="C5123" s="994" t="s">
        <v>322</v>
      </c>
      <c r="D5123" s="995" t="s">
        <v>1980</v>
      </c>
      <c r="E5123" s="994" t="s">
        <v>2618</v>
      </c>
      <c r="F5123" s="996">
        <v>2312</v>
      </c>
      <c r="G5123" s="800" t="s">
        <v>131</v>
      </c>
      <c r="H5123" s="997">
        <v>17766</v>
      </c>
      <c r="I5123" s="1003"/>
      <c r="J5123" s="1654">
        <v>17526</v>
      </c>
      <c r="K5123" s="842"/>
      <c r="L5123" s="997">
        <v>3000</v>
      </c>
      <c r="M5123" s="2322"/>
      <c r="N5123" s="1644"/>
    </row>
    <row r="5124" spans="1:14" ht="11.4" customHeight="1">
      <c r="A5124" s="663"/>
      <c r="B5124" s="3130" t="s">
        <v>772</v>
      </c>
      <c r="C5124" s="999" t="s">
        <v>322</v>
      </c>
      <c r="D5124" s="1000" t="s">
        <v>1980</v>
      </c>
      <c r="E5124" s="999" t="s">
        <v>2618</v>
      </c>
      <c r="F5124" s="1001">
        <v>2312</v>
      </c>
      <c r="G5124" s="750" t="s">
        <v>2616</v>
      </c>
      <c r="H5124" s="814"/>
      <c r="I5124" s="815">
        <v>2500</v>
      </c>
      <c r="J5124" s="1654" t="s">
        <v>1134</v>
      </c>
      <c r="K5124" s="809"/>
      <c r="L5124" s="814"/>
      <c r="M5124" s="1012">
        <v>3000</v>
      </c>
      <c r="N5124" s="1644"/>
    </row>
    <row r="5125" spans="1:14" ht="20.399999999999999">
      <c r="A5125" s="603"/>
      <c r="B5125" s="3130" t="s">
        <v>772</v>
      </c>
      <c r="C5125" s="999" t="s">
        <v>322</v>
      </c>
      <c r="D5125" s="1000" t="s">
        <v>1980</v>
      </c>
      <c r="E5125" s="999" t="s">
        <v>2618</v>
      </c>
      <c r="F5125" s="1001">
        <v>2312</v>
      </c>
      <c r="G5125" s="1153" t="s">
        <v>3159</v>
      </c>
      <c r="H5125" s="1142"/>
      <c r="I5125" s="1143">
        <v>2500</v>
      </c>
      <c r="J5125" s="1654" t="s">
        <v>1134</v>
      </c>
      <c r="K5125" s="1462"/>
      <c r="L5125" s="1142"/>
      <c r="M5125" s="2340"/>
      <c r="N5125" s="1644"/>
    </row>
    <row r="5126" spans="1:14" ht="20.399999999999999">
      <c r="A5126" s="663"/>
      <c r="B5126" s="3130" t="s">
        <v>772</v>
      </c>
      <c r="C5126" s="999" t="s">
        <v>322</v>
      </c>
      <c r="D5126" s="1000" t="s">
        <v>1980</v>
      </c>
      <c r="E5126" s="999" t="s">
        <v>2618</v>
      </c>
      <c r="F5126" s="1001">
        <v>2312</v>
      </c>
      <c r="G5126" s="750" t="s">
        <v>3229</v>
      </c>
      <c r="H5126" s="814"/>
      <c r="I5126" s="815">
        <v>496</v>
      </c>
      <c r="J5126" s="1654" t="s">
        <v>1134</v>
      </c>
      <c r="K5126" s="809"/>
      <c r="L5126" s="814"/>
      <c r="M5126" s="1012"/>
      <c r="N5126" s="1610"/>
    </row>
    <row r="5127" spans="1:14" ht="20.399999999999999">
      <c r="A5127" s="663"/>
      <c r="B5127" s="3130" t="s">
        <v>772</v>
      </c>
      <c r="C5127" s="999" t="s">
        <v>322</v>
      </c>
      <c r="D5127" s="1000" t="s">
        <v>1980</v>
      </c>
      <c r="E5127" s="999" t="s">
        <v>2618</v>
      </c>
      <c r="F5127" s="1001">
        <v>2312</v>
      </c>
      <c r="G5127" s="750" t="s">
        <v>3231</v>
      </c>
      <c r="H5127" s="814"/>
      <c r="I5127" s="815">
        <v>500</v>
      </c>
      <c r="J5127" s="1654" t="s">
        <v>1134</v>
      </c>
      <c r="K5127" s="809"/>
      <c r="L5127" s="814"/>
      <c r="M5127" s="1012"/>
      <c r="N5127" s="1490" t="s">
        <v>4490</v>
      </c>
    </row>
    <row r="5128" spans="1:14" ht="30.6">
      <c r="A5128" s="663"/>
      <c r="B5128" s="3130" t="s">
        <v>772</v>
      </c>
      <c r="C5128" s="999" t="s">
        <v>322</v>
      </c>
      <c r="D5128" s="1000" t="s">
        <v>1980</v>
      </c>
      <c r="E5128" s="999" t="s">
        <v>2618</v>
      </c>
      <c r="F5128" s="1001">
        <v>2312</v>
      </c>
      <c r="G5128" s="750" t="s">
        <v>3232</v>
      </c>
      <c r="H5128" s="814"/>
      <c r="I5128" s="816">
        <v>800</v>
      </c>
      <c r="J5128" s="1654" t="s">
        <v>1134</v>
      </c>
      <c r="K5128" s="809"/>
      <c r="L5128" s="814"/>
      <c r="M5128" s="1012"/>
      <c r="N5128" s="2337" t="s">
        <v>4489</v>
      </c>
    </row>
    <row r="5129" spans="1:14" ht="51" customHeight="1">
      <c r="A5129" s="663"/>
      <c r="B5129" s="3130" t="s">
        <v>772</v>
      </c>
      <c r="C5129" s="999" t="s">
        <v>322</v>
      </c>
      <c r="D5129" s="1000" t="s">
        <v>1980</v>
      </c>
      <c r="E5129" s="999" t="s">
        <v>2618</v>
      </c>
      <c r="F5129" s="1001">
        <v>2312</v>
      </c>
      <c r="G5129" s="750" t="s">
        <v>3233</v>
      </c>
      <c r="H5129" s="814"/>
      <c r="I5129" s="816">
        <v>6320</v>
      </c>
      <c r="J5129" s="1654" t="s">
        <v>1134</v>
      </c>
      <c r="K5129" s="809"/>
      <c r="L5129" s="814"/>
      <c r="M5129" s="1012"/>
      <c r="N5129" s="1644"/>
    </row>
    <row r="5130" spans="1:14" ht="30.6">
      <c r="A5130" s="663"/>
      <c r="B5130" s="3130" t="s">
        <v>772</v>
      </c>
      <c r="C5130" s="999" t="s">
        <v>322</v>
      </c>
      <c r="D5130" s="1000" t="s">
        <v>1980</v>
      </c>
      <c r="E5130" s="999" t="s">
        <v>2618</v>
      </c>
      <c r="F5130" s="1001">
        <v>2312</v>
      </c>
      <c r="G5130" s="750" t="s">
        <v>3234</v>
      </c>
      <c r="H5130" s="814"/>
      <c r="I5130" s="816">
        <v>4650</v>
      </c>
      <c r="J5130" s="1654" t="s">
        <v>1134</v>
      </c>
      <c r="K5130" s="809"/>
      <c r="L5130" s="814"/>
      <c r="M5130" s="1012"/>
      <c r="N5130" s="1841" t="s">
        <v>4488</v>
      </c>
    </row>
    <row r="5131" spans="1:14">
      <c r="A5131" s="683"/>
      <c r="B5131" s="3129" t="s">
        <v>773</v>
      </c>
      <c r="C5131" s="994" t="s">
        <v>325</v>
      </c>
      <c r="D5131" s="995" t="s">
        <v>1980</v>
      </c>
      <c r="E5131" s="994" t="s">
        <v>2618</v>
      </c>
      <c r="F5131" s="996">
        <v>2312</v>
      </c>
      <c r="G5131" s="800" t="s">
        <v>131</v>
      </c>
      <c r="H5131" s="997"/>
      <c r="I5131" s="1003"/>
      <c r="J5131" s="1654"/>
      <c r="K5131" s="842"/>
      <c r="L5131" s="997">
        <v>43955.600000000006</v>
      </c>
      <c r="M5131" s="2322"/>
      <c r="N5131" s="1644"/>
    </row>
    <row r="5132" spans="1:14" ht="20.399999999999999">
      <c r="A5132" s="668"/>
      <c r="B5132" s="3144" t="s">
        <v>773</v>
      </c>
      <c r="C5132" s="1057" t="s">
        <v>325</v>
      </c>
      <c r="D5132" s="1061" t="s">
        <v>1980</v>
      </c>
      <c r="E5132" s="1057" t="s">
        <v>2618</v>
      </c>
      <c r="F5132" s="1058">
        <v>2312</v>
      </c>
      <c r="G5132" s="704" t="s">
        <v>4462</v>
      </c>
      <c r="H5132" s="1059"/>
      <c r="I5132" s="1060"/>
      <c r="J5132" s="1654" t="s">
        <v>1134</v>
      </c>
      <c r="K5132" s="896"/>
      <c r="L5132" s="1059"/>
      <c r="M5132" s="2341">
        <v>21096</v>
      </c>
      <c r="N5132" s="1644"/>
    </row>
    <row r="5133" spans="1:14" ht="20.399999999999999">
      <c r="A5133" s="668"/>
      <c r="B5133" s="3144" t="s">
        <v>773</v>
      </c>
      <c r="C5133" s="1057" t="s">
        <v>325</v>
      </c>
      <c r="D5133" s="1061" t="s">
        <v>1980</v>
      </c>
      <c r="E5133" s="1057" t="s">
        <v>2618</v>
      </c>
      <c r="F5133" s="1058">
        <v>2312</v>
      </c>
      <c r="G5133" s="704" t="s">
        <v>4463</v>
      </c>
      <c r="H5133" s="1059"/>
      <c r="I5133" s="1060"/>
      <c r="J5133" s="1654" t="s">
        <v>1134</v>
      </c>
      <c r="K5133" s="896"/>
      <c r="L5133" s="1059"/>
      <c r="M5133" s="2341">
        <v>3404</v>
      </c>
      <c r="N5133" s="1644"/>
    </row>
    <row r="5134" spans="1:14" ht="51" customHeight="1">
      <c r="A5134" s="668"/>
      <c r="B5134" s="3144" t="s">
        <v>773</v>
      </c>
      <c r="C5134" s="1057" t="s">
        <v>325</v>
      </c>
      <c r="D5134" s="1061" t="s">
        <v>1980</v>
      </c>
      <c r="E5134" s="1057" t="s">
        <v>2618</v>
      </c>
      <c r="F5134" s="1058">
        <v>2312</v>
      </c>
      <c r="G5134" s="704" t="s">
        <v>4464</v>
      </c>
      <c r="H5134" s="1059"/>
      <c r="I5134" s="1060"/>
      <c r="J5134" s="1654" t="s">
        <v>1134</v>
      </c>
      <c r="K5134" s="896"/>
      <c r="L5134" s="1059"/>
      <c r="M5134" s="2341">
        <v>15293.600000000002</v>
      </c>
      <c r="N5134" s="1644"/>
    </row>
    <row r="5135" spans="1:14" ht="20.399999999999999">
      <c r="A5135" s="668"/>
      <c r="B5135" s="3144" t="s">
        <v>773</v>
      </c>
      <c r="C5135" s="1057" t="s">
        <v>325</v>
      </c>
      <c r="D5135" s="1061" t="s">
        <v>1980</v>
      </c>
      <c r="E5135" s="1057" t="s">
        <v>2618</v>
      </c>
      <c r="F5135" s="1058">
        <v>2312</v>
      </c>
      <c r="G5135" s="704" t="s">
        <v>4465</v>
      </c>
      <c r="H5135" s="1059"/>
      <c r="I5135" s="1060"/>
      <c r="J5135" s="1654" t="s">
        <v>1134</v>
      </c>
      <c r="K5135" s="896"/>
      <c r="L5135" s="1059"/>
      <c r="M5135" s="2341">
        <v>4162</v>
      </c>
      <c r="N5135" s="1841" t="s">
        <v>4488</v>
      </c>
    </row>
    <row r="5136" spans="1:14" ht="22.5" customHeight="1">
      <c r="A5136" s="683"/>
      <c r="B5136" s="3129" t="s">
        <v>772</v>
      </c>
      <c r="C5136" s="994" t="s">
        <v>320</v>
      </c>
      <c r="D5136" s="995" t="s">
        <v>1980</v>
      </c>
      <c r="E5136" s="994" t="s">
        <v>2618</v>
      </c>
      <c r="F5136" s="996">
        <v>2314</v>
      </c>
      <c r="G5136" s="800" t="s">
        <v>741</v>
      </c>
      <c r="H5136" s="997">
        <v>3850</v>
      </c>
      <c r="I5136" s="1011"/>
      <c r="J5136" s="1654">
        <v>2924</v>
      </c>
      <c r="K5136" s="842"/>
      <c r="L5136" s="997">
        <v>5350</v>
      </c>
      <c r="M5136" s="2322"/>
      <c r="N5136" s="1644"/>
    </row>
    <row r="5137" spans="1:14" ht="20.399999999999999">
      <c r="A5137" s="663"/>
      <c r="B5137" s="3130" t="s">
        <v>772</v>
      </c>
      <c r="C5137" s="999" t="s">
        <v>320</v>
      </c>
      <c r="D5137" s="1000" t="s">
        <v>1980</v>
      </c>
      <c r="E5137" s="999" t="s">
        <v>2618</v>
      </c>
      <c r="F5137" s="1001">
        <v>2314</v>
      </c>
      <c r="G5137" s="750" t="s">
        <v>1542</v>
      </c>
      <c r="H5137" s="814"/>
      <c r="I5137" s="816">
        <v>1000</v>
      </c>
      <c r="J5137" s="1654" t="s">
        <v>1134</v>
      </c>
      <c r="K5137" s="809"/>
      <c r="L5137" s="814"/>
      <c r="M5137" s="1012">
        <v>1000</v>
      </c>
      <c r="N5137" s="1644"/>
    </row>
    <row r="5138" spans="1:14" ht="20.399999999999999">
      <c r="A5138" s="663"/>
      <c r="B5138" s="3130" t="s">
        <v>772</v>
      </c>
      <c r="C5138" s="999" t="s">
        <v>320</v>
      </c>
      <c r="D5138" s="1000" t="s">
        <v>1980</v>
      </c>
      <c r="E5138" s="999" t="s">
        <v>2618</v>
      </c>
      <c r="F5138" s="1001">
        <v>2314</v>
      </c>
      <c r="G5138" s="750" t="s">
        <v>1543</v>
      </c>
      <c r="H5138" s="814"/>
      <c r="I5138" s="816">
        <v>600</v>
      </c>
      <c r="J5138" s="1654" t="s">
        <v>1134</v>
      </c>
      <c r="K5138" s="809"/>
      <c r="L5138" s="814"/>
      <c r="M5138" s="1012"/>
      <c r="N5138" s="305" t="s">
        <v>4492</v>
      </c>
    </row>
    <row r="5139" spans="1:14" ht="30.6">
      <c r="A5139" s="663"/>
      <c r="B5139" s="3130" t="s">
        <v>772</v>
      </c>
      <c r="C5139" s="999" t="s">
        <v>320</v>
      </c>
      <c r="D5139" s="1000" t="s">
        <v>1980</v>
      </c>
      <c r="E5139" s="999" t="s">
        <v>2618</v>
      </c>
      <c r="F5139" s="1001">
        <v>2314</v>
      </c>
      <c r="G5139" s="750" t="s">
        <v>2594</v>
      </c>
      <c r="H5139" s="814"/>
      <c r="I5139" s="816">
        <v>800</v>
      </c>
      <c r="J5139" s="1654" t="s">
        <v>1134</v>
      </c>
      <c r="K5139" s="809"/>
      <c r="L5139" s="814"/>
      <c r="M5139" s="1012">
        <v>800</v>
      </c>
      <c r="N5139" s="1644"/>
    </row>
    <row r="5140" spans="1:14" ht="20.399999999999999">
      <c r="A5140" s="663"/>
      <c r="B5140" s="3130" t="s">
        <v>772</v>
      </c>
      <c r="C5140" s="999" t="s">
        <v>320</v>
      </c>
      <c r="D5140" s="1000" t="s">
        <v>1980</v>
      </c>
      <c r="E5140" s="999" t="s">
        <v>2618</v>
      </c>
      <c r="F5140" s="1001">
        <v>2314</v>
      </c>
      <c r="G5140" s="750" t="s">
        <v>2595</v>
      </c>
      <c r="H5140" s="814"/>
      <c r="I5140" s="816">
        <v>1200</v>
      </c>
      <c r="J5140" s="1654" t="s">
        <v>1134</v>
      </c>
      <c r="K5140" s="809"/>
      <c r="L5140" s="814"/>
      <c r="M5140" s="2332">
        <v>1200</v>
      </c>
      <c r="N5140" s="1644"/>
    </row>
    <row r="5141" spans="1:14" ht="30.6">
      <c r="A5141" s="663"/>
      <c r="B5141" s="3130" t="s">
        <v>772</v>
      </c>
      <c r="C5141" s="999" t="s">
        <v>320</v>
      </c>
      <c r="D5141" s="1000" t="s">
        <v>1980</v>
      </c>
      <c r="E5141" s="999" t="s">
        <v>2618</v>
      </c>
      <c r="F5141" s="1001">
        <v>2314</v>
      </c>
      <c r="G5141" s="750" t="s">
        <v>1984</v>
      </c>
      <c r="H5141" s="814"/>
      <c r="I5141" s="816">
        <v>300</v>
      </c>
      <c r="J5141" s="1654" t="s">
        <v>1134</v>
      </c>
      <c r="K5141" s="809"/>
      <c r="L5141" s="814"/>
      <c r="M5141" s="2332">
        <v>300</v>
      </c>
      <c r="N5141" s="305" t="s">
        <v>4492</v>
      </c>
    </row>
    <row r="5142" spans="1:14" ht="51">
      <c r="A5142" s="663"/>
      <c r="B5142" s="3130" t="s">
        <v>772</v>
      </c>
      <c r="C5142" s="759" t="s">
        <v>320</v>
      </c>
      <c r="D5142" s="988" t="s">
        <v>1980</v>
      </c>
      <c r="E5142" s="999" t="s">
        <v>2618</v>
      </c>
      <c r="F5142" s="1001">
        <v>2314</v>
      </c>
      <c r="G5142" s="750" t="s">
        <v>2597</v>
      </c>
      <c r="H5142" s="814"/>
      <c r="I5142" s="816">
        <v>750</v>
      </c>
      <c r="J5142" s="1654" t="s">
        <v>1134</v>
      </c>
      <c r="K5142" s="809"/>
      <c r="L5142" s="814"/>
      <c r="M5142" s="2332">
        <v>750</v>
      </c>
      <c r="N5142" s="1644"/>
    </row>
    <row r="5143" spans="1:14">
      <c r="A5143" s="2168"/>
      <c r="B5143" s="3130" t="s">
        <v>772</v>
      </c>
      <c r="C5143" s="759" t="s">
        <v>320</v>
      </c>
      <c r="D5143" s="988" t="s">
        <v>1980</v>
      </c>
      <c r="E5143" s="999" t="s">
        <v>2618</v>
      </c>
      <c r="F5143" s="1001">
        <v>2314</v>
      </c>
      <c r="G5143" s="2195" t="s">
        <v>4445</v>
      </c>
      <c r="H5143" s="2323"/>
      <c r="I5143" s="2324"/>
      <c r="J5143" s="2191"/>
      <c r="K5143" s="2192"/>
      <c r="L5143" s="2323"/>
      <c r="M5143" s="2332">
        <v>300</v>
      </c>
      <c r="N5143" s="1644"/>
    </row>
    <row r="5144" spans="1:14">
      <c r="A5144" s="663"/>
      <c r="B5144" s="3130" t="s">
        <v>772</v>
      </c>
      <c r="C5144" s="759" t="s">
        <v>320</v>
      </c>
      <c r="D5144" s="988" t="s">
        <v>1980</v>
      </c>
      <c r="E5144" s="999" t="s">
        <v>2618</v>
      </c>
      <c r="F5144" s="1001">
        <v>2314</v>
      </c>
      <c r="G5144" s="2195" t="s">
        <v>1207</v>
      </c>
      <c r="H5144" s="814"/>
      <c r="I5144" s="816">
        <v>1000</v>
      </c>
      <c r="J5144" s="1654" t="s">
        <v>1134</v>
      </c>
      <c r="K5144" s="809"/>
      <c r="L5144" s="814"/>
      <c r="M5144" s="2332">
        <v>1000</v>
      </c>
      <c r="N5144" s="305" t="s">
        <v>4492</v>
      </c>
    </row>
    <row r="5145" spans="1:14" ht="20.399999999999999">
      <c r="A5145" s="663"/>
      <c r="B5145" s="3130" t="s">
        <v>772</v>
      </c>
      <c r="C5145" s="999" t="s">
        <v>320</v>
      </c>
      <c r="D5145" s="1000" t="s">
        <v>1980</v>
      </c>
      <c r="E5145" s="999" t="s">
        <v>2618</v>
      </c>
      <c r="F5145" s="1001">
        <v>2314</v>
      </c>
      <c r="G5145" s="1153" t="s">
        <v>3299</v>
      </c>
      <c r="H5145" s="814"/>
      <c r="I5145" s="816">
        <v>-1800</v>
      </c>
      <c r="J5145" s="1654" t="s">
        <v>1134</v>
      </c>
      <c r="K5145" s="809"/>
      <c r="L5145" s="814"/>
      <c r="M5145" s="1012"/>
      <c r="N5145" s="1644"/>
    </row>
    <row r="5146" spans="1:14">
      <c r="A5146" s="683"/>
      <c r="B5146" s="3129" t="s">
        <v>772</v>
      </c>
      <c r="C5146" s="994" t="s">
        <v>320</v>
      </c>
      <c r="D5146" s="995" t="s">
        <v>1980</v>
      </c>
      <c r="E5146" s="994" t="s">
        <v>2618</v>
      </c>
      <c r="F5146" s="996">
        <v>2322</v>
      </c>
      <c r="G5146" s="800" t="s">
        <v>229</v>
      </c>
      <c r="H5146" s="997">
        <v>0</v>
      </c>
      <c r="I5146" s="1011"/>
      <c r="J5146" s="1654" t="s">
        <v>1134</v>
      </c>
      <c r="K5146" s="842"/>
      <c r="L5146" s="997">
        <v>500</v>
      </c>
      <c r="M5146" s="2322"/>
      <c r="N5146" s="1644"/>
    </row>
    <row r="5147" spans="1:14" ht="30.6">
      <c r="A5147" s="663"/>
      <c r="B5147" s="3130" t="s">
        <v>772</v>
      </c>
      <c r="C5147" s="999" t="s">
        <v>320</v>
      </c>
      <c r="D5147" s="1000" t="s">
        <v>1980</v>
      </c>
      <c r="E5147" s="999" t="s">
        <v>2618</v>
      </c>
      <c r="F5147" s="1001">
        <v>2322</v>
      </c>
      <c r="G5147" s="2195" t="s">
        <v>1544</v>
      </c>
      <c r="H5147" s="814"/>
      <c r="I5147" s="815">
        <v>500</v>
      </c>
      <c r="J5147" s="1654" t="s">
        <v>1134</v>
      </c>
      <c r="K5147" s="809"/>
      <c r="L5147" s="814"/>
      <c r="M5147" s="1012">
        <v>500</v>
      </c>
      <c r="N5147" s="1644"/>
    </row>
    <row r="5148" spans="1:14" ht="20.399999999999999">
      <c r="A5148" s="663"/>
      <c r="B5148" s="3130" t="s">
        <v>772</v>
      </c>
      <c r="C5148" s="999" t="s">
        <v>320</v>
      </c>
      <c r="D5148" s="1000" t="s">
        <v>1980</v>
      </c>
      <c r="E5148" s="999" t="s">
        <v>2618</v>
      </c>
      <c r="F5148" s="1001">
        <v>2322</v>
      </c>
      <c r="G5148" s="750" t="s">
        <v>3231</v>
      </c>
      <c r="H5148" s="814"/>
      <c r="I5148" s="815">
        <v>-500</v>
      </c>
      <c r="J5148" s="1654" t="s">
        <v>1134</v>
      </c>
      <c r="K5148" s="809"/>
      <c r="L5148" s="814"/>
      <c r="M5148" s="1012"/>
      <c r="N5148" s="1644"/>
    </row>
    <row r="5149" spans="1:14">
      <c r="A5149" s="683"/>
      <c r="B5149" s="3129" t="s">
        <v>772</v>
      </c>
      <c r="C5149" s="696" t="s">
        <v>322</v>
      </c>
      <c r="D5149" s="993" t="s">
        <v>1980</v>
      </c>
      <c r="E5149" s="994" t="s">
        <v>2618</v>
      </c>
      <c r="F5149" s="996">
        <v>2341</v>
      </c>
      <c r="G5149" s="800" t="s">
        <v>208</v>
      </c>
      <c r="H5149" s="997">
        <v>1000</v>
      </c>
      <c r="I5149" s="1011"/>
      <c r="J5149" s="1654">
        <v>252</v>
      </c>
      <c r="K5149" s="842"/>
      <c r="L5149" s="997">
        <v>1000</v>
      </c>
      <c r="M5149" s="2322"/>
      <c r="N5149" s="305" t="s">
        <v>4492</v>
      </c>
    </row>
    <row r="5150" spans="1:14" ht="20.399999999999999">
      <c r="A5150" s="663"/>
      <c r="B5150" s="3130" t="s">
        <v>772</v>
      </c>
      <c r="C5150" s="759" t="s">
        <v>322</v>
      </c>
      <c r="D5150" s="988" t="s">
        <v>1980</v>
      </c>
      <c r="E5150" s="999" t="s">
        <v>2618</v>
      </c>
      <c r="F5150" s="1001">
        <v>2341</v>
      </c>
      <c r="G5150" s="750" t="s">
        <v>932</v>
      </c>
      <c r="H5150" s="1013"/>
      <c r="I5150" s="815">
        <v>650</v>
      </c>
      <c r="J5150" s="1654" t="s">
        <v>1134</v>
      </c>
      <c r="K5150" s="1352"/>
      <c r="L5150" s="1013"/>
      <c r="M5150" s="2332">
        <v>650</v>
      </c>
      <c r="N5150" s="1644"/>
    </row>
    <row r="5151" spans="1:14" ht="11.4" customHeight="1">
      <c r="A5151" s="663"/>
      <c r="B5151" s="3130" t="s">
        <v>772</v>
      </c>
      <c r="C5151" s="759" t="s">
        <v>322</v>
      </c>
      <c r="D5151" s="988" t="s">
        <v>1980</v>
      </c>
      <c r="E5151" s="999" t="s">
        <v>2618</v>
      </c>
      <c r="F5151" s="1001">
        <v>2341</v>
      </c>
      <c r="G5151" s="750" t="s">
        <v>843</v>
      </c>
      <c r="H5151" s="1013"/>
      <c r="I5151" s="815">
        <v>150</v>
      </c>
      <c r="J5151" s="1654" t="s">
        <v>1134</v>
      </c>
      <c r="K5151" s="1352"/>
      <c r="L5151" s="1013"/>
      <c r="M5151" s="2332">
        <v>150</v>
      </c>
      <c r="N5151" s="1644"/>
    </row>
    <row r="5152" spans="1:14" ht="30.6">
      <c r="A5152" s="663"/>
      <c r="B5152" s="3130" t="s">
        <v>772</v>
      </c>
      <c r="C5152" s="759" t="s">
        <v>322</v>
      </c>
      <c r="D5152" s="988" t="s">
        <v>1980</v>
      </c>
      <c r="E5152" s="999" t="s">
        <v>2618</v>
      </c>
      <c r="F5152" s="1001">
        <v>2341</v>
      </c>
      <c r="G5152" s="750" t="s">
        <v>933</v>
      </c>
      <c r="H5152" s="1013"/>
      <c r="I5152" s="815">
        <v>200</v>
      </c>
      <c r="J5152" s="1654" t="s">
        <v>1134</v>
      </c>
      <c r="K5152" s="1352"/>
      <c r="L5152" s="1013"/>
      <c r="M5152" s="2332">
        <v>200</v>
      </c>
      <c r="N5152" s="1644"/>
    </row>
    <row r="5153" spans="1:14">
      <c r="A5153" s="683"/>
      <c r="B5153" s="3129" t="s">
        <v>772</v>
      </c>
      <c r="C5153" s="696" t="s">
        <v>320</v>
      </c>
      <c r="D5153" s="993" t="s">
        <v>1980</v>
      </c>
      <c r="E5153" s="994" t="s">
        <v>2618</v>
      </c>
      <c r="F5153" s="996">
        <v>2350</v>
      </c>
      <c r="G5153" s="800" t="s">
        <v>170</v>
      </c>
      <c r="H5153" s="997">
        <v>4450</v>
      </c>
      <c r="I5153" s="1011"/>
      <c r="J5153" s="1654">
        <v>3731</v>
      </c>
      <c r="K5153" s="842"/>
      <c r="L5153" s="997">
        <v>5250</v>
      </c>
      <c r="M5153" s="2322"/>
      <c r="N5153" s="1644"/>
    </row>
    <row r="5154" spans="1:14">
      <c r="A5154" s="663"/>
      <c r="B5154" s="3130" t="s">
        <v>772</v>
      </c>
      <c r="C5154" s="759" t="s">
        <v>320</v>
      </c>
      <c r="D5154" s="988" t="s">
        <v>1980</v>
      </c>
      <c r="E5154" s="999" t="s">
        <v>2618</v>
      </c>
      <c r="F5154" s="1001">
        <v>2350</v>
      </c>
      <c r="G5154" s="2195" t="s">
        <v>2596</v>
      </c>
      <c r="H5154" s="814"/>
      <c r="I5154" s="816">
        <v>3750</v>
      </c>
      <c r="J5154" s="1654" t="s">
        <v>1134</v>
      </c>
      <c r="K5154" s="809"/>
      <c r="L5154" s="814"/>
      <c r="M5154" s="1012">
        <v>3750</v>
      </c>
      <c r="N5154" s="1644"/>
    </row>
    <row r="5155" spans="1:14" ht="20.399999999999999">
      <c r="A5155" s="663"/>
      <c r="B5155" s="3130" t="s">
        <v>772</v>
      </c>
      <c r="C5155" s="759" t="s">
        <v>320</v>
      </c>
      <c r="D5155" s="988" t="s">
        <v>1980</v>
      </c>
      <c r="E5155" s="999" t="s">
        <v>2618</v>
      </c>
      <c r="F5155" s="1001">
        <v>2350</v>
      </c>
      <c r="G5155" s="2195" t="s">
        <v>1197</v>
      </c>
      <c r="H5155" s="814"/>
      <c r="I5155" s="816">
        <v>1500</v>
      </c>
      <c r="J5155" s="1654" t="s">
        <v>1134</v>
      </c>
      <c r="K5155" s="809"/>
      <c r="L5155" s="814"/>
      <c r="M5155" s="816">
        <v>1500</v>
      </c>
      <c r="N5155" s="1644"/>
    </row>
    <row r="5156" spans="1:14" ht="30.6">
      <c r="A5156" s="663"/>
      <c r="B5156" s="3130" t="s">
        <v>772</v>
      </c>
      <c r="C5156" s="759" t="s">
        <v>320</v>
      </c>
      <c r="D5156" s="988" t="s">
        <v>1980</v>
      </c>
      <c r="E5156" s="999" t="s">
        <v>2618</v>
      </c>
      <c r="F5156" s="1001">
        <v>2350</v>
      </c>
      <c r="G5156" s="750" t="s">
        <v>3232</v>
      </c>
      <c r="H5156" s="814"/>
      <c r="I5156" s="816">
        <v>-800</v>
      </c>
      <c r="J5156" s="1654" t="s">
        <v>1134</v>
      </c>
      <c r="K5156" s="809"/>
      <c r="L5156" s="814"/>
      <c r="M5156" s="1012"/>
      <c r="N5156" s="1644"/>
    </row>
    <row r="5157" spans="1:14" ht="11.4" customHeight="1">
      <c r="A5157" s="683"/>
      <c r="B5157" s="3129" t="s">
        <v>772</v>
      </c>
      <c r="C5157" s="696" t="s">
        <v>320</v>
      </c>
      <c r="D5157" s="993" t="s">
        <v>1980</v>
      </c>
      <c r="E5157" s="994" t="s">
        <v>2618</v>
      </c>
      <c r="F5157" s="996">
        <v>2361</v>
      </c>
      <c r="G5157" s="800" t="s">
        <v>1434</v>
      </c>
      <c r="H5157" s="997">
        <v>0</v>
      </c>
      <c r="I5157" s="1003"/>
      <c r="J5157" s="1654" t="s">
        <v>1134</v>
      </c>
      <c r="K5157" s="842"/>
      <c r="L5157" s="997">
        <v>0</v>
      </c>
      <c r="M5157" s="2322"/>
      <c r="N5157" s="1644"/>
    </row>
    <row r="5158" spans="1:14">
      <c r="A5158" s="663"/>
      <c r="B5158" s="3130" t="s">
        <v>772</v>
      </c>
      <c r="C5158" s="759" t="s">
        <v>320</v>
      </c>
      <c r="D5158" s="988" t="s">
        <v>1980</v>
      </c>
      <c r="E5158" s="999" t="s">
        <v>2618</v>
      </c>
      <c r="F5158" s="1001">
        <v>2361</v>
      </c>
      <c r="G5158" s="750"/>
      <c r="H5158" s="814"/>
      <c r="I5158" s="816"/>
      <c r="J5158" s="1654" t="s">
        <v>1134</v>
      </c>
      <c r="K5158" s="809"/>
      <c r="L5158" s="814"/>
      <c r="M5158" s="814"/>
      <c r="N5158" s="1644"/>
    </row>
    <row r="5159" spans="1:14">
      <c r="A5159" s="683"/>
      <c r="B5159" s="3129" t="s">
        <v>326</v>
      </c>
      <c r="C5159" s="696" t="s">
        <v>321</v>
      </c>
      <c r="D5159" s="993" t="s">
        <v>1980</v>
      </c>
      <c r="E5159" s="994" t="s">
        <v>3329</v>
      </c>
      <c r="F5159" s="996">
        <v>2363</v>
      </c>
      <c r="G5159" s="800" t="s">
        <v>934</v>
      </c>
      <c r="H5159" s="1067">
        <v>94076.329999999987</v>
      </c>
      <c r="I5159" s="1003"/>
      <c r="J5159" s="1654">
        <v>45896.51</v>
      </c>
      <c r="K5159" s="842"/>
      <c r="L5159" s="1067">
        <v>104142.26999999999</v>
      </c>
      <c r="M5159" s="2322"/>
      <c r="N5159" s="305" t="s">
        <v>4494</v>
      </c>
    </row>
    <row r="5160" spans="1:14">
      <c r="A5160" s="663"/>
      <c r="B5160" s="3130" t="s">
        <v>326</v>
      </c>
      <c r="C5160" s="759" t="s">
        <v>321</v>
      </c>
      <c r="D5160" s="3110" t="s">
        <v>1980</v>
      </c>
      <c r="E5160" s="999" t="s">
        <v>3329</v>
      </c>
      <c r="F5160" s="1001">
        <v>2363</v>
      </c>
      <c r="G5160" s="750" t="s">
        <v>1294</v>
      </c>
      <c r="H5160" s="814"/>
      <c r="I5160" s="816">
        <v>335</v>
      </c>
      <c r="J5160" s="1654" t="s">
        <v>1134</v>
      </c>
      <c r="K5160" s="809"/>
      <c r="L5160" s="814"/>
      <c r="M5160" s="1012">
        <v>0</v>
      </c>
      <c r="N5160" s="1644"/>
    </row>
    <row r="5161" spans="1:14">
      <c r="A5161" s="663"/>
      <c r="B5161" s="3130" t="s">
        <v>326</v>
      </c>
      <c r="C5161" s="759" t="s">
        <v>321</v>
      </c>
      <c r="D5161" s="988" t="s">
        <v>1980</v>
      </c>
      <c r="E5161" s="999" t="s">
        <v>3329</v>
      </c>
      <c r="F5161" s="1001">
        <v>2363</v>
      </c>
      <c r="G5161" s="750" t="s">
        <v>722</v>
      </c>
      <c r="H5161" s="814"/>
      <c r="I5161" s="816"/>
      <c r="J5161" s="1654" t="s">
        <v>1134</v>
      </c>
      <c r="K5161" s="809"/>
      <c r="L5161" s="814"/>
      <c r="M5161" s="1012"/>
      <c r="N5161" s="305" t="s">
        <v>4492</v>
      </c>
    </row>
    <row r="5162" spans="1:14" ht="20.399999999999999">
      <c r="A5162" s="663"/>
      <c r="B5162" s="3130" t="s">
        <v>326</v>
      </c>
      <c r="C5162" s="759" t="s">
        <v>321</v>
      </c>
      <c r="D5162" s="988" t="s">
        <v>1980</v>
      </c>
      <c r="E5162" s="999" t="s">
        <v>3329</v>
      </c>
      <c r="F5162" s="1001">
        <v>2363</v>
      </c>
      <c r="G5162" s="2195" t="s">
        <v>4473</v>
      </c>
      <c r="H5162" s="814"/>
      <c r="I5162" s="816">
        <v>50867.579999999987</v>
      </c>
      <c r="J5162" s="1654" t="s">
        <v>1134</v>
      </c>
      <c r="K5162" s="809"/>
      <c r="L5162" s="814"/>
      <c r="M5162" s="2332">
        <v>57336.494999999995</v>
      </c>
      <c r="N5162" s="1644"/>
    </row>
    <row r="5163" spans="1:14" ht="11.4" customHeight="1">
      <c r="A5163" s="663"/>
      <c r="B5163" s="3130" t="s">
        <v>326</v>
      </c>
      <c r="C5163" s="759" t="s">
        <v>321</v>
      </c>
      <c r="D5163" s="988" t="s">
        <v>1980</v>
      </c>
      <c r="E5163" s="999" t="s">
        <v>3329</v>
      </c>
      <c r="F5163" s="1001">
        <v>2363</v>
      </c>
      <c r="G5163" s="2195" t="s">
        <v>4474</v>
      </c>
      <c r="H5163" s="814"/>
      <c r="I5163" s="816">
        <v>42873.749999999993</v>
      </c>
      <c r="J5163" s="1654" t="s">
        <v>1134</v>
      </c>
      <c r="K5163" s="809"/>
      <c r="L5163" s="814"/>
      <c r="M5163" s="2332">
        <v>46805.775000000001</v>
      </c>
      <c r="N5163" s="1644"/>
    </row>
    <row r="5164" spans="1:14">
      <c r="A5164" s="683"/>
      <c r="B5164" s="3129" t="s">
        <v>773</v>
      </c>
      <c r="C5164" s="696" t="s">
        <v>320</v>
      </c>
      <c r="D5164" s="993" t="s">
        <v>1980</v>
      </c>
      <c r="E5164" s="994" t="s">
        <v>2618</v>
      </c>
      <c r="F5164" s="996">
        <v>2361</v>
      </c>
      <c r="G5164" s="800" t="s">
        <v>1434</v>
      </c>
      <c r="H5164" s="997">
        <v>7705</v>
      </c>
      <c r="I5164" s="1003"/>
      <c r="J5164" s="1654">
        <v>7700.83</v>
      </c>
      <c r="K5164" s="842"/>
      <c r="L5164" s="997">
        <v>7000</v>
      </c>
      <c r="M5164" s="2322"/>
      <c r="N5164" s="1644"/>
    </row>
    <row r="5165" spans="1:14" ht="20.399999999999999">
      <c r="A5165" s="663"/>
      <c r="B5165" s="3130" t="s">
        <v>773</v>
      </c>
      <c r="C5165" s="759" t="s">
        <v>320</v>
      </c>
      <c r="D5165" s="988" t="s">
        <v>1980</v>
      </c>
      <c r="E5165" s="999" t="s">
        <v>2618</v>
      </c>
      <c r="F5165" s="1001">
        <v>2361</v>
      </c>
      <c r="G5165" s="2195" t="s">
        <v>4470</v>
      </c>
      <c r="H5165" s="2327"/>
      <c r="I5165" s="2328"/>
      <c r="J5165" s="2331" t="s">
        <v>1134</v>
      </c>
      <c r="K5165" s="2210"/>
      <c r="L5165" s="2327"/>
      <c r="M5165" s="2328">
        <v>4000</v>
      </c>
      <c r="N5165" s="305" t="s">
        <v>4492</v>
      </c>
    </row>
    <row r="5166" spans="1:14" ht="20.399999999999999">
      <c r="A5166" s="663"/>
      <c r="B5166" s="3130" t="s">
        <v>773</v>
      </c>
      <c r="C5166" s="759" t="s">
        <v>320</v>
      </c>
      <c r="D5166" s="988" t="s">
        <v>1980</v>
      </c>
      <c r="E5166" s="999" t="s">
        <v>2618</v>
      </c>
      <c r="F5166" s="1001">
        <v>2361</v>
      </c>
      <c r="G5166" s="2195" t="s">
        <v>4472</v>
      </c>
      <c r="H5166" s="2327"/>
      <c r="I5166" s="2328"/>
      <c r="J5166" s="2331" t="s">
        <v>1134</v>
      </c>
      <c r="K5166" s="2210"/>
      <c r="L5166" s="2327"/>
      <c r="M5166" s="2328">
        <v>3000</v>
      </c>
      <c r="N5166" s="1644"/>
    </row>
    <row r="5167" spans="1:14" ht="20.399999999999999">
      <c r="A5167" s="663"/>
      <c r="B5167" s="3130" t="s">
        <v>773</v>
      </c>
      <c r="C5167" s="759" t="s">
        <v>320</v>
      </c>
      <c r="D5167" s="988" t="s">
        <v>1980</v>
      </c>
      <c r="E5167" s="999" t="s">
        <v>2618</v>
      </c>
      <c r="F5167" s="1001">
        <v>2361</v>
      </c>
      <c r="G5167" s="750" t="s">
        <v>2619</v>
      </c>
      <c r="H5167" s="814"/>
      <c r="I5167" s="816">
        <v>1120</v>
      </c>
      <c r="J5167" s="1654" t="s">
        <v>1134</v>
      </c>
      <c r="K5167" s="809"/>
      <c r="L5167" s="814"/>
      <c r="M5167" s="816"/>
      <c r="N5167" s="1644"/>
    </row>
    <row r="5168" spans="1:14" ht="20.399999999999999">
      <c r="A5168" s="663"/>
      <c r="B5168" s="3130" t="s">
        <v>773</v>
      </c>
      <c r="C5168" s="759" t="s">
        <v>320</v>
      </c>
      <c r="D5168" s="988" t="s">
        <v>1980</v>
      </c>
      <c r="E5168" s="999" t="s">
        <v>2618</v>
      </c>
      <c r="F5168" s="1001">
        <v>2361</v>
      </c>
      <c r="G5168" s="750" t="s">
        <v>2620</v>
      </c>
      <c r="H5168" s="814"/>
      <c r="I5168" s="816">
        <v>1120</v>
      </c>
      <c r="J5168" s="1654" t="s">
        <v>1134</v>
      </c>
      <c r="K5168" s="809"/>
      <c r="L5168" s="814"/>
      <c r="M5168" s="816"/>
      <c r="N5168" s="1644"/>
    </row>
    <row r="5169" spans="1:14" ht="20.399999999999999">
      <c r="A5169" s="1263"/>
      <c r="B5169" s="3130" t="s">
        <v>773</v>
      </c>
      <c r="C5169" s="759" t="s">
        <v>320</v>
      </c>
      <c r="D5169" s="988" t="s">
        <v>1980</v>
      </c>
      <c r="E5169" s="999" t="s">
        <v>2618</v>
      </c>
      <c r="F5169" s="1001">
        <v>2361</v>
      </c>
      <c r="G5169" s="1330" t="s">
        <v>2621</v>
      </c>
      <c r="H5169" s="1354"/>
      <c r="I5169" s="1355">
        <v>1800</v>
      </c>
      <c r="J5169" s="1654" t="s">
        <v>1134</v>
      </c>
      <c r="K5169" s="2342"/>
      <c r="L5169" s="1354"/>
      <c r="M5169" s="1355"/>
      <c r="N5169" s="1644"/>
    </row>
    <row r="5170" spans="1:14" ht="20.399999999999999">
      <c r="A5170" s="663"/>
      <c r="B5170" s="3130" t="s">
        <v>773</v>
      </c>
      <c r="C5170" s="759" t="s">
        <v>320</v>
      </c>
      <c r="D5170" s="988" t="s">
        <v>1980</v>
      </c>
      <c r="E5170" s="999" t="s">
        <v>2618</v>
      </c>
      <c r="F5170" s="1001">
        <v>2361</v>
      </c>
      <c r="G5170" s="750" t="s">
        <v>2622</v>
      </c>
      <c r="H5170" s="814"/>
      <c r="I5170" s="816">
        <v>1920</v>
      </c>
      <c r="J5170" s="1654" t="s">
        <v>1134</v>
      </c>
      <c r="K5170" s="809"/>
      <c r="L5170" s="814"/>
      <c r="M5170" s="816"/>
      <c r="N5170" s="1644"/>
    </row>
    <row r="5171" spans="1:14">
      <c r="A5171" s="663"/>
      <c r="B5171" s="3130" t="s">
        <v>773</v>
      </c>
      <c r="C5171" s="759" t="s">
        <v>320</v>
      </c>
      <c r="D5171" s="988" t="s">
        <v>1980</v>
      </c>
      <c r="E5171" s="999" t="s">
        <v>2618</v>
      </c>
      <c r="F5171" s="1001">
        <v>2361</v>
      </c>
      <c r="G5171" s="750" t="s">
        <v>2623</v>
      </c>
      <c r="H5171" s="814"/>
      <c r="I5171" s="816">
        <v>120</v>
      </c>
      <c r="J5171" s="1654" t="s">
        <v>1134</v>
      </c>
      <c r="K5171" s="809"/>
      <c r="L5171" s="814"/>
      <c r="M5171" s="816"/>
      <c r="N5171" s="1644"/>
    </row>
    <row r="5172" spans="1:14" ht="20.399999999999999">
      <c r="A5172" s="603"/>
      <c r="B5172" s="3130" t="s">
        <v>773</v>
      </c>
      <c r="C5172" s="759" t="s">
        <v>320</v>
      </c>
      <c r="D5172" s="988" t="s">
        <v>1980</v>
      </c>
      <c r="E5172" s="999" t="s">
        <v>2618</v>
      </c>
      <c r="F5172" s="1001">
        <v>2361</v>
      </c>
      <c r="G5172" s="1153" t="s">
        <v>3230</v>
      </c>
      <c r="H5172" s="1142"/>
      <c r="I5172" s="1143">
        <v>1625</v>
      </c>
      <c r="J5172" s="1654" t="s">
        <v>1134</v>
      </c>
      <c r="K5172" s="1462"/>
      <c r="L5172" s="1142"/>
      <c r="M5172" s="1143"/>
      <c r="N5172" s="305" t="s">
        <v>4492</v>
      </c>
    </row>
    <row r="5173" spans="1:14" ht="11.4" customHeight="1">
      <c r="A5173" s="720"/>
      <c r="B5173" s="3129" t="s">
        <v>772</v>
      </c>
      <c r="C5173" s="994" t="s">
        <v>322</v>
      </c>
      <c r="D5173" s="995" t="s">
        <v>1980</v>
      </c>
      <c r="E5173" s="994" t="s">
        <v>2618</v>
      </c>
      <c r="F5173" s="996">
        <v>2363</v>
      </c>
      <c r="G5173" s="800" t="s">
        <v>934</v>
      </c>
      <c r="H5173" s="997">
        <v>98277.5</v>
      </c>
      <c r="I5173" s="1003"/>
      <c r="J5173" s="1654">
        <v>55427</v>
      </c>
      <c r="K5173" s="842"/>
      <c r="L5173" s="997">
        <v>81561.259999999995</v>
      </c>
      <c r="M5173" s="2322"/>
      <c r="N5173" s="1644"/>
    </row>
    <row r="5174" spans="1:14" ht="20.399999999999999">
      <c r="A5174" s="700"/>
      <c r="B5174" s="3130" t="s">
        <v>772</v>
      </c>
      <c r="C5174" s="999" t="s">
        <v>322</v>
      </c>
      <c r="D5174" s="1000" t="s">
        <v>1980</v>
      </c>
      <c r="E5174" s="999" t="s">
        <v>2618</v>
      </c>
      <c r="F5174" s="1001">
        <v>2363</v>
      </c>
      <c r="G5174" s="2195" t="s">
        <v>4473</v>
      </c>
      <c r="H5174" s="2327"/>
      <c r="I5174" s="2328">
        <v>39838</v>
      </c>
      <c r="J5174" s="2331" t="s">
        <v>1134</v>
      </c>
      <c r="K5174" s="2210"/>
      <c r="L5174" s="2327"/>
      <c r="M5174" s="2343">
        <v>44904.31</v>
      </c>
      <c r="N5174" s="1644"/>
    </row>
    <row r="5175" spans="1:14" ht="20.399999999999999">
      <c r="A5175" s="700"/>
      <c r="B5175" s="3130" t="s">
        <v>772</v>
      </c>
      <c r="C5175" s="999" t="s">
        <v>322</v>
      </c>
      <c r="D5175" s="1000" t="s">
        <v>1980</v>
      </c>
      <c r="E5175" s="999" t="s">
        <v>2618</v>
      </c>
      <c r="F5175" s="1001">
        <v>2363</v>
      </c>
      <c r="G5175" s="2195" t="s">
        <v>4474</v>
      </c>
      <c r="H5175" s="2327"/>
      <c r="I5175" s="2328">
        <v>33577.5</v>
      </c>
      <c r="J5175" s="2331" t="s">
        <v>1134</v>
      </c>
      <c r="K5175" s="2210"/>
      <c r="L5175" s="2327"/>
      <c r="M5175" s="2328">
        <v>36656.949999999997</v>
      </c>
      <c r="N5175" s="1644"/>
    </row>
    <row r="5176" spans="1:14" ht="40.799999999999997">
      <c r="A5176" s="1119"/>
      <c r="B5176" s="3130" t="s">
        <v>772</v>
      </c>
      <c r="C5176" s="999" t="s">
        <v>322</v>
      </c>
      <c r="D5176" s="1000" t="s">
        <v>1980</v>
      </c>
      <c r="E5176" s="999" t="s">
        <v>2618</v>
      </c>
      <c r="F5176" s="1001">
        <v>2363</v>
      </c>
      <c r="G5176" s="1153" t="s">
        <v>3306</v>
      </c>
      <c r="H5176" s="1142"/>
      <c r="I5176" s="1143">
        <v>24862</v>
      </c>
      <c r="J5176" s="1654" t="s">
        <v>1134</v>
      </c>
      <c r="K5176" s="1462"/>
      <c r="L5176" s="1142"/>
      <c r="M5176" s="1143"/>
      <c r="N5176" s="1644"/>
    </row>
    <row r="5177" spans="1:14">
      <c r="A5177" s="683"/>
      <c r="B5177" s="3129" t="s">
        <v>772</v>
      </c>
      <c r="C5177" s="696" t="s">
        <v>322</v>
      </c>
      <c r="D5177" s="993" t="s">
        <v>1980</v>
      </c>
      <c r="E5177" s="994" t="s">
        <v>2618</v>
      </c>
      <c r="F5177" s="996">
        <v>2370</v>
      </c>
      <c r="G5177" s="800" t="s">
        <v>209</v>
      </c>
      <c r="H5177" s="997">
        <v>9230</v>
      </c>
      <c r="I5177" s="1003"/>
      <c r="J5177" s="1654">
        <v>7546</v>
      </c>
      <c r="K5177" s="842"/>
      <c r="L5177" s="997">
        <v>13700</v>
      </c>
      <c r="M5177" s="2322"/>
      <c r="N5177" s="305" t="s">
        <v>4492</v>
      </c>
    </row>
    <row r="5178" spans="1:14">
      <c r="A5178" s="663"/>
      <c r="B5178" s="3130" t="s">
        <v>772</v>
      </c>
      <c r="C5178" s="759" t="s">
        <v>322</v>
      </c>
      <c r="D5178" s="988" t="s">
        <v>1980</v>
      </c>
      <c r="E5178" s="999" t="s">
        <v>2618</v>
      </c>
      <c r="F5178" s="1001">
        <v>2370</v>
      </c>
      <c r="G5178" s="2195" t="s">
        <v>1198</v>
      </c>
      <c r="H5178" s="2327"/>
      <c r="I5178" s="2328">
        <v>1100</v>
      </c>
      <c r="J5178" s="2331" t="s">
        <v>1134</v>
      </c>
      <c r="K5178" s="2210"/>
      <c r="L5178" s="2327"/>
      <c r="M5178" s="2332">
        <v>1100</v>
      </c>
      <c r="N5178" s="1644"/>
    </row>
    <row r="5179" spans="1:14" ht="20.399999999999999">
      <c r="A5179" s="663"/>
      <c r="B5179" s="3130" t="s">
        <v>772</v>
      </c>
      <c r="C5179" s="759" t="s">
        <v>322</v>
      </c>
      <c r="D5179" s="988" t="s">
        <v>1980</v>
      </c>
      <c r="E5179" s="999" t="s">
        <v>2618</v>
      </c>
      <c r="F5179" s="1001">
        <v>2370</v>
      </c>
      <c r="G5179" s="2195" t="s">
        <v>1199</v>
      </c>
      <c r="H5179" s="2327"/>
      <c r="I5179" s="2328">
        <v>1050</v>
      </c>
      <c r="J5179" s="2331" t="s">
        <v>1134</v>
      </c>
      <c r="K5179" s="2210"/>
      <c r="L5179" s="2327"/>
      <c r="M5179" s="2332">
        <v>1050</v>
      </c>
      <c r="N5179" s="1644"/>
    </row>
    <row r="5180" spans="1:14" ht="30.6">
      <c r="A5180" s="663"/>
      <c r="B5180" s="3130" t="s">
        <v>772</v>
      </c>
      <c r="C5180" s="759" t="s">
        <v>322</v>
      </c>
      <c r="D5180" s="988" t="s">
        <v>1980</v>
      </c>
      <c r="E5180" s="999" t="s">
        <v>2618</v>
      </c>
      <c r="F5180" s="1001">
        <v>2370</v>
      </c>
      <c r="G5180" s="2195" t="s">
        <v>1200</v>
      </c>
      <c r="H5180" s="2327"/>
      <c r="I5180" s="2328">
        <v>3750</v>
      </c>
      <c r="J5180" s="2331" t="s">
        <v>1134</v>
      </c>
      <c r="K5180" s="2210"/>
      <c r="L5180" s="2327"/>
      <c r="M5180" s="2332">
        <v>3750</v>
      </c>
      <c r="N5180" s="1644"/>
    </row>
    <row r="5181" spans="1:14" ht="20.399999999999999">
      <c r="A5181" s="663"/>
      <c r="B5181" s="3130" t="s">
        <v>772</v>
      </c>
      <c r="C5181" s="759" t="s">
        <v>322</v>
      </c>
      <c r="D5181" s="988" t="s">
        <v>1980</v>
      </c>
      <c r="E5181" s="999" t="s">
        <v>2618</v>
      </c>
      <c r="F5181" s="1001">
        <v>2370</v>
      </c>
      <c r="G5181" s="750" t="s">
        <v>1201</v>
      </c>
      <c r="H5181" s="814"/>
      <c r="I5181" s="816">
        <v>1100</v>
      </c>
      <c r="J5181" s="1654" t="s">
        <v>1134</v>
      </c>
      <c r="K5181" s="809"/>
      <c r="L5181" s="814"/>
      <c r="M5181" s="1012">
        <v>1100</v>
      </c>
      <c r="N5181" s="305" t="s">
        <v>4492</v>
      </c>
    </row>
    <row r="5182" spans="1:14" ht="30.6">
      <c r="A5182" s="663"/>
      <c r="B5182" s="3130" t="s">
        <v>772</v>
      </c>
      <c r="C5182" s="759" t="s">
        <v>322</v>
      </c>
      <c r="D5182" s="988" t="s">
        <v>1980</v>
      </c>
      <c r="E5182" s="999" t="s">
        <v>2618</v>
      </c>
      <c r="F5182" s="1001">
        <v>2370</v>
      </c>
      <c r="G5182" s="750" t="s">
        <v>1202</v>
      </c>
      <c r="H5182" s="814"/>
      <c r="I5182" s="816">
        <v>3500</v>
      </c>
      <c r="J5182" s="1654" t="s">
        <v>1134</v>
      </c>
      <c r="K5182" s="809"/>
      <c r="L5182" s="814"/>
      <c r="M5182" s="1012"/>
      <c r="N5182" s="1644"/>
    </row>
    <row r="5183" spans="1:14" ht="20.399999999999999">
      <c r="A5183" s="663"/>
      <c r="B5183" s="3130" t="s">
        <v>772</v>
      </c>
      <c r="C5183" s="759" t="s">
        <v>322</v>
      </c>
      <c r="D5183" s="988" t="s">
        <v>1980</v>
      </c>
      <c r="E5183" s="999" t="s">
        <v>2618</v>
      </c>
      <c r="F5183" s="1001">
        <v>2370</v>
      </c>
      <c r="G5183" s="2195" t="s">
        <v>1203</v>
      </c>
      <c r="H5183" s="2327"/>
      <c r="I5183" s="2328">
        <v>1350</v>
      </c>
      <c r="J5183" s="2331" t="s">
        <v>1134</v>
      </c>
      <c r="K5183" s="2210"/>
      <c r="L5183" s="2327"/>
      <c r="M5183" s="2332">
        <v>2500</v>
      </c>
      <c r="N5183" s="1644"/>
    </row>
    <row r="5184" spans="1:14" ht="20.399999999999999">
      <c r="A5184" s="603"/>
      <c r="B5184" s="3130" t="s">
        <v>772</v>
      </c>
      <c r="C5184" s="759" t="s">
        <v>322</v>
      </c>
      <c r="D5184" s="988" t="s">
        <v>1980</v>
      </c>
      <c r="E5184" s="999" t="s">
        <v>2618</v>
      </c>
      <c r="F5184" s="1001">
        <v>2370</v>
      </c>
      <c r="G5184" s="1153" t="s">
        <v>3159</v>
      </c>
      <c r="H5184" s="1142"/>
      <c r="I5184" s="1143">
        <v>-2500</v>
      </c>
      <c r="J5184" s="1654" t="s">
        <v>1134</v>
      </c>
      <c r="K5184" s="1462"/>
      <c r="L5184" s="1142"/>
      <c r="M5184" s="2340"/>
      <c r="N5184" s="1644"/>
    </row>
    <row r="5185" spans="1:14" ht="30.6">
      <c r="A5185" s="663"/>
      <c r="B5185" s="3130" t="s">
        <v>772</v>
      </c>
      <c r="C5185" s="759" t="s">
        <v>322</v>
      </c>
      <c r="D5185" s="988" t="s">
        <v>1980</v>
      </c>
      <c r="E5185" s="999" t="s">
        <v>2618</v>
      </c>
      <c r="F5185" s="1001">
        <v>2370</v>
      </c>
      <c r="G5185" s="750" t="s">
        <v>1204</v>
      </c>
      <c r="H5185" s="814"/>
      <c r="I5185" s="816">
        <v>4000</v>
      </c>
      <c r="J5185" s="1654" t="s">
        <v>1134</v>
      </c>
      <c r="K5185" s="809"/>
      <c r="L5185" s="814"/>
      <c r="M5185" s="1012">
        <v>1000</v>
      </c>
      <c r="N5185" s="1644"/>
    </row>
    <row r="5186" spans="1:14">
      <c r="A5186" s="663"/>
      <c r="B5186" s="3130" t="s">
        <v>772</v>
      </c>
      <c r="C5186" s="759" t="s">
        <v>322</v>
      </c>
      <c r="D5186" s="988" t="s">
        <v>1980</v>
      </c>
      <c r="E5186" s="999" t="s">
        <v>2618</v>
      </c>
      <c r="F5186" s="1001">
        <v>2370</v>
      </c>
      <c r="G5186" s="750" t="s">
        <v>1205</v>
      </c>
      <c r="H5186" s="814"/>
      <c r="I5186" s="816">
        <v>1000</v>
      </c>
      <c r="J5186" s="1654" t="s">
        <v>1134</v>
      </c>
      <c r="K5186" s="809"/>
      <c r="L5186" s="814"/>
      <c r="M5186" s="1012"/>
      <c r="N5186" s="7"/>
    </row>
    <row r="5187" spans="1:14" ht="20.399999999999999">
      <c r="A5187" s="663"/>
      <c r="B5187" s="3130" t="s">
        <v>772</v>
      </c>
      <c r="C5187" s="759" t="s">
        <v>322</v>
      </c>
      <c r="D5187" s="988" t="s">
        <v>1980</v>
      </c>
      <c r="E5187" s="999" t="s">
        <v>2618</v>
      </c>
      <c r="F5187" s="1001">
        <v>2370</v>
      </c>
      <c r="G5187" s="750" t="s">
        <v>1206</v>
      </c>
      <c r="H5187" s="814"/>
      <c r="I5187" s="816">
        <v>1200</v>
      </c>
      <c r="J5187" s="1654" t="s">
        <v>1134</v>
      </c>
      <c r="K5187" s="809"/>
      <c r="L5187" s="814"/>
      <c r="M5187" s="1012">
        <v>1200</v>
      </c>
      <c r="N5187" s="7"/>
    </row>
    <row r="5188" spans="1:14" ht="30.6">
      <c r="A5188" s="663"/>
      <c r="B5188" s="3130" t="s">
        <v>772</v>
      </c>
      <c r="C5188" s="759" t="s">
        <v>322</v>
      </c>
      <c r="D5188" s="988" t="s">
        <v>1980</v>
      </c>
      <c r="E5188" s="999" t="s">
        <v>2618</v>
      </c>
      <c r="F5188" s="1001">
        <v>2370</v>
      </c>
      <c r="G5188" s="750" t="s">
        <v>3233</v>
      </c>
      <c r="H5188" s="814"/>
      <c r="I5188" s="816">
        <v>-6320</v>
      </c>
      <c r="J5188" s="1654" t="s">
        <v>1134</v>
      </c>
      <c r="K5188" s="809"/>
      <c r="L5188" s="814"/>
      <c r="M5188" s="1012"/>
      <c r="N5188" s="7"/>
    </row>
    <row r="5189" spans="1:14" ht="30.6">
      <c r="A5189" s="663"/>
      <c r="B5189" s="3130" t="s">
        <v>772</v>
      </c>
      <c r="C5189" s="759" t="s">
        <v>322</v>
      </c>
      <c r="D5189" s="988" t="s">
        <v>1980</v>
      </c>
      <c r="E5189" s="999" t="s">
        <v>2618</v>
      </c>
      <c r="F5189" s="1001">
        <v>2370</v>
      </c>
      <c r="G5189" s="750" t="s">
        <v>1202</v>
      </c>
      <c r="H5189" s="814"/>
      <c r="I5189" s="816"/>
      <c r="J5189" s="1654" t="s">
        <v>1134</v>
      </c>
      <c r="K5189" s="809"/>
      <c r="L5189" s="814"/>
      <c r="M5189" s="1012">
        <v>1000</v>
      </c>
      <c r="N5189" s="7"/>
    </row>
    <row r="5190" spans="1:14" ht="30.6">
      <c r="A5190" s="663"/>
      <c r="B5190" s="3130" t="s">
        <v>772</v>
      </c>
      <c r="C5190" s="759" t="s">
        <v>322</v>
      </c>
      <c r="D5190" s="988" t="s">
        <v>1980</v>
      </c>
      <c r="E5190" s="999" t="s">
        <v>2618</v>
      </c>
      <c r="F5190" s="1001">
        <v>2370</v>
      </c>
      <c r="G5190" s="750" t="s">
        <v>1204</v>
      </c>
      <c r="H5190" s="814"/>
      <c r="I5190" s="816"/>
      <c r="J5190" s="1654" t="s">
        <v>1134</v>
      </c>
      <c r="K5190" s="809"/>
      <c r="L5190" s="814"/>
      <c r="M5190" s="1012">
        <v>1000</v>
      </c>
      <c r="N5190" s="7"/>
    </row>
    <row r="5191" spans="1:14">
      <c r="A5191" s="683"/>
      <c r="B5191" s="3129" t="s">
        <v>326</v>
      </c>
      <c r="C5191" s="696" t="s">
        <v>322</v>
      </c>
      <c r="D5191" s="993" t="s">
        <v>1980</v>
      </c>
      <c r="E5191" s="994" t="s">
        <v>3329</v>
      </c>
      <c r="F5191" s="996">
        <v>2370</v>
      </c>
      <c r="G5191" s="800" t="s">
        <v>209</v>
      </c>
      <c r="H5191" s="1067">
        <v>15227</v>
      </c>
      <c r="I5191" s="1003"/>
      <c r="J5191" s="1654">
        <v>11842.48</v>
      </c>
      <c r="K5191" s="842"/>
      <c r="L5191" s="1067">
        <v>159</v>
      </c>
      <c r="M5191" s="2322"/>
      <c r="N5191" s="7"/>
    </row>
    <row r="5192" spans="1:14">
      <c r="A5192" s="663"/>
      <c r="B5192" s="3130" t="s">
        <v>326</v>
      </c>
      <c r="C5192" s="759" t="s">
        <v>322</v>
      </c>
      <c r="D5192" s="3018" t="s">
        <v>1980</v>
      </c>
      <c r="E5192" s="999" t="s">
        <v>3329</v>
      </c>
      <c r="F5192" s="1001">
        <v>2370</v>
      </c>
      <c r="G5192" s="750" t="s">
        <v>1295</v>
      </c>
      <c r="H5192" s="814"/>
      <c r="I5192" s="816"/>
      <c r="J5192" s="1654" t="s">
        <v>1134</v>
      </c>
      <c r="K5192" s="809"/>
      <c r="L5192" s="814"/>
      <c r="M5192" s="1012">
        <v>159</v>
      </c>
      <c r="N5192" s="7"/>
    </row>
    <row r="5193" spans="1:14" ht="20.399999999999999">
      <c r="A5193" s="663"/>
      <c r="B5193" s="3130" t="s">
        <v>326</v>
      </c>
      <c r="C5193" s="759" t="s">
        <v>322</v>
      </c>
      <c r="D5193" s="3018" t="s">
        <v>1980</v>
      </c>
      <c r="E5193" s="999" t="s">
        <v>3329</v>
      </c>
      <c r="F5193" s="1001">
        <v>2370</v>
      </c>
      <c r="G5193" s="750" t="s">
        <v>1867</v>
      </c>
      <c r="H5193" s="814"/>
      <c r="I5193" s="816">
        <v>14732</v>
      </c>
      <c r="J5193" s="1654" t="s">
        <v>1134</v>
      </c>
      <c r="K5193" s="809"/>
      <c r="L5193" s="814"/>
      <c r="M5193" s="1012"/>
      <c r="N5193" s="1644"/>
    </row>
    <row r="5194" spans="1:14" ht="20.399999999999999">
      <c r="A5194" s="663"/>
      <c r="B5194" s="3130" t="s">
        <v>326</v>
      </c>
      <c r="C5194" s="759" t="s">
        <v>322</v>
      </c>
      <c r="D5194" s="3018" t="s">
        <v>1980</v>
      </c>
      <c r="E5194" s="999" t="s">
        <v>3329</v>
      </c>
      <c r="F5194" s="1001">
        <v>2370</v>
      </c>
      <c r="G5194" s="750" t="s">
        <v>3436</v>
      </c>
      <c r="H5194" s="814"/>
      <c r="I5194" s="816">
        <v>495</v>
      </c>
      <c r="J5194" s="1654" t="s">
        <v>1134</v>
      </c>
      <c r="K5194" s="809"/>
      <c r="L5194" s="814"/>
      <c r="M5194" s="1012"/>
      <c r="N5194" s="1644"/>
    </row>
    <row r="5195" spans="1:14">
      <c r="A5195" s="683"/>
      <c r="B5195" s="3129" t="s">
        <v>772</v>
      </c>
      <c r="C5195" s="696" t="s">
        <v>320</v>
      </c>
      <c r="D5195" s="993" t="s">
        <v>1980</v>
      </c>
      <c r="E5195" s="994" t="s">
        <v>2618</v>
      </c>
      <c r="F5195" s="996">
        <v>2390</v>
      </c>
      <c r="G5195" s="800" t="s">
        <v>135</v>
      </c>
      <c r="H5195" s="997">
        <v>0</v>
      </c>
      <c r="I5195" s="1003"/>
      <c r="J5195" s="1654" t="s">
        <v>1134</v>
      </c>
      <c r="K5195" s="842"/>
      <c r="L5195" s="997">
        <v>0</v>
      </c>
      <c r="M5195" s="2322"/>
      <c r="N5195" s="1644"/>
    </row>
    <row r="5196" spans="1:14" ht="20.399999999999999">
      <c r="A5196" s="663"/>
      <c r="B5196" s="3130" t="s">
        <v>772</v>
      </c>
      <c r="C5196" s="759" t="s">
        <v>320</v>
      </c>
      <c r="D5196" s="988" t="s">
        <v>1980</v>
      </c>
      <c r="E5196" s="999" t="s">
        <v>2618</v>
      </c>
      <c r="F5196" s="1001">
        <v>2390</v>
      </c>
      <c r="G5196" s="750" t="s">
        <v>2020</v>
      </c>
      <c r="H5196" s="814"/>
      <c r="I5196" s="816"/>
      <c r="J5196" s="1654" t="s">
        <v>1134</v>
      </c>
      <c r="K5196" s="809"/>
      <c r="L5196" s="814"/>
      <c r="M5196" s="1012"/>
      <c r="N5196" s="1644"/>
    </row>
    <row r="5197" spans="1:14" ht="20.399999999999999">
      <c r="A5197" s="683"/>
      <c r="B5197" s="3129" t="s">
        <v>772</v>
      </c>
      <c r="C5197" s="696" t="s">
        <v>320</v>
      </c>
      <c r="D5197" s="993" t="s">
        <v>1980</v>
      </c>
      <c r="E5197" s="994" t="s">
        <v>2618</v>
      </c>
      <c r="F5197" s="996">
        <v>2512</v>
      </c>
      <c r="G5197" s="800" t="s">
        <v>779</v>
      </c>
      <c r="H5197" s="997">
        <v>3000</v>
      </c>
      <c r="I5197" s="1003"/>
      <c r="J5197" s="1654">
        <v>2398</v>
      </c>
      <c r="K5197" s="842"/>
      <c r="L5197" s="997">
        <v>3000</v>
      </c>
      <c r="M5197" s="2322"/>
      <c r="N5197" s="1644"/>
    </row>
    <row r="5198" spans="1:14" ht="20.399999999999999">
      <c r="A5198" s="663"/>
      <c r="B5198" s="3130" t="s">
        <v>772</v>
      </c>
      <c r="C5198" s="759" t="s">
        <v>320</v>
      </c>
      <c r="D5198" s="988" t="s">
        <v>1980</v>
      </c>
      <c r="E5198" s="999" t="s">
        <v>2618</v>
      </c>
      <c r="F5198" s="1001">
        <v>2512</v>
      </c>
      <c r="G5198" s="750" t="s">
        <v>3109</v>
      </c>
      <c r="H5198" s="814"/>
      <c r="I5198" s="816">
        <v>3000</v>
      </c>
      <c r="J5198" s="1654" t="s">
        <v>1134</v>
      </c>
      <c r="K5198" s="809"/>
      <c r="L5198" s="814"/>
      <c r="M5198" s="1012">
        <v>3000</v>
      </c>
      <c r="N5198" s="1644"/>
    </row>
    <row r="5199" spans="1:14" ht="20.399999999999999">
      <c r="A5199" s="683"/>
      <c r="B5199" s="3129" t="s">
        <v>774</v>
      </c>
      <c r="C5199" s="696" t="s">
        <v>429</v>
      </c>
      <c r="D5199" s="993" t="s">
        <v>1980</v>
      </c>
      <c r="E5199" s="994" t="s">
        <v>2618</v>
      </c>
      <c r="F5199" s="996">
        <v>5120</v>
      </c>
      <c r="G5199" s="800" t="s">
        <v>588</v>
      </c>
      <c r="H5199" s="997">
        <v>2000</v>
      </c>
      <c r="I5199" s="1011"/>
      <c r="J5199" s="1654">
        <v>0</v>
      </c>
      <c r="K5199" s="842"/>
      <c r="L5199" s="997">
        <v>0</v>
      </c>
      <c r="M5199" s="2322"/>
      <c r="N5199" s="1644"/>
    </row>
    <row r="5200" spans="1:14">
      <c r="A5200" s="663"/>
      <c r="B5200" s="3130" t="s">
        <v>774</v>
      </c>
      <c r="C5200" s="759" t="s">
        <v>429</v>
      </c>
      <c r="D5200" s="988" t="s">
        <v>1980</v>
      </c>
      <c r="E5200" s="999" t="s">
        <v>2618</v>
      </c>
      <c r="F5200" s="1001">
        <v>5120</v>
      </c>
      <c r="G5200" s="750" t="s">
        <v>2617</v>
      </c>
      <c r="H5200" s="814"/>
      <c r="I5200" s="816">
        <v>2000</v>
      </c>
      <c r="J5200" s="1654" t="s">
        <v>1134</v>
      </c>
      <c r="K5200" s="809"/>
      <c r="L5200" s="814"/>
      <c r="M5200" s="816"/>
      <c r="N5200" s="1644"/>
    </row>
    <row r="5201" spans="1:14">
      <c r="A5201" s="683"/>
      <c r="B5201" s="3129" t="s">
        <v>326</v>
      </c>
      <c r="C5201" s="696" t="s">
        <v>322</v>
      </c>
      <c r="D5201" s="993" t="s">
        <v>1980</v>
      </c>
      <c r="E5201" s="994" t="s">
        <v>3329</v>
      </c>
      <c r="F5201" s="996">
        <v>5233</v>
      </c>
      <c r="G5201" s="800" t="s">
        <v>280</v>
      </c>
      <c r="H5201" s="1067">
        <v>9821</v>
      </c>
      <c r="I5201" s="1003"/>
      <c r="J5201" s="1654">
        <v>9821</v>
      </c>
      <c r="K5201" s="842"/>
      <c r="L5201" s="1067">
        <v>0</v>
      </c>
      <c r="M5201" s="2322"/>
      <c r="N5201" s="1644"/>
    </row>
    <row r="5202" spans="1:14" ht="20.399999999999999">
      <c r="A5202" s="663"/>
      <c r="B5202" s="3130" t="s">
        <v>326</v>
      </c>
      <c r="C5202" s="759" t="s">
        <v>322</v>
      </c>
      <c r="D5202" s="3018" t="s">
        <v>1980</v>
      </c>
      <c r="E5202" s="999" t="s">
        <v>3329</v>
      </c>
      <c r="F5202" s="1001">
        <v>5233</v>
      </c>
      <c r="G5202" s="750" t="s">
        <v>1318</v>
      </c>
      <c r="H5202" s="814"/>
      <c r="I5202" s="816">
        <v>9821</v>
      </c>
      <c r="J5202" s="1654" t="s">
        <v>1134</v>
      </c>
      <c r="K5202" s="809"/>
      <c r="L5202" s="814"/>
      <c r="M5202" s="1012"/>
      <c r="N5202" s="1784"/>
    </row>
    <row r="5203" spans="1:14">
      <c r="A5203" s="683"/>
      <c r="B5203" s="3129" t="s">
        <v>774</v>
      </c>
      <c r="C5203" s="994" t="s">
        <v>429</v>
      </c>
      <c r="D5203" s="995" t="s">
        <v>1980</v>
      </c>
      <c r="E5203" s="994" t="s">
        <v>2618</v>
      </c>
      <c r="F5203" s="996">
        <v>5233</v>
      </c>
      <c r="G5203" s="800" t="s">
        <v>280</v>
      </c>
      <c r="H5203" s="997">
        <v>11750</v>
      </c>
      <c r="I5203" s="1011"/>
      <c r="J5203" s="1654">
        <v>11154</v>
      </c>
      <c r="K5203" s="842"/>
      <c r="L5203" s="997">
        <v>11750</v>
      </c>
      <c r="M5203" s="2322"/>
      <c r="N5203" s="1644"/>
    </row>
    <row r="5204" spans="1:14">
      <c r="A5204" s="663"/>
      <c r="B5204" s="3130" t="s">
        <v>774</v>
      </c>
      <c r="C5204" s="999" t="s">
        <v>429</v>
      </c>
      <c r="D5204" s="1000" t="s">
        <v>1980</v>
      </c>
      <c r="E5204" s="999" t="s">
        <v>2618</v>
      </c>
      <c r="F5204" s="1001">
        <v>5233</v>
      </c>
      <c r="G5204" s="750" t="s">
        <v>1545</v>
      </c>
      <c r="H5204" s="814"/>
      <c r="I5204" s="816">
        <v>10000</v>
      </c>
      <c r="J5204" s="1654" t="s">
        <v>1134</v>
      </c>
      <c r="K5204" s="809"/>
      <c r="L5204" s="814"/>
      <c r="M5204" s="816">
        <v>10000</v>
      </c>
      <c r="N5204" s="1644"/>
    </row>
    <row r="5205" spans="1:14">
      <c r="A5205" s="663"/>
      <c r="B5205" s="3130" t="s">
        <v>774</v>
      </c>
      <c r="C5205" s="999" t="s">
        <v>429</v>
      </c>
      <c r="D5205" s="1000" t="s">
        <v>1980</v>
      </c>
      <c r="E5205" s="999" t="s">
        <v>2618</v>
      </c>
      <c r="F5205" s="1001">
        <v>5233</v>
      </c>
      <c r="G5205" s="750" t="s">
        <v>880</v>
      </c>
      <c r="H5205" s="814"/>
      <c r="I5205" s="816">
        <v>1000</v>
      </c>
      <c r="J5205" s="1654" t="s">
        <v>1134</v>
      </c>
      <c r="K5205" s="809"/>
      <c r="L5205" s="814"/>
      <c r="M5205" s="816">
        <v>1000</v>
      </c>
      <c r="N5205" s="1644"/>
    </row>
    <row r="5206" spans="1:14" ht="20.399999999999999">
      <c r="A5206" s="663"/>
      <c r="B5206" s="3130" t="s">
        <v>774</v>
      </c>
      <c r="C5206" s="999" t="s">
        <v>429</v>
      </c>
      <c r="D5206" s="1000" t="s">
        <v>1980</v>
      </c>
      <c r="E5206" s="999" t="s">
        <v>2618</v>
      </c>
      <c r="F5206" s="1001">
        <v>5233</v>
      </c>
      <c r="G5206" s="750" t="s">
        <v>1546</v>
      </c>
      <c r="H5206" s="814"/>
      <c r="I5206" s="816">
        <v>750</v>
      </c>
      <c r="J5206" s="1654" t="s">
        <v>1134</v>
      </c>
      <c r="K5206" s="809"/>
      <c r="L5206" s="814"/>
      <c r="M5206" s="816">
        <v>750</v>
      </c>
      <c r="N5206" s="1644"/>
    </row>
    <row r="5207" spans="1:14">
      <c r="A5207" s="683"/>
      <c r="B5207" s="3129" t="s">
        <v>774</v>
      </c>
      <c r="C5207" s="696" t="s">
        <v>324</v>
      </c>
      <c r="D5207" s="993" t="s">
        <v>1980</v>
      </c>
      <c r="E5207" s="994" t="s">
        <v>2618</v>
      </c>
      <c r="F5207" s="996">
        <v>5238</v>
      </c>
      <c r="G5207" s="800" t="s">
        <v>139</v>
      </c>
      <c r="H5207" s="997">
        <v>11004</v>
      </c>
      <c r="I5207" s="1011"/>
      <c r="J5207" s="1654">
        <v>10788</v>
      </c>
      <c r="K5207" s="842"/>
      <c r="L5207" s="997">
        <v>7200</v>
      </c>
      <c r="M5207" s="2322"/>
      <c r="N5207" s="1644"/>
    </row>
    <row r="5208" spans="1:14" ht="20.399999999999999">
      <c r="A5208" s="663"/>
      <c r="B5208" s="3130" t="s">
        <v>774</v>
      </c>
      <c r="C5208" s="759" t="s">
        <v>438</v>
      </c>
      <c r="D5208" s="988" t="s">
        <v>1980</v>
      </c>
      <c r="E5208" s="999" t="s">
        <v>2618</v>
      </c>
      <c r="F5208" s="1001">
        <v>5238</v>
      </c>
      <c r="G5208" s="2195" t="s">
        <v>4478</v>
      </c>
      <c r="H5208" s="2328"/>
      <c r="I5208" s="2334"/>
      <c r="J5208" s="2331" t="s">
        <v>1134</v>
      </c>
      <c r="K5208" s="2210"/>
      <c r="L5208" s="2328"/>
      <c r="M5208" s="2328">
        <v>6000</v>
      </c>
      <c r="N5208" s="1644"/>
    </row>
    <row r="5209" spans="1:14">
      <c r="A5209" s="663"/>
      <c r="B5209" s="3130" t="s">
        <v>774</v>
      </c>
      <c r="C5209" s="759" t="s">
        <v>438</v>
      </c>
      <c r="D5209" s="988" t="s">
        <v>1980</v>
      </c>
      <c r="E5209" s="999" t="s">
        <v>2618</v>
      </c>
      <c r="F5209" s="1001">
        <v>5238</v>
      </c>
      <c r="G5209" s="2195" t="s">
        <v>4480</v>
      </c>
      <c r="H5209" s="2328"/>
      <c r="I5209" s="2334"/>
      <c r="J5209" s="2331" t="s">
        <v>1134</v>
      </c>
      <c r="K5209" s="2210"/>
      <c r="L5209" s="2328"/>
      <c r="M5209" s="2328">
        <v>1200</v>
      </c>
      <c r="N5209" s="1644"/>
    </row>
    <row r="5210" spans="1:14">
      <c r="A5210" s="663"/>
      <c r="B5210" s="3130" t="s">
        <v>774</v>
      </c>
      <c r="C5210" s="759" t="s">
        <v>438</v>
      </c>
      <c r="D5210" s="988" t="s">
        <v>1980</v>
      </c>
      <c r="E5210" s="999" t="s">
        <v>2618</v>
      </c>
      <c r="F5210" s="1001">
        <v>5238</v>
      </c>
      <c r="G5210" s="750" t="s">
        <v>1547</v>
      </c>
      <c r="H5210" s="816"/>
      <c r="I5210" s="815">
        <v>5500</v>
      </c>
      <c r="J5210" s="1654" t="s">
        <v>1134</v>
      </c>
      <c r="K5210" s="809"/>
      <c r="L5210" s="816"/>
      <c r="M5210" s="816"/>
      <c r="N5210" s="1644"/>
    </row>
    <row r="5211" spans="1:14" ht="20.399999999999999">
      <c r="A5211" s="663"/>
      <c r="B5211" s="3130" t="s">
        <v>774</v>
      </c>
      <c r="C5211" s="759" t="s">
        <v>438</v>
      </c>
      <c r="D5211" s="988" t="s">
        <v>1980</v>
      </c>
      <c r="E5211" s="999" t="s">
        <v>2618</v>
      </c>
      <c r="F5211" s="1001">
        <v>5238</v>
      </c>
      <c r="G5211" s="750" t="s">
        <v>1208</v>
      </c>
      <c r="H5211" s="816"/>
      <c r="I5211" s="815">
        <v>6000</v>
      </c>
      <c r="J5211" s="1654" t="s">
        <v>1134</v>
      </c>
      <c r="K5211" s="809"/>
      <c r="L5211" s="816"/>
      <c r="M5211" s="816"/>
      <c r="N5211" s="1644"/>
    </row>
    <row r="5212" spans="1:14" ht="20.399999999999999">
      <c r="A5212" s="663"/>
      <c r="B5212" s="3130" t="s">
        <v>774</v>
      </c>
      <c r="C5212" s="759" t="s">
        <v>438</v>
      </c>
      <c r="D5212" s="988" t="s">
        <v>1980</v>
      </c>
      <c r="E5212" s="999" t="s">
        <v>2618</v>
      </c>
      <c r="F5212" s="1001">
        <v>5238</v>
      </c>
      <c r="G5212" s="750" t="s">
        <v>3229</v>
      </c>
      <c r="H5212" s="816"/>
      <c r="I5212" s="815">
        <v>-496</v>
      </c>
      <c r="J5212" s="1654" t="s">
        <v>1134</v>
      </c>
      <c r="K5212" s="809"/>
      <c r="L5212" s="816"/>
      <c r="M5212" s="816"/>
      <c r="N5212" s="1644"/>
    </row>
    <row r="5213" spans="1:14">
      <c r="A5213" s="683"/>
      <c r="B5213" s="3129" t="s">
        <v>773</v>
      </c>
      <c r="C5213" s="994" t="s">
        <v>325</v>
      </c>
      <c r="D5213" s="995" t="s">
        <v>1980</v>
      </c>
      <c r="E5213" s="994" t="s">
        <v>2618</v>
      </c>
      <c r="F5213" s="996">
        <v>5238</v>
      </c>
      <c r="G5213" s="800" t="s">
        <v>139</v>
      </c>
      <c r="H5213" s="997">
        <v>12850</v>
      </c>
      <c r="I5213" s="1011"/>
      <c r="J5213" s="1654">
        <v>12850</v>
      </c>
      <c r="K5213" s="842"/>
      <c r="L5213" s="997">
        <v>0</v>
      </c>
      <c r="M5213" s="2322"/>
      <c r="N5213" s="1644"/>
    </row>
    <row r="5214" spans="1:14">
      <c r="A5214" s="663"/>
      <c r="B5214" s="3144" t="s">
        <v>773</v>
      </c>
      <c r="C5214" s="1057" t="s">
        <v>325</v>
      </c>
      <c r="D5214" s="1061" t="s">
        <v>1980</v>
      </c>
      <c r="E5214" s="1057" t="s">
        <v>2618</v>
      </c>
      <c r="F5214" s="1058">
        <v>5238</v>
      </c>
      <c r="G5214" s="704" t="s">
        <v>2624</v>
      </c>
      <c r="H5214" s="1060"/>
      <c r="I5214" s="1062">
        <v>12850</v>
      </c>
      <c r="J5214" s="1654" t="s">
        <v>1134</v>
      </c>
      <c r="K5214" s="896"/>
      <c r="L5214" s="1060"/>
      <c r="M5214" s="1060"/>
      <c r="N5214" s="1644"/>
    </row>
    <row r="5215" spans="1:14">
      <c r="A5215" s="683"/>
      <c r="B5215" s="3129" t="s">
        <v>774</v>
      </c>
      <c r="C5215" s="696" t="s">
        <v>324</v>
      </c>
      <c r="D5215" s="993" t="s">
        <v>1980</v>
      </c>
      <c r="E5215" s="994" t="s">
        <v>2618</v>
      </c>
      <c r="F5215" s="996">
        <v>5239</v>
      </c>
      <c r="G5215" s="800" t="s">
        <v>279</v>
      </c>
      <c r="H5215" s="997">
        <v>0</v>
      </c>
      <c r="I5215" s="1011"/>
      <c r="J5215" s="1654" t="s">
        <v>1134</v>
      </c>
      <c r="K5215" s="842"/>
      <c r="L5215" s="997">
        <v>0</v>
      </c>
      <c r="M5215" s="2322"/>
      <c r="N5215" s="75"/>
    </row>
    <row r="5216" spans="1:14">
      <c r="A5216" s="663"/>
      <c r="B5216" s="3130" t="s">
        <v>774</v>
      </c>
      <c r="C5216" s="759" t="s">
        <v>438</v>
      </c>
      <c r="D5216" s="988" t="s">
        <v>1980</v>
      </c>
      <c r="E5216" s="999" t="s">
        <v>2618</v>
      </c>
      <c r="F5216" s="1001">
        <v>5239</v>
      </c>
      <c r="G5216" s="750"/>
      <c r="H5216" s="814"/>
      <c r="I5216" s="816"/>
      <c r="J5216" s="1654" t="s">
        <v>1134</v>
      </c>
      <c r="K5216" s="809"/>
      <c r="L5216" s="814"/>
      <c r="M5216" s="1012"/>
      <c r="N5216" s="75"/>
    </row>
    <row r="5217" spans="1:14" ht="20.399999999999999">
      <c r="A5217" s="683"/>
      <c r="B5217" s="3129" t="s">
        <v>773</v>
      </c>
      <c r="C5217" s="696" t="s">
        <v>323</v>
      </c>
      <c r="D5217" s="993" t="s">
        <v>1980</v>
      </c>
      <c r="E5217" s="994" t="s">
        <v>2618</v>
      </c>
      <c r="F5217" s="996">
        <v>5240</v>
      </c>
      <c r="G5217" s="800" t="s">
        <v>1664</v>
      </c>
      <c r="H5217" s="997">
        <v>0</v>
      </c>
      <c r="I5217" s="1011"/>
      <c r="J5217" s="1654" t="s">
        <v>1134</v>
      </c>
      <c r="K5217" s="842"/>
      <c r="L5217" s="997">
        <v>66146</v>
      </c>
      <c r="M5217" s="2322"/>
      <c r="N5217" s="75"/>
    </row>
    <row r="5218" spans="1:14">
      <c r="A5218" s="663"/>
      <c r="B5218" s="3130" t="s">
        <v>773</v>
      </c>
      <c r="C5218" s="759" t="s">
        <v>323</v>
      </c>
      <c r="D5218" s="988" t="s">
        <v>1980</v>
      </c>
      <c r="E5218" s="999" t="s">
        <v>2618</v>
      </c>
      <c r="F5218" s="1001">
        <v>5240</v>
      </c>
      <c r="G5218" s="750" t="s">
        <v>4481</v>
      </c>
      <c r="H5218" s="814"/>
      <c r="I5218" s="816"/>
      <c r="J5218" s="1654" t="s">
        <v>1134</v>
      </c>
      <c r="K5218" s="809"/>
      <c r="L5218" s="814"/>
      <c r="M5218" s="1012">
        <v>32618</v>
      </c>
      <c r="N5218" s="75"/>
    </row>
    <row r="5219" spans="1:14">
      <c r="A5219" s="2168"/>
      <c r="B5219" s="3130" t="s">
        <v>773</v>
      </c>
      <c r="C5219" s="759" t="s">
        <v>323</v>
      </c>
      <c r="D5219" s="988" t="s">
        <v>1980</v>
      </c>
      <c r="E5219" s="999" t="s">
        <v>2618</v>
      </c>
      <c r="F5219" s="1001">
        <v>5240</v>
      </c>
      <c r="G5219" s="2195" t="s">
        <v>4482</v>
      </c>
      <c r="H5219" s="2323"/>
      <c r="I5219" s="2324"/>
      <c r="J5219" s="2191"/>
      <c r="K5219" s="2192"/>
      <c r="L5219" s="2323"/>
      <c r="M5219" s="2344">
        <v>5465</v>
      </c>
      <c r="N5219" s="75"/>
    </row>
    <row r="5220" spans="1:14">
      <c r="A5220" s="2168"/>
      <c r="B5220" s="3130" t="s">
        <v>773</v>
      </c>
      <c r="C5220" s="759" t="s">
        <v>323</v>
      </c>
      <c r="D5220" s="988" t="s">
        <v>1980</v>
      </c>
      <c r="E5220" s="999" t="s">
        <v>2618</v>
      </c>
      <c r="F5220" s="1001">
        <v>5240</v>
      </c>
      <c r="G5220" s="2195" t="s">
        <v>4483</v>
      </c>
      <c r="H5220" s="2323"/>
      <c r="I5220" s="2324"/>
      <c r="J5220" s="2191"/>
      <c r="K5220" s="2192"/>
      <c r="L5220" s="2323"/>
      <c r="M5220" s="2344">
        <v>10916</v>
      </c>
      <c r="N5220" s="75"/>
    </row>
    <row r="5221" spans="1:14">
      <c r="A5221" s="2168"/>
      <c r="B5221" s="3130" t="s">
        <v>773</v>
      </c>
      <c r="C5221" s="759" t="s">
        <v>323</v>
      </c>
      <c r="D5221" s="988" t="s">
        <v>1980</v>
      </c>
      <c r="E5221" s="999" t="s">
        <v>2618</v>
      </c>
      <c r="F5221" s="1001">
        <v>5240</v>
      </c>
      <c r="G5221" s="2195" t="s">
        <v>4484</v>
      </c>
      <c r="H5221" s="2323"/>
      <c r="I5221" s="2324"/>
      <c r="J5221" s="2191"/>
      <c r="K5221" s="2192"/>
      <c r="L5221" s="2323"/>
      <c r="M5221" s="2344">
        <v>15947</v>
      </c>
      <c r="N5221" s="75"/>
    </row>
    <row r="5222" spans="1:14" ht="20.399999999999999">
      <c r="A5222" s="2168"/>
      <c r="B5222" s="3130" t="s">
        <v>773</v>
      </c>
      <c r="C5222" s="759" t="s">
        <v>323</v>
      </c>
      <c r="D5222" s="988" t="s">
        <v>1980</v>
      </c>
      <c r="E5222" s="999" t="s">
        <v>2618</v>
      </c>
      <c r="F5222" s="1001">
        <v>5240</v>
      </c>
      <c r="G5222" s="2195" t="s">
        <v>4485</v>
      </c>
      <c r="H5222" s="2323"/>
      <c r="I5222" s="2324"/>
      <c r="J5222" s="2191"/>
      <c r="K5222" s="2192"/>
      <c r="L5222" s="2323"/>
      <c r="M5222" s="2344">
        <v>1200</v>
      </c>
      <c r="N5222" s="75"/>
    </row>
    <row r="5223" spans="1:14">
      <c r="A5223" s="683"/>
      <c r="B5223" s="3129" t="s">
        <v>772</v>
      </c>
      <c r="C5223" s="696" t="s">
        <v>320</v>
      </c>
      <c r="D5223" s="993" t="s">
        <v>1980</v>
      </c>
      <c r="E5223" s="994" t="s">
        <v>2618</v>
      </c>
      <c r="F5223" s="996">
        <v>7210</v>
      </c>
      <c r="G5223" s="800" t="s">
        <v>1880</v>
      </c>
      <c r="H5223" s="997">
        <v>100</v>
      </c>
      <c r="I5223" s="1003"/>
      <c r="J5223" s="1654">
        <v>90</v>
      </c>
      <c r="K5223" s="842"/>
      <c r="L5223" s="997">
        <v>150</v>
      </c>
      <c r="M5223" s="2322"/>
      <c r="N5223" s="75"/>
    </row>
    <row r="5224" spans="1:14" ht="20.399999999999999">
      <c r="A5224" s="663"/>
      <c r="B5224" s="3130" t="s">
        <v>772</v>
      </c>
      <c r="C5224" s="759" t="s">
        <v>320</v>
      </c>
      <c r="D5224" s="988" t="s">
        <v>1980</v>
      </c>
      <c r="E5224" s="999" t="s">
        <v>2618</v>
      </c>
      <c r="F5224" s="1001">
        <v>7210</v>
      </c>
      <c r="G5224" s="745" t="s">
        <v>1881</v>
      </c>
      <c r="H5224" s="814"/>
      <c r="I5224" s="816">
        <v>100</v>
      </c>
      <c r="J5224" s="1654" t="s">
        <v>1134</v>
      </c>
      <c r="K5224" s="809"/>
      <c r="L5224" s="814"/>
      <c r="M5224" s="1012">
        <v>150</v>
      </c>
      <c r="N5224" s="75"/>
    </row>
    <row r="5225" spans="1:14">
      <c r="A5225" s="683"/>
      <c r="B5225" s="3129" t="s">
        <v>1211</v>
      </c>
      <c r="C5225" s="696" t="s">
        <v>320</v>
      </c>
      <c r="D5225" s="993" t="s">
        <v>1980</v>
      </c>
      <c r="E5225" s="1412" t="s">
        <v>2618</v>
      </c>
      <c r="F5225" s="2362">
        <v>7230</v>
      </c>
      <c r="G5225" s="1691" t="s">
        <v>1027</v>
      </c>
      <c r="H5225" s="1063">
        <v>342547</v>
      </c>
      <c r="I5225" s="2363"/>
      <c r="J5225" s="1684">
        <v>322229</v>
      </c>
      <c r="K5225" s="2364"/>
      <c r="L5225" s="1063">
        <v>329532</v>
      </c>
      <c r="M5225" s="1064"/>
      <c r="N5225" s="75"/>
    </row>
    <row r="5226" spans="1:14">
      <c r="A5226" s="663"/>
      <c r="B5226" s="3130" t="s">
        <v>2534</v>
      </c>
      <c r="C5226" s="759" t="s">
        <v>320</v>
      </c>
      <c r="D5226" s="988" t="s">
        <v>1980</v>
      </c>
      <c r="E5226" s="2356" t="s">
        <v>2618</v>
      </c>
      <c r="F5226" s="2357">
        <v>7230</v>
      </c>
      <c r="G5226" s="818" t="s">
        <v>436</v>
      </c>
      <c r="H5226" s="2358"/>
      <c r="I5226" s="2359">
        <v>89352</v>
      </c>
      <c r="J5226" s="1684" t="s">
        <v>1134</v>
      </c>
      <c r="K5226" s="2360"/>
      <c r="L5226" s="2358"/>
      <c r="M5226" s="2361">
        <v>78349</v>
      </c>
      <c r="N5226" s="75"/>
    </row>
    <row r="5227" spans="1:14">
      <c r="A5227" s="663"/>
      <c r="B5227" s="3130" t="s">
        <v>1211</v>
      </c>
      <c r="C5227" s="759" t="s">
        <v>320</v>
      </c>
      <c r="D5227" s="988" t="s">
        <v>1980</v>
      </c>
      <c r="E5227" s="2356" t="s">
        <v>2618</v>
      </c>
      <c r="F5227" s="2357">
        <v>7230</v>
      </c>
      <c r="G5227" s="818" t="s">
        <v>772</v>
      </c>
      <c r="H5227" s="2358"/>
      <c r="I5227" s="2359">
        <v>251295</v>
      </c>
      <c r="J5227" s="1684"/>
      <c r="K5227" s="2360"/>
      <c r="L5227" s="2358"/>
      <c r="M5227" s="2361">
        <v>250533</v>
      </c>
      <c r="N5227" s="75"/>
    </row>
    <row r="5228" spans="1:14">
      <c r="A5228" s="663"/>
      <c r="B5228" s="3130" t="s">
        <v>1211</v>
      </c>
      <c r="C5228" s="759" t="s">
        <v>320</v>
      </c>
      <c r="D5228" s="988" t="s">
        <v>1980</v>
      </c>
      <c r="E5228" s="2356" t="s">
        <v>2618</v>
      </c>
      <c r="F5228" s="2357">
        <v>7230</v>
      </c>
      <c r="G5228" s="818" t="s">
        <v>774</v>
      </c>
      <c r="H5228" s="2358"/>
      <c r="I5228" s="2359">
        <v>1900</v>
      </c>
      <c r="J5228" s="1684" t="s">
        <v>1134</v>
      </c>
      <c r="K5228" s="2360"/>
      <c r="L5228" s="2358"/>
      <c r="M5228" s="2361">
        <v>650</v>
      </c>
      <c r="N5228" s="75"/>
    </row>
    <row r="5229" spans="1:14">
      <c r="A5229" s="683"/>
      <c r="B5229" s="3129" t="s">
        <v>365</v>
      </c>
      <c r="C5229" s="696" t="s">
        <v>323</v>
      </c>
      <c r="D5229" s="984" t="s">
        <v>1980</v>
      </c>
      <c r="E5229" s="994" t="s">
        <v>3331</v>
      </c>
      <c r="F5229" s="996">
        <v>1147</v>
      </c>
      <c r="G5229" s="800" t="s">
        <v>1036</v>
      </c>
      <c r="H5229" s="1070">
        <v>4000</v>
      </c>
      <c r="I5229" s="1070"/>
      <c r="J5229" s="1654">
        <v>0</v>
      </c>
      <c r="K5229" s="842"/>
      <c r="L5229" s="997">
        <v>3500</v>
      </c>
      <c r="M5229" s="2322"/>
      <c r="N5229" s="75"/>
    </row>
    <row r="5230" spans="1:14" ht="20.399999999999999">
      <c r="A5230" s="663"/>
      <c r="B5230" s="3130" t="s">
        <v>365</v>
      </c>
      <c r="C5230" s="759" t="s">
        <v>323</v>
      </c>
      <c r="D5230" s="988" t="s">
        <v>1980</v>
      </c>
      <c r="E5230" s="999" t="s">
        <v>3331</v>
      </c>
      <c r="F5230" s="1001">
        <v>1147</v>
      </c>
      <c r="G5230" s="2325" t="s">
        <v>4487</v>
      </c>
      <c r="H5230" s="2327"/>
      <c r="I5230" s="2327"/>
      <c r="J5230" s="2348" t="s">
        <v>1134</v>
      </c>
      <c r="K5230" s="2349"/>
      <c r="L5230" s="2327"/>
      <c r="M5230" s="2336">
        <v>3500</v>
      </c>
      <c r="N5230" s="75"/>
    </row>
    <row r="5231" spans="1:14" ht="30.6">
      <c r="A5231" s="663"/>
      <c r="B5231" s="3130" t="s">
        <v>365</v>
      </c>
      <c r="C5231" s="759" t="s">
        <v>323</v>
      </c>
      <c r="D5231" s="988" t="s">
        <v>1980</v>
      </c>
      <c r="E5231" s="999" t="s">
        <v>3331</v>
      </c>
      <c r="F5231" s="1001">
        <v>1147</v>
      </c>
      <c r="G5231" s="750" t="s">
        <v>2626</v>
      </c>
      <c r="H5231" s="816"/>
      <c r="I5231" s="816">
        <v>4000</v>
      </c>
      <c r="J5231" s="1654" t="s">
        <v>1134</v>
      </c>
      <c r="K5231" s="809"/>
      <c r="L5231" s="814"/>
      <c r="M5231" s="1012"/>
      <c r="N5231" s="75"/>
    </row>
    <row r="5232" spans="1:14" ht="20.399999999999999">
      <c r="A5232" s="603"/>
      <c r="B5232" s="3130" t="s">
        <v>365</v>
      </c>
      <c r="C5232" s="759" t="s">
        <v>323</v>
      </c>
      <c r="D5232" s="988" t="s">
        <v>1980</v>
      </c>
      <c r="E5232" s="999" t="s">
        <v>3331</v>
      </c>
      <c r="F5232" s="1001">
        <v>1147</v>
      </c>
      <c r="G5232" s="1153" t="s">
        <v>3238</v>
      </c>
      <c r="H5232" s="1143"/>
      <c r="I5232" s="1143">
        <v>-2000</v>
      </c>
      <c r="J5232" s="1654" t="s">
        <v>1134</v>
      </c>
      <c r="K5232" s="1462"/>
      <c r="L5232" s="1142"/>
      <c r="M5232" s="2340"/>
      <c r="N5232" s="75"/>
    </row>
    <row r="5233" spans="1:14" ht="20.399999999999999">
      <c r="A5233" s="1495"/>
      <c r="B5233" s="3138" t="s">
        <v>365</v>
      </c>
      <c r="C5233" s="1633" t="s">
        <v>323</v>
      </c>
      <c r="D5233" s="1634" t="s">
        <v>1980</v>
      </c>
      <c r="E5233" s="1641" t="s">
        <v>3331</v>
      </c>
      <c r="F5233" s="1638">
        <v>1147</v>
      </c>
      <c r="G5233" s="1569" t="s">
        <v>3438</v>
      </c>
      <c r="H5233" s="1570"/>
      <c r="I5233" s="1570">
        <v>2000</v>
      </c>
      <c r="J5233" s="1642"/>
      <c r="K5233" s="1640"/>
      <c r="L5233" s="1639"/>
      <c r="M5233" s="1642"/>
      <c r="N5233" s="75"/>
    </row>
    <row r="5234" spans="1:14" ht="20.399999999999999">
      <c r="A5234" s="683"/>
      <c r="B5234" s="3129" t="s">
        <v>365</v>
      </c>
      <c r="C5234" s="696" t="s">
        <v>323</v>
      </c>
      <c r="D5234" s="984" t="s">
        <v>1980</v>
      </c>
      <c r="E5234" s="994" t="s">
        <v>3331</v>
      </c>
      <c r="F5234" s="996">
        <v>1210</v>
      </c>
      <c r="G5234" s="800" t="s">
        <v>402</v>
      </c>
      <c r="H5234" s="1070">
        <v>0</v>
      </c>
      <c r="I5234" s="1070"/>
      <c r="J5234" s="1654" t="s">
        <v>1134</v>
      </c>
      <c r="K5234" s="842"/>
      <c r="L5234" s="997">
        <v>600</v>
      </c>
      <c r="M5234" s="2322"/>
      <c r="N5234" s="75"/>
    </row>
    <row r="5235" spans="1:14" ht="20.399999999999999">
      <c r="A5235" s="663"/>
      <c r="B5235" s="3130" t="s">
        <v>365</v>
      </c>
      <c r="C5235" s="759" t="s">
        <v>323</v>
      </c>
      <c r="D5235" s="988" t="s">
        <v>1980</v>
      </c>
      <c r="E5235" s="999" t="s">
        <v>3331</v>
      </c>
      <c r="F5235" s="1001">
        <v>1210</v>
      </c>
      <c r="G5235" s="2325" t="s">
        <v>4487</v>
      </c>
      <c r="H5235" s="2327"/>
      <c r="I5235" s="2327"/>
      <c r="J5235" s="2348" t="s">
        <v>1134</v>
      </c>
      <c r="K5235" s="2349"/>
      <c r="L5235" s="2327"/>
      <c r="M5235" s="2336">
        <v>600</v>
      </c>
      <c r="N5235" s="75"/>
    </row>
    <row r="5236" spans="1:14">
      <c r="A5236" s="683"/>
      <c r="B5236" s="3129" t="s">
        <v>365</v>
      </c>
      <c r="C5236" s="696" t="s">
        <v>323</v>
      </c>
      <c r="D5236" s="984" t="s">
        <v>1980</v>
      </c>
      <c r="E5236" s="994" t="s">
        <v>3331</v>
      </c>
      <c r="F5236" s="996">
        <v>2121</v>
      </c>
      <c r="G5236" s="800" t="s">
        <v>1037</v>
      </c>
      <c r="H5236" s="997">
        <v>12550</v>
      </c>
      <c r="I5236" s="1070"/>
      <c r="J5236" s="1654">
        <v>3925</v>
      </c>
      <c r="K5236" s="842"/>
      <c r="L5236" s="997">
        <v>6000</v>
      </c>
      <c r="M5236" s="2322"/>
      <c r="N5236" s="75"/>
    </row>
    <row r="5237" spans="1:14" ht="30.6">
      <c r="A5237" s="663"/>
      <c r="B5237" s="3130" t="s">
        <v>365</v>
      </c>
      <c r="C5237" s="759" t="s">
        <v>323</v>
      </c>
      <c r="D5237" s="988" t="s">
        <v>1980</v>
      </c>
      <c r="E5237" s="999" t="s">
        <v>3331</v>
      </c>
      <c r="F5237" s="1001">
        <v>2121</v>
      </c>
      <c r="G5237" s="750" t="s">
        <v>2626</v>
      </c>
      <c r="H5237" s="816"/>
      <c r="I5237" s="816">
        <v>4550</v>
      </c>
      <c r="J5237" s="1654" t="s">
        <v>1134</v>
      </c>
      <c r="K5237" s="809"/>
      <c r="L5237" s="814"/>
      <c r="M5237" s="1012"/>
      <c r="N5237" s="75"/>
    </row>
    <row r="5238" spans="1:14" ht="20.399999999999999">
      <c r="A5238" s="663"/>
      <c r="B5238" s="3130" t="s">
        <v>365</v>
      </c>
      <c r="C5238" s="759" t="s">
        <v>323</v>
      </c>
      <c r="D5238" s="988" t="s">
        <v>1980</v>
      </c>
      <c r="E5238" s="999" t="s">
        <v>3331</v>
      </c>
      <c r="F5238" s="1001">
        <v>2121</v>
      </c>
      <c r="G5238" s="750" t="s">
        <v>3438</v>
      </c>
      <c r="H5238" s="816"/>
      <c r="I5238" s="816">
        <v>8000</v>
      </c>
      <c r="J5238" s="1654" t="s">
        <v>1134</v>
      </c>
      <c r="K5238" s="809"/>
      <c r="L5238" s="814"/>
      <c r="M5238" s="1012"/>
      <c r="N5238" s="75" t="s">
        <v>3665</v>
      </c>
    </row>
    <row r="5239" spans="1:14" ht="20.399999999999999">
      <c r="A5239" s="663"/>
      <c r="B5239" s="3130" t="s">
        <v>365</v>
      </c>
      <c r="C5239" s="759" t="s">
        <v>323</v>
      </c>
      <c r="D5239" s="988" t="s">
        <v>1980</v>
      </c>
      <c r="E5239" s="999" t="s">
        <v>3331</v>
      </c>
      <c r="F5239" s="1001">
        <v>2121</v>
      </c>
      <c r="G5239" s="2325" t="s">
        <v>4487</v>
      </c>
      <c r="H5239" s="2327"/>
      <c r="I5239" s="2327"/>
      <c r="J5239" s="2348" t="s">
        <v>1134</v>
      </c>
      <c r="K5239" s="2349"/>
      <c r="L5239" s="2327"/>
      <c r="M5239" s="2336">
        <v>6000</v>
      </c>
      <c r="N5239" s="75"/>
    </row>
    <row r="5240" spans="1:14" ht="20.399999999999999">
      <c r="A5240" s="683"/>
      <c r="B5240" s="3129" t="s">
        <v>365</v>
      </c>
      <c r="C5240" s="696" t="s">
        <v>323</v>
      </c>
      <c r="D5240" s="984" t="s">
        <v>1980</v>
      </c>
      <c r="E5240" s="994" t="s">
        <v>3331</v>
      </c>
      <c r="F5240" s="996">
        <v>2122</v>
      </c>
      <c r="G5240" s="800" t="s">
        <v>1038</v>
      </c>
      <c r="H5240" s="1070">
        <v>22554</v>
      </c>
      <c r="I5240" s="1070"/>
      <c r="J5240" s="1654">
        <v>13658.36</v>
      </c>
      <c r="K5240" s="842"/>
      <c r="L5240" s="997">
        <v>19000</v>
      </c>
      <c r="M5240" s="2322"/>
      <c r="N5240" s="75"/>
    </row>
    <row r="5241" spans="1:14" ht="20.399999999999999">
      <c r="A5241" s="663"/>
      <c r="B5241" s="3130" t="s">
        <v>365</v>
      </c>
      <c r="C5241" s="759" t="s">
        <v>323</v>
      </c>
      <c r="D5241" s="988" t="s">
        <v>1980</v>
      </c>
      <c r="E5241" s="999" t="s">
        <v>3331</v>
      </c>
      <c r="F5241" s="1001">
        <v>2122</v>
      </c>
      <c r="G5241" s="2325" t="s">
        <v>4487</v>
      </c>
      <c r="H5241" s="2327"/>
      <c r="I5241" s="2327"/>
      <c r="J5241" s="2348" t="s">
        <v>1134</v>
      </c>
      <c r="K5241" s="2349"/>
      <c r="L5241" s="2328"/>
      <c r="M5241" s="2336">
        <v>19000</v>
      </c>
      <c r="N5241" s="75"/>
    </row>
    <row r="5242" spans="1:14">
      <c r="A5242" s="2679"/>
      <c r="B5242" s="3130" t="s">
        <v>365</v>
      </c>
      <c r="C5242" s="759" t="s">
        <v>323</v>
      </c>
      <c r="D5242" s="988" t="s">
        <v>1980</v>
      </c>
      <c r="E5242" s="999" t="s">
        <v>3331</v>
      </c>
      <c r="F5242" s="1001">
        <v>2122</v>
      </c>
      <c r="G5242" s="3250" t="s">
        <v>5307</v>
      </c>
      <c r="H5242" s="3251"/>
      <c r="I5242" s="3251"/>
      <c r="J5242" s="3252"/>
      <c r="K5242" s="3253"/>
      <c r="L5242" s="3254"/>
      <c r="M5242" s="3255"/>
      <c r="N5242" s="75"/>
    </row>
    <row r="5243" spans="1:14" ht="30.6">
      <c r="A5243" s="663"/>
      <c r="B5243" s="3130" t="s">
        <v>365</v>
      </c>
      <c r="C5243" s="759" t="s">
        <v>323</v>
      </c>
      <c r="D5243" s="988" t="s">
        <v>1980</v>
      </c>
      <c r="E5243" s="999" t="s">
        <v>3331</v>
      </c>
      <c r="F5243" s="1001">
        <v>2122</v>
      </c>
      <c r="G5243" s="750" t="s">
        <v>2626</v>
      </c>
      <c r="H5243" s="816"/>
      <c r="I5243" s="816">
        <v>6000</v>
      </c>
      <c r="J5243" s="1654" t="s">
        <v>1134</v>
      </c>
      <c r="K5243" s="809"/>
      <c r="L5243" s="814"/>
      <c r="M5243" s="1012"/>
      <c r="N5243" s="75"/>
    </row>
    <row r="5244" spans="1:14" ht="20.399999999999999">
      <c r="A5244" s="663"/>
      <c r="B5244" s="3130" t="s">
        <v>365</v>
      </c>
      <c r="C5244" s="759" t="s">
        <v>323</v>
      </c>
      <c r="D5244" s="988" t="s">
        <v>1980</v>
      </c>
      <c r="E5244" s="999" t="s">
        <v>3331</v>
      </c>
      <c r="F5244" s="1001">
        <v>2122</v>
      </c>
      <c r="G5244" s="750" t="s">
        <v>2029</v>
      </c>
      <c r="H5244" s="816"/>
      <c r="I5244" s="816">
        <v>5000</v>
      </c>
      <c r="J5244" s="1654" t="s">
        <v>1134</v>
      </c>
      <c r="K5244" s="809"/>
      <c r="L5244" s="814"/>
      <c r="M5244" s="1012"/>
      <c r="N5244" s="75"/>
    </row>
    <row r="5245" spans="1:14" ht="20.399999999999999">
      <c r="A5245" s="663"/>
      <c r="B5245" s="3130" t="s">
        <v>365</v>
      </c>
      <c r="C5245" s="759" t="s">
        <v>323</v>
      </c>
      <c r="D5245" s="988" t="s">
        <v>1980</v>
      </c>
      <c r="E5245" s="999" t="s">
        <v>3331</v>
      </c>
      <c r="F5245" s="1001">
        <v>2122</v>
      </c>
      <c r="G5245" s="1153" t="s">
        <v>3238</v>
      </c>
      <c r="H5245" s="816"/>
      <c r="I5245" s="816">
        <v>2000</v>
      </c>
      <c r="J5245" s="1654" t="s">
        <v>1134</v>
      </c>
      <c r="K5245" s="809"/>
      <c r="L5245" s="814"/>
      <c r="M5245" s="1012"/>
      <c r="N5245" s="75"/>
    </row>
    <row r="5246" spans="1:14" ht="20.399999999999999">
      <c r="A5246" s="663"/>
      <c r="B5246" s="3130" t="s">
        <v>365</v>
      </c>
      <c r="C5246" s="759" t="s">
        <v>323</v>
      </c>
      <c r="D5246" s="988" t="s">
        <v>1980</v>
      </c>
      <c r="E5246" s="999" t="s">
        <v>3331</v>
      </c>
      <c r="F5246" s="1001">
        <v>2122</v>
      </c>
      <c r="G5246" s="750" t="s">
        <v>3239</v>
      </c>
      <c r="H5246" s="816"/>
      <c r="I5246" s="816">
        <v>800</v>
      </c>
      <c r="J5246" s="1654" t="s">
        <v>1134</v>
      </c>
      <c r="K5246" s="809"/>
      <c r="L5246" s="814"/>
      <c r="M5246" s="1012"/>
      <c r="N5246" s="75"/>
    </row>
    <row r="5247" spans="1:14" ht="20.399999999999999">
      <c r="A5247" s="1495"/>
      <c r="B5247" s="3138" t="s">
        <v>365</v>
      </c>
      <c r="C5247" s="1633" t="s">
        <v>323</v>
      </c>
      <c r="D5247" s="1634" t="s">
        <v>1980</v>
      </c>
      <c r="E5247" s="1641" t="s">
        <v>3331</v>
      </c>
      <c r="F5247" s="1638">
        <v>2122</v>
      </c>
      <c r="G5247" s="1569" t="s">
        <v>3438</v>
      </c>
      <c r="H5247" s="1570"/>
      <c r="I5247" s="1570">
        <v>8754</v>
      </c>
      <c r="J5247" s="1642"/>
      <c r="K5247" s="1640"/>
      <c r="L5247" s="1639"/>
      <c r="M5247" s="1642"/>
      <c r="N5247" s="75"/>
    </row>
    <row r="5248" spans="1:14" ht="20.399999999999999">
      <c r="A5248" s="683"/>
      <c r="B5248" s="3129" t="s">
        <v>773</v>
      </c>
      <c r="C5248" s="696" t="s">
        <v>323</v>
      </c>
      <c r="D5248" s="984" t="s">
        <v>1980</v>
      </c>
      <c r="E5248" s="994" t="s">
        <v>3331</v>
      </c>
      <c r="F5248" s="996">
        <v>2122</v>
      </c>
      <c r="G5248" s="800" t="s">
        <v>1038</v>
      </c>
      <c r="H5248" s="1070"/>
      <c r="I5248" s="1070"/>
      <c r="J5248" s="1654"/>
      <c r="K5248" s="842"/>
      <c r="L5248" s="997">
        <v>8888.4</v>
      </c>
      <c r="M5248" s="2322"/>
      <c r="N5248" s="75"/>
    </row>
    <row r="5249" spans="1:14" ht="20.399999999999999">
      <c r="A5249" s="663"/>
      <c r="B5249" s="3130" t="s">
        <v>773</v>
      </c>
      <c r="C5249" s="759" t="s">
        <v>323</v>
      </c>
      <c r="D5249" s="988" t="s">
        <v>1980</v>
      </c>
      <c r="E5249" s="999" t="s">
        <v>3331</v>
      </c>
      <c r="F5249" s="1001">
        <v>2122</v>
      </c>
      <c r="G5249" s="2195" t="s">
        <v>4487</v>
      </c>
      <c r="H5249" s="2328"/>
      <c r="I5249" s="2328">
        <v>0</v>
      </c>
      <c r="J5249" s="2329" t="s">
        <v>1134</v>
      </c>
      <c r="K5249" s="2330"/>
      <c r="L5249" s="2333"/>
      <c r="M5249" s="2333">
        <v>8888.4</v>
      </c>
      <c r="N5249" s="75"/>
    </row>
    <row r="5250" spans="1:14">
      <c r="A5250" s="683"/>
      <c r="B5250" s="3129" t="s">
        <v>365</v>
      </c>
      <c r="C5250" s="696" t="s">
        <v>323</v>
      </c>
      <c r="D5250" s="984" t="s">
        <v>1980</v>
      </c>
      <c r="E5250" s="2350" t="s">
        <v>3331</v>
      </c>
      <c r="F5250" s="996">
        <v>2233</v>
      </c>
      <c r="G5250" s="800" t="s">
        <v>1039</v>
      </c>
      <c r="H5250" s="1070">
        <v>200</v>
      </c>
      <c r="I5250" s="1070"/>
      <c r="J5250" s="1654">
        <v>0</v>
      </c>
      <c r="K5250" s="842"/>
      <c r="L5250" s="997">
        <v>1500</v>
      </c>
      <c r="M5250" s="2322"/>
      <c r="N5250" s="75"/>
    </row>
    <row r="5251" spans="1:14" ht="20.399999999999999">
      <c r="A5251" s="663"/>
      <c r="B5251" s="3130" t="s">
        <v>365</v>
      </c>
      <c r="C5251" s="759" t="s">
        <v>323</v>
      </c>
      <c r="D5251" s="988" t="s">
        <v>1980</v>
      </c>
      <c r="E5251" s="999" t="s">
        <v>3331</v>
      </c>
      <c r="F5251" s="1001">
        <v>2233</v>
      </c>
      <c r="G5251" s="2325" t="s">
        <v>4487</v>
      </c>
      <c r="H5251" s="2327"/>
      <c r="I5251" s="2327"/>
      <c r="J5251" s="2348" t="s">
        <v>1134</v>
      </c>
      <c r="K5251" s="2349"/>
      <c r="L5251" s="2327"/>
      <c r="M5251" s="2336">
        <v>1500</v>
      </c>
      <c r="N5251" s="75"/>
    </row>
    <row r="5252" spans="1:14" ht="30.6">
      <c r="A5252" s="663"/>
      <c r="B5252" s="3130" t="s">
        <v>365</v>
      </c>
      <c r="C5252" s="759" t="s">
        <v>323</v>
      </c>
      <c r="D5252" s="988" t="s">
        <v>1980</v>
      </c>
      <c r="E5252" s="999" t="s">
        <v>3331</v>
      </c>
      <c r="F5252" s="1001">
        <v>2233</v>
      </c>
      <c r="G5252" s="750" t="s">
        <v>2626</v>
      </c>
      <c r="H5252" s="816"/>
      <c r="I5252" s="816">
        <v>6000</v>
      </c>
      <c r="J5252" s="1654" t="s">
        <v>1134</v>
      </c>
      <c r="K5252" s="809"/>
      <c r="L5252" s="814"/>
      <c r="M5252" s="1012"/>
      <c r="N5252" s="75"/>
    </row>
    <row r="5253" spans="1:14">
      <c r="A5253" s="663"/>
      <c r="B5253" s="3130" t="s">
        <v>365</v>
      </c>
      <c r="C5253" s="759" t="s">
        <v>323</v>
      </c>
      <c r="D5253" s="988" t="s">
        <v>1980</v>
      </c>
      <c r="E5253" s="999" t="s">
        <v>3331</v>
      </c>
      <c r="F5253" s="1001">
        <v>2233</v>
      </c>
      <c r="G5253" s="750" t="s">
        <v>1873</v>
      </c>
      <c r="H5253" s="816"/>
      <c r="I5253" s="816">
        <v>-5000</v>
      </c>
      <c r="J5253" s="1654" t="s">
        <v>1134</v>
      </c>
      <c r="K5253" s="809"/>
      <c r="L5253" s="814"/>
      <c r="M5253" s="1012"/>
      <c r="N5253" s="1610"/>
    </row>
    <row r="5254" spans="1:14" ht="20.399999999999999">
      <c r="A5254" s="663"/>
      <c r="B5254" s="3130" t="s">
        <v>365</v>
      </c>
      <c r="C5254" s="759" t="s">
        <v>323</v>
      </c>
      <c r="D5254" s="988" t="s">
        <v>1980</v>
      </c>
      <c r="E5254" s="999" t="s">
        <v>3331</v>
      </c>
      <c r="F5254" s="1001">
        <v>2233</v>
      </c>
      <c r="G5254" s="750" t="s">
        <v>3239</v>
      </c>
      <c r="H5254" s="816"/>
      <c r="I5254" s="816">
        <v>-800</v>
      </c>
      <c r="J5254" s="1654" t="s">
        <v>1134</v>
      </c>
      <c r="K5254" s="809"/>
      <c r="L5254" s="814"/>
      <c r="M5254" s="1012"/>
      <c r="N5254" s="1610"/>
    </row>
    <row r="5255" spans="1:14">
      <c r="A5255" s="683"/>
      <c r="B5255" s="3129" t="s">
        <v>365</v>
      </c>
      <c r="C5255" s="696" t="s">
        <v>323</v>
      </c>
      <c r="D5255" s="984" t="s">
        <v>1980</v>
      </c>
      <c r="E5255" s="2350" t="s">
        <v>3331</v>
      </c>
      <c r="F5255" s="996">
        <v>2239</v>
      </c>
      <c r="G5255" s="800" t="s">
        <v>1017</v>
      </c>
      <c r="H5255" s="1070">
        <v>450</v>
      </c>
      <c r="I5255" s="1070"/>
      <c r="J5255" s="1654">
        <v>0</v>
      </c>
      <c r="K5255" s="842"/>
      <c r="L5255" s="997">
        <v>1500</v>
      </c>
      <c r="M5255" s="2322"/>
      <c r="N5255" s="75"/>
    </row>
    <row r="5256" spans="1:14" ht="20.399999999999999">
      <c r="A5256" s="663"/>
      <c r="B5256" s="3130" t="s">
        <v>365</v>
      </c>
      <c r="C5256" s="759" t="s">
        <v>323</v>
      </c>
      <c r="D5256" s="988" t="s">
        <v>1980</v>
      </c>
      <c r="E5256" s="999" t="s">
        <v>3331</v>
      </c>
      <c r="F5256" s="1001">
        <v>2239</v>
      </c>
      <c r="G5256" s="2325" t="s">
        <v>4487</v>
      </c>
      <c r="H5256" s="2327"/>
      <c r="I5256" s="2327"/>
      <c r="J5256" s="2348" t="s">
        <v>1134</v>
      </c>
      <c r="K5256" s="2349"/>
      <c r="L5256" s="2327"/>
      <c r="M5256" s="2336">
        <v>1500</v>
      </c>
      <c r="N5256" s="75"/>
    </row>
    <row r="5257" spans="1:14" ht="30.6">
      <c r="A5257" s="663"/>
      <c r="B5257" s="3130" t="s">
        <v>365</v>
      </c>
      <c r="C5257" s="759" t="s">
        <v>323</v>
      </c>
      <c r="D5257" s="988" t="s">
        <v>1980</v>
      </c>
      <c r="E5257" s="999" t="s">
        <v>3331</v>
      </c>
      <c r="F5257" s="1001">
        <v>2239</v>
      </c>
      <c r="G5257" s="750" t="s">
        <v>2626</v>
      </c>
      <c r="H5257" s="816"/>
      <c r="I5257" s="816">
        <v>450</v>
      </c>
      <c r="J5257" s="1654" t="s">
        <v>1134</v>
      </c>
      <c r="K5257" s="809"/>
      <c r="L5257" s="814"/>
      <c r="M5257" s="1012"/>
      <c r="N5257" s="125" t="s">
        <v>4833</v>
      </c>
    </row>
    <row r="5258" spans="1:14">
      <c r="A5258" s="683"/>
      <c r="B5258" s="3129" t="s">
        <v>365</v>
      </c>
      <c r="C5258" s="696" t="s">
        <v>323</v>
      </c>
      <c r="D5258" s="984" t="s">
        <v>1980</v>
      </c>
      <c r="E5258" s="994" t="s">
        <v>1963</v>
      </c>
      <c r="F5258" s="996">
        <v>1147</v>
      </c>
      <c r="G5258" s="800" t="s">
        <v>428</v>
      </c>
      <c r="H5258" s="997">
        <v>6000</v>
      </c>
      <c r="I5258" s="1070"/>
      <c r="J5258" s="1654">
        <v>809.13</v>
      </c>
      <c r="K5258" s="842"/>
      <c r="L5258" s="997">
        <v>1000</v>
      </c>
      <c r="M5258" s="2322"/>
      <c r="N5258" s="75"/>
    </row>
    <row r="5259" spans="1:14">
      <c r="A5259" s="663"/>
      <c r="B5259" s="3130" t="s">
        <v>365</v>
      </c>
      <c r="C5259" s="759" t="s">
        <v>323</v>
      </c>
      <c r="D5259" s="988" t="s">
        <v>1980</v>
      </c>
      <c r="E5259" s="999" t="s">
        <v>1963</v>
      </c>
      <c r="F5259" s="1001">
        <v>1147</v>
      </c>
      <c r="G5259" s="2325" t="s">
        <v>4491</v>
      </c>
      <c r="H5259" s="2327"/>
      <c r="I5259" s="2327"/>
      <c r="J5259" s="2348" t="s">
        <v>1134</v>
      </c>
      <c r="K5259" s="2349"/>
      <c r="L5259" s="2327"/>
      <c r="M5259" s="2336">
        <v>1000</v>
      </c>
      <c r="N5259" s="75"/>
    </row>
    <row r="5260" spans="1:14">
      <c r="A5260" s="663"/>
      <c r="B5260" s="3130" t="s">
        <v>365</v>
      </c>
      <c r="C5260" s="759" t="s">
        <v>323</v>
      </c>
      <c r="D5260" s="988" t="s">
        <v>1980</v>
      </c>
      <c r="E5260" s="999" t="s">
        <v>1963</v>
      </c>
      <c r="F5260" s="1001">
        <v>1147</v>
      </c>
      <c r="G5260" s="750" t="s">
        <v>2627</v>
      </c>
      <c r="H5260" s="816"/>
      <c r="I5260" s="816">
        <v>6000</v>
      </c>
      <c r="J5260" s="1654" t="s">
        <v>1134</v>
      </c>
      <c r="K5260" s="809"/>
      <c r="L5260" s="814"/>
      <c r="M5260" s="1012"/>
      <c r="N5260" s="75"/>
    </row>
    <row r="5261" spans="1:14" ht="20.399999999999999">
      <c r="A5261" s="683"/>
      <c r="B5261" s="3129" t="s">
        <v>365</v>
      </c>
      <c r="C5261" s="696" t="s">
        <v>323</v>
      </c>
      <c r="D5261" s="984" t="s">
        <v>1980</v>
      </c>
      <c r="E5261" s="994" t="s">
        <v>1963</v>
      </c>
      <c r="F5261" s="996">
        <v>1210</v>
      </c>
      <c r="G5261" s="800" t="s">
        <v>402</v>
      </c>
      <c r="H5261" s="997">
        <v>500</v>
      </c>
      <c r="I5261" s="1070"/>
      <c r="J5261" s="1654">
        <v>190.87</v>
      </c>
      <c r="K5261" s="842"/>
      <c r="L5261" s="997">
        <v>500</v>
      </c>
      <c r="M5261" s="2322"/>
      <c r="N5261" s="75"/>
    </row>
    <row r="5262" spans="1:14">
      <c r="A5262" s="663"/>
      <c r="B5262" s="3130" t="s">
        <v>365</v>
      </c>
      <c r="C5262" s="759" t="s">
        <v>323</v>
      </c>
      <c r="D5262" s="988" t="s">
        <v>1980</v>
      </c>
      <c r="E5262" s="999" t="s">
        <v>1963</v>
      </c>
      <c r="F5262" s="1001">
        <v>1210</v>
      </c>
      <c r="G5262" s="2325" t="s">
        <v>4491</v>
      </c>
      <c r="H5262" s="2327"/>
      <c r="I5262" s="2327"/>
      <c r="J5262" s="2348" t="s">
        <v>1134</v>
      </c>
      <c r="K5262" s="2349"/>
      <c r="L5262" s="2327"/>
      <c r="M5262" s="2336">
        <v>500</v>
      </c>
      <c r="N5262" s="75"/>
    </row>
    <row r="5263" spans="1:14">
      <c r="A5263" s="663"/>
      <c r="B5263" s="3130" t="s">
        <v>365</v>
      </c>
      <c r="C5263" s="759" t="s">
        <v>323</v>
      </c>
      <c r="D5263" s="988" t="s">
        <v>1980</v>
      </c>
      <c r="E5263" s="999" t="s">
        <v>1963</v>
      </c>
      <c r="F5263" s="1001">
        <v>1210</v>
      </c>
      <c r="G5263" s="750" t="s">
        <v>2628</v>
      </c>
      <c r="H5263" s="816"/>
      <c r="I5263" s="816">
        <v>500</v>
      </c>
      <c r="J5263" s="1654" t="s">
        <v>1134</v>
      </c>
      <c r="K5263" s="809"/>
      <c r="L5263" s="814"/>
      <c r="M5263" s="1012"/>
      <c r="N5263" s="75"/>
    </row>
    <row r="5264" spans="1:14">
      <c r="A5264" s="683"/>
      <c r="B5264" s="3129" t="s">
        <v>365</v>
      </c>
      <c r="C5264" s="696" t="s">
        <v>323</v>
      </c>
      <c r="D5264" s="984" t="s">
        <v>1980</v>
      </c>
      <c r="E5264" s="994" t="s">
        <v>1963</v>
      </c>
      <c r="F5264" s="996">
        <v>2121</v>
      </c>
      <c r="G5264" s="800" t="s">
        <v>1037</v>
      </c>
      <c r="H5264" s="997">
        <v>19750</v>
      </c>
      <c r="I5264" s="1070"/>
      <c r="J5264" s="1654">
        <v>7725</v>
      </c>
      <c r="K5264" s="842"/>
      <c r="L5264" s="997">
        <v>3320</v>
      </c>
      <c r="M5264" s="2322"/>
      <c r="N5264" s="75"/>
    </row>
    <row r="5265" spans="1:14">
      <c r="A5265" s="663"/>
      <c r="B5265" s="3130" t="s">
        <v>365</v>
      </c>
      <c r="C5265" s="759" t="s">
        <v>323</v>
      </c>
      <c r="D5265" s="988" t="s">
        <v>1980</v>
      </c>
      <c r="E5265" s="999" t="s">
        <v>1963</v>
      </c>
      <c r="F5265" s="1001">
        <v>2121</v>
      </c>
      <c r="G5265" s="2325" t="s">
        <v>4491</v>
      </c>
      <c r="H5265" s="2327"/>
      <c r="I5265" s="2327"/>
      <c r="J5265" s="2348" t="s">
        <v>1134</v>
      </c>
      <c r="K5265" s="2349"/>
      <c r="L5265" s="2327"/>
      <c r="M5265" s="2336">
        <v>3320</v>
      </c>
      <c r="N5265" s="75"/>
    </row>
    <row r="5266" spans="1:14">
      <c r="A5266" s="663"/>
      <c r="B5266" s="3130" t="s">
        <v>365</v>
      </c>
      <c r="C5266" s="759" t="s">
        <v>323</v>
      </c>
      <c r="D5266" s="988" t="s">
        <v>1980</v>
      </c>
      <c r="E5266" s="999" t="s">
        <v>1963</v>
      </c>
      <c r="F5266" s="1001">
        <v>2121</v>
      </c>
      <c r="G5266" s="750" t="s">
        <v>2627</v>
      </c>
      <c r="H5266" s="816"/>
      <c r="I5266" s="816">
        <v>13000</v>
      </c>
      <c r="J5266" s="1654" t="s">
        <v>1134</v>
      </c>
      <c r="K5266" s="809"/>
      <c r="L5266" s="814"/>
      <c r="M5266" s="1012"/>
      <c r="N5266" s="75"/>
    </row>
    <row r="5267" spans="1:14" ht="20.399999999999999">
      <c r="A5267" s="663"/>
      <c r="B5267" s="3130" t="s">
        <v>365</v>
      </c>
      <c r="C5267" s="759" t="s">
        <v>323</v>
      </c>
      <c r="D5267" s="988" t="s">
        <v>1980</v>
      </c>
      <c r="E5267" s="999" t="s">
        <v>1963</v>
      </c>
      <c r="F5267" s="1001">
        <v>2121</v>
      </c>
      <c r="G5267" s="750" t="s">
        <v>3341</v>
      </c>
      <c r="H5267" s="816"/>
      <c r="I5267" s="816">
        <v>-250</v>
      </c>
      <c r="J5267" s="1654" t="s">
        <v>1134</v>
      </c>
      <c r="K5267" s="809"/>
      <c r="L5267" s="814"/>
      <c r="M5267" s="1012"/>
      <c r="N5267" s="75"/>
    </row>
    <row r="5268" spans="1:14" ht="40.799999999999997">
      <c r="A5268" s="663"/>
      <c r="B5268" s="3130" t="s">
        <v>365</v>
      </c>
      <c r="C5268" s="759" t="s">
        <v>323</v>
      </c>
      <c r="D5268" s="988" t="s">
        <v>1980</v>
      </c>
      <c r="E5268" s="999" t="s">
        <v>1963</v>
      </c>
      <c r="F5268" s="1001">
        <v>2121</v>
      </c>
      <c r="G5268" s="750" t="s">
        <v>3439</v>
      </c>
      <c r="H5268" s="816"/>
      <c r="I5268" s="816">
        <v>7000</v>
      </c>
      <c r="J5268" s="1654" t="s">
        <v>1134</v>
      </c>
      <c r="K5268" s="809"/>
      <c r="L5268" s="814"/>
      <c r="M5268" s="1012"/>
      <c r="N5268" s="75"/>
    </row>
    <row r="5269" spans="1:14" ht="20.399999999999999">
      <c r="A5269" s="683"/>
      <c r="B5269" s="3129" t="s">
        <v>365</v>
      </c>
      <c r="C5269" s="696" t="s">
        <v>323</v>
      </c>
      <c r="D5269" s="984" t="s">
        <v>1980</v>
      </c>
      <c r="E5269" s="994" t="s">
        <v>1963</v>
      </c>
      <c r="F5269" s="996">
        <v>2122</v>
      </c>
      <c r="G5269" s="800" t="s">
        <v>1038</v>
      </c>
      <c r="H5269" s="1070">
        <v>3968</v>
      </c>
      <c r="I5269" s="1070"/>
      <c r="J5269" s="1654">
        <v>0</v>
      </c>
      <c r="K5269" s="842"/>
      <c r="L5269" s="997">
        <v>3320</v>
      </c>
      <c r="M5269" s="2322"/>
      <c r="N5269" s="75"/>
    </row>
    <row r="5270" spans="1:14">
      <c r="A5270" s="663"/>
      <c r="B5270" s="3130" t="s">
        <v>365</v>
      </c>
      <c r="C5270" s="759" t="s">
        <v>323</v>
      </c>
      <c r="D5270" s="988" t="s">
        <v>1980</v>
      </c>
      <c r="E5270" s="999" t="s">
        <v>1963</v>
      </c>
      <c r="F5270" s="1001">
        <v>2122</v>
      </c>
      <c r="G5270" s="2325" t="s">
        <v>4491</v>
      </c>
      <c r="H5270" s="2327"/>
      <c r="I5270" s="2327"/>
      <c r="J5270" s="2348" t="s">
        <v>1134</v>
      </c>
      <c r="K5270" s="2349"/>
      <c r="L5270" s="2327"/>
      <c r="M5270" s="2336">
        <v>3320</v>
      </c>
      <c r="N5270" s="75"/>
    </row>
    <row r="5271" spans="1:14">
      <c r="A5271" s="2679"/>
      <c r="B5271" s="3130" t="s">
        <v>365</v>
      </c>
      <c r="C5271" s="759" t="s">
        <v>323</v>
      </c>
      <c r="D5271" s="988" t="s">
        <v>1980</v>
      </c>
      <c r="E5271" s="999" t="s">
        <v>1963</v>
      </c>
      <c r="F5271" s="1001">
        <v>2122</v>
      </c>
      <c r="G5271" s="3250" t="s">
        <v>5308</v>
      </c>
      <c r="H5271" s="3251"/>
      <c r="I5271" s="3251"/>
      <c r="J5271" s="3252"/>
      <c r="K5271" s="3253"/>
      <c r="L5271" s="3251"/>
      <c r="M5271" s="3255"/>
      <c r="N5271" s="75" t="s">
        <v>152</v>
      </c>
    </row>
    <row r="5272" spans="1:14">
      <c r="A5272" s="663"/>
      <c r="B5272" s="3130" t="s">
        <v>365</v>
      </c>
      <c r="C5272" s="759" t="s">
        <v>323</v>
      </c>
      <c r="D5272" s="988" t="s">
        <v>1980</v>
      </c>
      <c r="E5272" s="999" t="s">
        <v>1963</v>
      </c>
      <c r="F5272" s="1001">
        <v>2122</v>
      </c>
      <c r="G5272" s="750" t="s">
        <v>2627</v>
      </c>
      <c r="H5272" s="816"/>
      <c r="I5272" s="816">
        <v>5140</v>
      </c>
      <c r="J5272" s="1654" t="s">
        <v>1134</v>
      </c>
      <c r="K5272" s="809"/>
      <c r="L5272" s="814"/>
      <c r="M5272" s="1012"/>
      <c r="N5272" s="75"/>
    </row>
    <row r="5273" spans="1:14" ht="20.399999999999999">
      <c r="A5273" s="663"/>
      <c r="B5273" s="3130" t="s">
        <v>365</v>
      </c>
      <c r="C5273" s="759" t="s">
        <v>323</v>
      </c>
      <c r="D5273" s="988" t="s">
        <v>1980</v>
      </c>
      <c r="E5273" s="999" t="s">
        <v>1963</v>
      </c>
      <c r="F5273" s="1001">
        <v>2122</v>
      </c>
      <c r="G5273" s="750" t="s">
        <v>3072</v>
      </c>
      <c r="H5273" s="816"/>
      <c r="I5273" s="816">
        <v>-2000</v>
      </c>
      <c r="J5273" s="1654" t="s">
        <v>1134</v>
      </c>
      <c r="K5273" s="809"/>
      <c r="L5273" s="814"/>
      <c r="M5273" s="1012"/>
      <c r="N5273" s="75"/>
    </row>
    <row r="5274" spans="1:14" ht="20.399999999999999">
      <c r="A5274" s="663"/>
      <c r="B5274" s="3130" t="s">
        <v>365</v>
      </c>
      <c r="C5274" s="759" t="s">
        <v>323</v>
      </c>
      <c r="D5274" s="988" t="s">
        <v>1980</v>
      </c>
      <c r="E5274" s="999" t="s">
        <v>1963</v>
      </c>
      <c r="F5274" s="1001">
        <v>2122</v>
      </c>
      <c r="G5274" s="750" t="s">
        <v>3334</v>
      </c>
      <c r="H5274" s="816"/>
      <c r="I5274" s="816">
        <v>-100</v>
      </c>
      <c r="J5274" s="1654" t="s">
        <v>1134</v>
      </c>
      <c r="K5274" s="809"/>
      <c r="L5274" s="814"/>
      <c r="M5274" s="1012"/>
      <c r="N5274" s="75"/>
    </row>
    <row r="5275" spans="1:14">
      <c r="A5275" s="663"/>
      <c r="B5275" s="3130" t="s">
        <v>365</v>
      </c>
      <c r="C5275" s="759" t="s">
        <v>323</v>
      </c>
      <c r="D5275" s="988" t="s">
        <v>1980</v>
      </c>
      <c r="E5275" s="999" t="s">
        <v>1963</v>
      </c>
      <c r="F5275" s="1001">
        <v>2122</v>
      </c>
      <c r="G5275" s="750" t="s">
        <v>2925</v>
      </c>
      <c r="H5275" s="816"/>
      <c r="I5275" s="816">
        <v>9328</v>
      </c>
      <c r="J5275" s="1654" t="s">
        <v>1134</v>
      </c>
      <c r="K5275" s="809"/>
      <c r="L5275" s="814"/>
      <c r="M5275" s="1012"/>
      <c r="N5275" s="75"/>
    </row>
    <row r="5276" spans="1:14" ht="20.399999999999999">
      <c r="A5276" s="663"/>
      <c r="B5276" s="3130" t="s">
        <v>365</v>
      </c>
      <c r="C5276" s="759" t="s">
        <v>323</v>
      </c>
      <c r="D5276" s="988" t="s">
        <v>1980</v>
      </c>
      <c r="E5276" s="999" t="s">
        <v>1963</v>
      </c>
      <c r="F5276" s="1001">
        <v>2122</v>
      </c>
      <c r="G5276" s="750" t="s">
        <v>3335</v>
      </c>
      <c r="H5276" s="816"/>
      <c r="I5276" s="816">
        <v>-200</v>
      </c>
      <c r="J5276" s="1654" t="s">
        <v>1134</v>
      </c>
      <c r="K5276" s="809"/>
      <c r="L5276" s="814"/>
      <c r="M5276" s="1012"/>
      <c r="N5276" s="305"/>
    </row>
    <row r="5277" spans="1:14" ht="20.399999999999999">
      <c r="A5277" s="663"/>
      <c r="B5277" s="3130" t="s">
        <v>365</v>
      </c>
      <c r="C5277" s="759" t="s">
        <v>323</v>
      </c>
      <c r="D5277" s="988" t="s">
        <v>1980</v>
      </c>
      <c r="E5277" s="999" t="s">
        <v>1963</v>
      </c>
      <c r="F5277" s="1001">
        <v>2122</v>
      </c>
      <c r="G5277" s="750" t="s">
        <v>3336</v>
      </c>
      <c r="H5277" s="816"/>
      <c r="I5277" s="816">
        <v>-2000</v>
      </c>
      <c r="J5277" s="1654" t="s">
        <v>1134</v>
      </c>
      <c r="K5277" s="809"/>
      <c r="L5277" s="814"/>
      <c r="M5277" s="1012"/>
      <c r="N5277" s="305"/>
    </row>
    <row r="5278" spans="1:14" ht="20.399999999999999">
      <c r="A5278" s="663"/>
      <c r="B5278" s="3130" t="s">
        <v>365</v>
      </c>
      <c r="C5278" s="759" t="s">
        <v>323</v>
      </c>
      <c r="D5278" s="988" t="s">
        <v>1980</v>
      </c>
      <c r="E5278" s="999" t="s">
        <v>1963</v>
      </c>
      <c r="F5278" s="1001">
        <v>2122</v>
      </c>
      <c r="G5278" s="750" t="s">
        <v>3337</v>
      </c>
      <c r="H5278" s="816"/>
      <c r="I5278" s="816">
        <v>-200</v>
      </c>
      <c r="J5278" s="1654" t="s">
        <v>1134</v>
      </c>
      <c r="K5278" s="809"/>
      <c r="L5278" s="814"/>
      <c r="M5278" s="1012"/>
      <c r="N5278" s="305"/>
    </row>
    <row r="5279" spans="1:14" ht="20.399999999999999">
      <c r="A5279" s="663"/>
      <c r="B5279" s="3130" t="s">
        <v>365</v>
      </c>
      <c r="C5279" s="759" t="s">
        <v>323</v>
      </c>
      <c r="D5279" s="988" t="s">
        <v>1980</v>
      </c>
      <c r="E5279" s="999" t="s">
        <v>1963</v>
      </c>
      <c r="F5279" s="1001">
        <v>2122</v>
      </c>
      <c r="G5279" s="750" t="s">
        <v>3338</v>
      </c>
      <c r="H5279" s="816"/>
      <c r="I5279" s="816">
        <v>-6000</v>
      </c>
      <c r="J5279" s="1654" t="s">
        <v>1134</v>
      </c>
      <c r="K5279" s="809"/>
      <c r="L5279" s="814"/>
      <c r="M5279" s="1012"/>
      <c r="N5279" s="305"/>
    </row>
    <row r="5280" spans="1:14" ht="20.399999999999999">
      <c r="A5280" s="683"/>
      <c r="B5280" s="3129" t="s">
        <v>773</v>
      </c>
      <c r="C5280" s="696" t="s">
        <v>323</v>
      </c>
      <c r="D5280" s="984" t="s">
        <v>1980</v>
      </c>
      <c r="E5280" s="994" t="s">
        <v>1963</v>
      </c>
      <c r="F5280" s="996">
        <v>2122</v>
      </c>
      <c r="G5280" s="800" t="s">
        <v>1038</v>
      </c>
      <c r="H5280" s="1070"/>
      <c r="I5280" s="1070"/>
      <c r="J5280" s="1654">
        <v>0</v>
      </c>
      <c r="K5280" s="842"/>
      <c r="L5280" s="997">
        <v>4268</v>
      </c>
      <c r="M5280" s="2322"/>
      <c r="N5280" s="305"/>
    </row>
    <row r="5281" spans="1:14" ht="20.399999999999999">
      <c r="A5281" s="663"/>
      <c r="B5281" s="3130" t="s">
        <v>773</v>
      </c>
      <c r="C5281" s="759" t="s">
        <v>323</v>
      </c>
      <c r="D5281" s="988" t="s">
        <v>1980</v>
      </c>
      <c r="E5281" s="999" t="s">
        <v>1963</v>
      </c>
      <c r="F5281" s="1001">
        <v>2122</v>
      </c>
      <c r="G5281" s="2325" t="s">
        <v>4493</v>
      </c>
      <c r="H5281" s="2327"/>
      <c r="I5281" s="2327">
        <v>0</v>
      </c>
      <c r="J5281" s="2348" t="s">
        <v>1134</v>
      </c>
      <c r="K5281" s="2349"/>
      <c r="L5281" s="2327"/>
      <c r="M5281" s="2336">
        <v>4268</v>
      </c>
      <c r="N5281" s="305"/>
    </row>
    <row r="5282" spans="1:14">
      <c r="A5282" s="683"/>
      <c r="B5282" s="3129" t="s">
        <v>365</v>
      </c>
      <c r="C5282" s="696" t="s">
        <v>323</v>
      </c>
      <c r="D5282" s="984" t="s">
        <v>1980</v>
      </c>
      <c r="E5282" s="2350" t="s">
        <v>1963</v>
      </c>
      <c r="F5282" s="996">
        <v>2233</v>
      </c>
      <c r="G5282" s="800" t="s">
        <v>145</v>
      </c>
      <c r="H5282" s="1070">
        <v>10000</v>
      </c>
      <c r="I5282" s="1070"/>
      <c r="J5282" s="1654">
        <v>8598.2999999999993</v>
      </c>
      <c r="K5282" s="842"/>
      <c r="L5282" s="997">
        <v>4000</v>
      </c>
      <c r="M5282" s="2322"/>
      <c r="N5282" s="305"/>
    </row>
    <row r="5283" spans="1:14">
      <c r="A5283" s="663"/>
      <c r="B5283" s="3130" t="s">
        <v>365</v>
      </c>
      <c r="C5283" s="759" t="s">
        <v>323</v>
      </c>
      <c r="D5283" s="988" t="s">
        <v>1980</v>
      </c>
      <c r="E5283" s="999" t="s">
        <v>1963</v>
      </c>
      <c r="F5283" s="1001">
        <v>2233</v>
      </c>
      <c r="G5283" s="2325" t="s">
        <v>4491</v>
      </c>
      <c r="H5283" s="2327"/>
      <c r="I5283" s="2327"/>
      <c r="J5283" s="2348" t="s">
        <v>1134</v>
      </c>
      <c r="K5283" s="2349"/>
      <c r="L5283" s="2327"/>
      <c r="M5283" s="2336">
        <v>4000</v>
      </c>
      <c r="N5283" s="305"/>
    </row>
    <row r="5284" spans="1:14">
      <c r="A5284" s="663"/>
      <c r="B5284" s="3130" t="s">
        <v>365</v>
      </c>
      <c r="C5284" s="759" t="s">
        <v>323</v>
      </c>
      <c r="D5284" s="988" t="s">
        <v>1980</v>
      </c>
      <c r="E5284" s="999" t="s">
        <v>1963</v>
      </c>
      <c r="F5284" s="1001">
        <v>2233</v>
      </c>
      <c r="G5284" s="750" t="s">
        <v>2627</v>
      </c>
      <c r="H5284" s="816"/>
      <c r="I5284" s="816">
        <v>8000</v>
      </c>
      <c r="J5284" s="1654" t="s">
        <v>1134</v>
      </c>
      <c r="K5284" s="809"/>
      <c r="L5284" s="814"/>
      <c r="M5284" s="1012"/>
      <c r="N5284" s="305"/>
    </row>
    <row r="5285" spans="1:14" ht="20.399999999999999">
      <c r="A5285" s="663"/>
      <c r="B5285" s="3130" t="s">
        <v>365</v>
      </c>
      <c r="C5285" s="759" t="s">
        <v>323</v>
      </c>
      <c r="D5285" s="988" t="s">
        <v>1980</v>
      </c>
      <c r="E5285" s="999" t="s">
        <v>1963</v>
      </c>
      <c r="F5285" s="1001">
        <v>2233</v>
      </c>
      <c r="G5285" s="750" t="s">
        <v>3072</v>
      </c>
      <c r="H5285" s="816"/>
      <c r="I5285" s="816">
        <v>2000</v>
      </c>
      <c r="J5285" s="1654" t="s">
        <v>1134</v>
      </c>
      <c r="K5285" s="809"/>
      <c r="L5285" s="814"/>
      <c r="M5285" s="1012"/>
      <c r="N5285" s="305"/>
    </row>
    <row r="5286" spans="1:14">
      <c r="A5286" s="683"/>
      <c r="B5286" s="3129" t="s">
        <v>365</v>
      </c>
      <c r="C5286" s="696" t="s">
        <v>323</v>
      </c>
      <c r="D5286" s="984" t="s">
        <v>1980</v>
      </c>
      <c r="E5286" s="2350" t="s">
        <v>1963</v>
      </c>
      <c r="F5286" s="996">
        <v>2239</v>
      </c>
      <c r="G5286" s="800" t="s">
        <v>1017</v>
      </c>
      <c r="H5286" s="1070">
        <v>28440</v>
      </c>
      <c r="I5286" s="1070"/>
      <c r="J5286" s="1654">
        <v>16109.95</v>
      </c>
      <c r="K5286" s="842"/>
      <c r="L5286" s="997">
        <v>6600</v>
      </c>
      <c r="M5286" s="2322"/>
      <c r="N5286" s="305" t="s">
        <v>2069</v>
      </c>
    </row>
    <row r="5287" spans="1:14">
      <c r="A5287" s="663"/>
      <c r="B5287" s="3130" t="s">
        <v>365</v>
      </c>
      <c r="C5287" s="759" t="s">
        <v>323</v>
      </c>
      <c r="D5287" s="988" t="s">
        <v>1980</v>
      </c>
      <c r="E5287" s="999" t="s">
        <v>1963</v>
      </c>
      <c r="F5287" s="1001">
        <v>2239</v>
      </c>
      <c r="G5287" s="2325" t="s">
        <v>4491</v>
      </c>
      <c r="H5287" s="2327"/>
      <c r="I5287" s="2327"/>
      <c r="J5287" s="2348" t="s">
        <v>1134</v>
      </c>
      <c r="K5287" s="2349"/>
      <c r="L5287" s="2327"/>
      <c r="M5287" s="2336">
        <v>6600</v>
      </c>
      <c r="N5287" s="305"/>
    </row>
    <row r="5288" spans="1:14">
      <c r="A5288" s="663"/>
      <c r="B5288" s="3130" t="s">
        <v>365</v>
      </c>
      <c r="C5288" s="759" t="s">
        <v>323</v>
      </c>
      <c r="D5288" s="988" t="s">
        <v>1980</v>
      </c>
      <c r="E5288" s="999" t="s">
        <v>1963</v>
      </c>
      <c r="F5288" s="1001">
        <v>2239</v>
      </c>
      <c r="G5288" s="750" t="s">
        <v>2627</v>
      </c>
      <c r="H5288" s="816"/>
      <c r="I5288" s="816">
        <v>14000</v>
      </c>
      <c r="J5288" s="1654" t="s">
        <v>1134</v>
      </c>
      <c r="K5288" s="809"/>
      <c r="L5288" s="814"/>
      <c r="M5288" s="1012"/>
      <c r="N5288" s="305"/>
    </row>
    <row r="5289" spans="1:14" ht="20.399999999999999">
      <c r="A5289" s="663"/>
      <c r="B5289" s="3130" t="s">
        <v>365</v>
      </c>
      <c r="C5289" s="759" t="s">
        <v>323</v>
      </c>
      <c r="D5289" s="988" t="s">
        <v>1980</v>
      </c>
      <c r="E5289" s="999" t="s">
        <v>1963</v>
      </c>
      <c r="F5289" s="1001">
        <v>2239</v>
      </c>
      <c r="G5289" s="750" t="s">
        <v>3336</v>
      </c>
      <c r="H5289" s="816"/>
      <c r="I5289" s="816">
        <v>2000</v>
      </c>
      <c r="J5289" s="1654" t="s">
        <v>1134</v>
      </c>
      <c r="K5289" s="809"/>
      <c r="L5289" s="814"/>
      <c r="M5289" s="1012"/>
      <c r="N5289" s="305"/>
    </row>
    <row r="5290" spans="1:14" ht="20.399999999999999">
      <c r="A5290" s="663"/>
      <c r="B5290" s="3130" t="s">
        <v>365</v>
      </c>
      <c r="C5290" s="759" t="s">
        <v>323</v>
      </c>
      <c r="D5290" s="988" t="s">
        <v>1980</v>
      </c>
      <c r="E5290" s="999" t="s">
        <v>1963</v>
      </c>
      <c r="F5290" s="1001">
        <v>2239</v>
      </c>
      <c r="G5290" s="750" t="s">
        <v>3339</v>
      </c>
      <c r="H5290" s="816"/>
      <c r="I5290" s="816">
        <v>-500</v>
      </c>
      <c r="J5290" s="1654" t="s">
        <v>1134</v>
      </c>
      <c r="K5290" s="809"/>
      <c r="L5290" s="814"/>
      <c r="M5290" s="1012"/>
      <c r="N5290" s="305"/>
    </row>
    <row r="5291" spans="1:14" ht="20.399999999999999">
      <c r="A5291" s="663"/>
      <c r="B5291" s="3130" t="s">
        <v>365</v>
      </c>
      <c r="C5291" s="759" t="s">
        <v>323</v>
      </c>
      <c r="D5291" s="988" t="s">
        <v>1980</v>
      </c>
      <c r="E5291" s="999" t="s">
        <v>1963</v>
      </c>
      <c r="F5291" s="1001">
        <v>2239</v>
      </c>
      <c r="G5291" s="750" t="s">
        <v>3340</v>
      </c>
      <c r="H5291" s="816"/>
      <c r="I5291" s="816">
        <v>2000</v>
      </c>
      <c r="J5291" s="1654" t="s">
        <v>1134</v>
      </c>
      <c r="K5291" s="809"/>
      <c r="L5291" s="814"/>
      <c r="M5291" s="1012"/>
      <c r="N5291" s="7" t="s">
        <v>3666</v>
      </c>
    </row>
    <row r="5292" spans="1:14" ht="40.799999999999997">
      <c r="A5292" s="663"/>
      <c r="B5292" s="3130" t="s">
        <v>365</v>
      </c>
      <c r="C5292" s="759" t="s">
        <v>323</v>
      </c>
      <c r="D5292" s="988" t="s">
        <v>1980</v>
      </c>
      <c r="E5292" s="999" t="s">
        <v>1963</v>
      </c>
      <c r="F5292" s="1001">
        <v>2239</v>
      </c>
      <c r="G5292" s="750" t="s">
        <v>3439</v>
      </c>
      <c r="H5292" s="816"/>
      <c r="I5292" s="816">
        <v>10940</v>
      </c>
      <c r="J5292" s="1654" t="s">
        <v>1134</v>
      </c>
      <c r="K5292" s="809"/>
      <c r="L5292" s="814"/>
      <c r="M5292" s="1012"/>
      <c r="N5292" s="7"/>
    </row>
    <row r="5293" spans="1:14">
      <c r="A5293" s="683"/>
      <c r="B5293" s="3129" t="s">
        <v>365</v>
      </c>
      <c r="C5293" s="696" t="s">
        <v>323</v>
      </c>
      <c r="D5293" s="984" t="s">
        <v>1980</v>
      </c>
      <c r="E5293" s="2350" t="s">
        <v>1963</v>
      </c>
      <c r="F5293" s="996">
        <v>2264</v>
      </c>
      <c r="G5293" s="800" t="s">
        <v>1288</v>
      </c>
      <c r="H5293" s="1070">
        <v>4250</v>
      </c>
      <c r="I5293" s="1070"/>
      <c r="J5293" s="1654">
        <v>3450</v>
      </c>
      <c r="K5293" s="842"/>
      <c r="L5293" s="997">
        <v>1800</v>
      </c>
      <c r="M5293" s="2322"/>
      <c r="N5293" s="7" t="s">
        <v>2585</v>
      </c>
    </row>
    <row r="5294" spans="1:14">
      <c r="A5294" s="663"/>
      <c r="B5294" s="3130" t="s">
        <v>365</v>
      </c>
      <c r="C5294" s="759" t="s">
        <v>323</v>
      </c>
      <c r="D5294" s="988" t="s">
        <v>1980</v>
      </c>
      <c r="E5294" s="999" t="s">
        <v>1963</v>
      </c>
      <c r="F5294" s="1001">
        <v>2264</v>
      </c>
      <c r="G5294" s="2325" t="s">
        <v>4491</v>
      </c>
      <c r="H5294" s="2327"/>
      <c r="I5294" s="2327"/>
      <c r="J5294" s="2348" t="s">
        <v>1134</v>
      </c>
      <c r="K5294" s="2349"/>
      <c r="L5294" s="2327"/>
      <c r="M5294" s="2336">
        <v>1800</v>
      </c>
      <c r="N5294" s="7" t="s">
        <v>2585</v>
      </c>
    </row>
    <row r="5295" spans="1:14" ht="20.399999999999999">
      <c r="A5295" s="663"/>
      <c r="B5295" s="3130" t="s">
        <v>365</v>
      </c>
      <c r="C5295" s="759" t="s">
        <v>323</v>
      </c>
      <c r="D5295" s="988" t="s">
        <v>1980</v>
      </c>
      <c r="E5295" s="999" t="s">
        <v>1963</v>
      </c>
      <c r="F5295" s="1001">
        <v>2264</v>
      </c>
      <c r="G5295" s="750" t="s">
        <v>3338</v>
      </c>
      <c r="H5295" s="816"/>
      <c r="I5295" s="816">
        <v>6000</v>
      </c>
      <c r="J5295" s="1654" t="s">
        <v>1134</v>
      </c>
      <c r="K5295" s="809"/>
      <c r="L5295" s="814"/>
      <c r="M5295" s="1012"/>
      <c r="N5295" s="7" t="s">
        <v>2585</v>
      </c>
    </row>
    <row r="5296" spans="1:14" ht="20.399999999999999">
      <c r="A5296" s="663"/>
      <c r="B5296" s="3130" t="s">
        <v>365</v>
      </c>
      <c r="C5296" s="759" t="s">
        <v>323</v>
      </c>
      <c r="D5296" s="988" t="s">
        <v>1980</v>
      </c>
      <c r="E5296" s="999" t="s">
        <v>1963</v>
      </c>
      <c r="F5296" s="1001">
        <v>2264</v>
      </c>
      <c r="G5296" s="750" t="s">
        <v>3340</v>
      </c>
      <c r="H5296" s="816"/>
      <c r="I5296" s="816">
        <v>-2000</v>
      </c>
      <c r="J5296" s="1654" t="s">
        <v>1134</v>
      </c>
      <c r="K5296" s="809"/>
      <c r="L5296" s="814"/>
      <c r="M5296" s="1012"/>
      <c r="N5296" s="7" t="s">
        <v>2585</v>
      </c>
    </row>
    <row r="5297" spans="1:14" ht="20.399999999999999">
      <c r="A5297" s="663"/>
      <c r="B5297" s="3130" t="s">
        <v>365</v>
      </c>
      <c r="C5297" s="759" t="s">
        <v>323</v>
      </c>
      <c r="D5297" s="988" t="s">
        <v>1980</v>
      </c>
      <c r="E5297" s="999" t="s">
        <v>1963</v>
      </c>
      <c r="F5297" s="1001">
        <v>2264</v>
      </c>
      <c r="G5297" s="750" t="s">
        <v>3341</v>
      </c>
      <c r="H5297" s="816"/>
      <c r="I5297" s="816">
        <v>250</v>
      </c>
      <c r="J5297" s="1654" t="s">
        <v>1134</v>
      </c>
      <c r="K5297" s="809"/>
      <c r="L5297" s="814"/>
      <c r="M5297" s="1012"/>
      <c r="N5297" s="125"/>
    </row>
    <row r="5298" spans="1:14" ht="20.399999999999999">
      <c r="A5298" s="683"/>
      <c r="B5298" s="3129" t="s">
        <v>365</v>
      </c>
      <c r="C5298" s="696" t="s">
        <v>323</v>
      </c>
      <c r="D5298" s="984" t="s">
        <v>1980</v>
      </c>
      <c r="E5298" s="2350" t="s">
        <v>1963</v>
      </c>
      <c r="F5298" s="996">
        <v>2314</v>
      </c>
      <c r="G5298" s="800" t="s">
        <v>1435</v>
      </c>
      <c r="H5298" s="1070">
        <v>300</v>
      </c>
      <c r="I5298" s="1070"/>
      <c r="J5298" s="1654">
        <v>179</v>
      </c>
      <c r="K5298" s="842"/>
      <c r="L5298" s="997">
        <v>300</v>
      </c>
      <c r="M5298" s="2322"/>
      <c r="N5298" s="359"/>
    </row>
    <row r="5299" spans="1:14">
      <c r="A5299" s="663"/>
      <c r="B5299" s="3130" t="s">
        <v>365</v>
      </c>
      <c r="C5299" s="759" t="s">
        <v>323</v>
      </c>
      <c r="D5299" s="988" t="s">
        <v>1980</v>
      </c>
      <c r="E5299" s="999" t="s">
        <v>1963</v>
      </c>
      <c r="F5299" s="1001">
        <v>2314</v>
      </c>
      <c r="G5299" s="2325" t="s">
        <v>4491</v>
      </c>
      <c r="H5299" s="2327"/>
      <c r="I5299" s="2327"/>
      <c r="J5299" s="2348" t="s">
        <v>1134</v>
      </c>
      <c r="K5299" s="2349"/>
      <c r="L5299" s="2327"/>
      <c r="M5299" s="2336">
        <v>300</v>
      </c>
      <c r="N5299" s="176">
        <v>461.76</v>
      </c>
    </row>
    <row r="5300" spans="1:14" ht="20.399999999999999">
      <c r="A5300" s="663"/>
      <c r="B5300" s="3130" t="s">
        <v>365</v>
      </c>
      <c r="C5300" s="759" t="s">
        <v>323</v>
      </c>
      <c r="D5300" s="988" t="s">
        <v>1980</v>
      </c>
      <c r="E5300" s="999" t="s">
        <v>1963</v>
      </c>
      <c r="F5300" s="1001">
        <v>2314</v>
      </c>
      <c r="G5300" s="750" t="s">
        <v>3334</v>
      </c>
      <c r="H5300" s="816"/>
      <c r="I5300" s="816">
        <v>100</v>
      </c>
      <c r="J5300" s="1654" t="s">
        <v>1134</v>
      </c>
      <c r="K5300" s="809"/>
      <c r="L5300" s="814"/>
      <c r="M5300" s="1012"/>
      <c r="N5300" s="125"/>
    </row>
    <row r="5301" spans="1:14" ht="20.399999999999999">
      <c r="A5301" s="663"/>
      <c r="B5301" s="3130" t="s">
        <v>365</v>
      </c>
      <c r="C5301" s="759" t="s">
        <v>323</v>
      </c>
      <c r="D5301" s="988" t="s">
        <v>1980</v>
      </c>
      <c r="E5301" s="999" t="s">
        <v>1963</v>
      </c>
      <c r="F5301" s="1001">
        <v>2314</v>
      </c>
      <c r="G5301" s="750" t="s">
        <v>3337</v>
      </c>
      <c r="H5301" s="816"/>
      <c r="I5301" s="816">
        <v>200</v>
      </c>
      <c r="J5301" s="1654" t="s">
        <v>1134</v>
      </c>
      <c r="K5301" s="809"/>
      <c r="L5301" s="814"/>
      <c r="M5301" s="1012"/>
      <c r="N5301" s="125"/>
    </row>
    <row r="5302" spans="1:14">
      <c r="A5302" s="683"/>
      <c r="B5302" s="3129" t="s">
        <v>365</v>
      </c>
      <c r="C5302" s="696" t="s">
        <v>323</v>
      </c>
      <c r="D5302" s="984" t="s">
        <v>1980</v>
      </c>
      <c r="E5302" s="2350" t="s">
        <v>1963</v>
      </c>
      <c r="F5302" s="996">
        <v>2350</v>
      </c>
      <c r="G5302" s="800" t="s">
        <v>135</v>
      </c>
      <c r="H5302" s="1070">
        <v>500</v>
      </c>
      <c r="I5302" s="1070"/>
      <c r="J5302" s="1654">
        <v>196</v>
      </c>
      <c r="K5302" s="842"/>
      <c r="L5302" s="997">
        <v>500</v>
      </c>
      <c r="M5302" s="2322"/>
      <c r="N5302" s="7"/>
    </row>
    <row r="5303" spans="1:14">
      <c r="A5303" s="663"/>
      <c r="B5303" s="3130" t="s">
        <v>365</v>
      </c>
      <c r="C5303" s="759" t="s">
        <v>323</v>
      </c>
      <c r="D5303" s="988" t="s">
        <v>1980</v>
      </c>
      <c r="E5303" s="999" t="s">
        <v>1963</v>
      </c>
      <c r="F5303" s="1001">
        <v>2350</v>
      </c>
      <c r="G5303" s="2325" t="s">
        <v>4491</v>
      </c>
      <c r="H5303" s="2327"/>
      <c r="I5303" s="2327"/>
      <c r="J5303" s="2348" t="s">
        <v>1134</v>
      </c>
      <c r="K5303" s="2349"/>
      <c r="L5303" s="2327"/>
      <c r="M5303" s="2336">
        <v>500</v>
      </c>
      <c r="N5303" s="7" t="s">
        <v>3667</v>
      </c>
    </row>
    <row r="5304" spans="1:14" ht="20.399999999999999">
      <c r="A5304" s="663"/>
      <c r="B5304" s="3130" t="s">
        <v>365</v>
      </c>
      <c r="C5304" s="759" t="s">
        <v>323</v>
      </c>
      <c r="D5304" s="988" t="s">
        <v>1980</v>
      </c>
      <c r="E5304" s="999" t="s">
        <v>1963</v>
      </c>
      <c r="F5304" s="1001">
        <v>2350</v>
      </c>
      <c r="G5304" s="750" t="s">
        <v>3339</v>
      </c>
      <c r="H5304" s="816"/>
      <c r="I5304" s="816">
        <v>500</v>
      </c>
      <c r="J5304" s="1654" t="s">
        <v>1134</v>
      </c>
      <c r="K5304" s="809"/>
      <c r="L5304" s="814"/>
      <c r="M5304" s="1012"/>
      <c r="N5304" s="7"/>
    </row>
    <row r="5305" spans="1:14">
      <c r="A5305" s="683"/>
      <c r="B5305" s="3129" t="s">
        <v>365</v>
      </c>
      <c r="C5305" s="696" t="s">
        <v>323</v>
      </c>
      <c r="D5305" s="984" t="s">
        <v>1980</v>
      </c>
      <c r="E5305" s="2350" t="s">
        <v>1963</v>
      </c>
      <c r="F5305" s="996">
        <v>2390</v>
      </c>
      <c r="G5305" s="800" t="s">
        <v>135</v>
      </c>
      <c r="H5305" s="1070">
        <v>200</v>
      </c>
      <c r="I5305" s="1070"/>
      <c r="J5305" s="1654">
        <v>172</v>
      </c>
      <c r="K5305" s="842"/>
      <c r="L5305" s="997">
        <v>0</v>
      </c>
      <c r="M5305" s="2322"/>
      <c r="N5305" s="7"/>
    </row>
    <row r="5306" spans="1:14" ht="20.399999999999999">
      <c r="A5306" s="663"/>
      <c r="B5306" s="3130" t="s">
        <v>365</v>
      </c>
      <c r="C5306" s="759" t="s">
        <v>323</v>
      </c>
      <c r="D5306" s="988" t="s">
        <v>1980</v>
      </c>
      <c r="E5306" s="999" t="s">
        <v>1963</v>
      </c>
      <c r="F5306" s="1001">
        <v>2390</v>
      </c>
      <c r="G5306" s="750" t="s">
        <v>3335</v>
      </c>
      <c r="H5306" s="816"/>
      <c r="I5306" s="816">
        <v>200</v>
      </c>
      <c r="J5306" s="1654" t="s">
        <v>1134</v>
      </c>
      <c r="K5306" s="809"/>
      <c r="L5306" s="814"/>
      <c r="M5306" s="1012"/>
      <c r="N5306" s="125"/>
    </row>
    <row r="5307" spans="1:14">
      <c r="A5307" s="663"/>
      <c r="B5307" s="3130" t="s">
        <v>365</v>
      </c>
      <c r="C5307" s="759" t="s">
        <v>323</v>
      </c>
      <c r="D5307" s="988" t="s">
        <v>1980</v>
      </c>
      <c r="E5307" s="999" t="s">
        <v>1963</v>
      </c>
      <c r="F5307" s="1001">
        <v>2390</v>
      </c>
      <c r="G5307" s="750"/>
      <c r="H5307" s="816"/>
      <c r="I5307" s="816"/>
      <c r="J5307" s="1654" t="s">
        <v>1134</v>
      </c>
      <c r="K5307" s="809"/>
      <c r="L5307" s="814"/>
      <c r="M5307" s="1012"/>
      <c r="N5307" s="125"/>
    </row>
    <row r="5308" spans="1:14">
      <c r="A5308" s="1575"/>
      <c r="B5308" s="3147" t="s">
        <v>365</v>
      </c>
      <c r="C5308" s="1575"/>
      <c r="D5308" s="1585" t="s">
        <v>1980</v>
      </c>
      <c r="E5308" s="1586" t="s">
        <v>3376</v>
      </c>
      <c r="F5308" s="1577">
        <v>1119</v>
      </c>
      <c r="G5308" s="1578" t="s">
        <v>142</v>
      </c>
      <c r="H5308" s="1587">
        <v>1240</v>
      </c>
      <c r="I5308" s="1587"/>
      <c r="J5308" s="1587"/>
      <c r="K5308" s="1567"/>
      <c r="L5308" s="1588">
        <v>1240</v>
      </c>
      <c r="M5308" s="1589"/>
      <c r="N5308" s="125"/>
    </row>
    <row r="5309" spans="1:14">
      <c r="A5309" s="1495"/>
      <c r="B5309" s="3138" t="s">
        <v>365</v>
      </c>
      <c r="C5309" s="1495"/>
      <c r="D5309" s="1561" t="s">
        <v>1980</v>
      </c>
      <c r="E5309" s="1590" t="s">
        <v>3376</v>
      </c>
      <c r="F5309" s="1574">
        <v>1119</v>
      </c>
      <c r="G5309" s="1548" t="s">
        <v>436</v>
      </c>
      <c r="H5309" s="1549"/>
      <c r="I5309" s="1549">
        <v>1240</v>
      </c>
      <c r="J5309" s="1549"/>
      <c r="K5309" s="1551"/>
      <c r="L5309" s="1581"/>
      <c r="M5309" s="1591">
        <v>1240</v>
      </c>
      <c r="N5309" s="125"/>
    </row>
    <row r="5310" spans="1:14" ht="20.399999999999999">
      <c r="A5310" s="1575"/>
      <c r="B5310" s="3147" t="s">
        <v>365</v>
      </c>
      <c r="C5310" s="1575"/>
      <c r="D5310" s="1585" t="s">
        <v>1980</v>
      </c>
      <c r="E5310" s="1586" t="s">
        <v>3376</v>
      </c>
      <c r="F5310" s="1577">
        <v>1210</v>
      </c>
      <c r="G5310" s="1578" t="s">
        <v>402</v>
      </c>
      <c r="H5310" s="1587">
        <v>293</v>
      </c>
      <c r="I5310" s="1587"/>
      <c r="J5310" s="1587"/>
      <c r="K5310" s="1567"/>
      <c r="L5310" s="1588">
        <v>293</v>
      </c>
      <c r="M5310" s="1587"/>
      <c r="N5310" s="439" t="s">
        <v>3670</v>
      </c>
    </row>
    <row r="5311" spans="1:14" ht="30.6">
      <c r="A5311" s="1495"/>
      <c r="B5311" s="3138" t="s">
        <v>365</v>
      </c>
      <c r="C5311" s="1495"/>
      <c r="D5311" s="1561" t="s">
        <v>1980</v>
      </c>
      <c r="E5311" s="1590" t="s">
        <v>3376</v>
      </c>
      <c r="F5311" s="1574">
        <v>1210</v>
      </c>
      <c r="G5311" s="1548"/>
      <c r="H5311" s="1549"/>
      <c r="I5311" s="1549">
        <v>293</v>
      </c>
      <c r="J5311" s="1549"/>
      <c r="K5311" s="1551"/>
      <c r="L5311" s="1581"/>
      <c r="M5311" s="1591">
        <v>293</v>
      </c>
      <c r="N5311" s="439" t="s">
        <v>3671</v>
      </c>
    </row>
    <row r="5312" spans="1:14">
      <c r="A5312" s="1575"/>
      <c r="B5312" s="3147" t="s">
        <v>365</v>
      </c>
      <c r="C5312" s="1575"/>
      <c r="D5312" s="1585" t="s">
        <v>1980</v>
      </c>
      <c r="E5312" s="1586" t="s">
        <v>3376</v>
      </c>
      <c r="F5312" s="1577">
        <v>2239</v>
      </c>
      <c r="G5312" s="1578" t="s">
        <v>1017</v>
      </c>
      <c r="H5312" s="1587">
        <v>13940</v>
      </c>
      <c r="I5312" s="1587"/>
      <c r="J5312" s="1587"/>
      <c r="K5312" s="1567"/>
      <c r="L5312" s="1588">
        <v>13940</v>
      </c>
      <c r="M5312" s="1587"/>
      <c r="N5312" s="125" t="s">
        <v>3672</v>
      </c>
    </row>
    <row r="5313" spans="1:14">
      <c r="A5313" s="1495"/>
      <c r="B5313" s="3138" t="s">
        <v>365</v>
      </c>
      <c r="C5313" s="1495"/>
      <c r="D5313" s="1561" t="s">
        <v>1980</v>
      </c>
      <c r="E5313" s="1590" t="s">
        <v>3376</v>
      </c>
      <c r="F5313" s="1574">
        <v>2239</v>
      </c>
      <c r="G5313" s="1583" t="s">
        <v>1295</v>
      </c>
      <c r="H5313" s="1549"/>
      <c r="I5313" s="1549">
        <v>13940</v>
      </c>
      <c r="J5313" s="1549"/>
      <c r="K5313" s="1551"/>
      <c r="L5313" s="1581"/>
      <c r="M5313" s="1591">
        <v>13940</v>
      </c>
      <c r="N5313" s="125" t="s">
        <v>3672</v>
      </c>
    </row>
    <row r="5314" spans="1:14">
      <c r="A5314" s="1495"/>
      <c r="B5314" s="3138" t="s">
        <v>365</v>
      </c>
      <c r="C5314" s="1495"/>
      <c r="D5314" s="1561" t="s">
        <v>1980</v>
      </c>
      <c r="E5314" s="1590" t="s">
        <v>3376</v>
      </c>
      <c r="F5314" s="1574">
        <v>2239</v>
      </c>
      <c r="G5314" s="1583" t="s">
        <v>319</v>
      </c>
      <c r="H5314" s="1549"/>
      <c r="I5314" s="1549"/>
      <c r="J5314" s="1549"/>
      <c r="K5314" s="1551"/>
      <c r="L5314" s="1581"/>
      <c r="M5314" s="1591">
        <v>1533</v>
      </c>
      <c r="N5314" s="125" t="s">
        <v>3672</v>
      </c>
    </row>
    <row r="5315" spans="1:14">
      <c r="A5315" s="1495"/>
      <c r="B5315" s="3138" t="s">
        <v>365</v>
      </c>
      <c r="C5315" s="1495"/>
      <c r="D5315" s="1561" t="s">
        <v>1980</v>
      </c>
      <c r="E5315" s="1590" t="s">
        <v>3376</v>
      </c>
      <c r="F5315" s="1574">
        <v>2239</v>
      </c>
      <c r="G5315" s="1583" t="s">
        <v>5219</v>
      </c>
      <c r="H5315" s="1549"/>
      <c r="I5315" s="1549"/>
      <c r="J5315" s="1549"/>
      <c r="K5315" s="1551"/>
      <c r="L5315" s="1581"/>
      <c r="M5315" s="1591">
        <v>-1533</v>
      </c>
      <c r="N5315" s="125" t="s">
        <v>3672</v>
      </c>
    </row>
    <row r="5316" spans="1:14">
      <c r="A5316" s="849"/>
      <c r="B5316" s="720" t="s">
        <v>436</v>
      </c>
      <c r="C5316" s="683" t="s">
        <v>427</v>
      </c>
      <c r="D5316" s="719" t="s">
        <v>1977</v>
      </c>
      <c r="E5316" s="742" t="s">
        <v>1912</v>
      </c>
      <c r="F5316" s="824">
        <v>1119</v>
      </c>
      <c r="G5316" s="800" t="s">
        <v>406</v>
      </c>
      <c r="H5316" s="706">
        <v>164611</v>
      </c>
      <c r="I5316" s="706"/>
      <c r="J5316" s="1654">
        <v>140952</v>
      </c>
      <c r="K5316" s="802"/>
      <c r="L5316" s="706">
        <v>188923.83999999997</v>
      </c>
      <c r="M5316" s="706"/>
      <c r="N5316" s="125" t="s">
        <v>3672</v>
      </c>
    </row>
    <row r="5317" spans="1:14">
      <c r="A5317" s="760"/>
      <c r="B5317" s="700" t="s">
        <v>436</v>
      </c>
      <c r="C5317" s="663" t="s">
        <v>427</v>
      </c>
      <c r="D5317" s="678" t="s">
        <v>1977</v>
      </c>
      <c r="E5317" s="700" t="s">
        <v>1912</v>
      </c>
      <c r="F5317" s="795">
        <v>1119</v>
      </c>
      <c r="G5317" s="750" t="s">
        <v>436</v>
      </c>
      <c r="H5317" s="701"/>
      <c r="I5317" s="701">
        <v>177111.36</v>
      </c>
      <c r="J5317" s="1654" t="s">
        <v>1134</v>
      </c>
      <c r="K5317" s="802"/>
      <c r="L5317" s="701"/>
      <c r="M5317" s="701">
        <v>188923.83999999997</v>
      </c>
      <c r="N5317" s="125" t="s">
        <v>3672</v>
      </c>
    </row>
    <row r="5318" spans="1:14" ht="20.399999999999999">
      <c r="A5318" s="760"/>
      <c r="B5318" s="700" t="s">
        <v>436</v>
      </c>
      <c r="C5318" s="663" t="s">
        <v>427</v>
      </c>
      <c r="D5318" s="678" t="s">
        <v>1977</v>
      </c>
      <c r="E5318" s="700" t="s">
        <v>1912</v>
      </c>
      <c r="F5318" s="795">
        <v>1119</v>
      </c>
      <c r="G5318" s="812" t="s">
        <v>3392</v>
      </c>
      <c r="H5318" s="701"/>
      <c r="I5318" s="701">
        <v>-2000</v>
      </c>
      <c r="J5318" s="1654" t="s">
        <v>1134</v>
      </c>
      <c r="K5318" s="802"/>
      <c r="L5318" s="701"/>
      <c r="M5318" s="701"/>
      <c r="N5318" s="125" t="s">
        <v>3672</v>
      </c>
    </row>
    <row r="5319" spans="1:14" ht="20.399999999999999">
      <c r="A5319" s="2604"/>
      <c r="B5319" s="700" t="s">
        <v>436</v>
      </c>
      <c r="C5319" s="663" t="s">
        <v>427</v>
      </c>
      <c r="D5319" s="678" t="s">
        <v>1977</v>
      </c>
      <c r="E5319" s="700" t="s">
        <v>1912</v>
      </c>
      <c r="F5319" s="795">
        <v>1119</v>
      </c>
      <c r="G5319" s="2783" t="s">
        <v>5008</v>
      </c>
      <c r="H5319" s="2615"/>
      <c r="I5319" s="2615">
        <v>-8000</v>
      </c>
      <c r="J5319" s="2621"/>
      <c r="K5319" s="2786"/>
      <c r="L5319" s="2615"/>
      <c r="M5319" s="2615"/>
      <c r="N5319" s="125" t="s">
        <v>3672</v>
      </c>
    </row>
    <row r="5320" spans="1:14" ht="20.399999999999999">
      <c r="A5320" s="2604"/>
      <c r="B5320" s="700" t="s">
        <v>436</v>
      </c>
      <c r="C5320" s="663" t="s">
        <v>427</v>
      </c>
      <c r="D5320" s="678" t="s">
        <v>1977</v>
      </c>
      <c r="E5320" s="700" t="s">
        <v>1912</v>
      </c>
      <c r="F5320" s="795">
        <v>1119</v>
      </c>
      <c r="G5320" s="2783" t="s">
        <v>5009</v>
      </c>
      <c r="H5320" s="2615"/>
      <c r="I5320" s="2615">
        <v>-2500</v>
      </c>
      <c r="J5320" s="2621"/>
      <c r="K5320" s="2786"/>
      <c r="L5320" s="2615"/>
      <c r="M5320" s="2615"/>
      <c r="N5320" s="125" t="s">
        <v>3672</v>
      </c>
    </row>
    <row r="5321" spans="1:14" ht="20.399999999999999">
      <c r="A5321" s="1612"/>
      <c r="B5321" s="1586" t="s">
        <v>436</v>
      </c>
      <c r="C5321" s="1575" t="s">
        <v>427</v>
      </c>
      <c r="D5321" s="1585" t="s">
        <v>1977</v>
      </c>
      <c r="E5321" s="1586" t="s">
        <v>1912</v>
      </c>
      <c r="F5321" s="1646">
        <v>1142</v>
      </c>
      <c r="G5321" s="1647" t="s">
        <v>110</v>
      </c>
      <c r="H5321" s="1601">
        <v>2000</v>
      </c>
      <c r="I5321" s="1601"/>
      <c r="J5321" s="1601">
        <v>1180</v>
      </c>
      <c r="K5321" s="1621"/>
      <c r="L5321" s="1601">
        <v>2000</v>
      </c>
      <c r="M5321" s="1601"/>
      <c r="N5321" s="125"/>
    </row>
    <row r="5322" spans="1:14" ht="20.399999999999999">
      <c r="A5322" s="1556"/>
      <c r="B5322" s="1590" t="s">
        <v>436</v>
      </c>
      <c r="C5322" s="1495" t="s">
        <v>427</v>
      </c>
      <c r="D5322" s="1561" t="s">
        <v>1977</v>
      </c>
      <c r="E5322" s="1590" t="s">
        <v>1912</v>
      </c>
      <c r="F5322" s="1562">
        <v>1142</v>
      </c>
      <c r="G5322" s="1553" t="s">
        <v>3392</v>
      </c>
      <c r="H5322" s="1557"/>
      <c r="I5322" s="1557">
        <v>2000</v>
      </c>
      <c r="J5322" s="1557"/>
      <c r="K5322" s="1621"/>
      <c r="L5322" s="1557"/>
      <c r="M5322" s="1557">
        <v>2000</v>
      </c>
      <c r="N5322" s="7"/>
    </row>
    <row r="5323" spans="1:14" ht="20.399999999999999">
      <c r="A5323" s="849"/>
      <c r="B5323" s="720" t="s">
        <v>436</v>
      </c>
      <c r="C5323" s="683" t="s">
        <v>427</v>
      </c>
      <c r="D5323" s="719" t="s">
        <v>1977</v>
      </c>
      <c r="E5323" s="720" t="s">
        <v>1912</v>
      </c>
      <c r="F5323" s="824">
        <v>1146</v>
      </c>
      <c r="G5323" s="800" t="s">
        <v>579</v>
      </c>
      <c r="H5323" s="706">
        <v>0</v>
      </c>
      <c r="I5323" s="706"/>
      <c r="J5323" s="1654" t="s">
        <v>1134</v>
      </c>
      <c r="K5323" s="802"/>
      <c r="L5323" s="706">
        <v>0</v>
      </c>
      <c r="M5323" s="706"/>
      <c r="N5323" s="7"/>
    </row>
    <row r="5324" spans="1:14">
      <c r="A5324" s="760"/>
      <c r="B5324" s="700" t="s">
        <v>436</v>
      </c>
      <c r="C5324" s="663" t="s">
        <v>427</v>
      </c>
      <c r="D5324" s="678" t="s">
        <v>1977</v>
      </c>
      <c r="E5324" s="700" t="s">
        <v>1912</v>
      </c>
      <c r="F5324" s="795">
        <v>1146</v>
      </c>
      <c r="G5324" s="750"/>
      <c r="H5324" s="701"/>
      <c r="I5324" s="701"/>
      <c r="J5324" s="1654" t="s">
        <v>1134</v>
      </c>
      <c r="K5324" s="802"/>
      <c r="L5324" s="701"/>
      <c r="M5324" s="701"/>
      <c r="N5324" s="7"/>
    </row>
    <row r="5325" spans="1:14" ht="21" customHeight="1">
      <c r="A5325" s="849"/>
      <c r="B5325" s="720" t="s">
        <v>436</v>
      </c>
      <c r="C5325" s="683" t="s">
        <v>427</v>
      </c>
      <c r="D5325" s="719" t="s">
        <v>1977</v>
      </c>
      <c r="E5325" s="720" t="s">
        <v>1912</v>
      </c>
      <c r="F5325" s="824">
        <v>1147</v>
      </c>
      <c r="G5325" s="800" t="s">
        <v>111</v>
      </c>
      <c r="H5325" s="706">
        <v>20994.488000000005</v>
      </c>
      <c r="I5325" s="706"/>
      <c r="J5325" s="1654">
        <v>19337</v>
      </c>
      <c r="K5325" s="802"/>
      <c r="L5325" s="706">
        <v>11863.771999999999</v>
      </c>
      <c r="M5325" s="706"/>
      <c r="N5325" s="7"/>
    </row>
    <row r="5326" spans="1:14">
      <c r="A5326" s="760"/>
      <c r="B5326" s="700" t="s">
        <v>436</v>
      </c>
      <c r="C5326" s="663" t="s">
        <v>427</v>
      </c>
      <c r="D5326" s="678" t="s">
        <v>1977</v>
      </c>
      <c r="E5326" s="700" t="s">
        <v>1912</v>
      </c>
      <c r="F5326" s="795">
        <v>1147</v>
      </c>
      <c r="G5326" s="750" t="s">
        <v>436</v>
      </c>
      <c r="H5326" s="701"/>
      <c r="I5326" s="701">
        <v>13283.352000000001</v>
      </c>
      <c r="J5326" s="1654" t="s">
        <v>1134</v>
      </c>
      <c r="K5326" s="802"/>
      <c r="L5326" s="701"/>
      <c r="M5326" s="701">
        <v>11863.771999999999</v>
      </c>
      <c r="N5326" s="439" t="s">
        <v>3681</v>
      </c>
    </row>
    <row r="5327" spans="1:14" ht="51">
      <c r="A5327" s="760"/>
      <c r="B5327" s="700" t="s">
        <v>436</v>
      </c>
      <c r="C5327" s="663" t="s">
        <v>427</v>
      </c>
      <c r="D5327" s="678" t="s">
        <v>1977</v>
      </c>
      <c r="E5327" s="700" t="s">
        <v>1912</v>
      </c>
      <c r="F5327" s="795">
        <v>1147</v>
      </c>
      <c r="G5327" s="750" t="s">
        <v>4700</v>
      </c>
      <c r="H5327" s="701"/>
      <c r="I5327" s="701">
        <v>17711.136000000002</v>
      </c>
      <c r="J5327" s="1654" t="s">
        <v>1134</v>
      </c>
      <c r="K5327" s="802"/>
      <c r="L5327" s="701"/>
      <c r="M5327" s="701"/>
      <c r="N5327" s="125"/>
    </row>
    <row r="5328" spans="1:14" ht="20.399999999999999">
      <c r="A5328" s="760"/>
      <c r="B5328" s="700" t="s">
        <v>436</v>
      </c>
      <c r="C5328" s="663" t="s">
        <v>427</v>
      </c>
      <c r="D5328" s="678" t="s">
        <v>1977</v>
      </c>
      <c r="E5328" s="700" t="s">
        <v>1912</v>
      </c>
      <c r="F5328" s="795">
        <v>1147</v>
      </c>
      <c r="G5328" s="750" t="s">
        <v>3241</v>
      </c>
      <c r="H5328" s="701"/>
      <c r="I5328" s="701">
        <v>-10000</v>
      </c>
      <c r="J5328" s="1654" t="s">
        <v>1134</v>
      </c>
      <c r="K5328" s="802"/>
      <c r="L5328" s="701"/>
      <c r="M5328" s="701"/>
      <c r="N5328" s="125" t="s">
        <v>3673</v>
      </c>
    </row>
    <row r="5329" spans="1:14" ht="40.799999999999997">
      <c r="A5329" s="849"/>
      <c r="B5329" s="720" t="s">
        <v>436</v>
      </c>
      <c r="C5329" s="683" t="s">
        <v>427</v>
      </c>
      <c r="D5329" s="719" t="s">
        <v>1977</v>
      </c>
      <c r="E5329" s="720" t="s">
        <v>1912</v>
      </c>
      <c r="F5329" s="824">
        <v>1148</v>
      </c>
      <c r="G5329" s="800" t="s">
        <v>395</v>
      </c>
      <c r="H5329" s="706">
        <v>8000</v>
      </c>
      <c r="I5329" s="706"/>
      <c r="J5329" s="1654">
        <v>6312</v>
      </c>
      <c r="K5329" s="802"/>
      <c r="L5329" s="706">
        <v>6800</v>
      </c>
      <c r="M5329" s="706"/>
      <c r="N5329" s="439" t="s">
        <v>3675</v>
      </c>
    </row>
    <row r="5330" spans="1:14" ht="20.399999999999999">
      <c r="A5330" s="760"/>
      <c r="B5330" s="700" t="s">
        <v>436</v>
      </c>
      <c r="C5330" s="663" t="s">
        <v>427</v>
      </c>
      <c r="D5330" s="678" t="s">
        <v>1977</v>
      </c>
      <c r="E5330" s="700" t="s">
        <v>1912</v>
      </c>
      <c r="F5330" s="795">
        <v>1148</v>
      </c>
      <c r="G5330" s="750" t="s">
        <v>2580</v>
      </c>
      <c r="H5330" s="701"/>
      <c r="I5330" s="701">
        <v>0</v>
      </c>
      <c r="J5330" s="1654" t="s">
        <v>1134</v>
      </c>
      <c r="K5330" s="802"/>
      <c r="L5330" s="701"/>
      <c r="M5330" s="701">
        <v>6800</v>
      </c>
      <c r="N5330" s="439"/>
    </row>
    <row r="5331" spans="1:14" ht="20.399999999999999">
      <c r="A5331" s="760"/>
      <c r="B5331" s="700" t="s">
        <v>436</v>
      </c>
      <c r="C5331" s="663" t="s">
        <v>427</v>
      </c>
      <c r="D5331" s="678" t="s">
        <v>1977</v>
      </c>
      <c r="E5331" s="700" t="s">
        <v>1912</v>
      </c>
      <c r="F5331" s="795">
        <v>1148</v>
      </c>
      <c r="G5331" s="2783" t="s">
        <v>5008</v>
      </c>
      <c r="H5331" s="701"/>
      <c r="I5331" s="701">
        <v>8000</v>
      </c>
      <c r="J5331" s="1654"/>
      <c r="K5331" s="802"/>
      <c r="L5331" s="701"/>
      <c r="M5331" s="701"/>
      <c r="N5331" s="439" t="s">
        <v>3676</v>
      </c>
    </row>
    <row r="5332" spans="1:14" ht="20.399999999999999">
      <c r="A5332" s="683"/>
      <c r="B5332" s="720" t="s">
        <v>436</v>
      </c>
      <c r="C5332" s="683" t="s">
        <v>427</v>
      </c>
      <c r="D5332" s="719" t="s">
        <v>1977</v>
      </c>
      <c r="E5332" s="720" t="s">
        <v>1912</v>
      </c>
      <c r="F5332" s="824">
        <v>1170</v>
      </c>
      <c r="G5332" s="800" t="s">
        <v>475</v>
      </c>
      <c r="H5332" s="713">
        <v>105</v>
      </c>
      <c r="I5332" s="713"/>
      <c r="J5332" s="1654">
        <v>105</v>
      </c>
      <c r="K5332" s="842"/>
      <c r="L5332" s="713">
        <v>105</v>
      </c>
      <c r="M5332" s="713"/>
      <c r="N5332" s="439" t="s">
        <v>4841</v>
      </c>
    </row>
    <row r="5333" spans="1:14" ht="20.399999999999999">
      <c r="A5333" s="663"/>
      <c r="B5333" s="700" t="s">
        <v>436</v>
      </c>
      <c r="C5333" s="663" t="s">
        <v>427</v>
      </c>
      <c r="D5333" s="678" t="s">
        <v>1977</v>
      </c>
      <c r="E5333" s="700" t="s">
        <v>1912</v>
      </c>
      <c r="F5333" s="795">
        <v>1170</v>
      </c>
      <c r="G5333" s="812" t="s">
        <v>1626</v>
      </c>
      <c r="H5333" s="714"/>
      <c r="I5333" s="714">
        <v>105</v>
      </c>
      <c r="J5333" s="1654" t="s">
        <v>1134</v>
      </c>
      <c r="K5333" s="809"/>
      <c r="L5333" s="714"/>
      <c r="M5333" s="714">
        <v>105</v>
      </c>
      <c r="N5333" s="439" t="s">
        <v>3670</v>
      </c>
    </row>
    <row r="5334" spans="1:14">
      <c r="A5334" s="849"/>
      <c r="B5334" s="720" t="s">
        <v>436</v>
      </c>
      <c r="C5334" s="683" t="s">
        <v>427</v>
      </c>
      <c r="D5334" s="719" t="s">
        <v>1977</v>
      </c>
      <c r="E5334" s="720" t="s">
        <v>1912</v>
      </c>
      <c r="F5334" s="824">
        <v>1210</v>
      </c>
      <c r="G5334" s="800" t="s">
        <v>113</v>
      </c>
      <c r="H5334" s="706">
        <v>51500</v>
      </c>
      <c r="I5334" s="706"/>
      <c r="J5334" s="1654">
        <v>39603</v>
      </c>
      <c r="K5334" s="802"/>
      <c r="L5334" s="706">
        <v>48797.243919059998</v>
      </c>
      <c r="M5334" s="706"/>
      <c r="N5334" s="439" t="s">
        <v>3670</v>
      </c>
    </row>
    <row r="5335" spans="1:14">
      <c r="A5335" s="760"/>
      <c r="B5335" s="700" t="s">
        <v>436</v>
      </c>
      <c r="C5335" s="663" t="s">
        <v>427</v>
      </c>
      <c r="D5335" s="678" t="s">
        <v>1977</v>
      </c>
      <c r="E5335" s="700" t="s">
        <v>1912</v>
      </c>
      <c r="F5335" s="795">
        <v>1210</v>
      </c>
      <c r="G5335" s="750" t="s">
        <v>436</v>
      </c>
      <c r="H5335" s="701"/>
      <c r="I5335" s="701">
        <v>44322.221154960003</v>
      </c>
      <c r="J5335" s="1654" t="s">
        <v>1134</v>
      </c>
      <c r="K5335" s="802"/>
      <c r="L5335" s="701"/>
      <c r="M5335" s="701">
        <v>48797.243919059998</v>
      </c>
      <c r="N5335" s="7"/>
    </row>
    <row r="5336" spans="1:14">
      <c r="A5336" s="760"/>
      <c r="B5336" s="700" t="s">
        <v>436</v>
      </c>
      <c r="C5336" s="663" t="s">
        <v>427</v>
      </c>
      <c r="D5336" s="678" t="s">
        <v>1977</v>
      </c>
      <c r="E5336" s="700" t="s">
        <v>1912</v>
      </c>
      <c r="F5336" s="795">
        <v>1210</v>
      </c>
      <c r="G5336" s="812" t="s">
        <v>2751</v>
      </c>
      <c r="H5336" s="701"/>
      <c r="I5336" s="701">
        <v>4178.0569824000004</v>
      </c>
      <c r="J5336" s="1654" t="s">
        <v>1134</v>
      </c>
      <c r="K5336" s="802"/>
      <c r="L5336" s="701"/>
      <c r="M5336" s="701">
        <v>0</v>
      </c>
      <c r="N5336" s="439" t="s">
        <v>3678</v>
      </c>
    </row>
    <row r="5337" spans="1:14" ht="20.399999999999999">
      <c r="A5337" s="2604"/>
      <c r="B5337" s="700" t="s">
        <v>436</v>
      </c>
      <c r="C5337" s="663" t="s">
        <v>427</v>
      </c>
      <c r="D5337" s="678" t="s">
        <v>1977</v>
      </c>
      <c r="E5337" s="700" t="s">
        <v>1912</v>
      </c>
      <c r="F5337" s="795">
        <v>1210</v>
      </c>
      <c r="G5337" s="2783" t="s">
        <v>5009</v>
      </c>
      <c r="H5337" s="2615"/>
      <c r="I5337" s="2615">
        <v>2500</v>
      </c>
      <c r="J5337" s="2621"/>
      <c r="K5337" s="2786"/>
      <c r="L5337" s="2615"/>
      <c r="M5337" s="2615"/>
      <c r="N5337" s="439" t="s">
        <v>3670</v>
      </c>
    </row>
    <row r="5338" spans="1:14" ht="20.399999999999999">
      <c r="A5338" s="2604"/>
      <c r="B5338" s="700" t="s">
        <v>436</v>
      </c>
      <c r="C5338" s="663" t="s">
        <v>427</v>
      </c>
      <c r="D5338" s="678" t="s">
        <v>1977</v>
      </c>
      <c r="E5338" s="700" t="s">
        <v>1912</v>
      </c>
      <c r="F5338" s="795">
        <v>1210</v>
      </c>
      <c r="G5338" s="2783" t="s">
        <v>5010</v>
      </c>
      <c r="H5338" s="2615"/>
      <c r="I5338" s="2615">
        <v>500</v>
      </c>
      <c r="J5338" s="2621"/>
      <c r="K5338" s="2786"/>
      <c r="L5338" s="2615"/>
      <c r="M5338" s="2615"/>
      <c r="N5338" s="439" t="s">
        <v>3680</v>
      </c>
    </row>
    <row r="5339" spans="1:14" ht="20.399999999999999">
      <c r="A5339" s="849"/>
      <c r="B5339" s="720" t="s">
        <v>436</v>
      </c>
      <c r="C5339" s="683" t="s">
        <v>427</v>
      </c>
      <c r="D5339" s="719" t="s">
        <v>1977</v>
      </c>
      <c r="E5339" s="720" t="s">
        <v>1912</v>
      </c>
      <c r="F5339" s="824">
        <v>1221</v>
      </c>
      <c r="G5339" s="800" t="s">
        <v>175</v>
      </c>
      <c r="H5339" s="706">
        <v>19212.38848184</v>
      </c>
      <c r="I5339" s="706"/>
      <c r="J5339" s="1654">
        <v>18564</v>
      </c>
      <c r="K5339" s="802"/>
      <c r="L5339" s="706">
        <v>10723.435995740001</v>
      </c>
      <c r="M5339" s="706"/>
      <c r="N5339" s="7"/>
    </row>
    <row r="5340" spans="1:14">
      <c r="A5340" s="760"/>
      <c r="B5340" s="700" t="s">
        <v>436</v>
      </c>
      <c r="C5340" s="663" t="s">
        <v>427</v>
      </c>
      <c r="D5340" s="678" t="s">
        <v>1977</v>
      </c>
      <c r="E5340" s="700" t="s">
        <v>1912</v>
      </c>
      <c r="F5340" s="795">
        <v>1221</v>
      </c>
      <c r="G5340" s="750" t="s">
        <v>1046</v>
      </c>
      <c r="H5340" s="701"/>
      <c r="I5340" s="701">
        <v>9712.3884818400002</v>
      </c>
      <c r="J5340" s="1654" t="s">
        <v>1134</v>
      </c>
      <c r="K5340" s="802"/>
      <c r="L5340" s="701"/>
      <c r="M5340" s="701">
        <v>10723.435995740001</v>
      </c>
      <c r="N5340" s="7" t="s">
        <v>2078</v>
      </c>
    </row>
    <row r="5341" spans="1:14" ht="20.399999999999999">
      <c r="A5341" s="760"/>
      <c r="B5341" s="700" t="s">
        <v>436</v>
      </c>
      <c r="C5341" s="663" t="s">
        <v>427</v>
      </c>
      <c r="D5341" s="678" t="s">
        <v>1977</v>
      </c>
      <c r="E5341" s="700" t="s">
        <v>1912</v>
      </c>
      <c r="F5341" s="795">
        <v>1221</v>
      </c>
      <c r="G5341" s="750" t="s">
        <v>3241</v>
      </c>
      <c r="H5341" s="701"/>
      <c r="I5341" s="701">
        <v>10000</v>
      </c>
      <c r="J5341" s="1654" t="s">
        <v>1134</v>
      </c>
      <c r="K5341" s="802"/>
      <c r="L5341" s="701"/>
      <c r="M5341" s="701"/>
      <c r="N5341" s="7"/>
    </row>
    <row r="5342" spans="1:14" ht="20.399999999999999">
      <c r="A5342" s="2604"/>
      <c r="B5342" s="700" t="s">
        <v>436</v>
      </c>
      <c r="C5342" s="663" t="s">
        <v>427</v>
      </c>
      <c r="D5342" s="678" t="s">
        <v>1977</v>
      </c>
      <c r="E5342" s="700" t="s">
        <v>1912</v>
      </c>
      <c r="F5342" s="795">
        <v>1221</v>
      </c>
      <c r="G5342" s="2783" t="s">
        <v>5010</v>
      </c>
      <c r="H5342" s="2615"/>
      <c r="I5342" s="2615">
        <v>-500</v>
      </c>
      <c r="J5342" s="2621"/>
      <c r="K5342" s="2786"/>
      <c r="L5342" s="2615"/>
      <c r="M5342" s="2615"/>
      <c r="N5342" s="7"/>
    </row>
    <row r="5343" spans="1:14">
      <c r="A5343" s="849"/>
      <c r="B5343" s="720" t="s">
        <v>772</v>
      </c>
      <c r="C5343" s="683" t="s">
        <v>427</v>
      </c>
      <c r="D5343" s="719" t="s">
        <v>1977</v>
      </c>
      <c r="E5343" s="720" t="s">
        <v>1912</v>
      </c>
      <c r="F5343" s="685">
        <v>1228</v>
      </c>
      <c r="G5343" s="865" t="s">
        <v>115</v>
      </c>
      <c r="H5343" s="689">
        <v>3160</v>
      </c>
      <c r="I5343" s="689"/>
      <c r="J5343" s="1494">
        <v>2060</v>
      </c>
      <c r="K5343" s="690"/>
      <c r="L5343" s="689">
        <v>3160</v>
      </c>
      <c r="M5343" s="689"/>
      <c r="N5343" s="439" t="s">
        <v>3681</v>
      </c>
    </row>
    <row r="5344" spans="1:14">
      <c r="A5344" s="663"/>
      <c r="B5344" s="700" t="s">
        <v>772</v>
      </c>
      <c r="C5344" s="663" t="s">
        <v>427</v>
      </c>
      <c r="D5344" s="678" t="s">
        <v>1977</v>
      </c>
      <c r="E5344" s="700" t="s">
        <v>1912</v>
      </c>
      <c r="F5344" s="679">
        <v>1228</v>
      </c>
      <c r="G5344" s="665" t="s">
        <v>2767</v>
      </c>
      <c r="H5344" s="660"/>
      <c r="I5344" s="660"/>
      <c r="J5344" s="1494" t="s">
        <v>1134</v>
      </c>
      <c r="K5344" s="661"/>
      <c r="L5344" s="660"/>
      <c r="M5344" s="660"/>
      <c r="N5344" s="7"/>
    </row>
    <row r="5345" spans="1:14">
      <c r="A5345" s="663"/>
      <c r="B5345" s="700" t="s">
        <v>772</v>
      </c>
      <c r="C5345" s="663" t="s">
        <v>427</v>
      </c>
      <c r="D5345" s="678" t="s">
        <v>1977</v>
      </c>
      <c r="E5345" s="700" t="s">
        <v>1912</v>
      </c>
      <c r="F5345" s="679">
        <v>1228</v>
      </c>
      <c r="G5345" s="681" t="s">
        <v>2768</v>
      </c>
      <c r="H5345" s="812"/>
      <c r="I5345" s="660">
        <v>352</v>
      </c>
      <c r="J5345" s="1494" t="s">
        <v>1134</v>
      </c>
      <c r="K5345" s="661"/>
      <c r="L5345" s="660"/>
      <c r="M5345" s="660">
        <v>352</v>
      </c>
      <c r="N5345" s="7"/>
    </row>
    <row r="5346" spans="1:14">
      <c r="A5346" s="663"/>
      <c r="B5346" s="700" t="s">
        <v>772</v>
      </c>
      <c r="C5346" s="663" t="s">
        <v>427</v>
      </c>
      <c r="D5346" s="678" t="s">
        <v>1977</v>
      </c>
      <c r="E5346" s="700" t="s">
        <v>1912</v>
      </c>
      <c r="F5346" s="679">
        <v>1228</v>
      </c>
      <c r="G5346" s="681" t="s">
        <v>4701</v>
      </c>
      <c r="H5346" s="812"/>
      <c r="I5346" s="660">
        <v>281.60000000000002</v>
      </c>
      <c r="J5346" s="1494" t="s">
        <v>1134</v>
      </c>
      <c r="K5346" s="661"/>
      <c r="L5346" s="660"/>
      <c r="M5346" s="660">
        <v>281.60000000000002</v>
      </c>
      <c r="N5346" s="439" t="s">
        <v>3670</v>
      </c>
    </row>
    <row r="5347" spans="1:14">
      <c r="A5347" s="663"/>
      <c r="B5347" s="700" t="s">
        <v>772</v>
      </c>
      <c r="C5347" s="663" t="s">
        <v>427</v>
      </c>
      <c r="D5347" s="678" t="s">
        <v>1977</v>
      </c>
      <c r="E5347" s="700" t="s">
        <v>1912</v>
      </c>
      <c r="F5347" s="679">
        <v>1228</v>
      </c>
      <c r="G5347" s="681" t="s">
        <v>2771</v>
      </c>
      <c r="H5347" s="812"/>
      <c r="I5347" s="660">
        <v>281.60000000000002</v>
      </c>
      <c r="J5347" s="1494" t="s">
        <v>1134</v>
      </c>
      <c r="K5347" s="661"/>
      <c r="L5347" s="660"/>
      <c r="M5347" s="660">
        <v>281.60000000000002</v>
      </c>
      <c r="N5347" s="439" t="s">
        <v>3683</v>
      </c>
    </row>
    <row r="5348" spans="1:14">
      <c r="A5348" s="663"/>
      <c r="B5348" s="700" t="s">
        <v>772</v>
      </c>
      <c r="C5348" s="663" t="s">
        <v>427</v>
      </c>
      <c r="D5348" s="678" t="s">
        <v>1977</v>
      </c>
      <c r="E5348" s="700" t="s">
        <v>1912</v>
      </c>
      <c r="F5348" s="679">
        <v>1228</v>
      </c>
      <c r="G5348" s="681" t="s">
        <v>2769</v>
      </c>
      <c r="H5348" s="812"/>
      <c r="I5348" s="660">
        <v>281.60000000000002</v>
      </c>
      <c r="J5348" s="1494" t="s">
        <v>1134</v>
      </c>
      <c r="K5348" s="661"/>
      <c r="L5348" s="660"/>
      <c r="M5348" s="660">
        <v>281.60000000000002</v>
      </c>
      <c r="N5348" s="439" t="s">
        <v>3670</v>
      </c>
    </row>
    <row r="5349" spans="1:14">
      <c r="A5349" s="663"/>
      <c r="B5349" s="700" t="s">
        <v>772</v>
      </c>
      <c r="C5349" s="663" t="s">
        <v>427</v>
      </c>
      <c r="D5349" s="678" t="s">
        <v>1977</v>
      </c>
      <c r="E5349" s="700" t="s">
        <v>1912</v>
      </c>
      <c r="F5349" s="679">
        <v>1228</v>
      </c>
      <c r="G5349" s="681" t="s">
        <v>2770</v>
      </c>
      <c r="H5349" s="812"/>
      <c r="I5349" s="660">
        <v>281.60000000000002</v>
      </c>
      <c r="J5349" s="1494" t="s">
        <v>1134</v>
      </c>
      <c r="K5349" s="661"/>
      <c r="L5349" s="660"/>
      <c r="M5349" s="660">
        <v>281.60000000000002</v>
      </c>
      <c r="N5349" s="7"/>
    </row>
    <row r="5350" spans="1:14">
      <c r="A5350" s="663"/>
      <c r="B5350" s="700" t="s">
        <v>772</v>
      </c>
      <c r="C5350" s="663" t="s">
        <v>427</v>
      </c>
      <c r="D5350" s="678" t="s">
        <v>1977</v>
      </c>
      <c r="E5350" s="700" t="s">
        <v>1912</v>
      </c>
      <c r="F5350" s="679">
        <v>1228</v>
      </c>
      <c r="G5350" s="681" t="s">
        <v>2770</v>
      </c>
      <c r="H5350" s="812"/>
      <c r="I5350" s="660">
        <v>281.60000000000002</v>
      </c>
      <c r="J5350" s="1494" t="s">
        <v>1134</v>
      </c>
      <c r="K5350" s="661"/>
      <c r="L5350" s="660"/>
      <c r="M5350" s="660">
        <v>281.60000000000002</v>
      </c>
      <c r="N5350" s="7"/>
    </row>
    <row r="5351" spans="1:14" ht="20.399999999999999">
      <c r="A5351" s="760"/>
      <c r="B5351" s="700" t="s">
        <v>772</v>
      </c>
      <c r="C5351" s="663" t="s">
        <v>427</v>
      </c>
      <c r="D5351" s="678" t="s">
        <v>1977</v>
      </c>
      <c r="E5351" s="700" t="s">
        <v>1912</v>
      </c>
      <c r="F5351" s="679">
        <v>1228</v>
      </c>
      <c r="G5351" s="716" t="s">
        <v>1591</v>
      </c>
      <c r="H5351" s="660"/>
      <c r="I5351" s="660">
        <v>1400</v>
      </c>
      <c r="J5351" s="1494" t="s">
        <v>1134</v>
      </c>
      <c r="K5351" s="690"/>
      <c r="L5351" s="660"/>
      <c r="M5351" s="660">
        <v>1400</v>
      </c>
      <c r="N5351" s="7"/>
    </row>
    <row r="5352" spans="1:14" ht="20.399999999999999">
      <c r="A5352" s="849"/>
      <c r="B5352" s="720" t="s">
        <v>772</v>
      </c>
      <c r="C5352" s="683" t="s">
        <v>322</v>
      </c>
      <c r="D5352" s="719" t="s">
        <v>1977</v>
      </c>
      <c r="E5352" s="720" t="s">
        <v>1912</v>
      </c>
      <c r="F5352" s="685">
        <v>2112</v>
      </c>
      <c r="G5352" s="686" t="s">
        <v>1043</v>
      </c>
      <c r="H5352" s="689">
        <v>0</v>
      </c>
      <c r="I5352" s="689"/>
      <c r="J5352" s="1494" t="s">
        <v>1134</v>
      </c>
      <c r="K5352" s="690"/>
      <c r="L5352" s="687">
        <v>0</v>
      </c>
      <c r="M5352" s="687"/>
      <c r="N5352" s="439" t="s">
        <v>3681</v>
      </c>
    </row>
    <row r="5353" spans="1:14">
      <c r="A5353" s="760"/>
      <c r="B5353" s="700" t="s">
        <v>772</v>
      </c>
      <c r="C5353" s="663" t="s">
        <v>322</v>
      </c>
      <c r="D5353" s="678" t="s">
        <v>1977</v>
      </c>
      <c r="E5353" s="700" t="s">
        <v>1912</v>
      </c>
      <c r="F5353" s="679">
        <v>2112</v>
      </c>
      <c r="G5353" s="665" t="s">
        <v>152</v>
      </c>
      <c r="H5353" s="660"/>
      <c r="I5353" s="660"/>
      <c r="J5353" s="1494" t="s">
        <v>1134</v>
      </c>
      <c r="K5353" s="661"/>
      <c r="L5353" s="659"/>
      <c r="M5353" s="659"/>
      <c r="N5353" s="439" t="s">
        <v>3681</v>
      </c>
    </row>
    <row r="5354" spans="1:14">
      <c r="A5354" s="849"/>
      <c r="B5354" s="720" t="s">
        <v>772</v>
      </c>
      <c r="C5354" s="683" t="s">
        <v>322</v>
      </c>
      <c r="D5354" s="719" t="s">
        <v>1977</v>
      </c>
      <c r="E5354" s="720" t="s">
        <v>1912</v>
      </c>
      <c r="F5354" s="824">
        <v>2121</v>
      </c>
      <c r="G5354" s="800" t="s">
        <v>654</v>
      </c>
      <c r="H5354" s="706">
        <v>500</v>
      </c>
      <c r="I5354" s="706"/>
      <c r="J5354" s="1494">
        <v>0</v>
      </c>
      <c r="K5354" s="690"/>
      <c r="L5354" s="689">
        <v>500</v>
      </c>
      <c r="M5354" s="689"/>
      <c r="N5354" s="439" t="s">
        <v>3681</v>
      </c>
    </row>
    <row r="5355" spans="1:14">
      <c r="A5355" s="760"/>
      <c r="B5355" s="700" t="s">
        <v>772</v>
      </c>
      <c r="C5355" s="663" t="s">
        <v>322</v>
      </c>
      <c r="D5355" s="678" t="s">
        <v>1977</v>
      </c>
      <c r="E5355" s="700" t="s">
        <v>1912</v>
      </c>
      <c r="F5355" s="795">
        <v>2121</v>
      </c>
      <c r="G5355" s="750" t="s">
        <v>152</v>
      </c>
      <c r="H5355" s="701"/>
      <c r="I5355" s="701">
        <v>500</v>
      </c>
      <c r="J5355" s="1494" t="s">
        <v>1134</v>
      </c>
      <c r="K5355" s="661"/>
      <c r="L5355" s="660"/>
      <c r="M5355" s="660">
        <v>500</v>
      </c>
      <c r="N5355" s="439" t="s">
        <v>3681</v>
      </c>
    </row>
    <row r="5356" spans="1:14">
      <c r="A5356" s="849"/>
      <c r="B5356" s="720" t="s">
        <v>772</v>
      </c>
      <c r="C5356" s="683" t="s">
        <v>322</v>
      </c>
      <c r="D5356" s="719" t="s">
        <v>1977</v>
      </c>
      <c r="E5356" s="720" t="s">
        <v>1912</v>
      </c>
      <c r="F5356" s="685">
        <v>2210</v>
      </c>
      <c r="G5356" s="686" t="s">
        <v>572</v>
      </c>
      <c r="H5356" s="689">
        <v>1008.0799999999999</v>
      </c>
      <c r="I5356" s="689"/>
      <c r="J5356" s="1494">
        <v>740</v>
      </c>
      <c r="K5356" s="727"/>
      <c r="L5356" s="689">
        <v>1008.0799999999999</v>
      </c>
      <c r="M5356" s="689"/>
      <c r="N5356" s="125"/>
    </row>
    <row r="5357" spans="1:14">
      <c r="A5357" s="760"/>
      <c r="B5357" s="700" t="s">
        <v>772</v>
      </c>
      <c r="C5357" s="663" t="s">
        <v>322</v>
      </c>
      <c r="D5357" s="678" t="s">
        <v>1977</v>
      </c>
      <c r="E5357" s="700" t="s">
        <v>1912</v>
      </c>
      <c r="F5357" s="679">
        <v>2210</v>
      </c>
      <c r="G5357" s="665" t="s">
        <v>1627</v>
      </c>
      <c r="H5357" s="660"/>
      <c r="I5357" s="660">
        <v>808.07999999999993</v>
      </c>
      <c r="J5357" s="1494" t="s">
        <v>1134</v>
      </c>
      <c r="K5357" s="667"/>
      <c r="L5357" s="660"/>
      <c r="M5357" s="660">
        <v>808.07999999999993</v>
      </c>
      <c r="N5357" s="125"/>
    </row>
    <row r="5358" spans="1:14" ht="20.399999999999999">
      <c r="A5358" s="760"/>
      <c r="B5358" s="700" t="s">
        <v>772</v>
      </c>
      <c r="C5358" s="663" t="s">
        <v>322</v>
      </c>
      <c r="D5358" s="678" t="s">
        <v>1977</v>
      </c>
      <c r="E5358" s="700" t="s">
        <v>1912</v>
      </c>
      <c r="F5358" s="679">
        <v>2210</v>
      </c>
      <c r="G5358" s="665" t="s">
        <v>539</v>
      </c>
      <c r="H5358" s="660"/>
      <c r="I5358" s="660">
        <v>200</v>
      </c>
      <c r="J5358" s="1494" t="s">
        <v>1134</v>
      </c>
      <c r="K5358" s="667"/>
      <c r="L5358" s="660"/>
      <c r="M5358" s="660">
        <v>200</v>
      </c>
      <c r="N5358" s="7"/>
    </row>
    <row r="5359" spans="1:14">
      <c r="A5359" s="683"/>
      <c r="B5359" s="720" t="s">
        <v>772</v>
      </c>
      <c r="C5359" s="683" t="s">
        <v>320</v>
      </c>
      <c r="D5359" s="719" t="s">
        <v>1977</v>
      </c>
      <c r="E5359" s="720" t="s">
        <v>1912</v>
      </c>
      <c r="F5359" s="685">
        <v>2234</v>
      </c>
      <c r="G5359" s="686" t="s">
        <v>120</v>
      </c>
      <c r="H5359" s="689">
        <v>225</v>
      </c>
      <c r="I5359" s="689"/>
      <c r="J5359" s="1494">
        <v>32</v>
      </c>
      <c r="K5359" s="690"/>
      <c r="L5359" s="689">
        <v>225</v>
      </c>
      <c r="M5359" s="689"/>
      <c r="N5359" s="439" t="s">
        <v>3681</v>
      </c>
    </row>
    <row r="5360" spans="1:14">
      <c r="A5360" s="663"/>
      <c r="B5360" s="700" t="s">
        <v>772</v>
      </c>
      <c r="C5360" s="663" t="s">
        <v>320</v>
      </c>
      <c r="D5360" s="678" t="s">
        <v>1977</v>
      </c>
      <c r="E5360" s="700" t="s">
        <v>1912</v>
      </c>
      <c r="F5360" s="679">
        <v>2234</v>
      </c>
      <c r="G5360" s="665" t="s">
        <v>2581</v>
      </c>
      <c r="H5360" s="660"/>
      <c r="I5360" s="676">
        <v>225</v>
      </c>
      <c r="J5360" s="1494" t="s">
        <v>1134</v>
      </c>
      <c r="K5360" s="661"/>
      <c r="L5360" s="660"/>
      <c r="M5360" s="676">
        <v>225</v>
      </c>
      <c r="N5360" s="125" t="s">
        <v>4833</v>
      </c>
    </row>
    <row r="5361" spans="1:14">
      <c r="A5361" s="683"/>
      <c r="B5361" s="720" t="s">
        <v>772</v>
      </c>
      <c r="C5361" s="683" t="s">
        <v>320</v>
      </c>
      <c r="D5361" s="719" t="s">
        <v>1977</v>
      </c>
      <c r="E5361" s="720" t="s">
        <v>1912</v>
      </c>
      <c r="F5361" s="685">
        <v>2235</v>
      </c>
      <c r="G5361" s="686" t="s">
        <v>931</v>
      </c>
      <c r="H5361" s="689">
        <v>595</v>
      </c>
      <c r="I5361" s="689"/>
      <c r="J5361" s="1494">
        <v>0</v>
      </c>
      <c r="K5361" s="690"/>
      <c r="L5361" s="689">
        <v>595</v>
      </c>
      <c r="M5361" s="689"/>
      <c r="N5361" s="439" t="s">
        <v>3681</v>
      </c>
    </row>
    <row r="5362" spans="1:14">
      <c r="A5362" s="760"/>
      <c r="B5362" s="700" t="s">
        <v>772</v>
      </c>
      <c r="C5362" s="663" t="s">
        <v>322</v>
      </c>
      <c r="D5362" s="678" t="s">
        <v>1977</v>
      </c>
      <c r="E5362" s="700" t="s">
        <v>1912</v>
      </c>
      <c r="F5362" s="679">
        <v>2235</v>
      </c>
      <c r="G5362" s="665" t="s">
        <v>1112</v>
      </c>
      <c r="H5362" s="660"/>
      <c r="I5362" s="660">
        <v>595</v>
      </c>
      <c r="J5362" s="1494" t="s">
        <v>1134</v>
      </c>
      <c r="K5362" s="661"/>
      <c r="L5362" s="660"/>
      <c r="M5362" s="676">
        <v>595</v>
      </c>
      <c r="N5362" s="439" t="s">
        <v>3681</v>
      </c>
    </row>
    <row r="5363" spans="1:14" ht="30.6">
      <c r="A5363" s="849"/>
      <c r="B5363" s="720" t="s">
        <v>772</v>
      </c>
      <c r="C5363" s="683" t="s">
        <v>320</v>
      </c>
      <c r="D5363" s="719" t="s">
        <v>1977</v>
      </c>
      <c r="E5363" s="720" t="s">
        <v>1912</v>
      </c>
      <c r="F5363" s="824">
        <v>2239</v>
      </c>
      <c r="G5363" s="800" t="s">
        <v>122</v>
      </c>
      <c r="H5363" s="706">
        <v>650</v>
      </c>
      <c r="I5363" s="706"/>
      <c r="J5363" s="1494">
        <v>228</v>
      </c>
      <c r="K5363" s="690"/>
      <c r="L5363" s="689">
        <v>100</v>
      </c>
      <c r="M5363" s="689"/>
      <c r="N5363" s="439" t="s">
        <v>3681</v>
      </c>
    </row>
    <row r="5364" spans="1:14">
      <c r="A5364" s="760"/>
      <c r="B5364" s="700" t="s">
        <v>772</v>
      </c>
      <c r="C5364" s="663" t="s">
        <v>320</v>
      </c>
      <c r="D5364" s="678" t="s">
        <v>1977</v>
      </c>
      <c r="E5364" s="700" t="s">
        <v>1912</v>
      </c>
      <c r="F5364" s="795">
        <v>2239</v>
      </c>
      <c r="G5364" s="750" t="s">
        <v>817</v>
      </c>
      <c r="H5364" s="701"/>
      <c r="I5364" s="701">
        <v>300</v>
      </c>
      <c r="J5364" s="1494" t="s">
        <v>1134</v>
      </c>
      <c r="K5364" s="661"/>
      <c r="L5364" s="660"/>
      <c r="M5364" s="877">
        <v>0</v>
      </c>
      <c r="N5364" s="439" t="s">
        <v>3681</v>
      </c>
    </row>
    <row r="5365" spans="1:14" ht="20.399999999999999">
      <c r="A5365" s="760"/>
      <c r="B5365" s="700" t="s">
        <v>772</v>
      </c>
      <c r="C5365" s="663" t="s">
        <v>322</v>
      </c>
      <c r="D5365" s="678" t="s">
        <v>1977</v>
      </c>
      <c r="E5365" s="700" t="s">
        <v>1912</v>
      </c>
      <c r="F5365" s="795">
        <v>2239</v>
      </c>
      <c r="G5365" s="750" t="s">
        <v>2582</v>
      </c>
      <c r="H5365" s="701"/>
      <c r="I5365" s="701">
        <v>50</v>
      </c>
      <c r="J5365" s="1494" t="s">
        <v>1134</v>
      </c>
      <c r="K5365" s="661"/>
      <c r="L5365" s="660"/>
      <c r="M5365" s="660"/>
      <c r="N5365" s="125"/>
    </row>
    <row r="5366" spans="1:14" ht="22.5" customHeight="1">
      <c r="A5366" s="760"/>
      <c r="B5366" s="700" t="s">
        <v>772</v>
      </c>
      <c r="C5366" s="663" t="s">
        <v>322</v>
      </c>
      <c r="D5366" s="678" t="s">
        <v>1977</v>
      </c>
      <c r="E5366" s="700" t="s">
        <v>1912</v>
      </c>
      <c r="F5366" s="795">
        <v>2239</v>
      </c>
      <c r="G5366" s="750" t="s">
        <v>5349</v>
      </c>
      <c r="H5366" s="701"/>
      <c r="I5366" s="701">
        <v>300</v>
      </c>
      <c r="J5366" s="1494" t="s">
        <v>1134</v>
      </c>
      <c r="K5366" s="661"/>
      <c r="L5366" s="660"/>
      <c r="M5366" s="660">
        <v>100</v>
      </c>
      <c r="N5366" s="125"/>
    </row>
    <row r="5367" spans="1:14">
      <c r="A5367" s="849"/>
      <c r="B5367" s="720" t="s">
        <v>772</v>
      </c>
      <c r="C5367" s="683" t="s">
        <v>320</v>
      </c>
      <c r="D5367" s="719" t="s">
        <v>1977</v>
      </c>
      <c r="E5367" s="720" t="s">
        <v>1912</v>
      </c>
      <c r="F5367" s="824">
        <v>2243</v>
      </c>
      <c r="G5367" s="800" t="s">
        <v>159</v>
      </c>
      <c r="H5367" s="706">
        <v>100</v>
      </c>
      <c r="I5367" s="706"/>
      <c r="J5367" s="1494">
        <v>0</v>
      </c>
      <c r="K5367" s="802"/>
      <c r="L5367" s="689">
        <v>100</v>
      </c>
      <c r="M5367" s="689"/>
      <c r="N5367" s="7"/>
    </row>
    <row r="5368" spans="1:14">
      <c r="A5368" s="760"/>
      <c r="B5368" s="700" t="s">
        <v>772</v>
      </c>
      <c r="C5368" s="663" t="s">
        <v>320</v>
      </c>
      <c r="D5368" s="678" t="s">
        <v>1977</v>
      </c>
      <c r="E5368" s="700" t="s">
        <v>1912</v>
      </c>
      <c r="F5368" s="795">
        <v>2243</v>
      </c>
      <c r="G5368" s="750" t="s">
        <v>700</v>
      </c>
      <c r="H5368" s="701"/>
      <c r="I5368" s="701">
        <v>100</v>
      </c>
      <c r="J5368" s="1494" t="s">
        <v>1134</v>
      </c>
      <c r="K5368" s="792"/>
      <c r="L5368" s="660"/>
      <c r="M5368" s="877">
        <v>100</v>
      </c>
      <c r="N5368" s="7" t="s">
        <v>3670</v>
      </c>
    </row>
    <row r="5369" spans="1:14" ht="22.5" customHeight="1">
      <c r="A5369" s="849"/>
      <c r="B5369" s="720" t="s">
        <v>772</v>
      </c>
      <c r="C5369" s="683" t="s">
        <v>320</v>
      </c>
      <c r="D5369" s="719" t="s">
        <v>1977</v>
      </c>
      <c r="E5369" s="720" t="s">
        <v>1912</v>
      </c>
      <c r="F5369" s="824">
        <v>2247</v>
      </c>
      <c r="G5369" s="800" t="s">
        <v>161</v>
      </c>
      <c r="H5369" s="706">
        <v>1400</v>
      </c>
      <c r="I5369" s="706"/>
      <c r="J5369" s="1494">
        <v>986</v>
      </c>
      <c r="K5369" s="802"/>
      <c r="L5369" s="689">
        <v>1400</v>
      </c>
      <c r="M5369" s="689"/>
      <c r="N5369" s="7"/>
    </row>
    <row r="5370" spans="1:14" ht="22.5" customHeight="1">
      <c r="A5370" s="760"/>
      <c r="B5370" s="700" t="s">
        <v>772</v>
      </c>
      <c r="C5370" s="663" t="s">
        <v>320</v>
      </c>
      <c r="D5370" s="678" t="s">
        <v>1977</v>
      </c>
      <c r="E5370" s="700" t="s">
        <v>1912</v>
      </c>
      <c r="F5370" s="795">
        <v>2247</v>
      </c>
      <c r="G5370" s="750" t="s">
        <v>2752</v>
      </c>
      <c r="H5370" s="701"/>
      <c r="I5370" s="701">
        <v>1400</v>
      </c>
      <c r="J5370" s="1494" t="s">
        <v>1134</v>
      </c>
      <c r="K5370" s="792"/>
      <c r="L5370" s="660"/>
      <c r="M5370" s="660">
        <v>1400</v>
      </c>
      <c r="N5370" s="7"/>
    </row>
    <row r="5371" spans="1:14">
      <c r="A5371" s="975"/>
      <c r="B5371" s="720" t="s">
        <v>772</v>
      </c>
      <c r="C5371" s="683" t="s">
        <v>320</v>
      </c>
      <c r="D5371" s="719" t="s">
        <v>1977</v>
      </c>
      <c r="E5371" s="720" t="s">
        <v>1912</v>
      </c>
      <c r="F5371" s="824">
        <v>2250</v>
      </c>
      <c r="G5371" s="800" t="s">
        <v>124</v>
      </c>
      <c r="H5371" s="1016">
        <v>6645</v>
      </c>
      <c r="I5371" s="1016"/>
      <c r="J5371" s="1494">
        <v>6014</v>
      </c>
      <c r="K5371" s="792"/>
      <c r="L5371" s="976">
        <v>7250</v>
      </c>
      <c r="M5371" s="976"/>
      <c r="N5371" s="7" t="s">
        <v>3685</v>
      </c>
    </row>
    <row r="5372" spans="1:14">
      <c r="A5372" s="760"/>
      <c r="B5372" s="700" t="s">
        <v>772</v>
      </c>
      <c r="C5372" s="663" t="s">
        <v>322</v>
      </c>
      <c r="D5372" s="678" t="s">
        <v>1977</v>
      </c>
      <c r="E5372" s="700" t="s">
        <v>1912</v>
      </c>
      <c r="F5372" s="795">
        <v>2250</v>
      </c>
      <c r="G5372" s="750" t="s">
        <v>671</v>
      </c>
      <c r="H5372" s="701"/>
      <c r="I5372" s="701">
        <v>500</v>
      </c>
      <c r="J5372" s="1494" t="s">
        <v>1134</v>
      </c>
      <c r="K5372" s="792"/>
      <c r="L5372" s="660"/>
      <c r="M5372" s="660">
        <v>500</v>
      </c>
      <c r="N5372" s="7"/>
    </row>
    <row r="5373" spans="1:14">
      <c r="A5373" s="760"/>
      <c r="B5373" s="700" t="s">
        <v>772</v>
      </c>
      <c r="C5373" s="663" t="s">
        <v>322</v>
      </c>
      <c r="D5373" s="678" t="s">
        <v>1977</v>
      </c>
      <c r="E5373" s="700" t="s">
        <v>1912</v>
      </c>
      <c r="F5373" s="795">
        <v>2250</v>
      </c>
      <c r="G5373" s="750" t="s">
        <v>1592</v>
      </c>
      <c r="H5373" s="701"/>
      <c r="I5373" s="701">
        <v>200</v>
      </c>
      <c r="J5373" s="1494" t="s">
        <v>1134</v>
      </c>
      <c r="K5373" s="792"/>
      <c r="L5373" s="660"/>
      <c r="M5373" s="660">
        <v>200</v>
      </c>
      <c r="N5373" s="7"/>
    </row>
    <row r="5374" spans="1:14">
      <c r="A5374" s="760"/>
      <c r="B5374" s="700" t="s">
        <v>772</v>
      </c>
      <c r="C5374" s="663" t="s">
        <v>322</v>
      </c>
      <c r="D5374" s="678" t="s">
        <v>1977</v>
      </c>
      <c r="E5374" s="700" t="s">
        <v>1912</v>
      </c>
      <c r="F5374" s="795">
        <v>2250</v>
      </c>
      <c r="G5374" s="750" t="s">
        <v>599</v>
      </c>
      <c r="H5374" s="701"/>
      <c r="I5374" s="701">
        <v>500</v>
      </c>
      <c r="J5374" s="1494" t="s">
        <v>1134</v>
      </c>
      <c r="K5374" s="792"/>
      <c r="L5374" s="660"/>
      <c r="M5374" s="660">
        <v>500</v>
      </c>
      <c r="N5374" s="7"/>
    </row>
    <row r="5375" spans="1:14">
      <c r="A5375" s="760" t="s">
        <v>1659</v>
      </c>
      <c r="B5375" s="700" t="s">
        <v>772</v>
      </c>
      <c r="C5375" s="663" t="s">
        <v>320</v>
      </c>
      <c r="D5375" s="678" t="s">
        <v>1977</v>
      </c>
      <c r="E5375" s="700" t="s">
        <v>1912</v>
      </c>
      <c r="F5375" s="795">
        <v>2250</v>
      </c>
      <c r="G5375" s="750" t="s">
        <v>1657</v>
      </c>
      <c r="H5375" s="701"/>
      <c r="I5375" s="701">
        <v>5445</v>
      </c>
      <c r="J5375" s="1494" t="s">
        <v>1134</v>
      </c>
      <c r="K5375" s="792"/>
      <c r="L5375" s="660"/>
      <c r="M5375" s="660">
        <v>6050</v>
      </c>
      <c r="N5375" s="7"/>
    </row>
    <row r="5376" spans="1:14">
      <c r="A5376" s="849"/>
      <c r="B5376" s="720" t="s">
        <v>772</v>
      </c>
      <c r="C5376" s="683" t="s">
        <v>322</v>
      </c>
      <c r="D5376" s="719" t="s">
        <v>1977</v>
      </c>
      <c r="E5376" s="720" t="s">
        <v>1912</v>
      </c>
      <c r="F5376" s="824">
        <v>2311</v>
      </c>
      <c r="G5376" s="800" t="s">
        <v>129</v>
      </c>
      <c r="H5376" s="706">
        <v>790</v>
      </c>
      <c r="I5376" s="706"/>
      <c r="J5376" s="1494">
        <v>120</v>
      </c>
      <c r="K5376" s="802"/>
      <c r="L5376" s="689">
        <v>690</v>
      </c>
      <c r="M5376" s="687"/>
      <c r="N5376" s="7"/>
    </row>
    <row r="5377" spans="1:14" ht="20.399999999999999">
      <c r="A5377" s="760"/>
      <c r="B5377" s="700" t="s">
        <v>772</v>
      </c>
      <c r="C5377" s="663" t="s">
        <v>322</v>
      </c>
      <c r="D5377" s="678" t="s">
        <v>1977</v>
      </c>
      <c r="E5377" s="700" t="s">
        <v>1912</v>
      </c>
      <c r="F5377" s="795">
        <v>2311</v>
      </c>
      <c r="G5377" s="750" t="s">
        <v>1113</v>
      </c>
      <c r="H5377" s="701"/>
      <c r="I5377" s="701">
        <v>200</v>
      </c>
      <c r="J5377" s="1494" t="s">
        <v>1134</v>
      </c>
      <c r="K5377" s="792"/>
      <c r="L5377" s="659"/>
      <c r="M5377" s="660">
        <v>100</v>
      </c>
      <c r="N5377" s="7"/>
    </row>
    <row r="5378" spans="1:14">
      <c r="A5378" s="760"/>
      <c r="B5378" s="700" t="s">
        <v>772</v>
      </c>
      <c r="C5378" s="663" t="s">
        <v>322</v>
      </c>
      <c r="D5378" s="678" t="s">
        <v>1977</v>
      </c>
      <c r="E5378" s="700" t="s">
        <v>1912</v>
      </c>
      <c r="F5378" s="795">
        <v>2311</v>
      </c>
      <c r="G5378" s="750" t="s">
        <v>337</v>
      </c>
      <c r="H5378" s="701"/>
      <c r="I5378" s="701">
        <v>200</v>
      </c>
      <c r="J5378" s="1494" t="s">
        <v>1134</v>
      </c>
      <c r="K5378" s="792"/>
      <c r="L5378" s="659"/>
      <c r="M5378" s="660">
        <v>200</v>
      </c>
      <c r="N5378" s="177"/>
    </row>
    <row r="5379" spans="1:14">
      <c r="A5379" s="760"/>
      <c r="B5379" s="700" t="s">
        <v>772</v>
      </c>
      <c r="C5379" s="663" t="s">
        <v>322</v>
      </c>
      <c r="D5379" s="678" t="s">
        <v>1977</v>
      </c>
      <c r="E5379" s="700" t="s">
        <v>1912</v>
      </c>
      <c r="F5379" s="795">
        <v>2311</v>
      </c>
      <c r="G5379" s="750" t="s">
        <v>1593</v>
      </c>
      <c r="H5379" s="701"/>
      <c r="I5379" s="701">
        <v>90</v>
      </c>
      <c r="J5379" s="1494" t="s">
        <v>1134</v>
      </c>
      <c r="K5379" s="792"/>
      <c r="L5379" s="659"/>
      <c r="M5379" s="660">
        <v>90</v>
      </c>
      <c r="N5379" s="177"/>
    </row>
    <row r="5380" spans="1:14">
      <c r="A5380" s="760"/>
      <c r="B5380" s="700" t="s">
        <v>772</v>
      </c>
      <c r="C5380" s="663" t="s">
        <v>322</v>
      </c>
      <c r="D5380" s="678" t="s">
        <v>1977</v>
      </c>
      <c r="E5380" s="700" t="s">
        <v>1912</v>
      </c>
      <c r="F5380" s="795">
        <v>2311</v>
      </c>
      <c r="G5380" s="750" t="s">
        <v>2583</v>
      </c>
      <c r="H5380" s="701"/>
      <c r="I5380" s="701">
        <v>300</v>
      </c>
      <c r="J5380" s="1494" t="s">
        <v>1134</v>
      </c>
      <c r="K5380" s="792"/>
      <c r="L5380" s="659"/>
      <c r="M5380" s="660">
        <v>300</v>
      </c>
      <c r="N5380" s="125"/>
    </row>
    <row r="5381" spans="1:14">
      <c r="A5381" s="849"/>
      <c r="B5381" s="720" t="s">
        <v>772</v>
      </c>
      <c r="C5381" s="683" t="s">
        <v>320</v>
      </c>
      <c r="D5381" s="719" t="s">
        <v>1977</v>
      </c>
      <c r="E5381" s="720" t="s">
        <v>1912</v>
      </c>
      <c r="F5381" s="824">
        <v>2312</v>
      </c>
      <c r="G5381" s="800" t="s">
        <v>177</v>
      </c>
      <c r="H5381" s="706">
        <v>239</v>
      </c>
      <c r="I5381" s="706"/>
      <c r="J5381" s="1494">
        <v>238.65</v>
      </c>
      <c r="K5381" s="802"/>
      <c r="L5381" s="689">
        <v>0</v>
      </c>
      <c r="M5381" s="689"/>
      <c r="N5381" s="359"/>
    </row>
    <row r="5382" spans="1:14" ht="30.6">
      <c r="A5382" s="760"/>
      <c r="B5382" s="700" t="s">
        <v>772</v>
      </c>
      <c r="C5382" s="663" t="s">
        <v>320</v>
      </c>
      <c r="D5382" s="678" t="s">
        <v>1977</v>
      </c>
      <c r="E5382" s="700" t="s">
        <v>1912</v>
      </c>
      <c r="F5382" s="795">
        <v>2312</v>
      </c>
      <c r="G5382" s="750" t="s">
        <v>3240</v>
      </c>
      <c r="H5382" s="701"/>
      <c r="I5382" s="701">
        <v>239</v>
      </c>
      <c r="J5382" s="1494" t="s">
        <v>1134</v>
      </c>
      <c r="K5382" s="792"/>
      <c r="L5382" s="660"/>
      <c r="M5382" s="660">
        <v>0</v>
      </c>
      <c r="N5382" s="359" t="s">
        <v>4745</v>
      </c>
    </row>
    <row r="5383" spans="1:14" ht="30.6">
      <c r="A5383" s="849"/>
      <c r="B5383" s="720" t="s">
        <v>772</v>
      </c>
      <c r="C5383" s="683" t="s">
        <v>320</v>
      </c>
      <c r="D5383" s="719" t="s">
        <v>1977</v>
      </c>
      <c r="E5383" s="720" t="s">
        <v>1912</v>
      </c>
      <c r="F5383" s="824">
        <v>2314</v>
      </c>
      <c r="G5383" s="800" t="s">
        <v>1435</v>
      </c>
      <c r="H5383" s="706">
        <v>200</v>
      </c>
      <c r="I5383" s="706"/>
      <c r="J5383" s="1494">
        <v>0</v>
      </c>
      <c r="K5383" s="802"/>
      <c r="L5383" s="689">
        <v>200</v>
      </c>
      <c r="M5383" s="689"/>
      <c r="N5383" s="359" t="s">
        <v>4746</v>
      </c>
    </row>
    <row r="5384" spans="1:14">
      <c r="A5384" s="760"/>
      <c r="B5384" s="700" t="s">
        <v>772</v>
      </c>
      <c r="C5384" s="663" t="s">
        <v>320</v>
      </c>
      <c r="D5384" s="678" t="s">
        <v>1977</v>
      </c>
      <c r="E5384" s="700" t="s">
        <v>1912</v>
      </c>
      <c r="F5384" s="795">
        <v>2314</v>
      </c>
      <c r="G5384" s="750" t="s">
        <v>174</v>
      </c>
      <c r="H5384" s="701"/>
      <c r="I5384" s="701">
        <v>200</v>
      </c>
      <c r="J5384" s="1494" t="s">
        <v>1134</v>
      </c>
      <c r="K5384" s="792"/>
      <c r="L5384" s="660"/>
      <c r="M5384" s="660">
        <v>200</v>
      </c>
      <c r="N5384" s="359" t="s">
        <v>4496</v>
      </c>
    </row>
    <row r="5385" spans="1:14" ht="20.399999999999999">
      <c r="A5385" s="866"/>
      <c r="B5385" s="735" t="s">
        <v>772</v>
      </c>
      <c r="C5385" s="728" t="s">
        <v>322</v>
      </c>
      <c r="D5385" s="719" t="s">
        <v>1977</v>
      </c>
      <c r="E5385" s="720" t="s">
        <v>1912</v>
      </c>
      <c r="F5385" s="1017">
        <v>2322</v>
      </c>
      <c r="G5385" s="1018" t="s">
        <v>169</v>
      </c>
      <c r="H5385" s="706">
        <v>8656.5</v>
      </c>
      <c r="I5385" s="706"/>
      <c r="J5385" s="1494">
        <v>2316</v>
      </c>
      <c r="K5385" s="802"/>
      <c r="L5385" s="689">
        <v>5174.3999999999996</v>
      </c>
      <c r="M5385" s="689"/>
      <c r="N5385" s="359" t="s">
        <v>4747</v>
      </c>
    </row>
    <row r="5386" spans="1:14" ht="22.5" customHeight="1">
      <c r="A5386" s="760"/>
      <c r="B5386" s="700" t="s">
        <v>772</v>
      </c>
      <c r="C5386" s="663" t="s">
        <v>322</v>
      </c>
      <c r="D5386" s="678" t="s">
        <v>1977</v>
      </c>
      <c r="E5386" s="700" t="s">
        <v>1912</v>
      </c>
      <c r="F5386" s="795">
        <v>2322</v>
      </c>
      <c r="G5386" s="812" t="s">
        <v>4817</v>
      </c>
      <c r="H5386" s="701"/>
      <c r="I5386" s="701">
        <v>1421.2</v>
      </c>
      <c r="J5386" s="1494" t="s">
        <v>1134</v>
      </c>
      <c r="K5386" s="792"/>
      <c r="L5386" s="660"/>
      <c r="M5386" s="660">
        <v>1232</v>
      </c>
      <c r="N5386" s="359" t="s">
        <v>4748</v>
      </c>
    </row>
    <row r="5387" spans="1:14" ht="22.5" customHeight="1">
      <c r="A5387" s="760"/>
      <c r="B5387" s="700" t="s">
        <v>772</v>
      </c>
      <c r="C5387" s="663" t="s">
        <v>322</v>
      </c>
      <c r="D5387" s="678" t="s">
        <v>1977</v>
      </c>
      <c r="E5387" s="700" t="s">
        <v>1912</v>
      </c>
      <c r="F5387" s="795">
        <v>2322</v>
      </c>
      <c r="G5387" s="812" t="s">
        <v>4818</v>
      </c>
      <c r="H5387" s="701"/>
      <c r="I5387" s="701">
        <v>1421.2</v>
      </c>
      <c r="J5387" s="1494" t="s">
        <v>1134</v>
      </c>
      <c r="K5387" s="792"/>
      <c r="L5387" s="660"/>
      <c r="M5387" s="660">
        <v>1971.1999999999998</v>
      </c>
      <c r="N5387" s="359" t="s">
        <v>4506</v>
      </c>
    </row>
    <row r="5388" spans="1:14">
      <c r="A5388" s="760"/>
      <c r="B5388" s="700" t="s">
        <v>772</v>
      </c>
      <c r="C5388" s="663" t="s">
        <v>322</v>
      </c>
      <c r="D5388" s="678" t="s">
        <v>1977</v>
      </c>
      <c r="E5388" s="700" t="s">
        <v>1912</v>
      </c>
      <c r="F5388" s="795">
        <v>2322</v>
      </c>
      <c r="G5388" s="812" t="s">
        <v>4819</v>
      </c>
      <c r="H5388" s="701"/>
      <c r="I5388" s="701">
        <v>1776.5</v>
      </c>
      <c r="J5388" s="1494" t="s">
        <v>1134</v>
      </c>
      <c r="K5388" s="792"/>
      <c r="L5388" s="660"/>
      <c r="M5388" s="660">
        <v>1478.3999999999999</v>
      </c>
      <c r="N5388" s="359"/>
    </row>
    <row r="5389" spans="1:14">
      <c r="A5389" s="760"/>
      <c r="B5389" s="700" t="s">
        <v>772</v>
      </c>
      <c r="C5389" s="663" t="s">
        <v>322</v>
      </c>
      <c r="D5389" s="678" t="s">
        <v>1977</v>
      </c>
      <c r="E5389" s="700" t="s">
        <v>1912</v>
      </c>
      <c r="F5389" s="795">
        <v>2322</v>
      </c>
      <c r="G5389" s="812" t="s">
        <v>4820</v>
      </c>
      <c r="H5389" s="701"/>
      <c r="I5389" s="701">
        <v>1421.2</v>
      </c>
      <c r="J5389" s="1494" t="s">
        <v>1134</v>
      </c>
      <c r="K5389" s="792"/>
      <c r="L5389" s="660"/>
      <c r="M5389" s="660">
        <v>492.79999999999995</v>
      </c>
      <c r="N5389" s="359"/>
    </row>
    <row r="5390" spans="1:14">
      <c r="A5390" s="760"/>
      <c r="B5390" s="700" t="s">
        <v>772</v>
      </c>
      <c r="C5390" s="663" t="s">
        <v>322</v>
      </c>
      <c r="D5390" s="678" t="s">
        <v>1977</v>
      </c>
      <c r="E5390" s="700" t="s">
        <v>1912</v>
      </c>
      <c r="F5390" s="795">
        <v>2322</v>
      </c>
      <c r="G5390" s="812"/>
      <c r="H5390" s="701"/>
      <c r="I5390" s="701">
        <v>1421.2</v>
      </c>
      <c r="J5390" s="1494" t="s">
        <v>1134</v>
      </c>
      <c r="K5390" s="792"/>
      <c r="L5390" s="660"/>
      <c r="M5390" s="660"/>
      <c r="N5390" s="359" t="s">
        <v>4497</v>
      </c>
    </row>
    <row r="5391" spans="1:14">
      <c r="A5391" s="760"/>
      <c r="B5391" s="700" t="s">
        <v>772</v>
      </c>
      <c r="C5391" s="663" t="s">
        <v>322</v>
      </c>
      <c r="D5391" s="678" t="s">
        <v>1977</v>
      </c>
      <c r="E5391" s="700" t="s">
        <v>1912</v>
      </c>
      <c r="F5391" s="795">
        <v>2322</v>
      </c>
      <c r="G5391" s="812"/>
      <c r="H5391" s="701"/>
      <c r="I5391" s="701">
        <v>1421.2</v>
      </c>
      <c r="J5391" s="1494" t="s">
        <v>1134</v>
      </c>
      <c r="K5391" s="792"/>
      <c r="L5391" s="660"/>
      <c r="M5391" s="660"/>
      <c r="N5391" s="359"/>
    </row>
    <row r="5392" spans="1:14" ht="20.399999999999999">
      <c r="A5392" s="1145"/>
      <c r="B5392" s="700" t="s">
        <v>772</v>
      </c>
      <c r="C5392" s="663" t="s">
        <v>322</v>
      </c>
      <c r="D5392" s="678" t="s">
        <v>1977</v>
      </c>
      <c r="E5392" s="700" t="s">
        <v>1912</v>
      </c>
      <c r="F5392" s="795">
        <v>2322</v>
      </c>
      <c r="G5392" s="1448" t="s">
        <v>3080</v>
      </c>
      <c r="H5392" s="1165"/>
      <c r="I5392" s="1165">
        <v>-226</v>
      </c>
      <c r="J5392" s="1494" t="s">
        <v>1134</v>
      </c>
      <c r="K5392" s="1439"/>
      <c r="L5392" s="1130"/>
      <c r="M5392" s="1130"/>
      <c r="N5392" s="359"/>
    </row>
    <row r="5393" spans="1:14">
      <c r="A5393" s="849"/>
      <c r="B5393" s="720" t="s">
        <v>772</v>
      </c>
      <c r="C5393" s="683" t="s">
        <v>320</v>
      </c>
      <c r="D5393" s="719" t="s">
        <v>1977</v>
      </c>
      <c r="E5393" s="720" t="s">
        <v>1912</v>
      </c>
      <c r="F5393" s="824">
        <v>2350</v>
      </c>
      <c r="G5393" s="800" t="s">
        <v>133</v>
      </c>
      <c r="H5393" s="706">
        <v>100</v>
      </c>
      <c r="I5393" s="706"/>
      <c r="J5393" s="1494">
        <v>0</v>
      </c>
      <c r="K5393" s="802"/>
      <c r="L5393" s="689">
        <v>100</v>
      </c>
      <c r="M5393" s="689"/>
      <c r="N5393" s="359"/>
    </row>
    <row r="5394" spans="1:14">
      <c r="A5394" s="760"/>
      <c r="B5394" s="700" t="s">
        <v>772</v>
      </c>
      <c r="C5394" s="663" t="s">
        <v>320</v>
      </c>
      <c r="D5394" s="678" t="s">
        <v>1977</v>
      </c>
      <c r="E5394" s="700" t="s">
        <v>1912</v>
      </c>
      <c r="F5394" s="795">
        <v>2350</v>
      </c>
      <c r="G5394" s="750" t="s">
        <v>152</v>
      </c>
      <c r="H5394" s="701"/>
      <c r="I5394" s="701">
        <v>100</v>
      </c>
      <c r="J5394" s="1494" t="s">
        <v>1134</v>
      </c>
      <c r="K5394" s="792"/>
      <c r="L5394" s="660"/>
      <c r="M5394" s="660">
        <v>100</v>
      </c>
      <c r="N5394" s="359"/>
    </row>
    <row r="5395" spans="1:14">
      <c r="A5395" s="849"/>
      <c r="B5395" s="3129" t="s">
        <v>773</v>
      </c>
      <c r="C5395" s="683" t="s">
        <v>324</v>
      </c>
      <c r="D5395" s="823" t="s">
        <v>1977</v>
      </c>
      <c r="E5395" s="720" t="s">
        <v>1912</v>
      </c>
      <c r="F5395" s="824">
        <v>5140</v>
      </c>
      <c r="G5395" s="800" t="s">
        <v>1011</v>
      </c>
      <c r="H5395" s="706">
        <v>40361</v>
      </c>
      <c r="I5395" s="706"/>
      <c r="J5395" s="1494">
        <v>10139.799999999999</v>
      </c>
      <c r="K5395" s="802"/>
      <c r="L5395" s="689">
        <v>0</v>
      </c>
      <c r="M5395" s="689"/>
      <c r="N5395" s="359"/>
    </row>
    <row r="5396" spans="1:14" ht="71.400000000000006">
      <c r="A5396" s="760"/>
      <c r="B5396" s="3130" t="s">
        <v>773</v>
      </c>
      <c r="C5396" s="663" t="s">
        <v>324</v>
      </c>
      <c r="D5396" s="794" t="s">
        <v>1977</v>
      </c>
      <c r="E5396" s="700" t="s">
        <v>1912</v>
      </c>
      <c r="F5396" s="795">
        <v>5140</v>
      </c>
      <c r="G5396" s="750" t="s">
        <v>2043</v>
      </c>
      <c r="H5396" s="701"/>
      <c r="I5396" s="701">
        <v>40600</v>
      </c>
      <c r="J5396" s="1494" t="s">
        <v>1134</v>
      </c>
      <c r="K5396" s="792"/>
      <c r="L5396" s="660"/>
      <c r="M5396" s="660"/>
      <c r="N5396" s="359"/>
    </row>
    <row r="5397" spans="1:14" ht="20.399999999999999">
      <c r="A5397" s="760"/>
      <c r="B5397" s="3130" t="s">
        <v>773</v>
      </c>
      <c r="C5397" s="663" t="s">
        <v>324</v>
      </c>
      <c r="D5397" s="794" t="s">
        <v>1977</v>
      </c>
      <c r="E5397" s="700" t="s">
        <v>1912</v>
      </c>
      <c r="F5397" s="795">
        <v>5140</v>
      </c>
      <c r="G5397" s="750" t="s">
        <v>3240</v>
      </c>
      <c r="H5397" s="701"/>
      <c r="I5397" s="701">
        <v>-239</v>
      </c>
      <c r="J5397" s="1494" t="s">
        <v>1134</v>
      </c>
      <c r="K5397" s="792"/>
      <c r="L5397" s="660"/>
      <c r="M5397" s="660"/>
      <c r="N5397" s="125"/>
    </row>
    <row r="5398" spans="1:14">
      <c r="A5398" s="720"/>
      <c r="B5398" s="720" t="s">
        <v>774</v>
      </c>
      <c r="C5398" s="720" t="s">
        <v>324</v>
      </c>
      <c r="D5398" s="823" t="s">
        <v>1977</v>
      </c>
      <c r="E5398" s="720" t="s">
        <v>1912</v>
      </c>
      <c r="F5398" s="824">
        <v>5238</v>
      </c>
      <c r="G5398" s="800" t="s">
        <v>139</v>
      </c>
      <c r="H5398" s="706">
        <v>3726</v>
      </c>
      <c r="I5398" s="706"/>
      <c r="J5398" s="1494">
        <v>3725.04</v>
      </c>
      <c r="K5398" s="802"/>
      <c r="L5398" s="689">
        <v>1500</v>
      </c>
      <c r="M5398" s="689"/>
      <c r="N5398" s="125"/>
    </row>
    <row r="5399" spans="1:14" ht="20.399999999999999">
      <c r="A5399" s="700"/>
      <c r="B5399" s="700" t="s">
        <v>774</v>
      </c>
      <c r="C5399" s="700" t="s">
        <v>324</v>
      </c>
      <c r="D5399" s="794" t="s">
        <v>1977</v>
      </c>
      <c r="E5399" s="700" t="s">
        <v>1912</v>
      </c>
      <c r="F5399" s="795">
        <v>5238</v>
      </c>
      <c r="G5399" s="750" t="s">
        <v>2584</v>
      </c>
      <c r="H5399" s="701"/>
      <c r="I5399" s="1019">
        <v>3500</v>
      </c>
      <c r="J5399" s="1494" t="s">
        <v>1134</v>
      </c>
      <c r="K5399" s="792"/>
      <c r="L5399" s="660"/>
      <c r="M5399" s="868">
        <v>1500</v>
      </c>
      <c r="N5399" s="125"/>
    </row>
    <row r="5400" spans="1:14" ht="20.399999999999999">
      <c r="A5400" s="1145"/>
      <c r="B5400" s="700" t="s">
        <v>774</v>
      </c>
      <c r="C5400" s="700" t="s">
        <v>324</v>
      </c>
      <c r="D5400" s="794" t="s">
        <v>1977</v>
      </c>
      <c r="E5400" s="700" t="s">
        <v>1912</v>
      </c>
      <c r="F5400" s="795">
        <v>5238</v>
      </c>
      <c r="G5400" s="1448" t="s">
        <v>3080</v>
      </c>
      <c r="H5400" s="1165"/>
      <c r="I5400" s="1165">
        <v>226</v>
      </c>
      <c r="J5400" s="1494" t="s">
        <v>1134</v>
      </c>
      <c r="K5400" s="1439"/>
      <c r="L5400" s="1130"/>
      <c r="M5400" s="1130"/>
      <c r="N5400" s="125"/>
    </row>
    <row r="5401" spans="1:14" ht="20.399999999999999">
      <c r="A5401" s="700"/>
      <c r="B5401" s="700" t="s">
        <v>774</v>
      </c>
      <c r="C5401" s="700" t="s">
        <v>324</v>
      </c>
      <c r="D5401" s="794" t="s">
        <v>1977</v>
      </c>
      <c r="E5401" s="700" t="s">
        <v>1912</v>
      </c>
      <c r="F5401" s="795">
        <v>5238</v>
      </c>
      <c r="G5401" s="750" t="s">
        <v>1658</v>
      </c>
      <c r="H5401" s="701"/>
      <c r="I5401" s="1019"/>
      <c r="J5401" s="1494" t="s">
        <v>1134</v>
      </c>
      <c r="K5401" s="792"/>
      <c r="L5401" s="660"/>
      <c r="M5401" s="868"/>
      <c r="N5401" s="125"/>
    </row>
    <row r="5402" spans="1:14">
      <c r="A5402" s="720"/>
      <c r="B5402" s="720" t="s">
        <v>774</v>
      </c>
      <c r="C5402" s="720" t="s">
        <v>324</v>
      </c>
      <c r="D5402" s="823" t="s">
        <v>1977</v>
      </c>
      <c r="E5402" s="720" t="s">
        <v>1912</v>
      </c>
      <c r="F5402" s="824">
        <v>5239</v>
      </c>
      <c r="G5402" s="800" t="s">
        <v>138</v>
      </c>
      <c r="H5402" s="706">
        <v>0</v>
      </c>
      <c r="I5402" s="706"/>
      <c r="J5402" s="1494" t="s">
        <v>1134</v>
      </c>
      <c r="K5402" s="802"/>
      <c r="L5402" s="689">
        <v>0</v>
      </c>
      <c r="M5402" s="689"/>
      <c r="N5402" s="125"/>
    </row>
    <row r="5403" spans="1:14" ht="20.399999999999999">
      <c r="A5403" s="700"/>
      <c r="B5403" s="700" t="s">
        <v>774</v>
      </c>
      <c r="C5403" s="700" t="s">
        <v>324</v>
      </c>
      <c r="D5403" s="794" t="s">
        <v>1977</v>
      </c>
      <c r="E5403" s="700" t="s">
        <v>1912</v>
      </c>
      <c r="F5403" s="795">
        <v>5239</v>
      </c>
      <c r="G5403" s="750" t="s">
        <v>1594</v>
      </c>
      <c r="H5403" s="701"/>
      <c r="I5403" s="701"/>
      <c r="J5403" s="1494" t="s">
        <v>1134</v>
      </c>
      <c r="K5403" s="792"/>
      <c r="L5403" s="660"/>
      <c r="M5403" s="660"/>
      <c r="N5403" s="125"/>
    </row>
    <row r="5404" spans="1:14">
      <c r="A5404" s="849"/>
      <c r="B5404" s="720" t="s">
        <v>436</v>
      </c>
      <c r="C5404" s="683" t="s">
        <v>427</v>
      </c>
      <c r="D5404" s="719" t="s">
        <v>1977</v>
      </c>
      <c r="E5404" s="742" t="s">
        <v>1913</v>
      </c>
      <c r="F5404" s="824">
        <v>1119</v>
      </c>
      <c r="G5404" s="800" t="s">
        <v>406</v>
      </c>
      <c r="H5404" s="706">
        <v>96678.360000000015</v>
      </c>
      <c r="I5404" s="706"/>
      <c r="J5404" s="1654">
        <v>81127</v>
      </c>
      <c r="K5404" s="802"/>
      <c r="L5404" s="706">
        <v>103719.24</v>
      </c>
      <c r="M5404" s="706"/>
      <c r="N5404" s="125"/>
    </row>
    <row r="5405" spans="1:14">
      <c r="A5405" s="760"/>
      <c r="B5405" s="700" t="s">
        <v>436</v>
      </c>
      <c r="C5405" s="663" t="s">
        <v>427</v>
      </c>
      <c r="D5405" s="678" t="s">
        <v>1977</v>
      </c>
      <c r="E5405" s="700" t="s">
        <v>1913</v>
      </c>
      <c r="F5405" s="795">
        <v>1119</v>
      </c>
      <c r="G5405" s="750" t="s">
        <v>1183</v>
      </c>
      <c r="H5405" s="701"/>
      <c r="I5405" s="701">
        <v>96678.360000000015</v>
      </c>
      <c r="J5405" s="1654" t="s">
        <v>1134</v>
      </c>
      <c r="K5405" s="802"/>
      <c r="L5405" s="701"/>
      <c r="M5405" s="701">
        <v>103719.24</v>
      </c>
      <c r="N5405" s="125"/>
    </row>
    <row r="5406" spans="1:14" ht="20.399999999999999">
      <c r="A5406" s="849"/>
      <c r="B5406" s="720" t="s">
        <v>436</v>
      </c>
      <c r="C5406" s="683" t="s">
        <v>427</v>
      </c>
      <c r="D5406" s="719" t="s">
        <v>1977</v>
      </c>
      <c r="E5406" s="720" t="s">
        <v>1913</v>
      </c>
      <c r="F5406" s="824">
        <v>1146</v>
      </c>
      <c r="G5406" s="800" t="s">
        <v>579</v>
      </c>
      <c r="H5406" s="706">
        <v>0</v>
      </c>
      <c r="I5406" s="706"/>
      <c r="J5406" s="1654" t="s">
        <v>1134</v>
      </c>
      <c r="K5406" s="802"/>
      <c r="L5406" s="706">
        <v>0</v>
      </c>
      <c r="M5406" s="706"/>
      <c r="N5406" s="125"/>
    </row>
    <row r="5407" spans="1:14">
      <c r="A5407" s="760"/>
      <c r="B5407" s="700" t="s">
        <v>436</v>
      </c>
      <c r="C5407" s="663" t="s">
        <v>427</v>
      </c>
      <c r="D5407" s="678" t="s">
        <v>1977</v>
      </c>
      <c r="E5407" s="700" t="s">
        <v>1913</v>
      </c>
      <c r="F5407" s="795">
        <v>1146</v>
      </c>
      <c r="G5407" s="750"/>
      <c r="H5407" s="701"/>
      <c r="I5407" s="701"/>
      <c r="J5407" s="1654" t="s">
        <v>1134</v>
      </c>
      <c r="K5407" s="802"/>
      <c r="L5407" s="701"/>
      <c r="M5407" s="701"/>
      <c r="N5407" s="125"/>
    </row>
    <row r="5408" spans="1:14">
      <c r="A5408" s="849"/>
      <c r="B5408" s="720" t="s">
        <v>436</v>
      </c>
      <c r="C5408" s="683" t="s">
        <v>427</v>
      </c>
      <c r="D5408" s="719" t="s">
        <v>1977</v>
      </c>
      <c r="E5408" s="720" t="s">
        <v>1913</v>
      </c>
      <c r="F5408" s="824">
        <v>1147</v>
      </c>
      <c r="G5408" s="800" t="s">
        <v>111</v>
      </c>
      <c r="H5408" s="706">
        <v>7250.8770000000004</v>
      </c>
      <c r="I5408" s="706"/>
      <c r="J5408" s="1654">
        <v>1867</v>
      </c>
      <c r="K5408" s="802"/>
      <c r="L5408" s="706">
        <v>2846.7794999999996</v>
      </c>
      <c r="M5408" s="706"/>
      <c r="N5408" s="125"/>
    </row>
    <row r="5409" spans="1:14">
      <c r="A5409" s="760"/>
      <c r="B5409" s="700" t="s">
        <v>436</v>
      </c>
      <c r="C5409" s="663" t="s">
        <v>427</v>
      </c>
      <c r="D5409" s="678" t="s">
        <v>1977</v>
      </c>
      <c r="E5409" s="700" t="s">
        <v>1913</v>
      </c>
      <c r="F5409" s="795">
        <v>1147</v>
      </c>
      <c r="G5409" s="750" t="s">
        <v>436</v>
      </c>
      <c r="H5409" s="701"/>
      <c r="I5409" s="701">
        <v>7250.8770000000004</v>
      </c>
      <c r="J5409" s="1654" t="s">
        <v>1134</v>
      </c>
      <c r="K5409" s="802"/>
      <c r="L5409" s="701"/>
      <c r="M5409" s="701">
        <v>2846.7794999999996</v>
      </c>
      <c r="N5409" s="125"/>
    </row>
    <row r="5410" spans="1:14">
      <c r="A5410" s="760"/>
      <c r="B5410" s="700" t="s">
        <v>436</v>
      </c>
      <c r="C5410" s="663" t="s">
        <v>427</v>
      </c>
      <c r="D5410" s="678" t="s">
        <v>1977</v>
      </c>
      <c r="E5410" s="700" t="s">
        <v>1913</v>
      </c>
      <c r="F5410" s="795">
        <v>1147</v>
      </c>
      <c r="G5410" s="750"/>
      <c r="H5410" s="701"/>
      <c r="I5410" s="701"/>
      <c r="J5410" s="1654" t="s">
        <v>1134</v>
      </c>
      <c r="K5410" s="802"/>
      <c r="L5410" s="701"/>
      <c r="M5410" s="701"/>
      <c r="N5410" s="125"/>
    </row>
    <row r="5411" spans="1:14">
      <c r="A5411" s="849"/>
      <c r="B5411" s="720" t="s">
        <v>436</v>
      </c>
      <c r="C5411" s="683" t="s">
        <v>427</v>
      </c>
      <c r="D5411" s="719" t="s">
        <v>1977</v>
      </c>
      <c r="E5411" s="720" t="s">
        <v>1913</v>
      </c>
      <c r="F5411" s="824">
        <v>1148</v>
      </c>
      <c r="G5411" s="800" t="s">
        <v>395</v>
      </c>
      <c r="H5411" s="706">
        <v>1000</v>
      </c>
      <c r="I5411" s="706"/>
      <c r="J5411" s="1654">
        <v>4341</v>
      </c>
      <c r="K5411" s="802"/>
      <c r="L5411" s="706">
        <v>4500</v>
      </c>
      <c r="M5411" s="706"/>
      <c r="N5411" s="125"/>
    </row>
    <row r="5412" spans="1:14">
      <c r="A5412" s="760"/>
      <c r="B5412" s="700" t="s">
        <v>436</v>
      </c>
      <c r="C5412" s="663" t="s">
        <v>427</v>
      </c>
      <c r="D5412" s="678" t="s">
        <v>1977</v>
      </c>
      <c r="E5412" s="700" t="s">
        <v>1913</v>
      </c>
      <c r="F5412" s="795">
        <v>1148</v>
      </c>
      <c r="G5412" s="750" t="s">
        <v>670</v>
      </c>
      <c r="H5412" s="701"/>
      <c r="I5412" s="701">
        <v>1000</v>
      </c>
      <c r="J5412" s="1654" t="s">
        <v>1134</v>
      </c>
      <c r="K5412" s="802"/>
      <c r="L5412" s="701"/>
      <c r="M5412" s="701">
        <v>4500</v>
      </c>
      <c r="N5412" s="125"/>
    </row>
    <row r="5413" spans="1:14">
      <c r="A5413" s="683"/>
      <c r="B5413" s="720" t="s">
        <v>436</v>
      </c>
      <c r="C5413" s="683" t="s">
        <v>427</v>
      </c>
      <c r="D5413" s="719" t="s">
        <v>1977</v>
      </c>
      <c r="E5413" s="720" t="s">
        <v>1913</v>
      </c>
      <c r="F5413" s="824">
        <v>1170</v>
      </c>
      <c r="G5413" s="800" t="s">
        <v>475</v>
      </c>
      <c r="H5413" s="713">
        <v>60</v>
      </c>
      <c r="I5413" s="713"/>
      <c r="J5413" s="1654">
        <v>60</v>
      </c>
      <c r="K5413" s="842"/>
      <c r="L5413" s="713">
        <v>60</v>
      </c>
      <c r="M5413" s="713"/>
      <c r="N5413" s="125"/>
    </row>
    <row r="5414" spans="1:14" ht="20.399999999999999">
      <c r="A5414" s="663"/>
      <c r="B5414" s="700" t="s">
        <v>436</v>
      </c>
      <c r="C5414" s="663" t="s">
        <v>427</v>
      </c>
      <c r="D5414" s="678" t="s">
        <v>1977</v>
      </c>
      <c r="E5414" s="700" t="s">
        <v>1913</v>
      </c>
      <c r="F5414" s="795">
        <v>1170</v>
      </c>
      <c r="G5414" s="812" t="s">
        <v>622</v>
      </c>
      <c r="H5414" s="714"/>
      <c r="I5414" s="714">
        <v>60</v>
      </c>
      <c r="J5414" s="1654" t="s">
        <v>1134</v>
      </c>
      <c r="K5414" s="809"/>
      <c r="L5414" s="714"/>
      <c r="M5414" s="714">
        <v>60</v>
      </c>
      <c r="N5414" s="125"/>
    </row>
    <row r="5415" spans="1:14">
      <c r="A5415" s="849"/>
      <c r="B5415" s="720" t="s">
        <v>436</v>
      </c>
      <c r="C5415" s="683" t="s">
        <v>427</v>
      </c>
      <c r="D5415" s="719" t="s">
        <v>1977</v>
      </c>
      <c r="E5415" s="720" t="s">
        <v>1913</v>
      </c>
      <c r="F5415" s="824">
        <v>1210</v>
      </c>
      <c r="G5415" s="800" t="s">
        <v>113</v>
      </c>
      <c r="H5415" s="706">
        <v>24193.815985709996</v>
      </c>
      <c r="I5415" s="706"/>
      <c r="J5415" s="1654">
        <v>20062</v>
      </c>
      <c r="K5415" s="802"/>
      <c r="L5415" s="706">
        <v>25858.950311722499</v>
      </c>
      <c r="M5415" s="706"/>
      <c r="N5415" s="125"/>
    </row>
    <row r="5416" spans="1:14">
      <c r="A5416" s="760"/>
      <c r="B5416" s="700" t="s">
        <v>436</v>
      </c>
      <c r="C5416" s="663" t="s">
        <v>427</v>
      </c>
      <c r="D5416" s="678" t="s">
        <v>1977</v>
      </c>
      <c r="E5416" s="700" t="s">
        <v>1913</v>
      </c>
      <c r="F5416" s="795">
        <v>1210</v>
      </c>
      <c r="G5416" s="750" t="s">
        <v>436</v>
      </c>
      <c r="H5416" s="701"/>
      <c r="I5416" s="701">
        <v>24193.815985709996</v>
      </c>
      <c r="J5416" s="1654" t="s">
        <v>1134</v>
      </c>
      <c r="K5416" s="802"/>
      <c r="L5416" s="701"/>
      <c r="M5416" s="701">
        <v>25858.950311722499</v>
      </c>
      <c r="N5416" s="125"/>
    </row>
    <row r="5417" spans="1:14" ht="11.4" customHeight="1">
      <c r="A5417" s="849"/>
      <c r="B5417" s="720" t="s">
        <v>436</v>
      </c>
      <c r="C5417" s="683" t="s">
        <v>427</v>
      </c>
      <c r="D5417" s="719" t="s">
        <v>1977</v>
      </c>
      <c r="E5417" s="720" t="s">
        <v>1913</v>
      </c>
      <c r="F5417" s="824">
        <v>1221</v>
      </c>
      <c r="G5417" s="800" t="s">
        <v>175</v>
      </c>
      <c r="H5417" s="706">
        <v>5301.6237360900004</v>
      </c>
      <c r="I5417" s="706"/>
      <c r="J5417" s="1654">
        <v>4238</v>
      </c>
      <c r="K5417" s="802"/>
      <c r="L5417" s="706">
        <v>5682.6323848275006</v>
      </c>
      <c r="M5417" s="706"/>
      <c r="N5417" s="125"/>
    </row>
    <row r="5418" spans="1:14">
      <c r="A5418" s="760"/>
      <c r="B5418" s="700" t="s">
        <v>436</v>
      </c>
      <c r="C5418" s="663" t="s">
        <v>427</v>
      </c>
      <c r="D5418" s="678" t="s">
        <v>1977</v>
      </c>
      <c r="E5418" s="700" t="s">
        <v>1913</v>
      </c>
      <c r="F5418" s="795">
        <v>1221</v>
      </c>
      <c r="G5418" s="750"/>
      <c r="H5418" s="701"/>
      <c r="I5418" s="701">
        <v>5301.6237360900004</v>
      </c>
      <c r="J5418" s="1654" t="s">
        <v>1134</v>
      </c>
      <c r="K5418" s="802"/>
      <c r="L5418" s="701"/>
      <c r="M5418" s="701">
        <v>5682.6323848275006</v>
      </c>
      <c r="N5418" s="125"/>
    </row>
    <row r="5419" spans="1:14">
      <c r="A5419" s="942"/>
      <c r="B5419" s="720" t="s">
        <v>772</v>
      </c>
      <c r="C5419" s="683" t="s">
        <v>427</v>
      </c>
      <c r="D5419" s="719" t="s">
        <v>1977</v>
      </c>
      <c r="E5419" s="720" t="s">
        <v>1913</v>
      </c>
      <c r="F5419" s="685">
        <v>1228</v>
      </c>
      <c r="G5419" s="800" t="s">
        <v>145</v>
      </c>
      <c r="H5419" s="963">
        <v>960</v>
      </c>
      <c r="I5419" s="963"/>
      <c r="J5419" s="1494">
        <v>666</v>
      </c>
      <c r="K5419" s="892"/>
      <c r="L5419" s="963">
        <v>672</v>
      </c>
      <c r="M5419" s="963"/>
      <c r="N5419" s="125"/>
    </row>
    <row r="5420" spans="1:14">
      <c r="A5420" s="810"/>
      <c r="B5420" s="700" t="s">
        <v>772</v>
      </c>
      <c r="C5420" s="663" t="s">
        <v>427</v>
      </c>
      <c r="D5420" s="678" t="s">
        <v>1977</v>
      </c>
      <c r="E5420" s="700" t="s">
        <v>1913</v>
      </c>
      <c r="F5420" s="679">
        <v>1228</v>
      </c>
      <c r="G5420" s="750" t="s">
        <v>423</v>
      </c>
      <c r="H5420" s="660"/>
      <c r="I5420" s="660"/>
      <c r="J5420" s="1494" t="s">
        <v>1134</v>
      </c>
      <c r="K5420" s="661"/>
      <c r="L5420" s="660"/>
      <c r="M5420" s="660"/>
      <c r="N5420" s="125"/>
    </row>
    <row r="5421" spans="1:14">
      <c r="A5421" s="810"/>
      <c r="B5421" s="700" t="s">
        <v>772</v>
      </c>
      <c r="C5421" s="663" t="s">
        <v>427</v>
      </c>
      <c r="D5421" s="678" t="s">
        <v>1977</v>
      </c>
      <c r="E5421" s="700" t="s">
        <v>1913</v>
      </c>
      <c r="F5421" s="679">
        <v>1228</v>
      </c>
      <c r="G5421" s="812" t="s">
        <v>481</v>
      </c>
      <c r="H5421" s="660"/>
      <c r="I5421" s="660">
        <v>240</v>
      </c>
      <c r="J5421" s="1494" t="s">
        <v>1134</v>
      </c>
      <c r="K5421" s="661"/>
      <c r="L5421" s="660"/>
      <c r="M5421" s="660">
        <v>168</v>
      </c>
      <c r="N5421" s="125"/>
    </row>
    <row r="5422" spans="1:14">
      <c r="A5422" s="810"/>
      <c r="B5422" s="700" t="s">
        <v>772</v>
      </c>
      <c r="C5422" s="663" t="s">
        <v>427</v>
      </c>
      <c r="D5422" s="678" t="s">
        <v>1977</v>
      </c>
      <c r="E5422" s="700" t="s">
        <v>1913</v>
      </c>
      <c r="F5422" s="679">
        <v>1228</v>
      </c>
      <c r="G5422" s="812" t="s">
        <v>554</v>
      </c>
      <c r="H5422" s="660"/>
      <c r="I5422" s="660">
        <v>240</v>
      </c>
      <c r="J5422" s="1494" t="s">
        <v>1134</v>
      </c>
      <c r="K5422" s="661"/>
      <c r="L5422" s="660"/>
      <c r="M5422" s="660">
        <v>168</v>
      </c>
      <c r="N5422" s="125"/>
    </row>
    <row r="5423" spans="1:14">
      <c r="A5423" s="810"/>
      <c r="B5423" s="700" t="s">
        <v>772</v>
      </c>
      <c r="C5423" s="663" t="s">
        <v>427</v>
      </c>
      <c r="D5423" s="678" t="s">
        <v>1977</v>
      </c>
      <c r="E5423" s="700" t="s">
        <v>1913</v>
      </c>
      <c r="F5423" s="679">
        <v>1228</v>
      </c>
      <c r="G5423" s="812" t="s">
        <v>1087</v>
      </c>
      <c r="H5423" s="660"/>
      <c r="I5423" s="660">
        <v>240</v>
      </c>
      <c r="J5423" s="1494" t="s">
        <v>1134</v>
      </c>
      <c r="K5423" s="661"/>
      <c r="L5423" s="660"/>
      <c r="M5423" s="660">
        <v>168</v>
      </c>
      <c r="N5423" s="125"/>
    </row>
    <row r="5424" spans="1:14" ht="11.4" customHeight="1">
      <c r="A5424" s="810"/>
      <c r="B5424" s="700" t="s">
        <v>772</v>
      </c>
      <c r="C5424" s="663" t="s">
        <v>427</v>
      </c>
      <c r="D5424" s="678" t="s">
        <v>1977</v>
      </c>
      <c r="E5424" s="700" t="s">
        <v>1913</v>
      </c>
      <c r="F5424" s="679">
        <v>1228</v>
      </c>
      <c r="G5424" s="812" t="s">
        <v>1088</v>
      </c>
      <c r="H5424" s="660"/>
      <c r="I5424" s="660">
        <v>240</v>
      </c>
      <c r="J5424" s="1494" t="s">
        <v>1134</v>
      </c>
      <c r="K5424" s="661"/>
      <c r="L5424" s="660"/>
      <c r="M5424" s="660">
        <v>168</v>
      </c>
      <c r="N5424" s="125"/>
    </row>
    <row r="5425" spans="1:14">
      <c r="A5425" s="942"/>
      <c r="B5425" s="720" t="s">
        <v>772</v>
      </c>
      <c r="C5425" s="683" t="s">
        <v>320</v>
      </c>
      <c r="D5425" s="719" t="s">
        <v>1977</v>
      </c>
      <c r="E5425" s="720" t="s">
        <v>1913</v>
      </c>
      <c r="F5425" s="685">
        <v>2210</v>
      </c>
      <c r="G5425" s="800" t="s">
        <v>572</v>
      </c>
      <c r="H5425" s="963">
        <v>576</v>
      </c>
      <c r="I5425" s="963"/>
      <c r="J5425" s="1494">
        <v>435</v>
      </c>
      <c r="K5425" s="892"/>
      <c r="L5425" s="963">
        <v>576</v>
      </c>
      <c r="M5425" s="963"/>
      <c r="N5425" s="125"/>
    </row>
    <row r="5426" spans="1:14">
      <c r="A5426" s="760" t="s">
        <v>939</v>
      </c>
      <c r="B5426" s="700" t="s">
        <v>772</v>
      </c>
      <c r="C5426" s="663" t="s">
        <v>320</v>
      </c>
      <c r="D5426" s="678" t="s">
        <v>1977</v>
      </c>
      <c r="E5426" s="700" t="s">
        <v>1913</v>
      </c>
      <c r="F5426" s="679">
        <v>2210</v>
      </c>
      <c r="G5426" s="812" t="s">
        <v>296</v>
      </c>
      <c r="H5426" s="660"/>
      <c r="I5426" s="660"/>
      <c r="J5426" s="1494" t="s">
        <v>1134</v>
      </c>
      <c r="K5426" s="690"/>
      <c r="L5426" s="660"/>
      <c r="M5426" s="660"/>
      <c r="N5426" s="125"/>
    </row>
    <row r="5427" spans="1:14">
      <c r="A5427" s="760"/>
      <c r="B5427" s="700" t="s">
        <v>772</v>
      </c>
      <c r="C5427" s="663" t="s">
        <v>320</v>
      </c>
      <c r="D5427" s="678" t="s">
        <v>1977</v>
      </c>
      <c r="E5427" s="700" t="s">
        <v>1913</v>
      </c>
      <c r="F5427" s="679">
        <v>2210</v>
      </c>
      <c r="G5427" s="812" t="s">
        <v>1374</v>
      </c>
      <c r="H5427" s="660"/>
      <c r="I5427" s="660">
        <v>576</v>
      </c>
      <c r="J5427" s="1494" t="s">
        <v>1134</v>
      </c>
      <c r="K5427" s="690"/>
      <c r="L5427" s="660"/>
      <c r="M5427" s="660">
        <v>576</v>
      </c>
      <c r="N5427" s="125"/>
    </row>
    <row r="5428" spans="1:14">
      <c r="A5428" s="942"/>
      <c r="B5428" s="720" t="s">
        <v>772</v>
      </c>
      <c r="C5428" s="683" t="s">
        <v>322</v>
      </c>
      <c r="D5428" s="719" t="s">
        <v>1977</v>
      </c>
      <c r="E5428" s="720" t="s">
        <v>1913</v>
      </c>
      <c r="F5428" s="685">
        <v>2223</v>
      </c>
      <c r="G5428" s="800" t="s">
        <v>199</v>
      </c>
      <c r="H5428" s="963">
        <v>100</v>
      </c>
      <c r="I5428" s="1020"/>
      <c r="J5428" s="1494">
        <v>0</v>
      </c>
      <c r="K5428" s="892"/>
      <c r="L5428" s="963">
        <v>100</v>
      </c>
      <c r="M5428" s="1020"/>
      <c r="N5428" s="125"/>
    </row>
    <row r="5429" spans="1:14">
      <c r="A5429" s="810"/>
      <c r="B5429" s="700" t="s">
        <v>772</v>
      </c>
      <c r="C5429" s="663" t="s">
        <v>322</v>
      </c>
      <c r="D5429" s="678" t="s">
        <v>1977</v>
      </c>
      <c r="E5429" s="700" t="s">
        <v>1913</v>
      </c>
      <c r="F5429" s="679">
        <v>2223</v>
      </c>
      <c r="G5429" s="750" t="s">
        <v>2070</v>
      </c>
      <c r="H5429" s="1021"/>
      <c r="I5429" s="660">
        <v>100</v>
      </c>
      <c r="J5429" s="1494" t="s">
        <v>1134</v>
      </c>
      <c r="K5429" s="661"/>
      <c r="L5429" s="1021"/>
      <c r="M5429" s="660">
        <v>100</v>
      </c>
      <c r="N5429" s="125"/>
    </row>
    <row r="5430" spans="1:14" ht="20.399999999999999">
      <c r="A5430" s="760"/>
      <c r="B5430" s="720" t="s">
        <v>772</v>
      </c>
      <c r="C5430" s="683" t="s">
        <v>320</v>
      </c>
      <c r="D5430" s="719" t="s">
        <v>1977</v>
      </c>
      <c r="E5430" s="720" t="s">
        <v>1913</v>
      </c>
      <c r="F5430" s="685">
        <v>2234</v>
      </c>
      <c r="G5430" s="800" t="s">
        <v>1993</v>
      </c>
      <c r="H5430" s="963">
        <v>135</v>
      </c>
      <c r="I5430" s="963"/>
      <c r="J5430" s="1494">
        <v>0</v>
      </c>
      <c r="K5430" s="892"/>
      <c r="L5430" s="963">
        <v>135</v>
      </c>
      <c r="M5430" s="963"/>
      <c r="N5430" s="125"/>
    </row>
    <row r="5431" spans="1:14">
      <c r="A5431" s="760"/>
      <c r="B5431" s="700" t="s">
        <v>772</v>
      </c>
      <c r="C5431" s="663" t="s">
        <v>320</v>
      </c>
      <c r="D5431" s="678" t="s">
        <v>1977</v>
      </c>
      <c r="E5431" s="700" t="s">
        <v>1913</v>
      </c>
      <c r="F5431" s="679">
        <v>2234</v>
      </c>
      <c r="G5431" s="812" t="s">
        <v>2586</v>
      </c>
      <c r="H5431" s="660"/>
      <c r="I5431" s="660">
        <v>135</v>
      </c>
      <c r="J5431" s="1494" t="s">
        <v>1134</v>
      </c>
      <c r="K5431" s="690"/>
      <c r="L5431" s="660"/>
      <c r="M5431" s="660">
        <v>135</v>
      </c>
      <c r="N5431" s="125"/>
    </row>
    <row r="5432" spans="1:14">
      <c r="A5432" s="760"/>
      <c r="B5432" s="720" t="s">
        <v>772</v>
      </c>
      <c r="C5432" s="683" t="s">
        <v>320</v>
      </c>
      <c r="D5432" s="719" t="s">
        <v>1977</v>
      </c>
      <c r="E5432" s="720" t="s">
        <v>1913</v>
      </c>
      <c r="F5432" s="685">
        <v>2235</v>
      </c>
      <c r="G5432" s="800" t="s">
        <v>1139</v>
      </c>
      <c r="H5432" s="963">
        <v>320</v>
      </c>
      <c r="I5432" s="963"/>
      <c r="J5432" s="1494">
        <v>180</v>
      </c>
      <c r="K5432" s="892"/>
      <c r="L5432" s="963">
        <v>300</v>
      </c>
      <c r="M5432" s="963"/>
      <c r="N5432" s="125"/>
    </row>
    <row r="5433" spans="1:14">
      <c r="A5433" s="760"/>
      <c r="B5433" s="700" t="s">
        <v>772</v>
      </c>
      <c r="C5433" s="663" t="s">
        <v>320</v>
      </c>
      <c r="D5433" s="678" t="s">
        <v>1977</v>
      </c>
      <c r="E5433" s="700" t="s">
        <v>1913</v>
      </c>
      <c r="F5433" s="679">
        <v>2235</v>
      </c>
      <c r="G5433" s="750" t="s">
        <v>1376</v>
      </c>
      <c r="H5433" s="660"/>
      <c r="I5433" s="660">
        <v>320</v>
      </c>
      <c r="J5433" s="1494" t="s">
        <v>1134</v>
      </c>
      <c r="K5433" s="690"/>
      <c r="L5433" s="660"/>
      <c r="M5433" s="2672">
        <v>300</v>
      </c>
      <c r="N5433" s="125"/>
    </row>
    <row r="5434" spans="1:14" ht="30.6">
      <c r="A5434" s="942"/>
      <c r="B5434" s="720" t="s">
        <v>772</v>
      </c>
      <c r="C5434" s="683" t="s">
        <v>320</v>
      </c>
      <c r="D5434" s="719" t="s">
        <v>1977</v>
      </c>
      <c r="E5434" s="720" t="s">
        <v>1913</v>
      </c>
      <c r="F5434" s="685">
        <v>2239</v>
      </c>
      <c r="G5434" s="800" t="s">
        <v>122</v>
      </c>
      <c r="H5434" s="963">
        <v>5530</v>
      </c>
      <c r="I5434" s="963"/>
      <c r="J5434" s="1494">
        <v>5277</v>
      </c>
      <c r="K5434" s="892"/>
      <c r="L5434" s="963">
        <v>5600</v>
      </c>
      <c r="M5434" s="966"/>
      <c r="N5434" s="125"/>
    </row>
    <row r="5435" spans="1:14">
      <c r="A5435" s="810" t="s">
        <v>939</v>
      </c>
      <c r="B5435" s="700" t="s">
        <v>772</v>
      </c>
      <c r="C5435" s="663" t="s">
        <v>320</v>
      </c>
      <c r="D5435" s="678" t="s">
        <v>1977</v>
      </c>
      <c r="E5435" s="700" t="s">
        <v>1913</v>
      </c>
      <c r="F5435" s="679">
        <v>2239</v>
      </c>
      <c r="G5435" s="750" t="s">
        <v>1375</v>
      </c>
      <c r="H5435" s="1022"/>
      <c r="I5435" s="1022">
        <v>500</v>
      </c>
      <c r="J5435" s="1494" t="s">
        <v>1134</v>
      </c>
      <c r="K5435" s="661"/>
      <c r="L5435" s="1023"/>
      <c r="M5435" s="1022">
        <v>500</v>
      </c>
      <c r="N5435" s="125"/>
    </row>
    <row r="5436" spans="1:14">
      <c r="A5436" s="810"/>
      <c r="B5436" s="700" t="s">
        <v>772</v>
      </c>
      <c r="C5436" s="663" t="s">
        <v>322</v>
      </c>
      <c r="D5436" s="678" t="s">
        <v>1977</v>
      </c>
      <c r="E5436" s="700" t="s">
        <v>1913</v>
      </c>
      <c r="F5436" s="679">
        <v>2239</v>
      </c>
      <c r="G5436" s="750" t="s">
        <v>1045</v>
      </c>
      <c r="H5436" s="660"/>
      <c r="I5436" s="660">
        <v>100</v>
      </c>
      <c r="J5436" s="1494" t="s">
        <v>1134</v>
      </c>
      <c r="K5436" s="661"/>
      <c r="L5436" s="659"/>
      <c r="M5436" s="1022">
        <v>100</v>
      </c>
      <c r="N5436" s="125"/>
    </row>
    <row r="5437" spans="1:14" ht="51">
      <c r="A5437" s="810" t="s">
        <v>940</v>
      </c>
      <c r="B5437" s="700" t="s">
        <v>772</v>
      </c>
      <c r="C5437" s="663" t="s">
        <v>322</v>
      </c>
      <c r="D5437" s="678" t="s">
        <v>1977</v>
      </c>
      <c r="E5437" s="700" t="s">
        <v>1913</v>
      </c>
      <c r="F5437" s="679">
        <v>2239</v>
      </c>
      <c r="G5437" s="967" t="s">
        <v>1186</v>
      </c>
      <c r="H5437" s="1022"/>
      <c r="I5437" s="1022">
        <v>3500</v>
      </c>
      <c r="J5437" s="1494" t="s">
        <v>1134</v>
      </c>
      <c r="K5437" s="661"/>
      <c r="L5437" s="1023"/>
      <c r="M5437" s="1022">
        <v>3500</v>
      </c>
      <c r="N5437" s="125"/>
    </row>
    <row r="5438" spans="1:14" ht="20.399999999999999">
      <c r="A5438" s="810" t="s">
        <v>940</v>
      </c>
      <c r="B5438" s="700" t="s">
        <v>772</v>
      </c>
      <c r="C5438" s="663" t="s">
        <v>322</v>
      </c>
      <c r="D5438" s="678" t="s">
        <v>1977</v>
      </c>
      <c r="E5438" s="700" t="s">
        <v>1913</v>
      </c>
      <c r="F5438" s="679">
        <v>2239</v>
      </c>
      <c r="G5438" s="1790" t="s">
        <v>3669</v>
      </c>
      <c r="H5438" s="1022"/>
      <c r="I5438" s="1022">
        <v>600</v>
      </c>
      <c r="J5438" s="1494" t="s">
        <v>1134</v>
      </c>
      <c r="K5438" s="661"/>
      <c r="L5438" s="1023"/>
      <c r="M5438" s="1830">
        <v>600</v>
      </c>
      <c r="N5438" s="125"/>
    </row>
    <row r="5439" spans="1:14" ht="33.75" customHeight="1">
      <c r="A5439" s="810" t="s">
        <v>940</v>
      </c>
      <c r="B5439" s="700" t="s">
        <v>772</v>
      </c>
      <c r="C5439" s="663" t="s">
        <v>322</v>
      </c>
      <c r="D5439" s="678" t="s">
        <v>1977</v>
      </c>
      <c r="E5439" s="700" t="s">
        <v>1913</v>
      </c>
      <c r="F5439" s="679">
        <v>2239</v>
      </c>
      <c r="G5439" s="1790" t="s">
        <v>2072</v>
      </c>
      <c r="H5439" s="1022"/>
      <c r="I5439" s="1022">
        <v>900</v>
      </c>
      <c r="J5439" s="1494" t="s">
        <v>1134</v>
      </c>
      <c r="K5439" s="661"/>
      <c r="L5439" s="1023"/>
      <c r="M5439" s="1830">
        <v>900</v>
      </c>
      <c r="N5439" s="125"/>
    </row>
    <row r="5440" spans="1:14" ht="40.799999999999997">
      <c r="A5440" s="810"/>
      <c r="B5440" s="700" t="s">
        <v>772</v>
      </c>
      <c r="C5440" s="663" t="s">
        <v>322</v>
      </c>
      <c r="D5440" s="678" t="s">
        <v>1977</v>
      </c>
      <c r="E5440" s="700" t="s">
        <v>1913</v>
      </c>
      <c r="F5440" s="679">
        <v>2239</v>
      </c>
      <c r="G5440" s="967" t="s">
        <v>1089</v>
      </c>
      <c r="H5440" s="1022"/>
      <c r="I5440" s="1022">
        <v>0</v>
      </c>
      <c r="J5440" s="1494" t="s">
        <v>1134</v>
      </c>
      <c r="K5440" s="661"/>
      <c r="L5440" s="1023"/>
      <c r="M5440" s="1023"/>
      <c r="N5440" s="125"/>
    </row>
    <row r="5441" spans="1:14" ht="81.599999999999994">
      <c r="A5441" s="810" t="s">
        <v>940</v>
      </c>
      <c r="B5441" s="700" t="s">
        <v>772</v>
      </c>
      <c r="C5441" s="663" t="s">
        <v>322</v>
      </c>
      <c r="D5441" s="678" t="s">
        <v>1977</v>
      </c>
      <c r="E5441" s="700" t="s">
        <v>1913</v>
      </c>
      <c r="F5441" s="679">
        <v>2239</v>
      </c>
      <c r="G5441" s="967" t="s">
        <v>2071</v>
      </c>
      <c r="H5441" s="1022"/>
      <c r="I5441" s="1022">
        <v>0</v>
      </c>
      <c r="J5441" s="1494" t="s">
        <v>1134</v>
      </c>
      <c r="K5441" s="661"/>
      <c r="L5441" s="1023"/>
      <c r="M5441" s="1023"/>
      <c r="N5441" s="125"/>
    </row>
    <row r="5442" spans="1:14" ht="30.6">
      <c r="A5442" s="810"/>
      <c r="B5442" s="700" t="s">
        <v>772</v>
      </c>
      <c r="C5442" s="663" t="s">
        <v>322</v>
      </c>
      <c r="D5442" s="678" t="s">
        <v>1977</v>
      </c>
      <c r="E5442" s="700" t="s">
        <v>1913</v>
      </c>
      <c r="F5442" s="679">
        <v>2239</v>
      </c>
      <c r="G5442" s="967" t="s">
        <v>2073</v>
      </c>
      <c r="H5442" s="1022"/>
      <c r="I5442" s="1022">
        <v>0</v>
      </c>
      <c r="J5442" s="1494" t="s">
        <v>1134</v>
      </c>
      <c r="K5442" s="661"/>
      <c r="L5442" s="1023"/>
      <c r="M5442" s="1023"/>
      <c r="N5442" s="125"/>
    </row>
    <row r="5443" spans="1:14" ht="61.2">
      <c r="A5443" s="810"/>
      <c r="B5443" s="700" t="s">
        <v>772</v>
      </c>
      <c r="C5443" s="663" t="s">
        <v>322</v>
      </c>
      <c r="D5443" s="678" t="s">
        <v>1977</v>
      </c>
      <c r="E5443" s="700" t="s">
        <v>1913</v>
      </c>
      <c r="F5443" s="679">
        <v>2239</v>
      </c>
      <c r="G5443" s="967" t="s">
        <v>2074</v>
      </c>
      <c r="H5443" s="1022"/>
      <c r="I5443" s="1022">
        <v>0</v>
      </c>
      <c r="J5443" s="1494" t="s">
        <v>1134</v>
      </c>
      <c r="K5443" s="661"/>
      <c r="L5443" s="1023"/>
      <c r="M5443" s="1023"/>
      <c r="N5443" s="125"/>
    </row>
    <row r="5444" spans="1:14" ht="40.799999999999997">
      <c r="A5444" s="810"/>
      <c r="B5444" s="700" t="s">
        <v>772</v>
      </c>
      <c r="C5444" s="663" t="s">
        <v>322</v>
      </c>
      <c r="D5444" s="678" t="s">
        <v>1977</v>
      </c>
      <c r="E5444" s="700" t="s">
        <v>1913</v>
      </c>
      <c r="F5444" s="679">
        <v>2239</v>
      </c>
      <c r="G5444" s="967" t="s">
        <v>2075</v>
      </c>
      <c r="H5444" s="1022"/>
      <c r="I5444" s="1022">
        <v>0</v>
      </c>
      <c r="J5444" s="1494" t="s">
        <v>1134</v>
      </c>
      <c r="K5444" s="661"/>
      <c r="L5444" s="1023"/>
      <c r="M5444" s="1023"/>
      <c r="N5444" s="125"/>
    </row>
    <row r="5445" spans="1:14" ht="20.399999999999999">
      <c r="A5445" s="810" t="s">
        <v>940</v>
      </c>
      <c r="B5445" s="700" t="s">
        <v>772</v>
      </c>
      <c r="C5445" s="663" t="s">
        <v>322</v>
      </c>
      <c r="D5445" s="678" t="s">
        <v>1977</v>
      </c>
      <c r="E5445" s="700" t="s">
        <v>1913</v>
      </c>
      <c r="F5445" s="679">
        <v>2239</v>
      </c>
      <c r="G5445" s="750" t="s">
        <v>1215</v>
      </c>
      <c r="H5445" s="1022"/>
      <c r="I5445" s="1022">
        <v>0</v>
      </c>
      <c r="J5445" s="1494" t="s">
        <v>1134</v>
      </c>
      <c r="K5445" s="661"/>
      <c r="L5445" s="1023"/>
      <c r="M5445" s="1023"/>
      <c r="N5445" s="125"/>
    </row>
    <row r="5446" spans="1:14" ht="30.6">
      <c r="A5446" s="810"/>
      <c r="B5446" s="700" t="s">
        <v>772</v>
      </c>
      <c r="C5446" s="663" t="s">
        <v>322</v>
      </c>
      <c r="D5446" s="678" t="s">
        <v>1977</v>
      </c>
      <c r="E5446" s="700" t="s">
        <v>1913</v>
      </c>
      <c r="F5446" s="679">
        <v>2239</v>
      </c>
      <c r="G5446" s="750" t="s">
        <v>2076</v>
      </c>
      <c r="H5446" s="1022"/>
      <c r="I5446" s="1022">
        <v>0</v>
      </c>
      <c r="J5446" s="1494" t="s">
        <v>1134</v>
      </c>
      <c r="K5446" s="661"/>
      <c r="L5446" s="1023"/>
      <c r="M5446" s="1023"/>
      <c r="N5446" s="125"/>
    </row>
    <row r="5447" spans="1:14" ht="51">
      <c r="A5447" s="810" t="s">
        <v>940</v>
      </c>
      <c r="B5447" s="700" t="s">
        <v>772</v>
      </c>
      <c r="C5447" s="663" t="s">
        <v>322</v>
      </c>
      <c r="D5447" s="678" t="s">
        <v>1977</v>
      </c>
      <c r="E5447" s="700" t="s">
        <v>1913</v>
      </c>
      <c r="F5447" s="679">
        <v>2239</v>
      </c>
      <c r="G5447" s="750" t="s">
        <v>2077</v>
      </c>
      <c r="H5447" s="1022"/>
      <c r="I5447" s="1022">
        <v>0</v>
      </c>
      <c r="J5447" s="1494" t="s">
        <v>1134</v>
      </c>
      <c r="K5447" s="661"/>
      <c r="L5447" s="1023"/>
      <c r="M5447" s="1023"/>
      <c r="N5447" s="125"/>
    </row>
    <row r="5448" spans="1:14">
      <c r="A5448" s="810"/>
      <c r="B5448" s="700" t="s">
        <v>772</v>
      </c>
      <c r="C5448" s="663" t="s">
        <v>322</v>
      </c>
      <c r="D5448" s="678" t="s">
        <v>1977</v>
      </c>
      <c r="E5448" s="700" t="s">
        <v>1913</v>
      </c>
      <c r="F5448" s="679">
        <v>2239</v>
      </c>
      <c r="G5448" s="750" t="s">
        <v>1214</v>
      </c>
      <c r="H5448" s="1022"/>
      <c r="I5448" s="1022">
        <v>0</v>
      </c>
      <c r="J5448" s="1494" t="s">
        <v>1134</v>
      </c>
      <c r="K5448" s="661"/>
      <c r="L5448" s="1023"/>
      <c r="M5448" s="1023"/>
      <c r="N5448" s="125"/>
    </row>
    <row r="5449" spans="1:14" ht="20.399999999999999">
      <c r="A5449" s="1828"/>
      <c r="B5449" s="700" t="s">
        <v>772</v>
      </c>
      <c r="C5449" s="663" t="s">
        <v>320</v>
      </c>
      <c r="D5449" s="828" t="s">
        <v>1977</v>
      </c>
      <c r="E5449" s="1831" t="s">
        <v>1913</v>
      </c>
      <c r="F5449" s="679">
        <v>2239</v>
      </c>
      <c r="G5449" s="1790" t="s">
        <v>3668</v>
      </c>
      <c r="H5449" s="1676"/>
      <c r="I5449" s="1676">
        <v>-70</v>
      </c>
      <c r="J5449" s="1673"/>
      <c r="K5449" s="1674"/>
      <c r="L5449" s="1675"/>
      <c r="M5449" s="1675"/>
      <c r="N5449" s="125"/>
    </row>
    <row r="5450" spans="1:14">
      <c r="A5450" s="942"/>
      <c r="B5450" s="3129" t="s">
        <v>773</v>
      </c>
      <c r="C5450" s="683" t="s">
        <v>320</v>
      </c>
      <c r="D5450" s="719" t="s">
        <v>1977</v>
      </c>
      <c r="E5450" s="720" t="s">
        <v>1913</v>
      </c>
      <c r="F5450" s="685">
        <v>2239</v>
      </c>
      <c r="G5450" s="800" t="s">
        <v>1017</v>
      </c>
      <c r="H5450" s="963">
        <v>22900</v>
      </c>
      <c r="I5450" s="963"/>
      <c r="J5450" s="1494"/>
      <c r="K5450" s="892"/>
      <c r="L5450" s="963">
        <v>0</v>
      </c>
      <c r="M5450" s="963"/>
      <c r="N5450" s="125"/>
    </row>
    <row r="5451" spans="1:14">
      <c r="A5451" s="810"/>
      <c r="B5451" s="3130" t="s">
        <v>773</v>
      </c>
      <c r="C5451" s="663" t="s">
        <v>320</v>
      </c>
      <c r="D5451" s="678" t="s">
        <v>1977</v>
      </c>
      <c r="E5451" s="700" t="s">
        <v>1913</v>
      </c>
      <c r="F5451" s="679">
        <v>2239</v>
      </c>
      <c r="G5451" s="750" t="s">
        <v>2830</v>
      </c>
      <c r="H5451" s="693"/>
      <c r="I5451" s="693">
        <v>35000</v>
      </c>
      <c r="J5451" s="1494" t="s">
        <v>1134</v>
      </c>
      <c r="K5451" s="692"/>
      <c r="L5451" s="693"/>
      <c r="M5451" s="693"/>
      <c r="N5451" s="1493"/>
    </row>
    <row r="5452" spans="1:14" ht="30.6">
      <c r="A5452" s="1564"/>
      <c r="B5452" s="3138" t="s">
        <v>773</v>
      </c>
      <c r="C5452" s="1495" t="s">
        <v>320</v>
      </c>
      <c r="D5452" s="1561" t="s">
        <v>1977</v>
      </c>
      <c r="E5452" s="1495" t="s">
        <v>1913</v>
      </c>
      <c r="F5452" s="1574">
        <v>2239</v>
      </c>
      <c r="G5452" s="1569" t="s">
        <v>3393</v>
      </c>
      <c r="H5452" s="1614"/>
      <c r="I5452" s="1614">
        <v>-12100</v>
      </c>
      <c r="J5452" s="1614"/>
      <c r="K5452" s="1598"/>
      <c r="L5452" s="1614"/>
      <c r="M5452" s="1614"/>
      <c r="N5452" s="125"/>
    </row>
    <row r="5453" spans="1:14" ht="20.399999999999999">
      <c r="A5453" s="942"/>
      <c r="B5453" s="720" t="s">
        <v>772</v>
      </c>
      <c r="C5453" s="683" t="s">
        <v>320</v>
      </c>
      <c r="D5453" s="719" t="s">
        <v>1977</v>
      </c>
      <c r="E5453" s="720" t="s">
        <v>1913</v>
      </c>
      <c r="F5453" s="685">
        <v>2243</v>
      </c>
      <c r="G5453" s="800" t="s">
        <v>198</v>
      </c>
      <c r="H5453" s="963">
        <v>300</v>
      </c>
      <c r="I5453" s="963"/>
      <c r="J5453" s="1494">
        <v>0</v>
      </c>
      <c r="K5453" s="892"/>
      <c r="L5453" s="963">
        <v>210</v>
      </c>
      <c r="M5453" s="963"/>
      <c r="N5453" s="125"/>
    </row>
    <row r="5454" spans="1:14">
      <c r="A5454" s="810"/>
      <c r="B5454" s="700" t="s">
        <v>772</v>
      </c>
      <c r="C5454" s="663" t="s">
        <v>320</v>
      </c>
      <c r="D5454" s="678" t="s">
        <v>1977</v>
      </c>
      <c r="E5454" s="700" t="s">
        <v>1913</v>
      </c>
      <c r="F5454" s="679">
        <v>2243</v>
      </c>
      <c r="G5454" s="750" t="s">
        <v>480</v>
      </c>
      <c r="H5454" s="693"/>
      <c r="I5454" s="693">
        <v>300</v>
      </c>
      <c r="J5454" s="1494" t="s">
        <v>1134</v>
      </c>
      <c r="K5454" s="692"/>
      <c r="L5454" s="693"/>
      <c r="M5454" s="1829">
        <v>210</v>
      </c>
      <c r="N5454" s="125"/>
    </row>
    <row r="5455" spans="1:14">
      <c r="A5455" s="942"/>
      <c r="B5455" s="720" t="s">
        <v>772</v>
      </c>
      <c r="C5455" s="683" t="s">
        <v>320</v>
      </c>
      <c r="D5455" s="719" t="s">
        <v>1977</v>
      </c>
      <c r="E5455" s="720" t="s">
        <v>1913</v>
      </c>
      <c r="F5455" s="685">
        <v>2244</v>
      </c>
      <c r="G5455" s="800" t="s">
        <v>294</v>
      </c>
      <c r="H5455" s="963">
        <v>24510</v>
      </c>
      <c r="I5455" s="963"/>
      <c r="J5455" s="1494">
        <v>8994</v>
      </c>
      <c r="K5455" s="892"/>
      <c r="L5455" s="963">
        <v>40861</v>
      </c>
      <c r="M5455" s="966"/>
      <c r="N5455" s="125"/>
    </row>
    <row r="5456" spans="1:14" ht="40.799999999999997">
      <c r="A5456" s="810"/>
      <c r="B5456" s="700" t="s">
        <v>772</v>
      </c>
      <c r="C5456" s="663" t="s">
        <v>322</v>
      </c>
      <c r="D5456" s="678" t="s">
        <v>1977</v>
      </c>
      <c r="E5456" s="700" t="s">
        <v>1913</v>
      </c>
      <c r="F5456" s="679">
        <v>2244</v>
      </c>
      <c r="G5456" s="967" t="s">
        <v>1089</v>
      </c>
      <c r="H5456" s="1022"/>
      <c r="I5456" s="1022">
        <v>4400</v>
      </c>
      <c r="J5456" s="1494" t="s">
        <v>1134</v>
      </c>
      <c r="K5456" s="661"/>
      <c r="L5456" s="1023"/>
      <c r="M5456" s="1022">
        <v>4400</v>
      </c>
      <c r="N5456" s="125"/>
    </row>
    <row r="5457" spans="1:14" ht="51">
      <c r="A5457" s="810" t="s">
        <v>940</v>
      </c>
      <c r="B5457" s="700" t="s">
        <v>772</v>
      </c>
      <c r="C5457" s="663" t="s">
        <v>322</v>
      </c>
      <c r="D5457" s="678" t="s">
        <v>1977</v>
      </c>
      <c r="E5457" s="700" t="s">
        <v>1913</v>
      </c>
      <c r="F5457" s="679">
        <v>2244</v>
      </c>
      <c r="G5457" s="1790" t="s">
        <v>3674</v>
      </c>
      <c r="H5457" s="1022"/>
      <c r="I5457" s="1022">
        <v>4500</v>
      </c>
      <c r="J5457" s="1494" t="s">
        <v>1134</v>
      </c>
      <c r="K5457" s="661"/>
      <c r="L5457" s="1023"/>
      <c r="M5457" s="1830">
        <v>6050</v>
      </c>
      <c r="N5457" s="125"/>
    </row>
    <row r="5458" spans="1:14" ht="61.2">
      <c r="A5458" s="810"/>
      <c r="B5458" s="700" t="s">
        <v>772</v>
      </c>
      <c r="C5458" s="663" t="s">
        <v>322</v>
      </c>
      <c r="D5458" s="678" t="s">
        <v>1977</v>
      </c>
      <c r="E5458" s="700" t="s">
        <v>1913</v>
      </c>
      <c r="F5458" s="679">
        <v>2244</v>
      </c>
      <c r="G5458" s="1790" t="s">
        <v>4840</v>
      </c>
      <c r="H5458" s="1022"/>
      <c r="I5458" s="1022">
        <v>3000</v>
      </c>
      <c r="J5458" s="1494" t="s">
        <v>1134</v>
      </c>
      <c r="K5458" s="661"/>
      <c r="L5458" s="1023"/>
      <c r="M5458" s="2671">
        <v>15000</v>
      </c>
      <c r="N5458" s="125"/>
    </row>
    <row r="5459" spans="1:14" ht="61.2">
      <c r="A5459" s="810"/>
      <c r="B5459" s="700" t="s">
        <v>772</v>
      </c>
      <c r="C5459" s="663" t="s">
        <v>322</v>
      </c>
      <c r="D5459" s="678" t="s">
        <v>1977</v>
      </c>
      <c r="E5459" s="700" t="s">
        <v>1913</v>
      </c>
      <c r="F5459" s="679">
        <v>2244</v>
      </c>
      <c r="G5459" s="967" t="s">
        <v>2074</v>
      </c>
      <c r="H5459" s="1022"/>
      <c r="I5459" s="1022">
        <v>2890</v>
      </c>
      <c r="J5459" s="1494" t="s">
        <v>1134</v>
      </c>
      <c r="K5459" s="661"/>
      <c r="L5459" s="1023"/>
      <c r="M5459" s="1830">
        <v>2890</v>
      </c>
      <c r="N5459" s="125"/>
    </row>
    <row r="5460" spans="1:14" ht="40.799999999999997">
      <c r="A5460" s="810"/>
      <c r="B5460" s="700" t="s">
        <v>772</v>
      </c>
      <c r="C5460" s="663" t="s">
        <v>322</v>
      </c>
      <c r="D5460" s="678" t="s">
        <v>1977</v>
      </c>
      <c r="E5460" s="700" t="s">
        <v>1913</v>
      </c>
      <c r="F5460" s="679">
        <v>2244</v>
      </c>
      <c r="G5460" s="1790" t="s">
        <v>2075</v>
      </c>
      <c r="H5460" s="1022"/>
      <c r="I5460" s="1022">
        <v>7000</v>
      </c>
      <c r="J5460" s="1494" t="s">
        <v>1134</v>
      </c>
      <c r="K5460" s="661"/>
      <c r="L5460" s="1023"/>
      <c r="M5460" s="2671">
        <v>3000</v>
      </c>
      <c r="N5460" s="125"/>
    </row>
    <row r="5461" spans="1:14" ht="20.399999999999999">
      <c r="A5461" s="810" t="s">
        <v>940</v>
      </c>
      <c r="B5461" s="700" t="s">
        <v>772</v>
      </c>
      <c r="C5461" s="663" t="s">
        <v>322</v>
      </c>
      <c r="D5461" s="678" t="s">
        <v>1977</v>
      </c>
      <c r="E5461" s="700" t="s">
        <v>1913</v>
      </c>
      <c r="F5461" s="679">
        <v>2244</v>
      </c>
      <c r="G5461" s="1703" t="s">
        <v>1215</v>
      </c>
      <c r="H5461" s="1022"/>
      <c r="I5461" s="1022">
        <v>520</v>
      </c>
      <c r="J5461" s="1494" t="s">
        <v>1134</v>
      </c>
      <c r="K5461" s="661"/>
      <c r="L5461" s="1023"/>
      <c r="M5461" s="1830">
        <v>520</v>
      </c>
      <c r="N5461" s="125"/>
    </row>
    <row r="5462" spans="1:14" ht="30.6">
      <c r="A5462" s="810"/>
      <c r="B5462" s="700" t="s">
        <v>772</v>
      </c>
      <c r="C5462" s="663" t="s">
        <v>322</v>
      </c>
      <c r="D5462" s="678" t="s">
        <v>1977</v>
      </c>
      <c r="E5462" s="700" t="s">
        <v>1913</v>
      </c>
      <c r="F5462" s="679">
        <v>2244</v>
      </c>
      <c r="G5462" s="1703" t="s">
        <v>2076</v>
      </c>
      <c r="H5462" s="1022"/>
      <c r="I5462" s="1022">
        <v>1600</v>
      </c>
      <c r="J5462" s="1494" t="s">
        <v>1134</v>
      </c>
      <c r="K5462" s="661"/>
      <c r="L5462" s="1023"/>
      <c r="M5462" s="1830">
        <v>1600</v>
      </c>
      <c r="N5462" s="125"/>
    </row>
    <row r="5463" spans="1:14" ht="30.6">
      <c r="A5463" s="810"/>
      <c r="B5463" s="700" t="s">
        <v>772</v>
      </c>
      <c r="C5463" s="663" t="s">
        <v>320</v>
      </c>
      <c r="D5463" s="828" t="s">
        <v>1977</v>
      </c>
      <c r="E5463" s="1831" t="s">
        <v>1913</v>
      </c>
      <c r="F5463" s="679">
        <v>2244</v>
      </c>
      <c r="G5463" s="967" t="s">
        <v>3370</v>
      </c>
      <c r="H5463" s="660"/>
      <c r="I5463" s="660">
        <v>-3000</v>
      </c>
      <c r="J5463" s="1494" t="s">
        <v>1134</v>
      </c>
      <c r="K5463" s="661"/>
      <c r="L5463" s="659"/>
      <c r="M5463" s="660"/>
      <c r="N5463" s="125"/>
    </row>
    <row r="5464" spans="1:14" ht="51">
      <c r="A5464" s="810" t="s">
        <v>940</v>
      </c>
      <c r="B5464" s="700" t="s">
        <v>772</v>
      </c>
      <c r="C5464" s="663" t="s">
        <v>322</v>
      </c>
      <c r="D5464" s="678" t="s">
        <v>1977</v>
      </c>
      <c r="E5464" s="700" t="s">
        <v>1913</v>
      </c>
      <c r="F5464" s="679">
        <v>2244</v>
      </c>
      <c r="G5464" s="1703" t="s">
        <v>3677</v>
      </c>
      <c r="H5464" s="1022"/>
      <c r="I5464" s="1022">
        <v>3300</v>
      </c>
      <c r="J5464" s="1494" t="s">
        <v>1134</v>
      </c>
      <c r="K5464" s="661"/>
      <c r="L5464" s="1023"/>
      <c r="M5464" s="1830">
        <v>5500</v>
      </c>
      <c r="N5464" s="125"/>
    </row>
    <row r="5465" spans="1:14">
      <c r="A5465" s="810"/>
      <c r="B5465" s="700" t="s">
        <v>772</v>
      </c>
      <c r="C5465" s="663" t="s">
        <v>322</v>
      </c>
      <c r="D5465" s="678" t="s">
        <v>1977</v>
      </c>
      <c r="E5465" s="700" t="s">
        <v>1913</v>
      </c>
      <c r="F5465" s="679">
        <v>2244</v>
      </c>
      <c r="G5465" s="1703" t="s">
        <v>1214</v>
      </c>
      <c r="H5465" s="1022"/>
      <c r="I5465" s="1022">
        <v>300</v>
      </c>
      <c r="J5465" s="1494" t="s">
        <v>1134</v>
      </c>
      <c r="K5465" s="661"/>
      <c r="L5465" s="1023"/>
      <c r="M5465" s="1830">
        <v>300</v>
      </c>
      <c r="N5465" s="125"/>
    </row>
    <row r="5466" spans="1:14" ht="51">
      <c r="A5466" s="1828"/>
      <c r="B5466" s="700" t="s">
        <v>772</v>
      </c>
      <c r="C5466" s="663" t="s">
        <v>322</v>
      </c>
      <c r="D5466" s="678" t="s">
        <v>1977</v>
      </c>
      <c r="E5466" s="700" t="s">
        <v>1913</v>
      </c>
      <c r="F5466" s="679">
        <v>2244</v>
      </c>
      <c r="G5466" s="1703" t="s">
        <v>3679</v>
      </c>
      <c r="H5466" s="1676"/>
      <c r="I5466" s="1676"/>
      <c r="J5466" s="1673"/>
      <c r="K5466" s="1674"/>
      <c r="L5466" s="1675"/>
      <c r="M5466" s="1829">
        <v>1601</v>
      </c>
      <c r="N5466" s="125"/>
    </row>
    <row r="5467" spans="1:14">
      <c r="A5467" s="942"/>
      <c r="B5467" s="720" t="s">
        <v>772</v>
      </c>
      <c r="C5467" s="683" t="s">
        <v>320</v>
      </c>
      <c r="D5467" s="719" t="s">
        <v>1977</v>
      </c>
      <c r="E5467" s="720" t="s">
        <v>1913</v>
      </c>
      <c r="F5467" s="685">
        <v>2247</v>
      </c>
      <c r="G5467" s="800" t="s">
        <v>161</v>
      </c>
      <c r="H5467" s="963">
        <v>800</v>
      </c>
      <c r="I5467" s="963"/>
      <c r="J5467" s="1494">
        <v>600</v>
      </c>
      <c r="K5467" s="892"/>
      <c r="L5467" s="963">
        <v>800</v>
      </c>
      <c r="M5467" s="963"/>
      <c r="N5467" s="125"/>
    </row>
    <row r="5468" spans="1:14">
      <c r="A5468" s="810"/>
      <c r="B5468" s="700" t="s">
        <v>772</v>
      </c>
      <c r="C5468" s="663" t="s">
        <v>320</v>
      </c>
      <c r="D5468" s="678" t="s">
        <v>1977</v>
      </c>
      <c r="E5468" s="700" t="s">
        <v>1913</v>
      </c>
      <c r="F5468" s="679">
        <v>2247</v>
      </c>
      <c r="G5468" s="812" t="s">
        <v>3682</v>
      </c>
      <c r="H5468" s="660"/>
      <c r="I5468" s="660">
        <v>800</v>
      </c>
      <c r="J5468" s="1494" t="s">
        <v>1134</v>
      </c>
      <c r="K5468" s="661"/>
      <c r="L5468" s="660"/>
      <c r="M5468" s="660">
        <v>800</v>
      </c>
      <c r="N5468" s="125"/>
    </row>
    <row r="5469" spans="1:14">
      <c r="A5469" s="760"/>
      <c r="B5469" s="700" t="s">
        <v>772</v>
      </c>
      <c r="C5469" s="663" t="s">
        <v>320</v>
      </c>
      <c r="D5469" s="678" t="s">
        <v>1977</v>
      </c>
      <c r="E5469" s="700" t="s">
        <v>1913</v>
      </c>
      <c r="F5469" s="679">
        <v>2247</v>
      </c>
      <c r="G5469" s="812"/>
      <c r="H5469" s="660"/>
      <c r="I5469" s="660"/>
      <c r="J5469" s="1494" t="s">
        <v>1134</v>
      </c>
      <c r="K5469" s="690"/>
      <c r="L5469" s="660"/>
      <c r="M5469" s="660"/>
      <c r="N5469" s="125"/>
    </row>
    <row r="5470" spans="1:14">
      <c r="A5470" s="942"/>
      <c r="B5470" s="720" t="s">
        <v>772</v>
      </c>
      <c r="C5470" s="683" t="s">
        <v>322</v>
      </c>
      <c r="D5470" s="719" t="s">
        <v>1977</v>
      </c>
      <c r="E5470" s="720" t="s">
        <v>1913</v>
      </c>
      <c r="F5470" s="685">
        <v>2261</v>
      </c>
      <c r="G5470" s="800" t="s">
        <v>199</v>
      </c>
      <c r="H5470" s="963">
        <v>230</v>
      </c>
      <c r="I5470" s="1020"/>
      <c r="J5470" s="1494">
        <v>60</v>
      </c>
      <c r="K5470" s="892"/>
      <c r="L5470" s="963">
        <v>161</v>
      </c>
      <c r="M5470" s="1020"/>
      <c r="N5470" s="125"/>
    </row>
    <row r="5471" spans="1:14" ht="20.399999999999999">
      <c r="A5471" s="810"/>
      <c r="B5471" s="700" t="s">
        <v>772</v>
      </c>
      <c r="C5471" s="663" t="s">
        <v>322</v>
      </c>
      <c r="D5471" s="678" t="s">
        <v>1977</v>
      </c>
      <c r="E5471" s="700" t="s">
        <v>1913</v>
      </c>
      <c r="F5471" s="679">
        <v>2261</v>
      </c>
      <c r="G5471" s="750" t="s">
        <v>981</v>
      </c>
      <c r="H5471" s="1021"/>
      <c r="I5471" s="660">
        <v>230</v>
      </c>
      <c r="J5471" s="1494" t="s">
        <v>1134</v>
      </c>
      <c r="K5471" s="661"/>
      <c r="L5471" s="1021"/>
      <c r="M5471" s="1676">
        <v>161</v>
      </c>
      <c r="N5471" s="125"/>
    </row>
    <row r="5472" spans="1:14">
      <c r="A5472" s="810"/>
      <c r="B5472" s="700" t="s">
        <v>772</v>
      </c>
      <c r="C5472" s="663" t="s">
        <v>322</v>
      </c>
      <c r="D5472" s="678" t="s">
        <v>1977</v>
      </c>
      <c r="E5472" s="700" t="s">
        <v>1913</v>
      </c>
      <c r="F5472" s="679">
        <v>2261</v>
      </c>
      <c r="G5472" s="750"/>
      <c r="H5472" s="1021"/>
      <c r="I5472" s="660"/>
      <c r="J5472" s="1494" t="s">
        <v>1134</v>
      </c>
      <c r="K5472" s="661"/>
      <c r="L5472" s="1021"/>
      <c r="M5472" s="660"/>
      <c r="N5472" s="305"/>
    </row>
    <row r="5473" spans="1:14">
      <c r="A5473" s="942"/>
      <c r="B5473" s="720" t="s">
        <v>772</v>
      </c>
      <c r="C5473" s="683" t="s">
        <v>322</v>
      </c>
      <c r="D5473" s="719" t="s">
        <v>1977</v>
      </c>
      <c r="E5473" s="720" t="s">
        <v>1913</v>
      </c>
      <c r="F5473" s="685">
        <v>2263</v>
      </c>
      <c r="G5473" s="800" t="s">
        <v>239</v>
      </c>
      <c r="H5473" s="963">
        <v>1000</v>
      </c>
      <c r="I5473" s="1020"/>
      <c r="J5473" s="1494">
        <v>948.93</v>
      </c>
      <c r="K5473" s="892"/>
      <c r="L5473" s="963">
        <v>440</v>
      </c>
      <c r="M5473" s="1020"/>
      <c r="N5473" s="1056" t="s">
        <v>4805</v>
      </c>
    </row>
    <row r="5474" spans="1:14" ht="20.399999999999999">
      <c r="A5474" s="810"/>
      <c r="B5474" s="700" t="s">
        <v>772</v>
      </c>
      <c r="C5474" s="663" t="s">
        <v>322</v>
      </c>
      <c r="D5474" s="678" t="s">
        <v>1977</v>
      </c>
      <c r="E5474" s="700" t="s">
        <v>1913</v>
      </c>
      <c r="F5474" s="679">
        <v>2263</v>
      </c>
      <c r="G5474" s="1703" t="s">
        <v>2079</v>
      </c>
      <c r="H5474" s="1021"/>
      <c r="I5474" s="660">
        <v>220</v>
      </c>
      <c r="J5474" s="1494" t="s">
        <v>1134</v>
      </c>
      <c r="K5474" s="661"/>
      <c r="L5474" s="1024"/>
      <c r="M5474" s="1676">
        <v>220</v>
      </c>
      <c r="N5474" s="305" t="s">
        <v>1633</v>
      </c>
    </row>
    <row r="5475" spans="1:14" ht="30.6">
      <c r="A5475" s="810"/>
      <c r="B5475" s="700" t="s">
        <v>772</v>
      </c>
      <c r="C5475" s="663" t="s">
        <v>322</v>
      </c>
      <c r="D5475" s="678" t="s">
        <v>1977</v>
      </c>
      <c r="E5475" s="700" t="s">
        <v>1913</v>
      </c>
      <c r="F5475" s="679">
        <v>2263</v>
      </c>
      <c r="G5475" s="1703" t="s">
        <v>2080</v>
      </c>
      <c r="H5475" s="1021"/>
      <c r="I5475" s="660">
        <v>560</v>
      </c>
      <c r="J5475" s="1494" t="s">
        <v>1134</v>
      </c>
      <c r="K5475" s="661"/>
      <c r="L5475" s="1024"/>
      <c r="M5475" s="1676"/>
      <c r="N5475" s="305" t="s">
        <v>709</v>
      </c>
    </row>
    <row r="5476" spans="1:14">
      <c r="A5476" s="1206"/>
      <c r="B5476" s="700" t="s">
        <v>772</v>
      </c>
      <c r="C5476" s="663" t="s">
        <v>322</v>
      </c>
      <c r="D5476" s="678" t="s">
        <v>1977</v>
      </c>
      <c r="E5476" s="700" t="s">
        <v>1913</v>
      </c>
      <c r="F5476" s="679">
        <v>2263</v>
      </c>
      <c r="G5476" s="1703" t="s">
        <v>1791</v>
      </c>
      <c r="H5476" s="1208"/>
      <c r="I5476" s="1193">
        <v>220</v>
      </c>
      <c r="J5476" s="1494" t="s">
        <v>1134</v>
      </c>
      <c r="K5476" s="1209"/>
      <c r="L5476" s="1481"/>
      <c r="M5476" s="1676">
        <v>220</v>
      </c>
      <c r="N5476" s="305" t="s">
        <v>709</v>
      </c>
    </row>
    <row r="5477" spans="1:14">
      <c r="A5477" s="942"/>
      <c r="B5477" s="720" t="s">
        <v>772</v>
      </c>
      <c r="C5477" s="683" t="s">
        <v>320</v>
      </c>
      <c r="D5477" s="719" t="s">
        <v>1977</v>
      </c>
      <c r="E5477" s="720" t="s">
        <v>1913</v>
      </c>
      <c r="F5477" s="685">
        <v>2272</v>
      </c>
      <c r="G5477" s="800" t="s">
        <v>1015</v>
      </c>
      <c r="H5477" s="963">
        <v>70</v>
      </c>
      <c r="I5477" s="963"/>
      <c r="J5477" s="1494">
        <v>70</v>
      </c>
      <c r="K5477" s="892"/>
      <c r="L5477" s="963">
        <v>70</v>
      </c>
      <c r="M5477" s="963"/>
      <c r="N5477" s="305" t="s">
        <v>709</v>
      </c>
    </row>
    <row r="5478" spans="1:14" ht="20.399999999999999">
      <c r="A5478" s="810"/>
      <c r="B5478" s="700" t="s">
        <v>772</v>
      </c>
      <c r="C5478" s="663" t="s">
        <v>320</v>
      </c>
      <c r="D5478" s="678" t="s">
        <v>1977</v>
      </c>
      <c r="E5478" s="700" t="s">
        <v>1913</v>
      </c>
      <c r="F5478" s="679">
        <v>2272</v>
      </c>
      <c r="G5478" s="1790" t="s">
        <v>3668</v>
      </c>
      <c r="H5478" s="693"/>
      <c r="I5478" s="693">
        <v>70</v>
      </c>
      <c r="J5478" s="1494" t="s">
        <v>1134</v>
      </c>
      <c r="K5478" s="692"/>
      <c r="L5478" s="693"/>
      <c r="M5478" s="2673">
        <v>70</v>
      </c>
      <c r="N5478" s="305"/>
    </row>
    <row r="5479" spans="1:14">
      <c r="A5479" s="942"/>
      <c r="B5479" s="720" t="s">
        <v>772</v>
      </c>
      <c r="C5479" s="683" t="s">
        <v>320</v>
      </c>
      <c r="D5479" s="719" t="s">
        <v>1977</v>
      </c>
      <c r="E5479" s="720" t="s">
        <v>1913</v>
      </c>
      <c r="F5479" s="685">
        <v>2311</v>
      </c>
      <c r="G5479" s="800" t="s">
        <v>260</v>
      </c>
      <c r="H5479" s="963">
        <v>580</v>
      </c>
      <c r="I5479" s="963"/>
      <c r="J5479" s="1494">
        <v>309</v>
      </c>
      <c r="K5479" s="892"/>
      <c r="L5479" s="963">
        <v>421</v>
      </c>
      <c r="M5479" s="963"/>
    </row>
    <row r="5480" spans="1:14">
      <c r="A5480" s="810"/>
      <c r="B5480" s="700" t="s">
        <v>772</v>
      </c>
      <c r="C5480" s="663" t="s">
        <v>320</v>
      </c>
      <c r="D5480" s="678" t="s">
        <v>1977</v>
      </c>
      <c r="E5480" s="700" t="s">
        <v>1913</v>
      </c>
      <c r="F5480" s="679">
        <v>2311</v>
      </c>
      <c r="G5480" s="1703" t="s">
        <v>206</v>
      </c>
      <c r="H5480" s="660"/>
      <c r="I5480" s="660">
        <v>250</v>
      </c>
      <c r="J5480" s="1494" t="s">
        <v>1134</v>
      </c>
      <c r="K5480" s="661"/>
      <c r="L5480" s="659"/>
      <c r="M5480" s="1676">
        <v>175</v>
      </c>
    </row>
    <row r="5481" spans="1:14">
      <c r="A5481" s="810"/>
      <c r="B5481" s="700" t="s">
        <v>772</v>
      </c>
      <c r="C5481" s="663" t="s">
        <v>320</v>
      </c>
      <c r="D5481" s="678" t="s">
        <v>1977</v>
      </c>
      <c r="E5481" s="700" t="s">
        <v>1913</v>
      </c>
      <c r="F5481" s="679">
        <v>2311</v>
      </c>
      <c r="G5481" s="1703" t="s">
        <v>1184</v>
      </c>
      <c r="H5481" s="660"/>
      <c r="I5481" s="660">
        <v>200</v>
      </c>
      <c r="J5481" s="1494" t="s">
        <v>1134</v>
      </c>
      <c r="K5481" s="661"/>
      <c r="L5481" s="659"/>
      <c r="M5481" s="1676">
        <v>175</v>
      </c>
    </row>
    <row r="5482" spans="1:14">
      <c r="A5482" s="810"/>
      <c r="B5482" s="700" t="s">
        <v>772</v>
      </c>
      <c r="C5482" s="663" t="s">
        <v>320</v>
      </c>
      <c r="D5482" s="678" t="s">
        <v>1977</v>
      </c>
      <c r="E5482" s="700" t="s">
        <v>1913</v>
      </c>
      <c r="F5482" s="679">
        <v>2311</v>
      </c>
      <c r="G5482" s="1703" t="s">
        <v>390</v>
      </c>
      <c r="H5482" s="660"/>
      <c r="I5482" s="660">
        <v>80</v>
      </c>
      <c r="J5482" s="1494" t="s">
        <v>1134</v>
      </c>
      <c r="K5482" s="661"/>
      <c r="L5482" s="659"/>
      <c r="M5482" s="1676">
        <v>56</v>
      </c>
    </row>
    <row r="5483" spans="1:14">
      <c r="A5483" s="810"/>
      <c r="B5483" s="700" t="s">
        <v>772</v>
      </c>
      <c r="C5483" s="663" t="s">
        <v>320</v>
      </c>
      <c r="D5483" s="678" t="s">
        <v>1977</v>
      </c>
      <c r="E5483" s="700" t="s">
        <v>1913</v>
      </c>
      <c r="F5483" s="679">
        <v>2311</v>
      </c>
      <c r="G5483" s="1703" t="s">
        <v>1185</v>
      </c>
      <c r="H5483" s="660"/>
      <c r="I5483" s="660">
        <v>50</v>
      </c>
      <c r="J5483" s="1494" t="s">
        <v>1134</v>
      </c>
      <c r="K5483" s="661"/>
      <c r="L5483" s="659"/>
      <c r="M5483" s="1676">
        <v>15</v>
      </c>
    </row>
    <row r="5484" spans="1:14">
      <c r="A5484" s="975"/>
      <c r="B5484" s="720" t="s">
        <v>772</v>
      </c>
      <c r="C5484" s="683" t="s">
        <v>472</v>
      </c>
      <c r="D5484" s="719" t="s">
        <v>1977</v>
      </c>
      <c r="E5484" s="720" t="s">
        <v>1913</v>
      </c>
      <c r="F5484" s="685">
        <v>2312</v>
      </c>
      <c r="G5484" s="800" t="s">
        <v>131</v>
      </c>
      <c r="H5484" s="976">
        <v>0</v>
      </c>
      <c r="I5484" s="976"/>
      <c r="J5484" s="1494" t="s">
        <v>1134</v>
      </c>
      <c r="K5484" s="661"/>
      <c r="L5484" s="959">
        <v>0</v>
      </c>
      <c r="M5484" s="959"/>
    </row>
    <row r="5485" spans="1:14">
      <c r="A5485" s="861"/>
      <c r="B5485" s="700" t="s">
        <v>772</v>
      </c>
      <c r="C5485" s="663" t="s">
        <v>472</v>
      </c>
      <c r="D5485" s="678" t="s">
        <v>1977</v>
      </c>
      <c r="E5485" s="700" t="s">
        <v>1913</v>
      </c>
      <c r="F5485" s="679">
        <v>2312</v>
      </c>
      <c r="G5485" s="750" t="s">
        <v>1377</v>
      </c>
      <c r="H5485" s="977"/>
      <c r="I5485" s="977"/>
      <c r="J5485" s="1494" t="s">
        <v>1134</v>
      </c>
      <c r="K5485" s="661"/>
      <c r="L5485" s="960"/>
      <c r="M5485" s="960"/>
    </row>
    <row r="5486" spans="1:14" ht="20.399999999999999">
      <c r="A5486" s="942"/>
      <c r="B5486" s="720" t="s">
        <v>772</v>
      </c>
      <c r="C5486" s="683" t="s">
        <v>320</v>
      </c>
      <c r="D5486" s="719" t="s">
        <v>1977</v>
      </c>
      <c r="E5486" s="720" t="s">
        <v>1913</v>
      </c>
      <c r="F5486" s="685">
        <v>2314</v>
      </c>
      <c r="G5486" s="800" t="s">
        <v>1435</v>
      </c>
      <c r="H5486" s="963">
        <v>300</v>
      </c>
      <c r="I5486" s="963"/>
      <c r="J5486" s="1494">
        <v>0</v>
      </c>
      <c r="K5486" s="892"/>
      <c r="L5486" s="963">
        <v>210</v>
      </c>
      <c r="M5486" s="963"/>
    </row>
    <row r="5487" spans="1:14" ht="20.399999999999999">
      <c r="A5487" s="810"/>
      <c r="B5487" s="700" t="s">
        <v>772</v>
      </c>
      <c r="C5487" s="663" t="s">
        <v>320</v>
      </c>
      <c r="D5487" s="828" t="s">
        <v>1977</v>
      </c>
      <c r="E5487" s="1831" t="s">
        <v>1913</v>
      </c>
      <c r="F5487" s="679">
        <v>2314</v>
      </c>
      <c r="G5487" s="967" t="s">
        <v>1090</v>
      </c>
      <c r="H5487" s="660"/>
      <c r="I5487" s="660">
        <v>300</v>
      </c>
      <c r="J5487" s="1494" t="s">
        <v>1134</v>
      </c>
      <c r="K5487" s="661"/>
      <c r="L5487" s="660"/>
      <c r="M5487" s="1676">
        <v>210</v>
      </c>
    </row>
    <row r="5488" spans="1:14">
      <c r="A5488" s="942"/>
      <c r="B5488" s="720" t="s">
        <v>772</v>
      </c>
      <c r="C5488" s="683" t="s">
        <v>320</v>
      </c>
      <c r="D5488" s="719" t="s">
        <v>1977</v>
      </c>
      <c r="E5488" s="720" t="s">
        <v>1913</v>
      </c>
      <c r="F5488" s="685">
        <v>2322</v>
      </c>
      <c r="G5488" s="800" t="s">
        <v>169</v>
      </c>
      <c r="H5488" s="963">
        <v>3020.0499999999997</v>
      </c>
      <c r="I5488" s="963"/>
      <c r="J5488" s="1494">
        <v>1675</v>
      </c>
      <c r="K5488" s="892"/>
      <c r="L5488" s="963">
        <v>2094.3999999999996</v>
      </c>
      <c r="M5488" s="963"/>
    </row>
    <row r="5489" spans="1:13">
      <c r="A5489" s="827"/>
      <c r="B5489" s="1831" t="s">
        <v>772</v>
      </c>
      <c r="C5489" s="756" t="s">
        <v>320</v>
      </c>
      <c r="D5489" s="678" t="s">
        <v>1977</v>
      </c>
      <c r="E5489" s="700" t="s">
        <v>1913</v>
      </c>
      <c r="F5489" s="891">
        <v>2322</v>
      </c>
      <c r="G5489" s="812" t="s">
        <v>4821</v>
      </c>
      <c r="H5489" s="1025"/>
      <c r="I5489" s="1025">
        <v>888.25</v>
      </c>
      <c r="J5489" s="1494" t="s">
        <v>1134</v>
      </c>
      <c r="K5489" s="1026"/>
      <c r="L5489" s="1025"/>
      <c r="M5489" s="660">
        <v>616</v>
      </c>
    </row>
    <row r="5490" spans="1:13">
      <c r="A5490" s="827"/>
      <c r="B5490" s="1831" t="s">
        <v>772</v>
      </c>
      <c r="C5490" s="756" t="s">
        <v>320</v>
      </c>
      <c r="D5490" s="678" t="s">
        <v>1977</v>
      </c>
      <c r="E5490" s="700" t="s">
        <v>1913</v>
      </c>
      <c r="F5490" s="891">
        <v>2322</v>
      </c>
      <c r="G5490" s="812" t="s">
        <v>4822</v>
      </c>
      <c r="H5490" s="1025"/>
      <c r="I5490" s="1025">
        <v>710.6</v>
      </c>
      <c r="J5490" s="1494" t="s">
        <v>1134</v>
      </c>
      <c r="K5490" s="1026"/>
      <c r="L5490" s="1025"/>
      <c r="M5490" s="977">
        <v>492.79999999999995</v>
      </c>
    </row>
    <row r="5491" spans="1:13">
      <c r="A5491" s="827"/>
      <c r="B5491" s="1831" t="s">
        <v>772</v>
      </c>
      <c r="C5491" s="756" t="s">
        <v>320</v>
      </c>
      <c r="D5491" s="678" t="s">
        <v>1977</v>
      </c>
      <c r="E5491" s="700" t="s">
        <v>1913</v>
      </c>
      <c r="F5491" s="891">
        <v>2322</v>
      </c>
      <c r="G5491" s="812" t="s">
        <v>4823</v>
      </c>
      <c r="H5491" s="1025"/>
      <c r="I5491" s="1025">
        <v>710.6</v>
      </c>
      <c r="J5491" s="1494" t="s">
        <v>1134</v>
      </c>
      <c r="K5491" s="1026"/>
      <c r="L5491" s="1025"/>
      <c r="M5491" s="977">
        <v>492.79999999999995</v>
      </c>
    </row>
    <row r="5492" spans="1:13">
      <c r="A5492" s="827"/>
      <c r="B5492" s="1831" t="s">
        <v>772</v>
      </c>
      <c r="C5492" s="756" t="s">
        <v>320</v>
      </c>
      <c r="D5492" s="678" t="s">
        <v>1977</v>
      </c>
      <c r="E5492" s="700" t="s">
        <v>1913</v>
      </c>
      <c r="F5492" s="891">
        <v>2322</v>
      </c>
      <c r="G5492" s="812" t="s">
        <v>4824</v>
      </c>
      <c r="H5492" s="1025"/>
      <c r="I5492" s="1025">
        <v>710.6</v>
      </c>
      <c r="J5492" s="1494" t="s">
        <v>1134</v>
      </c>
      <c r="K5492" s="1026"/>
      <c r="L5492" s="1025"/>
      <c r="M5492" s="977">
        <v>492.79999999999995</v>
      </c>
    </row>
    <row r="5493" spans="1:13" ht="20.399999999999999">
      <c r="A5493" s="942"/>
      <c r="B5493" s="720" t="s">
        <v>772</v>
      </c>
      <c r="C5493" s="683" t="s">
        <v>322</v>
      </c>
      <c r="D5493" s="719" t="s">
        <v>1977</v>
      </c>
      <c r="E5493" s="720" t="s">
        <v>1913</v>
      </c>
      <c r="F5493" s="685">
        <v>2512</v>
      </c>
      <c r="G5493" s="800" t="s">
        <v>779</v>
      </c>
      <c r="H5493" s="963">
        <v>17200</v>
      </c>
      <c r="I5493" s="963"/>
      <c r="J5493" s="1494">
        <v>11227</v>
      </c>
      <c r="K5493" s="892"/>
      <c r="L5493" s="963">
        <v>12000</v>
      </c>
      <c r="M5493" s="963"/>
    </row>
    <row r="5494" spans="1:13" ht="20.399999999999999">
      <c r="A5494" s="810"/>
      <c r="B5494" s="700" t="s">
        <v>772</v>
      </c>
      <c r="C5494" s="663" t="s">
        <v>320</v>
      </c>
      <c r="D5494" s="828" t="s">
        <v>1977</v>
      </c>
      <c r="E5494" s="1831" t="s">
        <v>1913</v>
      </c>
      <c r="F5494" s="679">
        <v>2512</v>
      </c>
      <c r="G5494" s="1444" t="s">
        <v>3091</v>
      </c>
      <c r="H5494" s="660"/>
      <c r="I5494" s="660">
        <v>200</v>
      </c>
      <c r="J5494" s="1494" t="s">
        <v>1134</v>
      </c>
      <c r="K5494" s="661"/>
      <c r="L5494" s="660"/>
      <c r="M5494" s="660"/>
    </row>
    <row r="5495" spans="1:13" ht="20.399999999999999">
      <c r="A5495" s="1564"/>
      <c r="B5495" s="1590" t="s">
        <v>772</v>
      </c>
      <c r="C5495" s="1495" t="s">
        <v>320</v>
      </c>
      <c r="D5495" s="1615" t="s">
        <v>1977</v>
      </c>
      <c r="E5495" s="1832" t="s">
        <v>1913</v>
      </c>
      <c r="F5495" s="1574">
        <v>2512</v>
      </c>
      <c r="G5495" s="1616" t="s">
        <v>3684</v>
      </c>
      <c r="H5495" s="1549"/>
      <c r="I5495" s="1549">
        <v>17000</v>
      </c>
      <c r="J5495" s="1549"/>
      <c r="K5495" s="1558"/>
      <c r="L5495" s="1549"/>
      <c r="M5495" s="1549">
        <v>12000</v>
      </c>
    </row>
    <row r="5496" spans="1:13" ht="20.399999999999999">
      <c r="A5496" s="942"/>
      <c r="B5496" s="720" t="s">
        <v>772</v>
      </c>
      <c r="C5496" s="683" t="s">
        <v>322</v>
      </c>
      <c r="D5496" s="719" t="s">
        <v>1977</v>
      </c>
      <c r="E5496" s="720" t="s">
        <v>1913</v>
      </c>
      <c r="F5496" s="685">
        <v>2519</v>
      </c>
      <c r="G5496" s="800" t="s">
        <v>780</v>
      </c>
      <c r="H5496" s="963">
        <v>2100</v>
      </c>
      <c r="I5496" s="963"/>
      <c r="J5496" s="1494">
        <v>1449</v>
      </c>
      <c r="K5496" s="892"/>
      <c r="L5496" s="963">
        <v>2100</v>
      </c>
      <c r="M5496" s="963"/>
    </row>
    <row r="5497" spans="1:13">
      <c r="A5497" s="810"/>
      <c r="B5497" s="700" t="s">
        <v>772</v>
      </c>
      <c r="C5497" s="663" t="s">
        <v>320</v>
      </c>
      <c r="D5497" s="828" t="s">
        <v>1977</v>
      </c>
      <c r="E5497" s="1831" t="s">
        <v>1913</v>
      </c>
      <c r="F5497" s="679">
        <v>2519</v>
      </c>
      <c r="G5497" s="967" t="s">
        <v>1378</v>
      </c>
      <c r="H5497" s="660"/>
      <c r="I5497" s="660">
        <v>1100</v>
      </c>
      <c r="J5497" s="1494" t="s">
        <v>1134</v>
      </c>
      <c r="K5497" s="661"/>
      <c r="L5497" s="660"/>
      <c r="M5497" s="660">
        <v>2100</v>
      </c>
    </row>
    <row r="5498" spans="1:13" ht="20.399999999999999">
      <c r="A5498" s="810"/>
      <c r="B5498" s="700" t="s">
        <v>772</v>
      </c>
      <c r="C5498" s="663" t="s">
        <v>320</v>
      </c>
      <c r="D5498" s="828" t="s">
        <v>1977</v>
      </c>
      <c r="E5498" s="1831" t="s">
        <v>1913</v>
      </c>
      <c r="F5498" s="679">
        <v>2519</v>
      </c>
      <c r="G5498" s="1444" t="s">
        <v>3090</v>
      </c>
      <c r="H5498" s="660"/>
      <c r="I5498" s="660">
        <v>1000</v>
      </c>
      <c r="J5498" s="1494" t="s">
        <v>1134</v>
      </c>
      <c r="K5498" s="661"/>
      <c r="L5498" s="660"/>
      <c r="M5498" s="660"/>
    </row>
    <row r="5499" spans="1:13">
      <c r="A5499" s="942"/>
      <c r="B5499" s="3129" t="s">
        <v>773</v>
      </c>
      <c r="C5499" s="683" t="s">
        <v>325</v>
      </c>
      <c r="D5499" s="719" t="s">
        <v>1977</v>
      </c>
      <c r="E5499" s="720" t="s">
        <v>1913</v>
      </c>
      <c r="F5499" s="736">
        <v>5214</v>
      </c>
      <c r="G5499" s="805" t="s">
        <v>1628</v>
      </c>
      <c r="H5499" s="963">
        <v>20800</v>
      </c>
      <c r="I5499" s="963"/>
      <c r="J5499" s="1494">
        <v>18100</v>
      </c>
      <c r="K5499" s="692"/>
      <c r="L5499" s="963">
        <v>0</v>
      </c>
      <c r="M5499" s="963"/>
    </row>
    <row r="5500" spans="1:13" ht="20.399999999999999">
      <c r="A5500" s="810"/>
      <c r="B5500" s="3130" t="s">
        <v>773</v>
      </c>
      <c r="C5500" s="663" t="s">
        <v>325</v>
      </c>
      <c r="D5500" s="828" t="s">
        <v>1977</v>
      </c>
      <c r="E5500" s="1831" t="s">
        <v>1913</v>
      </c>
      <c r="F5500" s="679">
        <v>5214</v>
      </c>
      <c r="G5500" s="967" t="s">
        <v>2861</v>
      </c>
      <c r="H5500" s="660"/>
      <c r="I5500" s="660">
        <v>30000</v>
      </c>
      <c r="J5500" s="1494" t="s">
        <v>1134</v>
      </c>
      <c r="K5500" s="661"/>
      <c r="L5500" s="660"/>
      <c r="M5500" s="660"/>
    </row>
    <row r="5501" spans="1:13" ht="40.799999999999997">
      <c r="A5501" s="1150"/>
      <c r="B5501" s="3130" t="s">
        <v>773</v>
      </c>
      <c r="C5501" s="663" t="s">
        <v>325</v>
      </c>
      <c r="D5501" s="828" t="s">
        <v>1977</v>
      </c>
      <c r="E5501" s="1831" t="s">
        <v>1913</v>
      </c>
      <c r="F5501" s="679">
        <v>5214</v>
      </c>
      <c r="G5501" s="1444" t="s">
        <v>3075</v>
      </c>
      <c r="H5501" s="1130"/>
      <c r="I5501" s="1130">
        <v>-8000</v>
      </c>
      <c r="J5501" s="1494" t="s">
        <v>1134</v>
      </c>
      <c r="K5501" s="646"/>
      <c r="L5501" s="1130"/>
      <c r="M5501" s="1130"/>
    </row>
    <row r="5502" spans="1:13" ht="20.399999999999999">
      <c r="A5502" s="1150"/>
      <c r="B5502" s="3130" t="s">
        <v>773</v>
      </c>
      <c r="C5502" s="663" t="s">
        <v>325</v>
      </c>
      <c r="D5502" s="828" t="s">
        <v>1977</v>
      </c>
      <c r="E5502" s="1831" t="s">
        <v>1913</v>
      </c>
      <c r="F5502" s="679">
        <v>5214</v>
      </c>
      <c r="G5502" s="1444" t="s">
        <v>3090</v>
      </c>
      <c r="H5502" s="1130"/>
      <c r="I5502" s="1130">
        <v>-1000</v>
      </c>
      <c r="J5502" s="1494" t="s">
        <v>1134</v>
      </c>
      <c r="K5502" s="646"/>
      <c r="L5502" s="1130"/>
      <c r="M5502" s="1130"/>
    </row>
    <row r="5503" spans="1:13" ht="20.399999999999999">
      <c r="A5503" s="1150"/>
      <c r="B5503" s="3130" t="s">
        <v>773</v>
      </c>
      <c r="C5503" s="663" t="s">
        <v>325</v>
      </c>
      <c r="D5503" s="828" t="s">
        <v>1977</v>
      </c>
      <c r="E5503" s="1831" t="s">
        <v>1913</v>
      </c>
      <c r="F5503" s="679">
        <v>5214</v>
      </c>
      <c r="G5503" s="1444" t="s">
        <v>3091</v>
      </c>
      <c r="H5503" s="1130"/>
      <c r="I5503" s="1130">
        <v>-200</v>
      </c>
      <c r="J5503" s="1494" t="s">
        <v>1134</v>
      </c>
      <c r="K5503" s="646"/>
      <c r="L5503" s="1130"/>
      <c r="M5503" s="1130"/>
    </row>
    <row r="5504" spans="1:13">
      <c r="A5504" s="942"/>
      <c r="B5504" s="3129" t="s">
        <v>773</v>
      </c>
      <c r="C5504" s="683" t="s">
        <v>340</v>
      </c>
      <c r="D5504" s="719" t="s">
        <v>1977</v>
      </c>
      <c r="E5504" s="720" t="s">
        <v>1913</v>
      </c>
      <c r="F5504" s="685">
        <v>5238</v>
      </c>
      <c r="G5504" s="800" t="s">
        <v>139</v>
      </c>
      <c r="H5504" s="963">
        <v>0</v>
      </c>
      <c r="I5504" s="963"/>
      <c r="J5504" s="1494" t="s">
        <v>1134</v>
      </c>
      <c r="K5504" s="692"/>
      <c r="L5504" s="963">
        <v>0</v>
      </c>
      <c r="M5504" s="963"/>
    </row>
    <row r="5505" spans="1:13">
      <c r="A5505" s="1150"/>
      <c r="B5505" s="3130" t="s">
        <v>773</v>
      </c>
      <c r="C5505" s="663" t="s">
        <v>340</v>
      </c>
      <c r="D5505" s="828" t="s">
        <v>1977</v>
      </c>
      <c r="E5505" s="1831" t="s">
        <v>1913</v>
      </c>
      <c r="F5505" s="679">
        <v>5238</v>
      </c>
      <c r="G5505" s="1444"/>
      <c r="H5505" s="1130"/>
      <c r="I5505" s="1130"/>
      <c r="J5505" s="1494" t="s">
        <v>1134</v>
      </c>
      <c r="K5505" s="646"/>
      <c r="L5505" s="1130"/>
      <c r="M5505" s="1130"/>
    </row>
    <row r="5506" spans="1:13">
      <c r="A5506" s="942"/>
      <c r="B5506" s="3129" t="s">
        <v>436</v>
      </c>
      <c r="C5506" s="683"/>
      <c r="D5506" s="719" t="s">
        <v>1977</v>
      </c>
      <c r="E5506" s="720" t="s">
        <v>709</v>
      </c>
      <c r="F5506" s="685">
        <v>1000</v>
      </c>
      <c r="G5506" s="800" t="s">
        <v>990</v>
      </c>
      <c r="H5506" s="963">
        <v>2658637</v>
      </c>
      <c r="I5506" s="963"/>
      <c r="J5506" s="1494"/>
      <c r="K5506" s="892"/>
      <c r="L5506" s="1798">
        <v>2845904</v>
      </c>
      <c r="M5506" s="1798"/>
    </row>
    <row r="5507" spans="1:13">
      <c r="A5507" s="810"/>
      <c r="B5507" s="3130" t="s">
        <v>436</v>
      </c>
      <c r="C5507" s="663"/>
      <c r="D5507" s="828" t="s">
        <v>1977</v>
      </c>
      <c r="E5507" s="1831" t="s">
        <v>709</v>
      </c>
      <c r="F5507" s="679">
        <v>1000</v>
      </c>
      <c r="G5507" s="967" t="s">
        <v>2506</v>
      </c>
      <c r="H5507" s="660"/>
      <c r="I5507" s="660">
        <v>2658637</v>
      </c>
      <c r="J5507" s="1494" t="s">
        <v>1134</v>
      </c>
      <c r="K5507" s="661"/>
      <c r="L5507" s="1662"/>
      <c r="M5507" s="2634">
        <v>2845904</v>
      </c>
    </row>
    <row r="5508" spans="1:13">
      <c r="A5508" s="942"/>
      <c r="B5508" s="3129" t="s">
        <v>772</v>
      </c>
      <c r="C5508" s="683"/>
      <c r="D5508" s="719" t="s">
        <v>1977</v>
      </c>
      <c r="E5508" s="720" t="s">
        <v>709</v>
      </c>
      <c r="F5508" s="685">
        <v>2000</v>
      </c>
      <c r="G5508" s="800" t="s">
        <v>1884</v>
      </c>
      <c r="H5508" s="963">
        <v>1971033.5730960001</v>
      </c>
      <c r="I5508" s="963"/>
      <c r="J5508" s="1494"/>
      <c r="K5508" s="892"/>
      <c r="L5508" s="963">
        <v>2212850.62</v>
      </c>
      <c r="M5508" s="963"/>
    </row>
    <row r="5509" spans="1:13">
      <c r="A5509" s="810"/>
      <c r="B5509" s="3130" t="s">
        <v>772</v>
      </c>
      <c r="C5509" s="663"/>
      <c r="D5509" s="828" t="s">
        <v>1977</v>
      </c>
      <c r="E5509" s="1831" t="s">
        <v>709</v>
      </c>
      <c r="F5509" s="679">
        <v>2000</v>
      </c>
      <c r="G5509" s="967" t="s">
        <v>996</v>
      </c>
      <c r="H5509" s="660"/>
      <c r="I5509" s="660">
        <v>83843</v>
      </c>
      <c r="J5509" s="1494" t="s">
        <v>1134</v>
      </c>
      <c r="K5509" s="661"/>
      <c r="L5509" s="660"/>
      <c r="M5509" s="2634">
        <v>92806</v>
      </c>
    </row>
    <row r="5510" spans="1:13">
      <c r="A5510" s="810"/>
      <c r="B5510" s="3130" t="s">
        <v>772</v>
      </c>
      <c r="C5510" s="663"/>
      <c r="D5510" s="828" t="s">
        <v>1977</v>
      </c>
      <c r="E5510" s="1831" t="s">
        <v>709</v>
      </c>
      <c r="F5510" s="679">
        <v>2000</v>
      </c>
      <c r="G5510" s="967" t="s">
        <v>2508</v>
      </c>
      <c r="H5510" s="660"/>
      <c r="I5510" s="701">
        <v>222320</v>
      </c>
      <c r="J5510" s="1494" t="s">
        <v>1134</v>
      </c>
      <c r="K5510" s="661"/>
      <c r="L5510" s="660"/>
      <c r="M5510" s="2634">
        <v>259627.9</v>
      </c>
    </row>
    <row r="5511" spans="1:13">
      <c r="A5511" s="810"/>
      <c r="B5511" s="3130" t="s">
        <v>772</v>
      </c>
      <c r="C5511" s="663"/>
      <c r="D5511" s="828" t="s">
        <v>1977</v>
      </c>
      <c r="E5511" s="1831" t="s">
        <v>709</v>
      </c>
      <c r="F5511" s="679">
        <v>2000</v>
      </c>
      <c r="G5511" s="967" t="s">
        <v>2679</v>
      </c>
      <c r="H5511" s="660"/>
      <c r="I5511" s="701">
        <v>393911</v>
      </c>
      <c r="J5511" s="1494" t="s">
        <v>1134</v>
      </c>
      <c r="K5511" s="661"/>
      <c r="L5511" s="660"/>
      <c r="M5511" s="2634">
        <v>398422</v>
      </c>
    </row>
    <row r="5512" spans="1:13">
      <c r="A5512" s="810"/>
      <c r="B5512" s="3130" t="s">
        <v>772</v>
      </c>
      <c r="C5512" s="663"/>
      <c r="D5512" s="828" t="s">
        <v>1977</v>
      </c>
      <c r="E5512" s="1831" t="s">
        <v>709</v>
      </c>
      <c r="F5512" s="679">
        <v>2000</v>
      </c>
      <c r="G5512" s="967" t="s">
        <v>2510</v>
      </c>
      <c r="H5512" s="660"/>
      <c r="I5512" s="701">
        <v>609428</v>
      </c>
      <c r="J5512" s="1494" t="s">
        <v>1134</v>
      </c>
      <c r="K5512" s="661"/>
      <c r="L5512" s="660"/>
      <c r="M5512" s="2634">
        <v>622032</v>
      </c>
    </row>
    <row r="5513" spans="1:13">
      <c r="A5513" s="2352"/>
      <c r="B5513" s="3130" t="s">
        <v>772</v>
      </c>
      <c r="C5513" s="663"/>
      <c r="D5513" s="828" t="s">
        <v>1977</v>
      </c>
      <c r="E5513" s="1831" t="s">
        <v>709</v>
      </c>
      <c r="F5513" s="679">
        <v>2000</v>
      </c>
      <c r="G5513" s="2320" t="s">
        <v>4495</v>
      </c>
      <c r="H5513" s="2169"/>
      <c r="I5513" s="2188">
        <v>477463.57309600001</v>
      </c>
      <c r="J5513" s="2170"/>
      <c r="K5513" s="2185"/>
      <c r="L5513" s="2169"/>
      <c r="M5513" s="2635">
        <v>547924</v>
      </c>
    </row>
    <row r="5514" spans="1:13">
      <c r="A5514" s="810"/>
      <c r="B5514" s="3130" t="s">
        <v>772</v>
      </c>
      <c r="C5514" s="663"/>
      <c r="D5514" s="828" t="s">
        <v>1977</v>
      </c>
      <c r="E5514" s="1831" t="s">
        <v>709</v>
      </c>
      <c r="F5514" s="679">
        <v>2000</v>
      </c>
      <c r="G5514" s="967" t="s">
        <v>2680</v>
      </c>
      <c r="H5514" s="660"/>
      <c r="I5514" s="701">
        <v>133017</v>
      </c>
      <c r="J5514" s="1494" t="s">
        <v>1134</v>
      </c>
      <c r="K5514" s="661"/>
      <c r="L5514" s="660"/>
      <c r="M5514" s="2634">
        <v>215182.72</v>
      </c>
    </row>
    <row r="5515" spans="1:13">
      <c r="A5515" s="810"/>
      <c r="B5515" s="3130" t="s">
        <v>772</v>
      </c>
      <c r="C5515" s="663"/>
      <c r="D5515" s="828" t="s">
        <v>1977</v>
      </c>
      <c r="E5515" s="1831" t="s">
        <v>709</v>
      </c>
      <c r="F5515" s="679">
        <v>2000</v>
      </c>
      <c r="G5515" s="967" t="s">
        <v>4505</v>
      </c>
      <c r="H5515" s="660"/>
      <c r="I5515" s="701">
        <v>51051</v>
      </c>
      <c r="J5515" s="1494" t="s">
        <v>1134</v>
      </c>
      <c r="K5515" s="661"/>
      <c r="L5515" s="660"/>
      <c r="M5515" s="2634">
        <v>76856</v>
      </c>
    </row>
    <row r="5516" spans="1:13">
      <c r="A5516" s="942"/>
      <c r="B5516" s="3129" t="s">
        <v>774</v>
      </c>
      <c r="C5516" s="683"/>
      <c r="D5516" s="719" t="s">
        <v>1977</v>
      </c>
      <c r="E5516" s="720" t="s">
        <v>709</v>
      </c>
      <c r="F5516" s="685">
        <v>5000</v>
      </c>
      <c r="G5516" s="800" t="s">
        <v>2681</v>
      </c>
      <c r="H5516" s="963">
        <v>83298</v>
      </c>
      <c r="I5516" s="2351"/>
      <c r="J5516" s="1494"/>
      <c r="K5516" s="892"/>
      <c r="L5516" s="963">
        <v>67094</v>
      </c>
      <c r="M5516" s="963"/>
    </row>
    <row r="5517" spans="1:13">
      <c r="A5517" s="810"/>
      <c r="B5517" s="3130" t="s">
        <v>774</v>
      </c>
      <c r="C5517" s="663"/>
      <c r="D5517" s="828" t="s">
        <v>1977</v>
      </c>
      <c r="E5517" s="1831" t="s">
        <v>709</v>
      </c>
      <c r="F5517" s="679">
        <v>5000</v>
      </c>
      <c r="G5517" s="967" t="s">
        <v>996</v>
      </c>
      <c r="H5517" s="660"/>
      <c r="I5517" s="701">
        <v>8082</v>
      </c>
      <c r="J5517" s="1494" t="s">
        <v>1134</v>
      </c>
      <c r="K5517" s="661"/>
      <c r="L5517" s="660"/>
      <c r="M5517" s="2634">
        <v>7000</v>
      </c>
    </row>
    <row r="5518" spans="1:13">
      <c r="A5518" s="810"/>
      <c r="B5518" s="3130" t="s">
        <v>774</v>
      </c>
      <c r="C5518" s="663"/>
      <c r="D5518" s="828" t="s">
        <v>1977</v>
      </c>
      <c r="E5518" s="1831" t="s">
        <v>709</v>
      </c>
      <c r="F5518" s="679">
        <v>5000</v>
      </c>
      <c r="G5518" s="967" t="s">
        <v>2508</v>
      </c>
      <c r="H5518" s="660"/>
      <c r="I5518" s="701">
        <v>5242</v>
      </c>
      <c r="J5518" s="1494" t="s">
        <v>1134</v>
      </c>
      <c r="K5518" s="661"/>
      <c r="L5518" s="660"/>
      <c r="M5518" s="2634">
        <v>16850</v>
      </c>
    </row>
    <row r="5519" spans="1:13">
      <c r="A5519" s="810"/>
      <c r="B5519" s="3130" t="s">
        <v>774</v>
      </c>
      <c r="C5519" s="663"/>
      <c r="D5519" s="828" t="s">
        <v>1977</v>
      </c>
      <c r="E5519" s="1831" t="s">
        <v>709</v>
      </c>
      <c r="F5519" s="679">
        <v>5000</v>
      </c>
      <c r="G5519" s="967" t="s">
        <v>2679</v>
      </c>
      <c r="H5519" s="660"/>
      <c r="I5519" s="701">
        <v>39097</v>
      </c>
      <c r="J5519" s="1494" t="s">
        <v>1134</v>
      </c>
      <c r="K5519" s="661"/>
      <c r="L5519" s="660"/>
      <c r="M5519" s="2634">
        <v>17970</v>
      </c>
    </row>
    <row r="5520" spans="1:13">
      <c r="A5520" s="810"/>
      <c r="B5520" s="3130" t="s">
        <v>774</v>
      </c>
      <c r="C5520" s="663"/>
      <c r="D5520" s="828" t="s">
        <v>1977</v>
      </c>
      <c r="E5520" s="1831" t="s">
        <v>709</v>
      </c>
      <c r="F5520" s="679">
        <v>5000</v>
      </c>
      <c r="G5520" s="967" t="s">
        <v>2510</v>
      </c>
      <c r="H5520" s="660"/>
      <c r="I5520" s="701">
        <v>0</v>
      </c>
      <c r="J5520" s="1494" t="s">
        <v>1134</v>
      </c>
      <c r="K5520" s="661"/>
      <c r="L5520" s="660"/>
      <c r="M5520" s="2634">
        <v>3274</v>
      </c>
    </row>
    <row r="5521" spans="1:13">
      <c r="A5521" s="2352"/>
      <c r="B5521" s="3130" t="s">
        <v>774</v>
      </c>
      <c r="C5521" s="663"/>
      <c r="D5521" s="828" t="s">
        <v>1977</v>
      </c>
      <c r="E5521" s="1831" t="s">
        <v>709</v>
      </c>
      <c r="F5521" s="679">
        <v>5000</v>
      </c>
      <c r="G5521" s="2320" t="s">
        <v>4495</v>
      </c>
      <c r="H5521" s="2169"/>
      <c r="I5521" s="2188">
        <v>25377</v>
      </c>
      <c r="J5521" s="2170"/>
      <c r="K5521" s="2185"/>
      <c r="L5521" s="2169"/>
      <c r="M5521" s="2635">
        <v>15500</v>
      </c>
    </row>
    <row r="5522" spans="1:13">
      <c r="A5522" s="810"/>
      <c r="B5522" s="3130" t="s">
        <v>774</v>
      </c>
      <c r="C5522" s="663"/>
      <c r="D5522" s="828" t="s">
        <v>1977</v>
      </c>
      <c r="E5522" s="1831" t="s">
        <v>709</v>
      </c>
      <c r="F5522" s="679">
        <v>5000</v>
      </c>
      <c r="G5522" s="967" t="s">
        <v>2680</v>
      </c>
      <c r="H5522" s="660"/>
      <c r="I5522" s="701">
        <v>0</v>
      </c>
      <c r="J5522" s="1494"/>
      <c r="K5522" s="661"/>
      <c r="L5522" s="660"/>
      <c r="M5522" s="660">
        <v>0</v>
      </c>
    </row>
    <row r="5523" spans="1:13">
      <c r="A5523" s="810"/>
      <c r="B5523" s="3130" t="s">
        <v>774</v>
      </c>
      <c r="C5523" s="663"/>
      <c r="D5523" s="828" t="s">
        <v>1977</v>
      </c>
      <c r="E5523" s="1831" t="s">
        <v>709</v>
      </c>
      <c r="F5523" s="679">
        <v>5000</v>
      </c>
      <c r="G5523" s="967" t="s">
        <v>4505</v>
      </c>
      <c r="H5523" s="660"/>
      <c r="I5523" s="701">
        <v>5500</v>
      </c>
      <c r="J5523" s="1494"/>
      <c r="K5523" s="661"/>
      <c r="L5523" s="660"/>
      <c r="M5523" s="2634">
        <v>6500</v>
      </c>
    </row>
    <row r="5524" spans="1:13" ht="20.399999999999999">
      <c r="A5524" s="942"/>
      <c r="B5524" s="3129" t="s">
        <v>773</v>
      </c>
      <c r="C5524" s="683"/>
      <c r="D5524" s="719" t="s">
        <v>1977</v>
      </c>
      <c r="E5524" s="720" t="s">
        <v>709</v>
      </c>
      <c r="F5524" s="685">
        <v>5000</v>
      </c>
      <c r="G5524" s="800" t="s">
        <v>4508</v>
      </c>
      <c r="H5524" s="963">
        <v>571506</v>
      </c>
      <c r="I5524" s="2351"/>
      <c r="J5524" s="1494"/>
      <c r="K5524" s="892"/>
      <c r="L5524" s="963">
        <v>0</v>
      </c>
      <c r="M5524" s="966"/>
    </row>
    <row r="5525" spans="1:13">
      <c r="A5525" s="1365"/>
      <c r="B5525" s="3162" t="s">
        <v>773</v>
      </c>
      <c r="C5525" s="1366"/>
      <c r="D5525" s="1367" t="s">
        <v>1977</v>
      </c>
      <c r="E5525" s="2406" t="s">
        <v>709</v>
      </c>
      <c r="F5525" s="1368">
        <v>5000</v>
      </c>
      <c r="G5525" s="1369" t="s">
        <v>2507</v>
      </c>
      <c r="H5525" s="1370"/>
      <c r="I5525" s="2381">
        <v>10000</v>
      </c>
      <c r="J5525" s="1654">
        <v>9999</v>
      </c>
      <c r="K5525" s="1371"/>
      <c r="L5525" s="1482"/>
      <c r="M5525" s="1482"/>
    </row>
    <row r="5526" spans="1:13" ht="20.399999999999999">
      <c r="A5526" s="2373"/>
      <c r="B5526" s="3162" t="s">
        <v>773</v>
      </c>
      <c r="C5526" s="1366"/>
      <c r="D5526" s="1367" t="s">
        <v>1977</v>
      </c>
      <c r="E5526" s="2406" t="s">
        <v>709</v>
      </c>
      <c r="F5526" s="1368">
        <v>5000</v>
      </c>
      <c r="G5526" s="2377" t="s">
        <v>2518</v>
      </c>
      <c r="H5526" s="2378"/>
      <c r="I5526" s="2382">
        <v>75301</v>
      </c>
      <c r="J5526" s="2191">
        <v>1617</v>
      </c>
      <c r="K5526" s="2379"/>
      <c r="L5526" s="2380"/>
      <c r="M5526" s="2380"/>
    </row>
    <row r="5527" spans="1:13" ht="20.399999999999999">
      <c r="A5527" s="2373"/>
      <c r="B5527" s="3162" t="s">
        <v>773</v>
      </c>
      <c r="C5527" s="1366"/>
      <c r="D5527" s="1367" t="s">
        <v>1977</v>
      </c>
      <c r="E5527" s="2406" t="s">
        <v>709</v>
      </c>
      <c r="F5527" s="1368">
        <v>5000</v>
      </c>
      <c r="G5527" s="2377" t="s">
        <v>2519</v>
      </c>
      <c r="H5527" s="2378"/>
      <c r="I5527" s="2382">
        <v>27700</v>
      </c>
      <c r="J5527" s="2191">
        <v>0</v>
      </c>
      <c r="K5527" s="2379"/>
      <c r="L5527" s="2380"/>
      <c r="M5527" s="2380"/>
    </row>
    <row r="5528" spans="1:13" ht="20.399999999999999">
      <c r="A5528" s="2373"/>
      <c r="B5528" s="3162" t="s">
        <v>773</v>
      </c>
      <c r="C5528" s="1366"/>
      <c r="D5528" s="1367" t="s">
        <v>1977</v>
      </c>
      <c r="E5528" s="2406" t="s">
        <v>709</v>
      </c>
      <c r="F5528" s="1368">
        <v>5000</v>
      </c>
      <c r="G5528" s="2377" t="s">
        <v>2523</v>
      </c>
      <c r="H5528" s="2378"/>
      <c r="I5528" s="2382">
        <v>15830</v>
      </c>
      <c r="J5528" s="2191">
        <v>15415</v>
      </c>
      <c r="K5528" s="2379"/>
      <c r="L5528" s="2380"/>
      <c r="M5528" s="2380"/>
    </row>
    <row r="5529" spans="1:13" ht="20.399999999999999">
      <c r="A5529" s="2373"/>
      <c r="B5529" s="3163" t="s">
        <v>773</v>
      </c>
      <c r="C5529" s="2374"/>
      <c r="D5529" s="2375" t="s">
        <v>1977</v>
      </c>
      <c r="E5529" s="2418" t="s">
        <v>709</v>
      </c>
      <c r="F5529" s="2376">
        <v>5000</v>
      </c>
      <c r="G5529" s="2377" t="s">
        <v>2524</v>
      </c>
      <c r="H5529" s="2378"/>
      <c r="I5529" s="2382">
        <v>7100</v>
      </c>
      <c r="J5529" s="2191">
        <v>7097</v>
      </c>
      <c r="K5529" s="2379"/>
      <c r="L5529" s="2380"/>
      <c r="M5529" s="2380"/>
    </row>
    <row r="5530" spans="1:13" ht="12" thickBot="1">
      <c r="A5530" s="2394"/>
      <c r="B5530" s="3164" t="s">
        <v>773</v>
      </c>
      <c r="C5530" s="2395"/>
      <c r="D5530" s="2396" t="s">
        <v>1977</v>
      </c>
      <c r="E5530" s="2411" t="s">
        <v>709</v>
      </c>
      <c r="F5530" s="2397">
        <v>5000</v>
      </c>
      <c r="G5530" s="2384" t="s">
        <v>4507</v>
      </c>
      <c r="H5530" s="2398"/>
      <c r="I5530" s="2399">
        <v>13800</v>
      </c>
      <c r="J5530" s="2400"/>
      <c r="K5530" s="2401"/>
      <c r="L5530" s="2402"/>
      <c r="M5530" s="2402"/>
    </row>
    <row r="5531" spans="1:13" ht="30.6">
      <c r="A5531" s="2385"/>
      <c r="B5531" s="3165" t="s">
        <v>773</v>
      </c>
      <c r="C5531" s="2386"/>
      <c r="D5531" s="2387" t="s">
        <v>1977</v>
      </c>
      <c r="E5531" s="2415" t="s">
        <v>709</v>
      </c>
      <c r="F5531" s="2388">
        <v>5000</v>
      </c>
      <c r="G5531" s="2383" t="s">
        <v>4509</v>
      </c>
      <c r="H5531" s="2389"/>
      <c r="I5531" s="2390">
        <v>87120</v>
      </c>
      <c r="J5531" s="2391">
        <v>0</v>
      </c>
      <c r="K5531" s="2392"/>
      <c r="L5531" s="2393"/>
      <c r="M5531" s="2393"/>
    </row>
    <row r="5532" spans="1:13">
      <c r="A5532" s="2373"/>
      <c r="B5532" s="3162" t="s">
        <v>773</v>
      </c>
      <c r="C5532" s="1366"/>
      <c r="D5532" s="1367" t="s">
        <v>1977</v>
      </c>
      <c r="E5532" s="2406" t="s">
        <v>709</v>
      </c>
      <c r="F5532" s="1368">
        <v>5000</v>
      </c>
      <c r="G5532" s="2377" t="s">
        <v>4510</v>
      </c>
      <c r="H5532" s="2378"/>
      <c r="I5532" s="2382">
        <v>3600</v>
      </c>
      <c r="J5532" s="2191">
        <v>2990</v>
      </c>
      <c r="K5532" s="2379"/>
      <c r="L5532" s="2380"/>
      <c r="M5532" s="2380"/>
    </row>
    <row r="5533" spans="1:13">
      <c r="A5533" s="2373"/>
      <c r="B5533" s="3162" t="s">
        <v>773</v>
      </c>
      <c r="C5533" s="1366"/>
      <c r="D5533" s="1367" t="s">
        <v>1977</v>
      </c>
      <c r="E5533" s="2406" t="s">
        <v>709</v>
      </c>
      <c r="F5533" s="1368">
        <v>5000</v>
      </c>
      <c r="G5533" s="2377" t="s">
        <v>2521</v>
      </c>
      <c r="H5533" s="2378"/>
      <c r="I5533" s="2382">
        <v>8000</v>
      </c>
      <c r="J5533" s="2191">
        <v>1145</v>
      </c>
      <c r="K5533" s="2379"/>
      <c r="L5533" s="2380"/>
      <c r="M5533" s="2380"/>
    </row>
    <row r="5534" spans="1:13" ht="20.399999999999999">
      <c r="A5534" s="2373"/>
      <c r="B5534" s="3162" t="s">
        <v>773</v>
      </c>
      <c r="C5534" s="1366"/>
      <c r="D5534" s="1367" t="s">
        <v>1977</v>
      </c>
      <c r="E5534" s="2406" t="s">
        <v>709</v>
      </c>
      <c r="F5534" s="1368">
        <v>5000</v>
      </c>
      <c r="G5534" s="2377" t="s">
        <v>2522</v>
      </c>
      <c r="H5534" s="2378"/>
      <c r="I5534" s="2382">
        <v>10000</v>
      </c>
      <c r="J5534" s="2191">
        <v>3831</v>
      </c>
      <c r="K5534" s="2379"/>
      <c r="L5534" s="2380"/>
      <c r="M5534" s="2380"/>
    </row>
    <row r="5535" spans="1:13" ht="20.399999999999999">
      <c r="A5535" s="2403"/>
      <c r="B5535" s="3162" t="s">
        <v>773</v>
      </c>
      <c r="C5535" s="2404"/>
      <c r="D5535" s="2405" t="s">
        <v>1977</v>
      </c>
      <c r="E5535" s="2406" t="s">
        <v>709</v>
      </c>
      <c r="F5535" s="2407">
        <v>5000</v>
      </c>
      <c r="G5535" s="2377" t="s">
        <v>4511</v>
      </c>
      <c r="H5535" s="2382"/>
      <c r="I5535" s="2382">
        <v>55364</v>
      </c>
      <c r="J5535" s="2191">
        <v>55121</v>
      </c>
      <c r="K5535" s="2408"/>
      <c r="L5535" s="2382"/>
      <c r="M5535" s="2382"/>
    </row>
    <row r="5536" spans="1:13" ht="12" thickBot="1">
      <c r="A5536" s="2409"/>
      <c r="B5536" s="3164" t="s">
        <v>773</v>
      </c>
      <c r="C5536" s="2409"/>
      <c r="D5536" s="2410" t="s">
        <v>1977</v>
      </c>
      <c r="E5536" s="2411" t="s">
        <v>709</v>
      </c>
      <c r="F5536" s="2412">
        <v>5000</v>
      </c>
      <c r="G5536" s="2384" t="s">
        <v>4512</v>
      </c>
      <c r="H5536" s="2399"/>
      <c r="I5536" s="2399">
        <v>15000</v>
      </c>
      <c r="J5536" s="2400">
        <v>4825</v>
      </c>
      <c r="K5536" s="2413"/>
      <c r="L5536" s="2399"/>
      <c r="M5536" s="2399"/>
    </row>
    <row r="5537" spans="1:13" ht="20.399999999999999">
      <c r="A5537" s="2403"/>
      <c r="B5537" s="3163" t="s">
        <v>773</v>
      </c>
      <c r="C5537" s="2403"/>
      <c r="D5537" s="2417" t="s">
        <v>1977</v>
      </c>
      <c r="E5537" s="2418" t="s">
        <v>709</v>
      </c>
      <c r="F5537" s="2419">
        <v>5000</v>
      </c>
      <c r="G5537" s="2377" t="s">
        <v>2835</v>
      </c>
      <c r="H5537" s="2382"/>
      <c r="I5537" s="2382">
        <v>10000</v>
      </c>
      <c r="J5537" s="2416">
        <v>4247</v>
      </c>
      <c r="K5537" s="2408"/>
      <c r="L5537" s="2382"/>
      <c r="M5537" s="2382"/>
    </row>
    <row r="5538" spans="1:13">
      <c r="A5538" s="2403"/>
      <c r="B5538" s="3163" t="s">
        <v>773</v>
      </c>
      <c r="C5538" s="2403"/>
      <c r="D5538" s="2417" t="s">
        <v>1977</v>
      </c>
      <c r="E5538" s="2418" t="s">
        <v>709</v>
      </c>
      <c r="F5538" s="2419">
        <v>5000</v>
      </c>
      <c r="G5538" s="2377" t="s">
        <v>2808</v>
      </c>
      <c r="H5538" s="2382"/>
      <c r="I5538" s="2382">
        <v>4834</v>
      </c>
      <c r="J5538" s="2416">
        <v>4780</v>
      </c>
      <c r="K5538" s="2408"/>
      <c r="L5538" s="2382"/>
      <c r="M5538" s="2382"/>
    </row>
    <row r="5539" spans="1:13">
      <c r="A5539" s="2403"/>
      <c r="B5539" s="3163" t="s">
        <v>773</v>
      </c>
      <c r="C5539" s="2403"/>
      <c r="D5539" s="2417" t="s">
        <v>1977</v>
      </c>
      <c r="E5539" s="2418" t="s">
        <v>709</v>
      </c>
      <c r="F5539" s="2419">
        <v>5000</v>
      </c>
      <c r="G5539" s="2377" t="s">
        <v>2511</v>
      </c>
      <c r="H5539" s="2382"/>
      <c r="I5539" s="2382">
        <v>25996</v>
      </c>
      <c r="J5539" s="2416">
        <v>4004</v>
      </c>
      <c r="K5539" s="2408"/>
      <c r="L5539" s="2382"/>
      <c r="M5539" s="2382"/>
    </row>
    <row r="5540" spans="1:13">
      <c r="A5540" s="2403"/>
      <c r="B5540" s="3163" t="s">
        <v>773</v>
      </c>
      <c r="C5540" s="2403"/>
      <c r="D5540" s="2417" t="s">
        <v>1977</v>
      </c>
      <c r="E5540" s="2418" t="s">
        <v>709</v>
      </c>
      <c r="F5540" s="2419">
        <v>5000</v>
      </c>
      <c r="G5540" s="2377" t="s">
        <v>2512</v>
      </c>
      <c r="H5540" s="2382"/>
      <c r="I5540" s="2382">
        <v>30000</v>
      </c>
      <c r="J5540" s="2416">
        <v>0</v>
      </c>
      <c r="K5540" s="2408"/>
      <c r="L5540" s="2382"/>
      <c r="M5540" s="2382"/>
    </row>
    <row r="5541" spans="1:13" ht="20.399999999999999">
      <c r="A5541" s="2403"/>
      <c r="B5541" s="3163" t="s">
        <v>773</v>
      </c>
      <c r="C5541" s="2403"/>
      <c r="D5541" s="2417" t="s">
        <v>1977</v>
      </c>
      <c r="E5541" s="2418" t="s">
        <v>709</v>
      </c>
      <c r="F5541" s="2419">
        <v>5000</v>
      </c>
      <c r="G5541" s="2377" t="s">
        <v>2513</v>
      </c>
      <c r="H5541" s="2382"/>
      <c r="I5541" s="2382">
        <v>76000</v>
      </c>
      <c r="J5541" s="2416">
        <v>76000</v>
      </c>
      <c r="K5541" s="2408"/>
      <c r="L5541" s="2382"/>
      <c r="M5541" s="2382"/>
    </row>
    <row r="5542" spans="1:13">
      <c r="A5542" s="2403"/>
      <c r="B5542" s="3163" t="s">
        <v>773</v>
      </c>
      <c r="C5542" s="2403"/>
      <c r="D5542" s="2417" t="s">
        <v>1977</v>
      </c>
      <c r="E5542" s="2418" t="s">
        <v>709</v>
      </c>
      <c r="F5542" s="2419">
        <v>5000</v>
      </c>
      <c r="G5542" s="2377" t="s">
        <v>4514</v>
      </c>
      <c r="H5542" s="2382"/>
      <c r="I5542" s="2382">
        <v>47000</v>
      </c>
      <c r="J5542" s="2416">
        <v>0</v>
      </c>
      <c r="K5542" s="2408"/>
      <c r="L5542" s="2382"/>
      <c r="M5542" s="2382"/>
    </row>
    <row r="5543" spans="1:13" ht="20.399999999999999">
      <c r="A5543" s="2403"/>
      <c r="B5543" s="3163" t="s">
        <v>773</v>
      </c>
      <c r="C5543" s="2403"/>
      <c r="D5543" s="2417" t="s">
        <v>1977</v>
      </c>
      <c r="E5543" s="2418" t="s">
        <v>709</v>
      </c>
      <c r="F5543" s="2419">
        <v>5000</v>
      </c>
      <c r="G5543" s="2377" t="s">
        <v>2514</v>
      </c>
      <c r="H5543" s="2382"/>
      <c r="I5543" s="2382">
        <v>15258</v>
      </c>
      <c r="J5543" s="2416">
        <v>15258</v>
      </c>
      <c r="K5543" s="2408"/>
      <c r="L5543" s="2382"/>
      <c r="M5543" s="2382"/>
    </row>
    <row r="5544" spans="1:13" ht="20.399999999999999">
      <c r="A5544" s="2403"/>
      <c r="B5544" s="3163" t="s">
        <v>773</v>
      </c>
      <c r="C5544" s="2403"/>
      <c r="D5544" s="2417" t="s">
        <v>1977</v>
      </c>
      <c r="E5544" s="2418" t="s">
        <v>709</v>
      </c>
      <c r="F5544" s="2419">
        <v>5000</v>
      </c>
      <c r="G5544" s="2377" t="s">
        <v>2515</v>
      </c>
      <c r="H5544" s="2382"/>
      <c r="I5544" s="2382">
        <v>6752</v>
      </c>
      <c r="J5544" s="2416">
        <v>6752</v>
      </c>
      <c r="K5544" s="2408"/>
      <c r="L5544" s="2382"/>
      <c r="M5544" s="2382"/>
    </row>
    <row r="5545" spans="1:13" ht="20.399999999999999">
      <c r="A5545" s="2403"/>
      <c r="B5545" s="3163" t="s">
        <v>773</v>
      </c>
      <c r="C5545" s="2403"/>
      <c r="D5545" s="2417" t="s">
        <v>1977</v>
      </c>
      <c r="E5545" s="2418" t="s">
        <v>709</v>
      </c>
      <c r="F5545" s="2419">
        <v>5000</v>
      </c>
      <c r="G5545" s="2377" t="s">
        <v>2516</v>
      </c>
      <c r="H5545" s="2382"/>
      <c r="I5545" s="2382">
        <v>16535</v>
      </c>
      <c r="J5545" s="2416">
        <v>16535</v>
      </c>
      <c r="K5545" s="2408"/>
      <c r="L5545" s="2382"/>
      <c r="M5545" s="2382"/>
    </row>
    <row r="5546" spans="1:13">
      <c r="A5546" s="2403"/>
      <c r="B5546" s="3163" t="s">
        <v>773</v>
      </c>
      <c r="C5546" s="2403"/>
      <c r="D5546" s="2417" t="s">
        <v>1977</v>
      </c>
      <c r="E5546" s="2418" t="s">
        <v>709</v>
      </c>
      <c r="F5546" s="2419">
        <v>5000</v>
      </c>
      <c r="G5546" s="2377" t="s">
        <v>1648</v>
      </c>
      <c r="H5546" s="2382"/>
      <c r="I5546" s="2382">
        <v>3146</v>
      </c>
      <c r="J5546" s="2416">
        <v>3146</v>
      </c>
      <c r="K5546" s="2408"/>
      <c r="L5546" s="2382"/>
      <c r="M5546" s="2382"/>
    </row>
    <row r="5547" spans="1:13">
      <c r="A5547" s="2403"/>
      <c r="B5547" s="3163" t="s">
        <v>773</v>
      </c>
      <c r="C5547" s="2403"/>
      <c r="D5547" s="2417" t="s">
        <v>1977</v>
      </c>
      <c r="E5547" s="2418" t="s">
        <v>709</v>
      </c>
      <c r="F5547" s="2419">
        <v>5000</v>
      </c>
      <c r="G5547" s="2377" t="s">
        <v>2517</v>
      </c>
      <c r="H5547" s="2382"/>
      <c r="I5547" s="2382">
        <v>7170</v>
      </c>
      <c r="J5547" s="2416">
        <v>7170</v>
      </c>
      <c r="K5547" s="2408"/>
      <c r="L5547" s="2382"/>
      <c r="M5547" s="2382"/>
    </row>
    <row r="5548" spans="1:13">
      <c r="A5548" s="942"/>
      <c r="B5548" s="3129" t="s">
        <v>773</v>
      </c>
      <c r="C5548" s="683"/>
      <c r="D5548" s="719" t="s">
        <v>1977</v>
      </c>
      <c r="E5548" s="720" t="s">
        <v>709</v>
      </c>
      <c r="F5548" s="685">
        <v>5000</v>
      </c>
      <c r="G5548" s="800" t="s">
        <v>2804</v>
      </c>
      <c r="H5548" s="963">
        <v>237443</v>
      </c>
      <c r="I5548" s="2351"/>
      <c r="J5548" s="1494"/>
      <c r="K5548" s="892"/>
      <c r="L5548" s="966">
        <v>0</v>
      </c>
      <c r="M5548" s="966"/>
    </row>
    <row r="5549" spans="1:13" ht="20.399999999999999">
      <c r="A5549" s="1359"/>
      <c r="B5549" s="3166" t="s">
        <v>773</v>
      </c>
      <c r="C5549" s="1360"/>
      <c r="D5549" s="1361" t="s">
        <v>1977</v>
      </c>
      <c r="E5549" s="2420" t="s">
        <v>709</v>
      </c>
      <c r="F5549" s="1362">
        <v>5000</v>
      </c>
      <c r="G5549" s="1363" t="s">
        <v>2833</v>
      </c>
      <c r="H5549" s="1364"/>
      <c r="I5549" s="2414">
        <v>37043</v>
      </c>
      <c r="J5549" s="1654">
        <v>5868.5</v>
      </c>
      <c r="K5549" s="380"/>
      <c r="L5549" s="1483"/>
      <c r="M5549" s="1483"/>
    </row>
    <row r="5550" spans="1:13" ht="20.399999999999999">
      <c r="A5550" s="810"/>
      <c r="B5550" s="3130" t="s">
        <v>773</v>
      </c>
      <c r="C5550" s="663"/>
      <c r="D5550" s="828" t="s">
        <v>1977</v>
      </c>
      <c r="E5550" s="1831" t="s">
        <v>709</v>
      </c>
      <c r="F5550" s="679">
        <v>5000</v>
      </c>
      <c r="G5550" s="967" t="s">
        <v>4513</v>
      </c>
      <c r="H5550" s="660"/>
      <c r="I5550" s="701">
        <v>45000</v>
      </c>
      <c r="J5550" s="1654">
        <v>2299</v>
      </c>
      <c r="K5550" s="661"/>
      <c r="L5550" s="659"/>
      <c r="M5550" s="659"/>
    </row>
    <row r="5551" spans="1:13" ht="30.6">
      <c r="A5551" s="810"/>
      <c r="B5551" s="3130" t="s">
        <v>773</v>
      </c>
      <c r="C5551" s="663"/>
      <c r="D5551" s="828" t="s">
        <v>1977</v>
      </c>
      <c r="E5551" s="1831" t="s">
        <v>709</v>
      </c>
      <c r="F5551" s="679">
        <v>5000</v>
      </c>
      <c r="G5551" s="967" t="s">
        <v>2805</v>
      </c>
      <c r="H5551" s="660"/>
      <c r="I5551" s="701">
        <v>89930</v>
      </c>
      <c r="J5551" s="1654">
        <v>0</v>
      </c>
      <c r="K5551" s="661"/>
      <c r="L5551" s="659"/>
      <c r="M5551" s="659"/>
    </row>
    <row r="5552" spans="1:13" ht="20.399999999999999">
      <c r="A5552" s="810"/>
      <c r="B5552" s="3130" t="s">
        <v>773</v>
      </c>
      <c r="C5552" s="663"/>
      <c r="D5552" s="828" t="s">
        <v>1977</v>
      </c>
      <c r="E5552" s="1831" t="s">
        <v>709</v>
      </c>
      <c r="F5552" s="679">
        <v>5000</v>
      </c>
      <c r="G5552" s="967" t="s">
        <v>2806</v>
      </c>
      <c r="H5552" s="660"/>
      <c r="I5552" s="701">
        <v>46470</v>
      </c>
      <c r="J5552" s="1654">
        <v>0</v>
      </c>
      <c r="K5552" s="661"/>
      <c r="L5552" s="659"/>
      <c r="M5552" s="659"/>
    </row>
    <row r="5553" spans="1:13" ht="20.399999999999999">
      <c r="A5553" s="810"/>
      <c r="B5553" s="3130" t="s">
        <v>773</v>
      </c>
      <c r="C5553" s="663"/>
      <c r="D5553" s="828" t="s">
        <v>1977</v>
      </c>
      <c r="E5553" s="1831" t="s">
        <v>709</v>
      </c>
      <c r="F5553" s="679">
        <v>5000</v>
      </c>
      <c r="G5553" s="967" t="s">
        <v>2509</v>
      </c>
      <c r="H5553" s="660"/>
      <c r="I5553" s="701">
        <v>15000</v>
      </c>
      <c r="J5553" s="1654">
        <v>10087</v>
      </c>
      <c r="K5553" s="661"/>
      <c r="L5553" s="659"/>
      <c r="M5553" s="659"/>
    </row>
    <row r="5554" spans="1:13" ht="30.6">
      <c r="A5554" s="810"/>
      <c r="B5554" s="3130" t="s">
        <v>773</v>
      </c>
      <c r="C5554" s="663"/>
      <c r="D5554" s="828" t="s">
        <v>1977</v>
      </c>
      <c r="E5554" s="1831" t="s">
        <v>709</v>
      </c>
      <c r="F5554" s="679">
        <v>5000</v>
      </c>
      <c r="G5554" s="967" t="s">
        <v>2834</v>
      </c>
      <c r="H5554" s="660"/>
      <c r="I5554" s="701">
        <v>4000</v>
      </c>
      <c r="J5554" s="1654">
        <v>0</v>
      </c>
      <c r="K5554" s="661"/>
      <c r="L5554" s="659"/>
      <c r="M5554" s="659"/>
    </row>
    <row r="5555" spans="1:13">
      <c r="A5555" s="942"/>
      <c r="B5555" s="3129" t="s">
        <v>773</v>
      </c>
      <c r="C5555" s="683"/>
      <c r="D5555" s="719" t="s">
        <v>1977</v>
      </c>
      <c r="E5555" s="720" t="s">
        <v>709</v>
      </c>
      <c r="F5555" s="685">
        <v>5000</v>
      </c>
      <c r="G5555" s="800" t="s">
        <v>2809</v>
      </c>
      <c r="H5555" s="963">
        <v>6857</v>
      </c>
      <c r="I5555" s="2351"/>
      <c r="J5555" s="1494"/>
      <c r="K5555" s="892"/>
      <c r="L5555" s="966">
        <v>0</v>
      </c>
      <c r="M5555" s="966"/>
    </row>
    <row r="5556" spans="1:13" ht="20.399999999999999">
      <c r="A5556" s="810"/>
      <c r="B5556" s="3130" t="s">
        <v>773</v>
      </c>
      <c r="C5556" s="663"/>
      <c r="D5556" s="828" t="s">
        <v>1977</v>
      </c>
      <c r="E5556" s="1831" t="s">
        <v>709</v>
      </c>
      <c r="F5556" s="679">
        <v>5000</v>
      </c>
      <c r="G5556" s="967" t="s">
        <v>2836</v>
      </c>
      <c r="H5556" s="660"/>
      <c r="I5556" s="701">
        <v>6857</v>
      </c>
      <c r="J5556" s="1654">
        <v>6856</v>
      </c>
      <c r="K5556" s="661"/>
      <c r="L5556" s="659"/>
      <c r="M5556" s="659"/>
    </row>
    <row r="5557" spans="1:13">
      <c r="A5557" s="942"/>
      <c r="B5557" s="3129" t="s">
        <v>773</v>
      </c>
      <c r="C5557" s="683"/>
      <c r="D5557" s="719" t="s">
        <v>1977</v>
      </c>
      <c r="E5557" s="720" t="s">
        <v>709</v>
      </c>
      <c r="F5557" s="824">
        <v>5000</v>
      </c>
      <c r="G5557" s="800" t="s">
        <v>4515</v>
      </c>
      <c r="H5557" s="707">
        <v>278500</v>
      </c>
      <c r="I5557" s="707"/>
      <c r="J5557" s="1654"/>
      <c r="K5557" s="892"/>
      <c r="L5557" s="707">
        <v>0</v>
      </c>
      <c r="M5557" s="966"/>
    </row>
    <row r="5558" spans="1:13" ht="142.80000000000001">
      <c r="A5558" s="810"/>
      <c r="B5558" s="3130" t="s">
        <v>773</v>
      </c>
      <c r="C5558" s="663"/>
      <c r="D5558" s="828" t="s">
        <v>1977</v>
      </c>
      <c r="E5558" s="1831" t="s">
        <v>709</v>
      </c>
      <c r="F5558" s="795">
        <v>5000</v>
      </c>
      <c r="G5558" s="967" t="s">
        <v>4517</v>
      </c>
      <c r="H5558" s="701"/>
      <c r="I5558" s="701">
        <v>175500</v>
      </c>
      <c r="J5558" s="1654">
        <v>21816</v>
      </c>
      <c r="K5558" s="661"/>
      <c r="L5558" s="659"/>
      <c r="M5558" s="659"/>
    </row>
    <row r="5559" spans="1:13" ht="22.5" customHeight="1">
      <c r="A5559" s="810"/>
      <c r="B5559" s="3130" t="s">
        <v>773</v>
      </c>
      <c r="C5559" s="663"/>
      <c r="D5559" s="828" t="s">
        <v>1977</v>
      </c>
      <c r="E5559" s="1831" t="s">
        <v>709</v>
      </c>
      <c r="F5559" s="795">
        <v>5000</v>
      </c>
      <c r="G5559" s="967" t="s">
        <v>2520</v>
      </c>
      <c r="H5559" s="701"/>
      <c r="I5559" s="701">
        <v>20000</v>
      </c>
      <c r="J5559" s="1654">
        <v>19999</v>
      </c>
      <c r="K5559" s="661"/>
      <c r="L5559" s="659"/>
      <c r="M5559" s="659"/>
    </row>
    <row r="5560" spans="1:13" ht="20.399999999999999">
      <c r="A5560" s="810"/>
      <c r="B5560" s="3130" t="s">
        <v>773</v>
      </c>
      <c r="C5560" s="663"/>
      <c r="D5560" s="828" t="s">
        <v>1977</v>
      </c>
      <c r="E5560" s="1831" t="s">
        <v>709</v>
      </c>
      <c r="F5560" s="795">
        <v>5000</v>
      </c>
      <c r="G5560" s="967" t="s">
        <v>4516</v>
      </c>
      <c r="H5560" s="701"/>
      <c r="I5560" s="701">
        <v>59109</v>
      </c>
      <c r="J5560" s="1654">
        <v>11822</v>
      </c>
      <c r="K5560" s="661"/>
      <c r="L5560" s="659"/>
      <c r="M5560" s="659"/>
    </row>
    <row r="5561" spans="1:13" ht="30.6">
      <c r="A5561" s="810"/>
      <c r="B5561" s="3130" t="s">
        <v>773</v>
      </c>
      <c r="C5561" s="663"/>
      <c r="D5561" s="828" t="s">
        <v>1977</v>
      </c>
      <c r="E5561" s="1831" t="s">
        <v>709</v>
      </c>
      <c r="F5561" s="795">
        <v>5000</v>
      </c>
      <c r="G5561" s="967" t="s">
        <v>2837</v>
      </c>
      <c r="H5561" s="701"/>
      <c r="I5561" s="701">
        <v>23891</v>
      </c>
      <c r="J5561" s="1654">
        <v>23581</v>
      </c>
      <c r="K5561" s="661"/>
      <c r="L5561" s="1484"/>
      <c r="M5561" s="659"/>
    </row>
    <row r="5562" spans="1:13" ht="20.399999999999999">
      <c r="A5562" s="942"/>
      <c r="B5562" s="3129" t="s">
        <v>773</v>
      </c>
      <c r="C5562" s="683"/>
      <c r="D5562" s="719" t="s">
        <v>1977</v>
      </c>
      <c r="E5562" s="840" t="s">
        <v>709</v>
      </c>
      <c r="F5562" s="685">
        <v>5000</v>
      </c>
      <c r="G5562" s="800" t="s">
        <v>2926</v>
      </c>
      <c r="H5562" s="963">
        <v>1837237</v>
      </c>
      <c r="I5562" s="2351"/>
      <c r="J5562" s="1494"/>
      <c r="K5562" s="892"/>
      <c r="L5562" s="963">
        <v>0</v>
      </c>
      <c r="M5562" s="966"/>
    </row>
    <row r="5563" spans="1:13" ht="30.6">
      <c r="A5563" s="810"/>
      <c r="B5563" s="3130" t="s">
        <v>773</v>
      </c>
      <c r="C5563" s="663"/>
      <c r="D5563" s="828" t="s">
        <v>1977</v>
      </c>
      <c r="E5563" s="1831" t="s">
        <v>709</v>
      </c>
      <c r="F5563" s="679">
        <v>5000</v>
      </c>
      <c r="G5563" s="967" t="s">
        <v>2927</v>
      </c>
      <c r="H5563" s="660"/>
      <c r="I5563" s="701">
        <v>600000</v>
      </c>
      <c r="J5563" s="1494" t="s">
        <v>1134</v>
      </c>
      <c r="K5563" s="661"/>
      <c r="L5563" s="659"/>
      <c r="M5563" s="659"/>
    </row>
    <row r="5564" spans="1:13">
      <c r="A5564" s="1256"/>
      <c r="B5564" s="3130" t="s">
        <v>773</v>
      </c>
      <c r="C5564" s="663"/>
      <c r="D5564" s="828" t="s">
        <v>1977</v>
      </c>
      <c r="E5564" s="1831" t="s">
        <v>709</v>
      </c>
      <c r="F5564" s="679">
        <v>5000</v>
      </c>
      <c r="G5564" s="2177" t="s">
        <v>1651</v>
      </c>
      <c r="H5564" s="1260"/>
      <c r="I5564" s="1265">
        <v>37510</v>
      </c>
      <c r="J5564" s="1654">
        <v>32670</v>
      </c>
      <c r="K5564" s="1267"/>
      <c r="L5564" s="1484"/>
      <c r="M5564" s="659"/>
    </row>
    <row r="5565" spans="1:13">
      <c r="A5565" s="810"/>
      <c r="B5565" s="3130" t="s">
        <v>773</v>
      </c>
      <c r="C5565" s="663"/>
      <c r="D5565" s="828" t="s">
        <v>1977</v>
      </c>
      <c r="E5565" s="1831" t="s">
        <v>709</v>
      </c>
      <c r="F5565" s="679">
        <v>5000</v>
      </c>
      <c r="G5565" s="967" t="s">
        <v>4518</v>
      </c>
      <c r="H5565" s="660"/>
      <c r="I5565" s="701">
        <v>39800</v>
      </c>
      <c r="J5565" s="1494" t="s">
        <v>1134</v>
      </c>
      <c r="K5565" s="661"/>
      <c r="L5565" s="659"/>
      <c r="M5565" s="659"/>
    </row>
    <row r="5566" spans="1:13" ht="11.4" customHeight="1">
      <c r="A5566" s="810"/>
      <c r="B5566" s="3130" t="s">
        <v>773</v>
      </c>
      <c r="C5566" s="663"/>
      <c r="D5566" s="828" t="s">
        <v>1977</v>
      </c>
      <c r="E5566" s="1831" t="s">
        <v>709</v>
      </c>
      <c r="F5566" s="679">
        <v>5000</v>
      </c>
      <c r="G5566" s="2177" t="s">
        <v>4519</v>
      </c>
      <c r="H5566" s="660"/>
      <c r="I5566" s="701">
        <v>241407</v>
      </c>
      <c r="J5566" s="1654">
        <v>46997</v>
      </c>
      <c r="K5566" s="661"/>
      <c r="L5566" s="659"/>
      <c r="M5566" s="659"/>
    </row>
    <row r="5567" spans="1:13">
      <c r="A5567" s="810"/>
      <c r="B5567" s="3130" t="s">
        <v>773</v>
      </c>
      <c r="C5567" s="663"/>
      <c r="D5567" s="828" t="s">
        <v>1977</v>
      </c>
      <c r="E5567" s="1831" t="s">
        <v>709</v>
      </c>
      <c r="F5567" s="679">
        <v>5000</v>
      </c>
      <c r="G5567" s="2177" t="s">
        <v>4520</v>
      </c>
      <c r="H5567" s="660"/>
      <c r="I5567" s="701">
        <v>19419</v>
      </c>
      <c r="J5567" s="1654">
        <v>19418</v>
      </c>
      <c r="K5567" s="661"/>
      <c r="L5567" s="659"/>
      <c r="M5567" s="659"/>
    </row>
    <row r="5568" spans="1:13">
      <c r="A5568" s="810"/>
      <c r="B5568" s="3130" t="s">
        <v>773</v>
      </c>
      <c r="C5568" s="663"/>
      <c r="D5568" s="828" t="s">
        <v>1977</v>
      </c>
      <c r="E5568" s="1831" t="s">
        <v>709</v>
      </c>
      <c r="F5568" s="679">
        <v>5000</v>
      </c>
      <c r="G5568" s="2177" t="s">
        <v>4521</v>
      </c>
      <c r="H5568" s="660"/>
      <c r="I5568" s="701">
        <v>22747</v>
      </c>
      <c r="J5568" s="1654">
        <v>22234</v>
      </c>
      <c r="K5568" s="661"/>
      <c r="L5568" s="659"/>
      <c r="M5568" s="659"/>
    </row>
    <row r="5569" spans="1:13">
      <c r="A5569" s="810"/>
      <c r="B5569" s="3130" t="s">
        <v>773</v>
      </c>
      <c r="C5569" s="663"/>
      <c r="D5569" s="828" t="s">
        <v>1977</v>
      </c>
      <c r="E5569" s="1831" t="s">
        <v>709</v>
      </c>
      <c r="F5569" s="679">
        <v>5000</v>
      </c>
      <c r="G5569" s="2177" t="s">
        <v>4522</v>
      </c>
      <c r="H5569" s="660"/>
      <c r="I5569" s="701">
        <v>48464</v>
      </c>
      <c r="J5569" s="1654">
        <v>48249</v>
      </c>
      <c r="K5569" s="661"/>
      <c r="L5569" s="659"/>
      <c r="M5569" s="659"/>
    </row>
    <row r="5570" spans="1:13" ht="20.399999999999999">
      <c r="A5570" s="1150"/>
      <c r="B5570" s="3130" t="s">
        <v>773</v>
      </c>
      <c r="C5570" s="663"/>
      <c r="D5570" s="828" t="s">
        <v>1977</v>
      </c>
      <c r="E5570" s="1831" t="s">
        <v>709</v>
      </c>
      <c r="F5570" s="679">
        <v>5000</v>
      </c>
      <c r="G5570" s="2177" t="s">
        <v>1649</v>
      </c>
      <c r="H5570" s="1130"/>
      <c r="I5570" s="1165">
        <v>35085</v>
      </c>
      <c r="J5570" s="1654">
        <v>35085</v>
      </c>
      <c r="K5570" s="646"/>
      <c r="L5570" s="1485"/>
      <c r="M5570" s="659"/>
    </row>
    <row r="5571" spans="1:13" ht="22.5" customHeight="1">
      <c r="A5571" s="1150"/>
      <c r="B5571" s="3130" t="s">
        <v>773</v>
      </c>
      <c r="C5571" s="663"/>
      <c r="D5571" s="828" t="s">
        <v>1977</v>
      </c>
      <c r="E5571" s="1831" t="s">
        <v>709</v>
      </c>
      <c r="F5571" s="679">
        <v>5000</v>
      </c>
      <c r="G5571" s="2177" t="s">
        <v>2526</v>
      </c>
      <c r="H5571" s="1130"/>
      <c r="I5571" s="1165">
        <v>19236</v>
      </c>
      <c r="J5571" s="1654">
        <v>19236</v>
      </c>
      <c r="K5571" s="646"/>
      <c r="L5571" s="1485"/>
      <c r="M5571" s="659"/>
    </row>
    <row r="5572" spans="1:13">
      <c r="A5572" s="810"/>
      <c r="B5572" s="3130" t="s">
        <v>773</v>
      </c>
      <c r="C5572" s="663"/>
      <c r="D5572" s="828" t="s">
        <v>1977</v>
      </c>
      <c r="E5572" s="1831" t="s">
        <v>709</v>
      </c>
      <c r="F5572" s="679">
        <v>5000</v>
      </c>
      <c r="G5572" s="2177" t="s">
        <v>4523</v>
      </c>
      <c r="H5572" s="660"/>
      <c r="I5572" s="701">
        <v>426302</v>
      </c>
      <c r="J5572" s="1654">
        <v>329872</v>
      </c>
      <c r="K5572" s="661"/>
      <c r="L5572" s="1484"/>
      <c r="M5572" s="659"/>
    </row>
    <row r="5573" spans="1:13">
      <c r="A5573" s="810"/>
      <c r="B5573" s="3130" t="s">
        <v>773</v>
      </c>
      <c r="C5573" s="663"/>
      <c r="D5573" s="828" t="s">
        <v>1977</v>
      </c>
      <c r="E5573" s="1831" t="s">
        <v>709</v>
      </c>
      <c r="F5573" s="679">
        <v>5000</v>
      </c>
      <c r="G5573" s="2177" t="s">
        <v>4524</v>
      </c>
      <c r="H5573" s="660"/>
      <c r="I5573" s="701">
        <v>60000</v>
      </c>
      <c r="J5573" s="1654">
        <v>0</v>
      </c>
      <c r="K5573" s="661"/>
      <c r="L5573" s="659"/>
      <c r="M5573" s="659"/>
    </row>
    <row r="5574" spans="1:13">
      <c r="A5574" s="810"/>
      <c r="B5574" s="3130" t="s">
        <v>773</v>
      </c>
      <c r="C5574" s="663"/>
      <c r="D5574" s="828" t="s">
        <v>1977</v>
      </c>
      <c r="E5574" s="1831" t="s">
        <v>709</v>
      </c>
      <c r="F5574" s="679">
        <v>5000</v>
      </c>
      <c r="G5574" s="2177" t="s">
        <v>2527</v>
      </c>
      <c r="H5574" s="660"/>
      <c r="I5574" s="701">
        <v>94055</v>
      </c>
      <c r="J5574" s="1654">
        <v>94053.832399999999</v>
      </c>
      <c r="K5574" s="661"/>
      <c r="L5574" s="659"/>
      <c r="M5574" s="659"/>
    </row>
    <row r="5575" spans="1:13" ht="30.6">
      <c r="A5575" s="810"/>
      <c r="B5575" s="3130" t="s">
        <v>773</v>
      </c>
      <c r="C5575" s="663"/>
      <c r="D5575" s="828" t="s">
        <v>1977</v>
      </c>
      <c r="E5575" s="1831" t="s">
        <v>709</v>
      </c>
      <c r="F5575" s="679">
        <v>5000</v>
      </c>
      <c r="G5575" s="2177" t="s">
        <v>2529</v>
      </c>
      <c r="H5575" s="660"/>
      <c r="I5575" s="701">
        <v>45000</v>
      </c>
      <c r="J5575" s="1654">
        <v>42648</v>
      </c>
      <c r="K5575" s="661"/>
      <c r="L5575" s="659"/>
      <c r="M5575" s="659"/>
    </row>
    <row r="5576" spans="1:13">
      <c r="A5576" s="810"/>
      <c r="B5576" s="3130" t="s">
        <v>773</v>
      </c>
      <c r="C5576" s="663"/>
      <c r="D5576" s="828" t="s">
        <v>1977</v>
      </c>
      <c r="E5576" s="1831" t="s">
        <v>709</v>
      </c>
      <c r="F5576" s="679">
        <v>5000</v>
      </c>
      <c r="G5576" s="2177" t="s">
        <v>2530</v>
      </c>
      <c r="H5576" s="660"/>
      <c r="I5576" s="701">
        <v>70000</v>
      </c>
      <c r="J5576" s="1654">
        <v>0</v>
      </c>
      <c r="K5576" s="661"/>
      <c r="L5576" s="659"/>
      <c r="M5576" s="659"/>
    </row>
    <row r="5577" spans="1:13">
      <c r="A5577" s="1256"/>
      <c r="B5577" s="3130" t="s">
        <v>773</v>
      </c>
      <c r="C5577" s="663"/>
      <c r="D5577" s="828" t="s">
        <v>1977</v>
      </c>
      <c r="E5577" s="1831" t="s">
        <v>709</v>
      </c>
      <c r="F5577" s="679">
        <v>5000</v>
      </c>
      <c r="G5577" s="2177" t="s">
        <v>2531</v>
      </c>
      <c r="H5577" s="1260"/>
      <c r="I5577" s="1265">
        <v>6000</v>
      </c>
      <c r="J5577" s="1654">
        <v>4961</v>
      </c>
      <c r="K5577" s="1267"/>
      <c r="L5577" s="1306"/>
      <c r="M5577" s="1306"/>
    </row>
    <row r="5578" spans="1:13">
      <c r="A5578" s="810"/>
      <c r="B5578" s="3130" t="s">
        <v>773</v>
      </c>
      <c r="C5578" s="663"/>
      <c r="D5578" s="828" t="s">
        <v>1977</v>
      </c>
      <c r="E5578" s="1831" t="s">
        <v>709</v>
      </c>
      <c r="F5578" s="679">
        <v>5000</v>
      </c>
      <c r="G5578" s="2177" t="s">
        <v>2528</v>
      </c>
      <c r="H5578" s="660"/>
      <c r="I5578" s="701">
        <v>45272</v>
      </c>
      <c r="J5578" s="1654">
        <v>38087</v>
      </c>
      <c r="K5578" s="661"/>
      <c r="L5578" s="659"/>
      <c r="M5578" s="659"/>
    </row>
    <row r="5579" spans="1:13" ht="30.6">
      <c r="A5579" s="810"/>
      <c r="B5579" s="3130" t="s">
        <v>773</v>
      </c>
      <c r="C5579" s="663"/>
      <c r="D5579" s="828" t="s">
        <v>1977</v>
      </c>
      <c r="E5579" s="1831" t="s">
        <v>709</v>
      </c>
      <c r="F5579" s="679">
        <v>5000</v>
      </c>
      <c r="G5579" s="2177" t="s">
        <v>4525</v>
      </c>
      <c r="H5579" s="660"/>
      <c r="I5579" s="701">
        <v>6985</v>
      </c>
      <c r="J5579" s="1654">
        <v>0</v>
      </c>
      <c r="K5579" s="661"/>
      <c r="L5579" s="659"/>
      <c r="M5579" s="659"/>
    </row>
    <row r="5580" spans="1:13">
      <c r="A5580" s="810"/>
      <c r="B5580" s="3130" t="s">
        <v>773</v>
      </c>
      <c r="C5580" s="663"/>
      <c r="D5580" s="828" t="s">
        <v>1977</v>
      </c>
      <c r="E5580" s="1831" t="s">
        <v>709</v>
      </c>
      <c r="F5580" s="679">
        <v>5000</v>
      </c>
      <c r="G5580" s="2177" t="s">
        <v>4526</v>
      </c>
      <c r="H5580" s="660"/>
      <c r="I5580" s="701">
        <v>19955</v>
      </c>
      <c r="J5580" s="1654"/>
      <c r="K5580" s="661"/>
      <c r="L5580" s="659"/>
      <c r="M5580" s="659"/>
    </row>
    <row r="5581" spans="1:13">
      <c r="A5581" s="720">
        <v>7230</v>
      </c>
      <c r="B5581" s="3129" t="s">
        <v>773</v>
      </c>
      <c r="C5581" s="683"/>
      <c r="D5581" s="719" t="s">
        <v>1977</v>
      </c>
      <c r="E5581" s="1406" t="s">
        <v>1911</v>
      </c>
      <c r="F5581" s="685">
        <v>5250</v>
      </c>
      <c r="G5581" s="800" t="s">
        <v>295</v>
      </c>
      <c r="H5581" s="963"/>
      <c r="I5581" s="963"/>
      <c r="J5581" s="1494"/>
      <c r="K5581" s="892"/>
      <c r="L5581" s="963">
        <v>1452</v>
      </c>
      <c r="M5581" s="966"/>
    </row>
    <row r="5582" spans="1:13" ht="20.399999999999999">
      <c r="A5582" s="700"/>
      <c r="B5582" s="3130" t="s">
        <v>773</v>
      </c>
      <c r="C5582" s="663"/>
      <c r="D5582" s="828" t="s">
        <v>1977</v>
      </c>
      <c r="E5582" s="1408" t="s">
        <v>1911</v>
      </c>
      <c r="F5582" s="756">
        <v>5250</v>
      </c>
      <c r="G5582" s="967" t="s">
        <v>5263</v>
      </c>
      <c r="H5582" s="660"/>
      <c r="I5582" s="660"/>
      <c r="J5582" s="1494"/>
      <c r="K5582" s="661"/>
      <c r="L5582" s="659"/>
      <c r="M5582" s="660">
        <v>1452</v>
      </c>
    </row>
    <row r="5583" spans="1:13">
      <c r="A5583" s="720">
        <v>7230</v>
      </c>
      <c r="B5583" s="720" t="s">
        <v>772</v>
      </c>
      <c r="C5583" s="683"/>
      <c r="D5583" s="719" t="s">
        <v>1977</v>
      </c>
      <c r="E5583" s="1406" t="s">
        <v>1911</v>
      </c>
      <c r="F5583" s="685">
        <v>7230</v>
      </c>
      <c r="G5583" s="800" t="s">
        <v>1027</v>
      </c>
      <c r="H5583" s="963">
        <v>413000</v>
      </c>
      <c r="I5583" s="963"/>
      <c r="J5583" s="1494">
        <v>344169</v>
      </c>
      <c r="K5583" s="892">
        <v>41705</v>
      </c>
      <c r="L5583" s="963">
        <v>483268</v>
      </c>
      <c r="M5583" s="966"/>
    </row>
    <row r="5584" spans="1:13">
      <c r="A5584" s="700"/>
      <c r="B5584" s="700" t="s">
        <v>772</v>
      </c>
      <c r="C5584" s="663"/>
      <c r="D5584" s="828" t="s">
        <v>1977</v>
      </c>
      <c r="E5584" s="1408" t="s">
        <v>1911</v>
      </c>
      <c r="F5584" s="756">
        <v>7230</v>
      </c>
      <c r="G5584" s="967" t="s">
        <v>2525</v>
      </c>
      <c r="H5584" s="660"/>
      <c r="I5584" s="660"/>
      <c r="J5584" s="1494" t="s">
        <v>1134</v>
      </c>
      <c r="K5584" s="661"/>
      <c r="L5584" s="659"/>
      <c r="M5584" s="659"/>
    </row>
    <row r="5585" spans="1:13">
      <c r="A5585" s="1327"/>
      <c r="B5585" s="700" t="s">
        <v>772</v>
      </c>
      <c r="C5585" s="663"/>
      <c r="D5585" s="828" t="s">
        <v>1977</v>
      </c>
      <c r="E5585" s="1408" t="s">
        <v>1911</v>
      </c>
      <c r="F5585" s="756">
        <v>7230</v>
      </c>
      <c r="G5585" s="1372" t="s">
        <v>2937</v>
      </c>
      <c r="H5585" s="1260"/>
      <c r="I5585" s="1260">
        <v>1000</v>
      </c>
      <c r="J5585" s="1494" t="s">
        <v>1134</v>
      </c>
      <c r="K5585" s="1267"/>
      <c r="L5585" s="1306"/>
      <c r="M5585" s="1826">
        <v>1000</v>
      </c>
    </row>
    <row r="5586" spans="1:13">
      <c r="A5586" s="1327"/>
      <c r="B5586" s="700" t="s">
        <v>772</v>
      </c>
      <c r="C5586" s="663"/>
      <c r="D5586" s="828" t="s">
        <v>1977</v>
      </c>
      <c r="E5586" s="1408" t="s">
        <v>1911</v>
      </c>
      <c r="F5586" s="756">
        <v>7230</v>
      </c>
      <c r="G5586" s="1394" t="s">
        <v>2938</v>
      </c>
      <c r="H5586" s="1260"/>
      <c r="I5586" s="1260">
        <v>25000</v>
      </c>
      <c r="J5586" s="1494" t="s">
        <v>1134</v>
      </c>
      <c r="K5586" s="1267"/>
      <c r="L5586" s="1306"/>
      <c r="M5586" s="1827">
        <v>27550</v>
      </c>
    </row>
    <row r="5587" spans="1:13" ht="20.399999999999999">
      <c r="A5587" s="1327"/>
      <c r="B5587" s="700" t="s">
        <v>772</v>
      </c>
      <c r="C5587" s="663"/>
      <c r="D5587" s="828" t="s">
        <v>1977</v>
      </c>
      <c r="E5587" s="1408" t="s">
        <v>1911</v>
      </c>
      <c r="F5587" s="756">
        <v>7230</v>
      </c>
      <c r="G5587" s="1394" t="s">
        <v>5347</v>
      </c>
      <c r="H5587" s="1260"/>
      <c r="I5587" s="1260">
        <v>3367</v>
      </c>
      <c r="J5587" s="1494" t="s">
        <v>1134</v>
      </c>
      <c r="K5587" s="1267"/>
      <c r="L5587" s="1306"/>
      <c r="M5587" s="1676">
        <v>60000</v>
      </c>
    </row>
    <row r="5588" spans="1:13" ht="30.6">
      <c r="A5588" s="1327"/>
      <c r="B5588" s="700" t="s">
        <v>772</v>
      </c>
      <c r="C5588" s="663"/>
      <c r="D5588" s="828" t="s">
        <v>1977</v>
      </c>
      <c r="E5588" s="1408" t="s">
        <v>1911</v>
      </c>
      <c r="F5588" s="756">
        <v>7230</v>
      </c>
      <c r="G5588" s="1394" t="s">
        <v>5348</v>
      </c>
      <c r="H5588" s="1260"/>
      <c r="I5588" s="1260">
        <v>56633</v>
      </c>
      <c r="J5588" s="1494" t="s">
        <v>1134</v>
      </c>
      <c r="K5588" s="1267"/>
      <c r="L5588" s="1306"/>
      <c r="M5588" s="1676">
        <v>63618</v>
      </c>
    </row>
    <row r="5589" spans="1:13">
      <c r="A5589" s="1327"/>
      <c r="B5589" s="700" t="s">
        <v>772</v>
      </c>
      <c r="C5589" s="663"/>
      <c r="D5589" s="828" t="s">
        <v>1977</v>
      </c>
      <c r="E5589" s="1408" t="s">
        <v>1911</v>
      </c>
      <c r="F5589" s="756">
        <v>7230</v>
      </c>
      <c r="G5589" s="1264" t="s">
        <v>2939</v>
      </c>
      <c r="H5589" s="1260"/>
      <c r="I5589" s="1260">
        <v>70000</v>
      </c>
      <c r="J5589" s="1494" t="s">
        <v>1134</v>
      </c>
      <c r="K5589" s="1267"/>
      <c r="L5589" s="1306"/>
      <c r="M5589" s="1676">
        <v>80000</v>
      </c>
    </row>
    <row r="5590" spans="1:13">
      <c r="A5590" s="1327"/>
      <c r="B5590" s="700" t="s">
        <v>772</v>
      </c>
      <c r="C5590" s="663"/>
      <c r="D5590" s="828" t="s">
        <v>1977</v>
      </c>
      <c r="E5590" s="1408" t="s">
        <v>1911</v>
      </c>
      <c r="F5590" s="756">
        <v>7230</v>
      </c>
      <c r="G5590" s="1264" t="s">
        <v>2940</v>
      </c>
      <c r="H5590" s="1260"/>
      <c r="I5590" s="1260">
        <v>15000</v>
      </c>
      <c r="J5590" s="1494" t="s">
        <v>1134</v>
      </c>
      <c r="K5590" s="1267"/>
      <c r="L5590" s="1306"/>
      <c r="M5590" s="1676">
        <v>15000</v>
      </c>
    </row>
    <row r="5591" spans="1:13">
      <c r="A5591" s="1327"/>
      <c r="B5591" s="700" t="s">
        <v>772</v>
      </c>
      <c r="C5591" s="663"/>
      <c r="D5591" s="828" t="s">
        <v>1977</v>
      </c>
      <c r="E5591" s="1408" t="s">
        <v>1911</v>
      </c>
      <c r="F5591" s="756">
        <v>7230</v>
      </c>
      <c r="G5591" s="1264" t="s">
        <v>2941</v>
      </c>
      <c r="H5591" s="1260"/>
      <c r="I5591" s="1260">
        <v>15000</v>
      </c>
      <c r="J5591" s="1494" t="s">
        <v>1134</v>
      </c>
      <c r="K5591" s="1267"/>
      <c r="L5591" s="1306"/>
      <c r="M5591" s="1676">
        <v>10000</v>
      </c>
    </row>
    <row r="5592" spans="1:13" ht="20.399999999999999">
      <c r="A5592" s="1327"/>
      <c r="B5592" s="700" t="s">
        <v>772</v>
      </c>
      <c r="C5592" s="663"/>
      <c r="D5592" s="828" t="s">
        <v>1977</v>
      </c>
      <c r="E5592" s="1408" t="s">
        <v>1911</v>
      </c>
      <c r="F5592" s="756">
        <v>7230</v>
      </c>
      <c r="G5592" s="1264" t="s">
        <v>2942</v>
      </c>
      <c r="H5592" s="1260"/>
      <c r="I5592" s="1260">
        <v>1500</v>
      </c>
      <c r="J5592" s="1494" t="s">
        <v>1134</v>
      </c>
      <c r="K5592" s="1267"/>
      <c r="L5592" s="1306"/>
      <c r="M5592" s="1676">
        <v>1500</v>
      </c>
    </row>
    <row r="5593" spans="1:13">
      <c r="A5593" s="1327"/>
      <c r="B5593" s="700" t="s">
        <v>772</v>
      </c>
      <c r="C5593" s="663"/>
      <c r="D5593" s="828" t="s">
        <v>1977</v>
      </c>
      <c r="E5593" s="1408" t="s">
        <v>1911</v>
      </c>
      <c r="F5593" s="756">
        <v>7230</v>
      </c>
      <c r="G5593" s="1264" t="s">
        <v>2943</v>
      </c>
      <c r="H5593" s="1260"/>
      <c r="I5593" s="1260">
        <v>1500</v>
      </c>
      <c r="J5593" s="1494" t="s">
        <v>1134</v>
      </c>
      <c r="K5593" s="1267"/>
      <c r="L5593" s="1306"/>
      <c r="M5593" s="1676">
        <v>1500</v>
      </c>
    </row>
    <row r="5594" spans="1:13">
      <c r="A5594" s="1327"/>
      <c r="B5594" s="700" t="s">
        <v>772</v>
      </c>
      <c r="C5594" s="663"/>
      <c r="D5594" s="828" t="s">
        <v>1977</v>
      </c>
      <c r="E5594" s="1408" t="s">
        <v>1911</v>
      </c>
      <c r="F5594" s="756">
        <v>7230</v>
      </c>
      <c r="G5594" s="1264" t="s">
        <v>2944</v>
      </c>
      <c r="H5594" s="1260"/>
      <c r="I5594" s="1260">
        <v>500</v>
      </c>
      <c r="J5594" s="1494" t="s">
        <v>1134</v>
      </c>
      <c r="K5594" s="1267"/>
      <c r="L5594" s="1306"/>
      <c r="M5594" s="1676">
        <v>500</v>
      </c>
    </row>
    <row r="5595" spans="1:13">
      <c r="A5595" s="1327"/>
      <c r="B5595" s="700" t="s">
        <v>772</v>
      </c>
      <c r="C5595" s="663"/>
      <c r="D5595" s="828" t="s">
        <v>1977</v>
      </c>
      <c r="E5595" s="1408" t="s">
        <v>1911</v>
      </c>
      <c r="F5595" s="756">
        <v>7230</v>
      </c>
      <c r="G5595" s="1264" t="s">
        <v>2945</v>
      </c>
      <c r="H5595" s="1260"/>
      <c r="I5595" s="1260">
        <v>120000</v>
      </c>
      <c r="J5595" s="1494" t="s">
        <v>1134</v>
      </c>
      <c r="K5595" s="1267"/>
      <c r="L5595" s="1306"/>
      <c r="M5595" s="1676">
        <v>120000</v>
      </c>
    </row>
    <row r="5596" spans="1:13">
      <c r="A5596" s="1327"/>
      <c r="B5596" s="700" t="s">
        <v>772</v>
      </c>
      <c r="C5596" s="663"/>
      <c r="D5596" s="828" t="s">
        <v>1977</v>
      </c>
      <c r="E5596" s="1408" t="s">
        <v>1911</v>
      </c>
      <c r="F5596" s="756">
        <v>7230</v>
      </c>
      <c r="G5596" s="1264" t="s">
        <v>2946</v>
      </c>
      <c r="H5596" s="1260"/>
      <c r="I5596" s="1260">
        <v>65000</v>
      </c>
      <c r="J5596" s="1494" t="s">
        <v>1134</v>
      </c>
      <c r="K5596" s="1267"/>
      <c r="L5596" s="1306"/>
      <c r="M5596" s="1676">
        <v>65000</v>
      </c>
    </row>
    <row r="5597" spans="1:13">
      <c r="A5597" s="1327"/>
      <c r="B5597" s="700" t="s">
        <v>772</v>
      </c>
      <c r="C5597" s="663"/>
      <c r="D5597" s="828" t="s">
        <v>1977</v>
      </c>
      <c r="E5597" s="1408" t="s">
        <v>1911</v>
      </c>
      <c r="F5597" s="756">
        <v>7230</v>
      </c>
      <c r="G5597" s="1264" t="s">
        <v>2947</v>
      </c>
      <c r="H5597" s="1260"/>
      <c r="I5597" s="1260">
        <v>30000</v>
      </c>
      <c r="J5597" s="1494" t="s">
        <v>1134</v>
      </c>
      <c r="K5597" s="1267"/>
      <c r="L5597" s="1306"/>
      <c r="M5597" s="1676">
        <v>30000</v>
      </c>
    </row>
    <row r="5598" spans="1:13">
      <c r="A5598" s="1327"/>
      <c r="B5598" s="700" t="s">
        <v>772</v>
      </c>
      <c r="C5598" s="663"/>
      <c r="D5598" s="828" t="s">
        <v>1977</v>
      </c>
      <c r="E5598" s="1408" t="s">
        <v>1911</v>
      </c>
      <c r="F5598" s="756">
        <v>7230</v>
      </c>
      <c r="G5598" s="1264" t="s">
        <v>2948</v>
      </c>
      <c r="H5598" s="1260"/>
      <c r="I5598" s="1260">
        <v>5000</v>
      </c>
      <c r="J5598" s="1494" t="s">
        <v>1134</v>
      </c>
      <c r="K5598" s="1267"/>
      <c r="L5598" s="1306"/>
      <c r="M5598" s="1676">
        <v>5000</v>
      </c>
    </row>
    <row r="5599" spans="1:13" ht="20.399999999999999">
      <c r="A5599" s="1724"/>
      <c r="B5599" s="700" t="s">
        <v>772</v>
      </c>
      <c r="C5599" s="663"/>
      <c r="D5599" s="828" t="s">
        <v>1977</v>
      </c>
      <c r="E5599" s="1408" t="s">
        <v>1911</v>
      </c>
      <c r="F5599" s="756">
        <v>7230</v>
      </c>
      <c r="G5599" s="1671" t="s">
        <v>3659</v>
      </c>
      <c r="H5599" s="1676"/>
      <c r="I5599" s="1676">
        <v>0</v>
      </c>
      <c r="J5599" s="1673"/>
      <c r="K5599" s="1674"/>
      <c r="L5599" s="1675"/>
      <c r="M5599" s="1676">
        <v>1100</v>
      </c>
    </row>
    <row r="5600" spans="1:13" ht="20.399999999999999">
      <c r="A5600" s="1724"/>
      <c r="B5600" s="700" t="s">
        <v>772</v>
      </c>
      <c r="C5600" s="663"/>
      <c r="D5600" s="828" t="s">
        <v>1977</v>
      </c>
      <c r="E5600" s="1408" t="s">
        <v>1911</v>
      </c>
      <c r="F5600" s="756">
        <v>7230</v>
      </c>
      <c r="G5600" s="1671" t="s">
        <v>3660</v>
      </c>
      <c r="H5600" s="1676"/>
      <c r="I5600" s="1676">
        <v>0</v>
      </c>
      <c r="J5600" s="1673"/>
      <c r="K5600" s="1674"/>
      <c r="L5600" s="1675"/>
      <c r="M5600" s="1676">
        <v>1500</v>
      </c>
    </row>
    <row r="5601" spans="1:13">
      <c r="A5601" s="1327"/>
      <c r="B5601" s="700" t="s">
        <v>772</v>
      </c>
      <c r="C5601" s="663"/>
      <c r="D5601" s="828" t="s">
        <v>1977</v>
      </c>
      <c r="E5601" s="1408" t="s">
        <v>1911</v>
      </c>
      <c r="F5601" s="756">
        <v>7230</v>
      </c>
      <c r="G5601" s="1671" t="s">
        <v>2949</v>
      </c>
      <c r="H5601" s="1676"/>
      <c r="I5601" s="1676">
        <v>3500</v>
      </c>
      <c r="J5601" s="1673" t="s">
        <v>1134</v>
      </c>
      <c r="K5601" s="1674"/>
      <c r="L5601" s="1675"/>
      <c r="M5601" s="1676">
        <v>0</v>
      </c>
    </row>
    <row r="5602" spans="1:13" ht="20.399999999999999">
      <c r="A5602" s="942"/>
      <c r="B5602" s="720" t="s">
        <v>772</v>
      </c>
      <c r="C5602" s="683"/>
      <c r="D5602" s="719" t="s">
        <v>1977</v>
      </c>
      <c r="E5602" s="720" t="s">
        <v>2727</v>
      </c>
      <c r="F5602" s="824">
        <v>5240</v>
      </c>
      <c r="G5602" s="800" t="s">
        <v>1187</v>
      </c>
      <c r="H5602" s="707">
        <v>52568.205910000048</v>
      </c>
      <c r="I5602" s="707"/>
      <c r="J5602" s="1654">
        <v>0</v>
      </c>
      <c r="K5602" s="961"/>
      <c r="L5602" s="707">
        <v>81528.099960000007</v>
      </c>
      <c r="M5602" s="707"/>
    </row>
    <row r="5603" spans="1:13" ht="20.399999999999999">
      <c r="A5603" s="810"/>
      <c r="B5603" s="700" t="s">
        <v>772</v>
      </c>
      <c r="C5603" s="663"/>
      <c r="D5603" s="828" t="s">
        <v>1977</v>
      </c>
      <c r="E5603" s="1831" t="s">
        <v>2727</v>
      </c>
      <c r="F5603" s="795">
        <v>5240</v>
      </c>
      <c r="G5603" s="2320" t="s">
        <v>5056</v>
      </c>
      <c r="H5603" s="2188"/>
      <c r="I5603" s="2188">
        <v>52568.205910000048</v>
      </c>
      <c r="J5603" s="2191" t="s">
        <v>1134</v>
      </c>
      <c r="K5603" s="2205"/>
      <c r="L5603" s="2188"/>
      <c r="M5603" s="2908">
        <v>28269.099960000007</v>
      </c>
    </row>
    <row r="5604" spans="1:13" ht="30.6">
      <c r="A5604" s="2800"/>
      <c r="B5604" s="700" t="s">
        <v>772</v>
      </c>
      <c r="C5604" s="663"/>
      <c r="D5604" s="828" t="s">
        <v>1977</v>
      </c>
      <c r="E5604" s="1831" t="s">
        <v>2727</v>
      </c>
      <c r="F5604" s="795">
        <v>5240</v>
      </c>
      <c r="G5604" s="2320" t="s">
        <v>5239</v>
      </c>
      <c r="H5604" s="2615"/>
      <c r="I5604" s="2615"/>
      <c r="J5604" s="2621"/>
      <c r="K5604" s="2622"/>
      <c r="L5604" s="2615"/>
      <c r="M5604" s="2188">
        <v>8279</v>
      </c>
    </row>
    <row r="5605" spans="1:13">
      <c r="A5605" s="810"/>
      <c r="B5605" s="700" t="s">
        <v>772</v>
      </c>
      <c r="C5605" s="663"/>
      <c r="D5605" s="828" t="s">
        <v>1977</v>
      </c>
      <c r="E5605" s="1831" t="s">
        <v>2727</v>
      </c>
      <c r="F5605" s="795">
        <v>5240</v>
      </c>
      <c r="G5605" s="2320" t="s">
        <v>4780</v>
      </c>
      <c r="H5605" s="2188"/>
      <c r="I5605" s="2188"/>
      <c r="J5605" s="2191" t="s">
        <v>1134</v>
      </c>
      <c r="K5605" s="2205"/>
      <c r="L5605" s="2188"/>
      <c r="M5605" s="2188">
        <v>17000</v>
      </c>
    </row>
    <row r="5606" spans="1:13">
      <c r="A5606" s="810"/>
      <c r="B5606" s="700" t="s">
        <v>772</v>
      </c>
      <c r="C5606" s="663"/>
      <c r="D5606" s="828" t="s">
        <v>1977</v>
      </c>
      <c r="E5606" s="1831" t="s">
        <v>2727</v>
      </c>
      <c r="F5606" s="795">
        <v>5240</v>
      </c>
      <c r="G5606" s="2320" t="s">
        <v>4781</v>
      </c>
      <c r="H5606" s="2188"/>
      <c r="I5606" s="2188"/>
      <c r="J5606" s="2191" t="s">
        <v>1134</v>
      </c>
      <c r="K5606" s="2205"/>
      <c r="L5606" s="2188"/>
      <c r="M5606" s="2188">
        <v>16995</v>
      </c>
    </row>
    <row r="5607" spans="1:13">
      <c r="A5607" s="810"/>
      <c r="B5607" s="700" t="s">
        <v>772</v>
      </c>
      <c r="C5607" s="663"/>
      <c r="D5607" s="828" t="s">
        <v>1977</v>
      </c>
      <c r="E5607" s="1831" t="s">
        <v>2727</v>
      </c>
      <c r="F5607" s="795">
        <v>5240</v>
      </c>
      <c r="G5607" s="2320" t="s">
        <v>4782</v>
      </c>
      <c r="H5607" s="2188"/>
      <c r="I5607" s="2188"/>
      <c r="J5607" s="2191" t="s">
        <v>1134</v>
      </c>
      <c r="K5607" s="2205"/>
      <c r="L5607" s="2188"/>
      <c r="M5607" s="2188">
        <v>4790</v>
      </c>
    </row>
    <row r="5608" spans="1:13">
      <c r="A5608" s="810"/>
      <c r="B5608" s="700" t="s">
        <v>772</v>
      </c>
      <c r="C5608" s="663"/>
      <c r="D5608" s="828" t="s">
        <v>1977</v>
      </c>
      <c r="E5608" s="1831" t="s">
        <v>2727</v>
      </c>
      <c r="F5608" s="795">
        <v>5240</v>
      </c>
      <c r="G5608" s="2320" t="s">
        <v>4783</v>
      </c>
      <c r="H5608" s="2188"/>
      <c r="I5608" s="2188"/>
      <c r="J5608" s="2191" t="s">
        <v>1134</v>
      </c>
      <c r="K5608" s="2205"/>
      <c r="L5608" s="2188"/>
      <c r="M5608" s="2188">
        <v>6195</v>
      </c>
    </row>
    <row r="5610" spans="1:13">
      <c r="H5610" s="1240"/>
    </row>
    <row r="5612" spans="1:13">
      <c r="H5612" s="135">
        <v>72307065.619602144</v>
      </c>
      <c r="I5612" s="135">
        <v>72331468.600962609</v>
      </c>
      <c r="J5612" s="135"/>
      <c r="K5612" s="135">
        <v>41705</v>
      </c>
      <c r="L5612" s="651">
        <v>79698307.533798501</v>
      </c>
      <c r="M5612" s="3126">
        <v>79505066.423798516</v>
      </c>
    </row>
    <row r="5613" spans="1:13">
      <c r="H5613" s="1240"/>
      <c r="I5613" s="1304">
        <v>-24402.981360465288</v>
      </c>
      <c r="M5613" s="3211">
        <v>193241.1099999845</v>
      </c>
    </row>
    <row r="5614" spans="1:13">
      <c r="H5614" s="1240"/>
      <c r="J5614" s="1240"/>
      <c r="L5614" s="651">
        <v>7391241.9141963571</v>
      </c>
      <c r="M5614" s="3126" t="s">
        <v>3313</v>
      </c>
    </row>
    <row r="5615" spans="1:13">
      <c r="L5615" s="1716">
        <v>0.10222018900726382</v>
      </c>
      <c r="M5615" s="3126" t="s">
        <v>3314</v>
      </c>
    </row>
    <row r="5616" spans="1:13">
      <c r="J5616" s="1240"/>
    </row>
    <row r="5617" spans="7:12">
      <c r="G5617" s="3" t="s">
        <v>616</v>
      </c>
      <c r="H5617" s="1240"/>
      <c r="J5617" s="1240"/>
      <c r="L5617" s="1240"/>
    </row>
    <row r="5618" spans="7:12">
      <c r="J5618" s="1332"/>
    </row>
    <row r="5619" spans="7:12">
      <c r="J5619" s="1333"/>
    </row>
    <row r="5684" ht="22.5" customHeight="1"/>
    <row r="5726" ht="22.5" customHeight="1"/>
    <row r="5730" ht="22.5" customHeight="1"/>
    <row r="5802" ht="12" customHeight="1"/>
  </sheetData>
  <dataConsolidate/>
  <mergeCells count="8">
    <mergeCell ref="M994:M995"/>
    <mergeCell ref="J1002:J1003"/>
    <mergeCell ref="J1854:J1857"/>
    <mergeCell ref="J1864:J1867"/>
    <mergeCell ref="N5042:N5043"/>
    <mergeCell ref="N2543:N2549"/>
    <mergeCell ref="N2591:N2592"/>
    <mergeCell ref="N4956:N4957"/>
  </mergeCells>
  <conditionalFormatting sqref="N3039:N3041 N3145:N3150 N3274:N3277">
    <cfRule type="cellIs" dxfId="10" priority="11" operator="lessThan">
      <formula>0</formula>
    </cfRule>
  </conditionalFormatting>
  <conditionalFormatting sqref="N3048">
    <cfRule type="cellIs" dxfId="9" priority="10" operator="lessThan">
      <formula>0</formula>
    </cfRule>
  </conditionalFormatting>
  <conditionalFormatting sqref="N3100:N3101">
    <cfRule type="cellIs" dxfId="8" priority="7" operator="lessThan">
      <formula>0</formula>
    </cfRule>
  </conditionalFormatting>
  <conditionalFormatting sqref="N3136:N3139">
    <cfRule type="cellIs" dxfId="7" priority="9" operator="lessThan">
      <formula>0</formula>
    </cfRule>
  </conditionalFormatting>
  <conditionalFormatting sqref="N3143">
    <cfRule type="cellIs" dxfId="6" priority="8" operator="lessThan">
      <formula>0</formula>
    </cfRule>
  </conditionalFormatting>
  <conditionalFormatting sqref="N3152:N3164">
    <cfRule type="cellIs" dxfId="5" priority="5" operator="lessThan">
      <formula>0</formula>
    </cfRule>
  </conditionalFormatting>
  <conditionalFormatting sqref="N3176:N3178">
    <cfRule type="cellIs" dxfId="4" priority="1" operator="lessThan">
      <formula>0</formula>
    </cfRule>
  </conditionalFormatting>
  <conditionalFormatting sqref="N3212:N3224">
    <cfRule type="cellIs" dxfId="3" priority="6" operator="lessThan">
      <formula>0</formula>
    </cfRule>
  </conditionalFormatting>
  <conditionalFormatting sqref="N4236:N4243">
    <cfRule type="cellIs" dxfId="2" priority="4" operator="lessThan">
      <formula>0</formula>
    </cfRule>
  </conditionalFormatting>
  <conditionalFormatting sqref="N4295:N4296">
    <cfRule type="cellIs" dxfId="1" priority="3" operator="lessThan">
      <formula>0</formula>
    </cfRule>
  </conditionalFormatting>
  <conditionalFormatting sqref="N4309:N4311">
    <cfRule type="cellIs" dxfId="0" priority="2" operator="lessThan">
      <formula>0</formula>
    </cfRule>
  </conditionalFormatting>
  <pageMargins left="0.7" right="0.7" top="0.75" bottom="0.75" header="0.3" footer="0.3"/>
  <pageSetup paperSize="9" scale="80" orientation="portrait" r:id="rId1"/>
  <rowBreaks count="1" manualBreakCount="1">
    <brk id="154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A1FF-FF73-4E7E-9F65-7A477D9F167C}">
  <sheetPr filterMode="1"/>
  <dimension ref="A1:BF445"/>
  <sheetViews>
    <sheetView topLeftCell="A198" zoomScale="110" zoomScaleNormal="110" workbookViewId="0">
      <selection activeCell="B217" sqref="B212:B217"/>
    </sheetView>
  </sheetViews>
  <sheetFormatPr defaultRowHeight="11.4"/>
  <cols>
    <col min="2" max="2" width="9" style="3296"/>
    <col min="4" max="4" width="16.625" style="14" customWidth="1"/>
    <col min="6" max="6" width="42.875" customWidth="1"/>
    <col min="7" max="7" width="14.125" style="644" customWidth="1"/>
    <col min="8" max="8" width="11.375" style="644" customWidth="1"/>
    <col min="9" max="9" width="11.125" customWidth="1"/>
    <col min="10" max="10" width="3.75" customWidth="1"/>
    <col min="11" max="11" width="12.875" style="250" customWidth="1"/>
    <col min="12" max="12" width="11.75" style="651" customWidth="1"/>
    <col min="13" max="14" width="11.75" style="16" customWidth="1"/>
    <col min="15" max="15" width="11.75" style="13" bestFit="1" customWidth="1"/>
    <col min="18" max="18" width="13.75" style="12" bestFit="1" customWidth="1"/>
    <col min="19" max="19" width="29.625" style="13" bestFit="1" customWidth="1"/>
    <col min="20" max="20" width="32" style="13" bestFit="1" customWidth="1"/>
  </cols>
  <sheetData>
    <row r="1" spans="1:58" ht="20.399999999999999">
      <c r="A1" s="1071" t="s">
        <v>616</v>
      </c>
      <c r="B1" s="3288" t="s">
        <v>107</v>
      </c>
      <c r="C1" s="1072" t="s">
        <v>653</v>
      </c>
      <c r="D1" s="1071" t="s">
        <v>108</v>
      </c>
      <c r="E1" s="1073" t="s">
        <v>404</v>
      </c>
      <c r="F1" s="1074" t="s">
        <v>106</v>
      </c>
      <c r="G1" s="1075" t="s">
        <v>2630</v>
      </c>
      <c r="H1" s="1076" t="s">
        <v>2631</v>
      </c>
      <c r="I1" s="1077" t="s">
        <v>2629</v>
      </c>
      <c r="J1" s="1078" t="s">
        <v>1713</v>
      </c>
      <c r="K1" s="1403" t="s">
        <v>3342</v>
      </c>
      <c r="L1" s="1500" t="s">
        <v>3343</v>
      </c>
      <c r="M1" s="1325"/>
      <c r="N1" s="1325" t="s">
        <v>3077</v>
      </c>
      <c r="O1" s="1079"/>
      <c r="P1" s="3"/>
      <c r="Q1" s="3"/>
      <c r="R1" s="81" t="s">
        <v>106</v>
      </c>
      <c r="S1" t="s">
        <v>4777</v>
      </c>
      <c r="T1" s="1179"/>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row>
    <row r="2" spans="1:58" ht="20.399999999999999">
      <c r="A2" s="596"/>
      <c r="B2" s="596" t="s">
        <v>772</v>
      </c>
      <c r="C2" s="612" t="s">
        <v>1714</v>
      </c>
      <c r="D2" s="612" t="s">
        <v>1715</v>
      </c>
      <c r="E2" s="597" t="s">
        <v>1716</v>
      </c>
      <c r="F2" s="598" t="s">
        <v>1717</v>
      </c>
      <c r="G2" s="1080">
        <v>38486849</v>
      </c>
      <c r="H2" s="1080"/>
      <c r="I2" s="1080">
        <v>25112671.969999999</v>
      </c>
      <c r="J2" s="1081"/>
      <c r="K2" s="602">
        <f>SUM(L3:L4)</f>
        <v>41652563</v>
      </c>
      <c r="L2" s="3127"/>
      <c r="M2" s="1445"/>
      <c r="N2" s="1445"/>
      <c r="O2" s="1082">
        <f>K2-G2</f>
        <v>3165714</v>
      </c>
      <c r="P2" s="19"/>
      <c r="Q2" s="4"/>
      <c r="R2" s="1173"/>
      <c r="S2" s="1180"/>
      <c r="T2" s="1180"/>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row>
    <row r="3" spans="1:58">
      <c r="A3" s="603"/>
      <c r="B3" s="603" t="s">
        <v>772</v>
      </c>
      <c r="C3" s="603"/>
      <c r="D3" s="603" t="s">
        <v>1715</v>
      </c>
      <c r="E3" s="604" t="s">
        <v>1716</v>
      </c>
      <c r="F3" s="605" t="s">
        <v>1066</v>
      </c>
      <c r="G3" s="1083"/>
      <c r="H3" s="1083">
        <v>39439118</v>
      </c>
      <c r="I3" s="1083"/>
      <c r="J3" s="1084"/>
      <c r="K3" s="120"/>
      <c r="L3" s="1085">
        <v>42599718</v>
      </c>
      <c r="M3" s="120"/>
      <c r="N3" s="120"/>
      <c r="O3" s="1082">
        <v>-45900</v>
      </c>
      <c r="P3" s="5"/>
      <c r="Q3" s="5"/>
      <c r="R3" s="1174" t="s">
        <v>4775</v>
      </c>
      <c r="S3" s="18" t="s">
        <v>2666</v>
      </c>
      <c r="T3" t="s">
        <v>3361</v>
      </c>
      <c r="U3" s="5"/>
      <c r="V3" s="5"/>
      <c r="W3" s="5"/>
      <c r="X3" s="5"/>
      <c r="Y3" s="5"/>
      <c r="Z3" s="5"/>
      <c r="AA3" s="5"/>
      <c r="AB3" s="5"/>
      <c r="AC3" s="5"/>
      <c r="AD3" s="5"/>
      <c r="AE3" s="5"/>
      <c r="AF3" s="5"/>
      <c r="AG3" s="5"/>
      <c r="AH3" s="5"/>
      <c r="AI3" s="5"/>
      <c r="AJ3" s="5"/>
      <c r="AK3" s="5"/>
      <c r="AL3" s="5"/>
      <c r="AM3" s="5"/>
      <c r="AN3" s="584"/>
      <c r="AO3" s="585"/>
      <c r="AP3" s="586"/>
      <c r="AQ3" s="6"/>
      <c r="AR3" s="587"/>
      <c r="AS3" s="5"/>
      <c r="AT3" s="4"/>
      <c r="AU3" s="4"/>
      <c r="AV3" s="4"/>
      <c r="AW3" s="4"/>
      <c r="AX3" s="4"/>
      <c r="AY3" s="4"/>
      <c r="AZ3" s="4"/>
      <c r="BA3" s="4"/>
      <c r="BB3" s="4"/>
      <c r="BC3" s="4"/>
      <c r="BD3" s="4"/>
      <c r="BE3" s="4"/>
      <c r="BF3" s="4"/>
    </row>
    <row r="4" spans="1:58" ht="30.6">
      <c r="A4" s="603"/>
      <c r="B4" s="603" t="s">
        <v>772</v>
      </c>
      <c r="C4" s="603"/>
      <c r="D4" s="603" t="s">
        <v>1715</v>
      </c>
      <c r="E4" s="604" t="s">
        <v>1716</v>
      </c>
      <c r="F4" s="605" t="s">
        <v>5238</v>
      </c>
      <c r="G4" s="583"/>
      <c r="H4" s="583">
        <v>-952269</v>
      </c>
      <c r="I4" s="121"/>
      <c r="J4" s="122"/>
      <c r="K4" s="120"/>
      <c r="L4" s="1085">
        <v>-947155</v>
      </c>
      <c r="M4" s="120"/>
      <c r="N4" s="120"/>
      <c r="O4" s="1082"/>
      <c r="P4" s="5"/>
      <c r="Q4" s="5"/>
      <c r="R4" s="1175" t="s">
        <v>1716</v>
      </c>
      <c r="S4" s="2537">
        <v>38486849</v>
      </c>
      <c r="T4" s="2537">
        <v>41652563</v>
      </c>
      <c r="U4" s="5"/>
      <c r="V4" s="5"/>
      <c r="W4" s="5"/>
      <c r="X4" s="5"/>
      <c r="Y4" s="5"/>
      <c r="Z4" s="5"/>
      <c r="AA4" s="5"/>
      <c r="AB4" s="5"/>
      <c r="AC4" s="5"/>
      <c r="AD4" s="5"/>
      <c r="AE4" s="5"/>
      <c r="AF4" s="5"/>
      <c r="AG4" s="5"/>
      <c r="AH4" s="5"/>
      <c r="AI4" s="5"/>
      <c r="AJ4" s="5"/>
      <c r="AK4" s="5"/>
      <c r="AL4" s="5"/>
      <c r="AM4" s="5"/>
      <c r="AN4" s="584"/>
      <c r="AO4" s="585"/>
      <c r="AP4" s="586"/>
      <c r="AQ4" s="6"/>
      <c r="AR4" s="587"/>
      <c r="AS4" s="5"/>
      <c r="AT4" s="4"/>
      <c r="AU4" s="4"/>
      <c r="AV4" s="4"/>
      <c r="AW4" s="4"/>
      <c r="AX4" s="4"/>
      <c r="AY4" s="4"/>
      <c r="AZ4" s="4"/>
      <c r="BA4" s="4"/>
      <c r="BB4" s="4"/>
      <c r="BC4" s="4"/>
      <c r="BD4" s="4"/>
      <c r="BE4" s="4"/>
      <c r="BF4" s="4"/>
    </row>
    <row r="5" spans="1:58" ht="20.399999999999999">
      <c r="A5" s="596"/>
      <c r="B5" s="596" t="s">
        <v>772</v>
      </c>
      <c r="C5" s="612" t="s">
        <v>1714</v>
      </c>
      <c r="D5" s="596" t="s">
        <v>1715</v>
      </c>
      <c r="E5" s="597" t="s">
        <v>1718</v>
      </c>
      <c r="F5" s="598" t="s">
        <v>1719</v>
      </c>
      <c r="G5" s="1080">
        <v>1945625.2941176472</v>
      </c>
      <c r="H5" s="1080"/>
      <c r="I5" s="1080">
        <v>1802710.67</v>
      </c>
      <c r="J5" s="1081"/>
      <c r="K5" s="602">
        <f>L6</f>
        <v>1945590.9982352939</v>
      </c>
      <c r="L5" s="3127"/>
      <c r="M5" s="1445"/>
      <c r="N5" s="1445"/>
      <c r="O5" s="1085"/>
      <c r="P5" s="19"/>
      <c r="Q5" s="4"/>
      <c r="R5" s="1175" t="s">
        <v>31</v>
      </c>
      <c r="S5" s="2537">
        <v>90000</v>
      </c>
      <c r="T5" s="2537">
        <v>90000</v>
      </c>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row>
    <row r="6" spans="1:58" ht="20.399999999999999">
      <c r="A6" s="603"/>
      <c r="B6" s="603" t="s">
        <v>772</v>
      </c>
      <c r="C6" s="603"/>
      <c r="D6" s="603" t="s">
        <v>1715</v>
      </c>
      <c r="E6" s="604" t="s">
        <v>1718</v>
      </c>
      <c r="F6" s="605" t="s">
        <v>1719</v>
      </c>
      <c r="G6" s="1083"/>
      <c r="H6" s="1083">
        <v>1945625.2941176472</v>
      </c>
      <c r="I6" s="1083"/>
      <c r="J6" s="1084"/>
      <c r="K6" s="120"/>
      <c r="L6" s="1085">
        <f>1868647/85*88.5-0.29</f>
        <v>1945590.9982352939</v>
      </c>
      <c r="M6" s="120"/>
      <c r="N6" s="120"/>
      <c r="O6" s="1085"/>
      <c r="P6" s="1086">
        <v>0.85</v>
      </c>
      <c r="Q6" s="5"/>
      <c r="R6" s="1175" t="s">
        <v>1770</v>
      </c>
      <c r="S6" s="2537">
        <v>40000</v>
      </c>
      <c r="T6" s="2537">
        <v>40000</v>
      </c>
      <c r="U6" s="5"/>
      <c r="V6" s="5"/>
      <c r="W6" s="5"/>
      <c r="X6" s="5"/>
      <c r="Y6" s="5"/>
      <c r="Z6" s="5"/>
      <c r="AA6" s="5"/>
      <c r="AB6" s="5"/>
      <c r="AC6" s="5"/>
      <c r="AD6" s="5"/>
      <c r="AE6" s="5"/>
      <c r="AF6" s="5"/>
      <c r="AG6" s="5"/>
      <c r="AH6" s="5"/>
      <c r="AI6" s="569"/>
      <c r="AJ6" s="569"/>
      <c r="AK6" s="569"/>
      <c r="AL6" s="569"/>
      <c r="AM6" s="588"/>
      <c r="AN6" s="589"/>
      <c r="AO6" s="590"/>
      <c r="AP6" s="591"/>
      <c r="AQ6" s="592"/>
      <c r="AR6" s="5"/>
      <c r="AS6" s="4"/>
      <c r="AT6" s="4"/>
      <c r="AU6" s="4"/>
      <c r="AV6" s="4"/>
      <c r="AW6" s="4"/>
      <c r="AX6" s="4"/>
      <c r="AY6" s="4"/>
      <c r="AZ6" s="4"/>
      <c r="BA6" s="4"/>
      <c r="BB6" s="4"/>
      <c r="BC6" s="4"/>
      <c r="BD6" s="4"/>
      <c r="BE6" s="4"/>
    </row>
    <row r="7" spans="1:58" ht="20.399999999999999">
      <c r="A7" s="596"/>
      <c r="B7" s="596" t="s">
        <v>772</v>
      </c>
      <c r="C7" s="612" t="s">
        <v>1714</v>
      </c>
      <c r="D7" s="596" t="s">
        <v>1715</v>
      </c>
      <c r="E7" s="597" t="s">
        <v>1720</v>
      </c>
      <c r="F7" s="598" t="s">
        <v>1721</v>
      </c>
      <c r="G7" s="1080">
        <v>137000</v>
      </c>
      <c r="H7" s="1080"/>
      <c r="I7" s="1080">
        <v>60745</v>
      </c>
      <c r="J7" s="1081"/>
      <c r="K7" s="602">
        <f>L8</f>
        <v>101202</v>
      </c>
      <c r="L7" s="3128"/>
      <c r="M7" s="1445"/>
      <c r="N7" s="1445"/>
      <c r="O7" s="1085"/>
      <c r="P7" s="19"/>
      <c r="Q7" s="4"/>
      <c r="R7" s="1175" t="s">
        <v>1732</v>
      </c>
      <c r="S7" s="2537">
        <v>10000</v>
      </c>
      <c r="T7" s="2537">
        <v>10000</v>
      </c>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8" ht="20.399999999999999">
      <c r="A8" s="603"/>
      <c r="B8" s="603" t="s">
        <v>772</v>
      </c>
      <c r="C8" s="603"/>
      <c r="D8" s="603" t="s">
        <v>1715</v>
      </c>
      <c r="E8" s="604" t="s">
        <v>1720</v>
      </c>
      <c r="F8" s="605" t="s">
        <v>1721</v>
      </c>
      <c r="G8" s="1083"/>
      <c r="H8" s="1083">
        <v>137000</v>
      </c>
      <c r="I8" s="1083"/>
      <c r="J8" s="1084"/>
      <c r="K8" s="120"/>
      <c r="L8" s="1085">
        <v>101202</v>
      </c>
      <c r="M8" s="120"/>
      <c r="N8" s="120"/>
      <c r="O8" s="1085"/>
      <c r="P8" s="5"/>
      <c r="Q8" s="5"/>
      <c r="R8" s="1175" t="s">
        <v>447</v>
      </c>
      <c r="S8" s="2537">
        <v>0</v>
      </c>
      <c r="T8" s="2537">
        <v>0</v>
      </c>
      <c r="U8" s="5"/>
      <c r="V8" s="5"/>
      <c r="W8" s="5"/>
      <c r="X8" s="5"/>
      <c r="Y8" s="5"/>
      <c r="Z8" s="5"/>
      <c r="AA8" s="5"/>
      <c r="AB8" s="5"/>
      <c r="AC8" s="5"/>
      <c r="AD8" s="5"/>
      <c r="AE8" s="5"/>
      <c r="AF8" s="5"/>
      <c r="AG8" s="5"/>
      <c r="AH8" s="5"/>
      <c r="AI8" s="123"/>
      <c r="AJ8" s="123"/>
      <c r="AK8" s="123"/>
      <c r="AL8" s="123"/>
      <c r="AM8" s="593"/>
      <c r="AN8" s="124"/>
      <c r="AO8" s="594"/>
      <c r="AP8" s="384"/>
      <c r="AQ8" s="595"/>
      <c r="AR8" s="5"/>
      <c r="AS8" s="4"/>
      <c r="AT8" s="4"/>
      <c r="AU8" s="4"/>
      <c r="AV8" s="4"/>
      <c r="AW8" s="4"/>
      <c r="AX8" s="4"/>
      <c r="AY8" s="4"/>
      <c r="AZ8" s="4"/>
      <c r="BA8" s="4"/>
      <c r="BB8" s="4"/>
      <c r="BC8" s="4"/>
      <c r="BD8" s="4"/>
      <c r="BE8" s="4"/>
    </row>
    <row r="9" spans="1:58" ht="20.399999999999999">
      <c r="A9" s="596"/>
      <c r="B9" s="596" t="s">
        <v>772</v>
      </c>
      <c r="C9" s="612" t="s">
        <v>1714</v>
      </c>
      <c r="D9" s="596" t="s">
        <v>1715</v>
      </c>
      <c r="E9" s="597" t="s">
        <v>1722</v>
      </c>
      <c r="F9" s="598" t="s">
        <v>1723</v>
      </c>
      <c r="G9" s="1080">
        <v>362227.76470588235</v>
      </c>
      <c r="H9" s="1080"/>
      <c r="I9" s="1080">
        <v>477669.31</v>
      </c>
      <c r="J9" s="1081"/>
      <c r="K9" s="602">
        <f>L10</f>
        <v>392303.99941176467</v>
      </c>
      <c r="L9" s="3127"/>
      <c r="M9" s="1445"/>
      <c r="N9" s="1445"/>
      <c r="O9" s="1085"/>
      <c r="P9" s="19"/>
      <c r="Q9" s="4"/>
      <c r="R9" s="1175" t="s">
        <v>1735</v>
      </c>
      <c r="S9" s="2537">
        <v>5727.7199999999993</v>
      </c>
      <c r="T9" s="2537">
        <v>5727.7199999999993</v>
      </c>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8" ht="20.399999999999999">
      <c r="A10" s="603"/>
      <c r="B10" s="603" t="s">
        <v>772</v>
      </c>
      <c r="C10" s="603"/>
      <c r="D10" s="603" t="s">
        <v>1715</v>
      </c>
      <c r="E10" s="604" t="s">
        <v>1722</v>
      </c>
      <c r="F10" s="605" t="s">
        <v>1723</v>
      </c>
      <c r="G10" s="1083"/>
      <c r="H10" s="1083">
        <v>362227.76470588235</v>
      </c>
      <c r="I10" s="1083"/>
      <c r="J10" s="1084"/>
      <c r="K10" s="120"/>
      <c r="L10" s="1085">
        <f>333458/85*100+0.47</f>
        <v>392303.99941176467</v>
      </c>
      <c r="M10" s="120"/>
      <c r="N10" s="120"/>
      <c r="O10" s="1085"/>
      <c r="P10" s="1086">
        <v>1</v>
      </c>
      <c r="Q10" s="5"/>
      <c r="R10" s="1175" t="s">
        <v>1792</v>
      </c>
      <c r="S10" s="2537">
        <v>159278</v>
      </c>
      <c r="T10" s="2537">
        <v>0</v>
      </c>
      <c r="U10" s="5"/>
      <c r="V10" s="5"/>
      <c r="W10" s="5"/>
      <c r="X10" s="5"/>
      <c r="Y10" s="5"/>
      <c r="Z10" s="5"/>
      <c r="AA10" s="5"/>
      <c r="AB10" s="5"/>
      <c r="AC10" s="5"/>
      <c r="AD10" s="5"/>
      <c r="AE10" s="5"/>
      <c r="AF10" s="5"/>
      <c r="AG10" s="5"/>
      <c r="AH10" s="5"/>
      <c r="AI10" s="123"/>
      <c r="AJ10" s="123"/>
      <c r="AK10" s="123"/>
      <c r="AL10" s="123"/>
      <c r="AM10" s="593"/>
      <c r="AN10" s="124"/>
      <c r="AO10" s="594"/>
      <c r="AP10" s="384"/>
      <c r="AQ10" s="595"/>
      <c r="AR10" s="5"/>
      <c r="AS10" s="4"/>
      <c r="AT10" s="4"/>
      <c r="AU10" s="4"/>
      <c r="AV10" s="4"/>
      <c r="AW10" s="4"/>
      <c r="AX10" s="4"/>
      <c r="AY10" s="4"/>
      <c r="AZ10" s="4"/>
      <c r="BA10" s="4"/>
      <c r="BB10" s="4"/>
      <c r="BC10" s="4"/>
      <c r="BD10" s="4"/>
      <c r="BE10" s="4"/>
    </row>
    <row r="11" spans="1:58" ht="20.399999999999999">
      <c r="A11" s="596"/>
      <c r="B11" s="596" t="s">
        <v>772</v>
      </c>
      <c r="C11" s="612" t="s">
        <v>1714</v>
      </c>
      <c r="D11" s="596" t="s">
        <v>1715</v>
      </c>
      <c r="E11" s="597" t="s">
        <v>1724</v>
      </c>
      <c r="F11" s="598" t="s">
        <v>1725</v>
      </c>
      <c r="G11" s="1080">
        <v>30000</v>
      </c>
      <c r="H11" s="1080"/>
      <c r="I11" s="1080">
        <v>22262.53</v>
      </c>
      <c r="J11" s="1081"/>
      <c r="K11" s="602">
        <f>L12</f>
        <v>54624</v>
      </c>
      <c r="L11" s="3128"/>
      <c r="M11" s="1445"/>
      <c r="N11" s="1445"/>
      <c r="O11" s="1085"/>
      <c r="P11" s="19"/>
      <c r="Q11" s="4"/>
      <c r="R11" s="1175" t="s">
        <v>1737</v>
      </c>
      <c r="S11" s="2537">
        <v>0</v>
      </c>
      <c r="T11" s="2537">
        <v>0</v>
      </c>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row>
    <row r="12" spans="1:58" ht="20.399999999999999">
      <c r="A12" s="603"/>
      <c r="B12" s="603" t="s">
        <v>772</v>
      </c>
      <c r="C12" s="603"/>
      <c r="D12" s="603" t="s">
        <v>1715</v>
      </c>
      <c r="E12" s="604" t="s">
        <v>1724</v>
      </c>
      <c r="F12" s="605" t="s">
        <v>1725</v>
      </c>
      <c r="G12" s="1083"/>
      <c r="H12" s="1083">
        <v>30000</v>
      </c>
      <c r="I12" s="1083"/>
      <c r="J12" s="1084"/>
      <c r="K12" s="120"/>
      <c r="L12" s="1085">
        <v>54624</v>
      </c>
      <c r="M12" s="120"/>
      <c r="N12" s="120"/>
      <c r="O12" s="1085"/>
      <c r="P12" s="5"/>
      <c r="Q12" s="5"/>
      <c r="R12" s="1176" t="s">
        <v>1835</v>
      </c>
      <c r="S12" s="18">
        <v>0</v>
      </c>
      <c r="T12" s="18">
        <v>0</v>
      </c>
      <c r="U12" s="5"/>
      <c r="V12" s="5"/>
      <c r="W12" s="5"/>
      <c r="X12" s="5"/>
      <c r="Y12" s="5"/>
      <c r="Z12" s="5"/>
      <c r="AA12" s="5"/>
      <c r="AB12" s="5"/>
      <c r="AC12" s="5"/>
      <c r="AD12" s="5"/>
      <c r="AE12" s="5"/>
      <c r="AF12" s="5"/>
      <c r="AG12" s="5"/>
      <c r="AH12" s="5"/>
      <c r="AI12" s="123"/>
      <c r="AJ12" s="123"/>
      <c r="AK12" s="123"/>
      <c r="AL12" s="123"/>
      <c r="AM12" s="593"/>
      <c r="AN12" s="124"/>
      <c r="AO12" s="594"/>
      <c r="AP12" s="384"/>
      <c r="AQ12" s="595"/>
      <c r="AR12" s="5"/>
      <c r="AS12" s="4"/>
      <c r="AT12" s="4"/>
      <c r="AU12" s="4"/>
      <c r="AV12" s="4"/>
      <c r="AW12" s="4"/>
      <c r="AX12" s="4"/>
      <c r="AY12" s="4"/>
      <c r="AZ12" s="4"/>
      <c r="BA12" s="4"/>
      <c r="BB12" s="4"/>
      <c r="BC12" s="4"/>
      <c r="BD12" s="4"/>
      <c r="BE12" s="4"/>
    </row>
    <row r="13" spans="1:58" ht="20.399999999999999">
      <c r="A13" s="596"/>
      <c r="B13" s="596" t="s">
        <v>772</v>
      </c>
      <c r="C13" s="612" t="s">
        <v>1714</v>
      </c>
      <c r="D13" s="596" t="s">
        <v>1715</v>
      </c>
      <c r="E13" s="597" t="s">
        <v>1726</v>
      </c>
      <c r="F13" s="598" t="s">
        <v>1727</v>
      </c>
      <c r="G13" s="1080">
        <v>665898.5294117647</v>
      </c>
      <c r="H13" s="1080"/>
      <c r="I13" s="1080">
        <v>655938.93999999994</v>
      </c>
      <c r="J13" s="1081"/>
      <c r="K13" s="602">
        <f>L14</f>
        <v>670098.99529411772</v>
      </c>
      <c r="L13" s="3127"/>
      <c r="M13" s="1445"/>
      <c r="N13" s="1445"/>
      <c r="O13" s="1085"/>
      <c r="P13" s="19"/>
      <c r="Q13" s="4"/>
      <c r="R13" s="1176" t="s">
        <v>44</v>
      </c>
      <c r="S13" s="18">
        <v>6071808</v>
      </c>
      <c r="T13" s="18">
        <v>6745076</v>
      </c>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row>
    <row r="14" spans="1:58" ht="20.399999999999999">
      <c r="A14" s="603"/>
      <c r="B14" s="603" t="s">
        <v>772</v>
      </c>
      <c r="C14" s="603"/>
      <c r="D14" s="603" t="s">
        <v>1715</v>
      </c>
      <c r="E14" s="604" t="s">
        <v>1726</v>
      </c>
      <c r="F14" s="605" t="s">
        <v>1727</v>
      </c>
      <c r="G14" s="1083"/>
      <c r="H14" s="1083">
        <v>665898.5294117647</v>
      </c>
      <c r="I14" s="1083"/>
      <c r="J14" s="1084"/>
      <c r="K14" s="120"/>
      <c r="L14" s="1085">
        <f>466872/85*122+0.36</f>
        <v>670098.99529411772</v>
      </c>
      <c r="M14" s="120"/>
      <c r="N14" s="120"/>
      <c r="O14" s="1085"/>
      <c r="P14" s="1086">
        <v>1.22</v>
      </c>
      <c r="Q14" s="5"/>
      <c r="R14" s="1176" t="s">
        <v>1814</v>
      </c>
      <c r="S14" s="18">
        <v>288255</v>
      </c>
      <c r="T14" s="18">
        <v>341092</v>
      </c>
      <c r="U14" s="5"/>
      <c r="V14" s="5"/>
      <c r="W14" s="5"/>
      <c r="X14" s="5"/>
      <c r="Y14" s="5"/>
      <c r="Z14" s="5"/>
      <c r="AA14" s="5"/>
      <c r="AB14" s="5"/>
      <c r="AC14" s="5"/>
      <c r="AD14" s="5"/>
      <c r="AE14" s="5"/>
      <c r="AF14" s="5"/>
      <c r="AG14" s="5"/>
      <c r="AH14" s="5"/>
      <c r="AI14" s="123"/>
      <c r="AJ14" s="123"/>
      <c r="AK14" s="123"/>
      <c r="AL14" s="123"/>
      <c r="AM14" s="593"/>
      <c r="AN14" s="124"/>
      <c r="AO14" s="594"/>
      <c r="AP14" s="384"/>
      <c r="AQ14" s="595"/>
      <c r="AR14" s="5"/>
      <c r="AS14" s="4"/>
      <c r="AT14" s="4"/>
      <c r="AU14" s="4"/>
      <c r="AV14" s="4"/>
      <c r="AW14" s="4"/>
      <c r="AX14" s="4"/>
      <c r="AY14" s="4"/>
      <c r="AZ14" s="4"/>
      <c r="BA14" s="4"/>
      <c r="BB14" s="4"/>
      <c r="BC14" s="4"/>
      <c r="BD14" s="4"/>
      <c r="BE14" s="4"/>
    </row>
    <row r="15" spans="1:58" ht="20.399999999999999">
      <c r="A15" s="596"/>
      <c r="B15" s="596" t="s">
        <v>772</v>
      </c>
      <c r="C15" s="612" t="s">
        <v>1714</v>
      </c>
      <c r="D15" s="596" t="s">
        <v>1715</v>
      </c>
      <c r="E15" s="597" t="s">
        <v>1728</v>
      </c>
      <c r="F15" s="598" t="s">
        <v>1729</v>
      </c>
      <c r="G15" s="1080">
        <v>70588</v>
      </c>
      <c r="H15" s="1080"/>
      <c r="I15" s="1080">
        <v>29025.3</v>
      </c>
      <c r="J15" s="1081"/>
      <c r="K15" s="602">
        <f>L16</f>
        <v>60185</v>
      </c>
      <c r="L15" s="3128"/>
      <c r="M15" s="1445"/>
      <c r="N15" s="1445"/>
      <c r="O15" s="1085"/>
      <c r="P15" s="19"/>
      <c r="Q15" s="4"/>
      <c r="R15" s="1176" t="s">
        <v>1824</v>
      </c>
      <c r="S15" s="18">
        <v>53437</v>
      </c>
      <c r="T15" s="18">
        <v>47702</v>
      </c>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row>
    <row r="16" spans="1:58" ht="20.399999999999999">
      <c r="A16" s="603"/>
      <c r="B16" s="603" t="s">
        <v>772</v>
      </c>
      <c r="C16" s="603"/>
      <c r="D16" s="603" t="s">
        <v>1715</v>
      </c>
      <c r="E16" s="604" t="s">
        <v>1728</v>
      </c>
      <c r="F16" s="605" t="s">
        <v>1729</v>
      </c>
      <c r="G16" s="1083"/>
      <c r="H16" s="1083">
        <v>70588</v>
      </c>
      <c r="I16" s="1083"/>
      <c r="J16" s="1084"/>
      <c r="K16" s="120"/>
      <c r="L16" s="1085">
        <v>60185</v>
      </c>
      <c r="M16" s="120"/>
      <c r="N16" s="120"/>
      <c r="O16" s="1085"/>
      <c r="P16" s="5"/>
      <c r="Q16" s="5"/>
      <c r="R16" s="1176" t="s">
        <v>1810</v>
      </c>
      <c r="S16" s="18">
        <v>48677</v>
      </c>
      <c r="T16" s="18">
        <v>57980</v>
      </c>
      <c r="U16" s="5"/>
      <c r="V16" s="5"/>
      <c r="W16" s="5"/>
      <c r="X16" s="5"/>
      <c r="Y16" s="5"/>
      <c r="Z16" s="5"/>
      <c r="AA16" s="5"/>
      <c r="AB16" s="5"/>
      <c r="AC16" s="5"/>
      <c r="AD16" s="5"/>
      <c r="AE16" s="5"/>
      <c r="AF16" s="5"/>
      <c r="AG16" s="5"/>
      <c r="AH16" s="5"/>
      <c r="AI16" s="123"/>
      <c r="AJ16" s="123"/>
      <c r="AK16" s="123"/>
      <c r="AL16" s="123"/>
      <c r="AM16" s="593"/>
      <c r="AN16" s="124"/>
      <c r="AO16" s="594"/>
      <c r="AP16" s="384"/>
      <c r="AQ16" s="595"/>
      <c r="AR16" s="5"/>
      <c r="AS16" s="4"/>
      <c r="AT16" s="4"/>
      <c r="AU16" s="4"/>
      <c r="AV16" s="4"/>
      <c r="AW16" s="4"/>
      <c r="AX16" s="4"/>
      <c r="AY16" s="4"/>
      <c r="AZ16" s="4"/>
      <c r="BA16" s="4"/>
      <c r="BB16" s="4"/>
      <c r="BC16" s="4"/>
      <c r="BD16" s="4"/>
      <c r="BE16" s="4"/>
    </row>
    <row r="17" spans="1:57">
      <c r="A17" s="596"/>
      <c r="B17" s="596" t="s">
        <v>772</v>
      </c>
      <c r="C17" s="612" t="s">
        <v>1714</v>
      </c>
      <c r="D17" s="596" t="s">
        <v>1715</v>
      </c>
      <c r="E17" s="597" t="s">
        <v>1014</v>
      </c>
      <c r="F17" s="598" t="s">
        <v>24</v>
      </c>
      <c r="G17" s="1080">
        <v>5000</v>
      </c>
      <c r="H17" s="1080"/>
      <c r="I17" s="1080">
        <v>4808.1000000000004</v>
      </c>
      <c r="J17" s="1081"/>
      <c r="K17" s="602">
        <f>L18</f>
        <v>5000</v>
      </c>
      <c r="L17" s="3127"/>
      <c r="M17" s="1445"/>
      <c r="N17" s="1445"/>
      <c r="O17" s="1085"/>
      <c r="P17" s="19"/>
      <c r="Q17" s="4"/>
      <c r="R17" s="1176" t="s">
        <v>43</v>
      </c>
      <c r="S17" s="18">
        <v>1065868</v>
      </c>
      <c r="T17" s="18">
        <v>997247</v>
      </c>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row>
    <row r="18" spans="1:57">
      <c r="A18" s="603"/>
      <c r="B18" s="603" t="s">
        <v>772</v>
      </c>
      <c r="C18" s="603"/>
      <c r="D18" s="603" t="s">
        <v>1715</v>
      </c>
      <c r="E18" s="604" t="s">
        <v>1014</v>
      </c>
      <c r="F18" s="605" t="s">
        <v>24</v>
      </c>
      <c r="G18" s="1083"/>
      <c r="H18" s="1083">
        <v>5000</v>
      </c>
      <c r="I18" s="1083"/>
      <c r="J18" s="1084"/>
      <c r="K18" s="120"/>
      <c r="L18" s="1085">
        <v>5000</v>
      </c>
      <c r="M18" s="120"/>
      <c r="N18" s="120"/>
      <c r="O18" s="1085"/>
      <c r="P18" s="5"/>
      <c r="Q18" s="5"/>
      <c r="R18" s="1176" t="s">
        <v>1840</v>
      </c>
      <c r="S18" s="18">
        <v>70000</v>
      </c>
      <c r="T18" s="18">
        <v>52500</v>
      </c>
      <c r="U18" s="5"/>
      <c r="V18" s="5"/>
      <c r="W18" s="5"/>
      <c r="X18" s="5"/>
      <c r="Y18" s="5"/>
      <c r="Z18" s="5"/>
      <c r="AA18" s="5"/>
      <c r="AB18" s="5"/>
      <c r="AC18" s="5"/>
      <c r="AD18" s="5"/>
      <c r="AE18" s="5"/>
      <c r="AF18" s="5"/>
      <c r="AG18" s="5"/>
      <c r="AH18" s="5"/>
      <c r="AI18" s="123"/>
      <c r="AJ18" s="123"/>
      <c r="AK18" s="123"/>
      <c r="AL18" s="123"/>
      <c r="AM18" s="593"/>
      <c r="AN18" s="124"/>
      <c r="AO18" s="594"/>
      <c r="AP18" s="384"/>
      <c r="AQ18" s="595"/>
      <c r="AR18" s="5"/>
      <c r="AS18" s="4"/>
      <c r="AT18" s="4"/>
      <c r="AU18" s="4"/>
      <c r="AV18" s="4"/>
      <c r="AW18" s="4"/>
      <c r="AX18" s="4"/>
      <c r="AY18" s="4"/>
      <c r="AZ18" s="4"/>
      <c r="BA18" s="4"/>
      <c r="BB18" s="4"/>
      <c r="BC18" s="4"/>
      <c r="BD18" s="4"/>
      <c r="BE18" s="4"/>
    </row>
    <row r="19" spans="1:57" ht="20.399999999999999">
      <c r="A19" s="596"/>
      <c r="B19" s="596" t="s">
        <v>772</v>
      </c>
      <c r="C19" s="612" t="s">
        <v>1714</v>
      </c>
      <c r="D19" s="596" t="s">
        <v>1715</v>
      </c>
      <c r="E19" s="597" t="s">
        <v>1730</v>
      </c>
      <c r="F19" s="598" t="s">
        <v>1731</v>
      </c>
      <c r="G19" s="1080">
        <v>0</v>
      </c>
      <c r="H19" s="1080"/>
      <c r="I19" s="1080"/>
      <c r="J19" s="1081"/>
      <c r="K19" s="602">
        <f>L20</f>
        <v>0</v>
      </c>
      <c r="L19" s="3127"/>
      <c r="M19" s="1445"/>
      <c r="N19" s="1445"/>
      <c r="O19" s="1085"/>
      <c r="P19" s="19"/>
      <c r="Q19" s="4"/>
      <c r="R19" s="1176" t="s">
        <v>1842</v>
      </c>
      <c r="S19" s="18">
        <v>0</v>
      </c>
      <c r="T19" s="18">
        <v>0</v>
      </c>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row>
    <row r="20" spans="1:57">
      <c r="A20" s="603"/>
      <c r="B20" s="603" t="s">
        <v>772</v>
      </c>
      <c r="C20" s="603"/>
      <c r="D20" s="603" t="s">
        <v>1715</v>
      </c>
      <c r="E20" s="604" t="s">
        <v>1730</v>
      </c>
      <c r="F20" s="605"/>
      <c r="G20" s="1083"/>
      <c r="H20" s="1083"/>
      <c r="I20" s="1083"/>
      <c r="J20" s="1084"/>
      <c r="K20" s="120"/>
      <c r="L20" s="1085"/>
      <c r="M20" s="120"/>
      <c r="N20" s="120"/>
      <c r="O20" s="1085"/>
      <c r="P20" s="5"/>
      <c r="Q20" s="5"/>
      <c r="R20" s="1176" t="s">
        <v>40</v>
      </c>
      <c r="S20" s="18">
        <v>833236</v>
      </c>
      <c r="T20" s="18">
        <v>792241</v>
      </c>
      <c r="U20" s="5"/>
      <c r="V20" s="5"/>
      <c r="W20" s="5"/>
      <c r="X20" s="5"/>
      <c r="Y20" s="5"/>
      <c r="Z20" s="5"/>
      <c r="AA20" s="5"/>
      <c r="AB20" s="5"/>
      <c r="AC20" s="5"/>
      <c r="AD20" s="5"/>
      <c r="AE20" s="5"/>
      <c r="AF20" s="5"/>
      <c r="AG20" s="5"/>
      <c r="AH20" s="5"/>
      <c r="AI20" s="123"/>
      <c r="AJ20" s="123"/>
      <c r="AK20" s="123"/>
      <c r="AL20" s="123"/>
      <c r="AM20" s="593"/>
      <c r="AN20" s="124"/>
      <c r="AO20" s="594"/>
      <c r="AP20" s="384"/>
      <c r="AQ20" s="595"/>
      <c r="AR20" s="5"/>
      <c r="AS20" s="4"/>
      <c r="AT20" s="4"/>
      <c r="AU20" s="4"/>
      <c r="AV20" s="4"/>
      <c r="AW20" s="4"/>
      <c r="AX20" s="4"/>
      <c r="AY20" s="4"/>
      <c r="AZ20" s="4"/>
      <c r="BA20" s="4"/>
      <c r="BB20" s="4"/>
      <c r="BC20" s="4"/>
      <c r="BD20" s="4"/>
      <c r="BE20" s="4"/>
    </row>
    <row r="21" spans="1:57" ht="20.399999999999999">
      <c r="A21" s="596"/>
      <c r="B21" s="596" t="s">
        <v>772</v>
      </c>
      <c r="C21" s="612" t="s">
        <v>1714</v>
      </c>
      <c r="D21" s="596" t="s">
        <v>1715</v>
      </c>
      <c r="E21" s="597" t="s">
        <v>1732</v>
      </c>
      <c r="F21" s="598" t="s">
        <v>1733</v>
      </c>
      <c r="G21" s="1080">
        <v>10000</v>
      </c>
      <c r="H21" s="1080"/>
      <c r="I21" s="1080">
        <v>8495.74</v>
      </c>
      <c r="J21" s="1081"/>
      <c r="K21" s="602">
        <f>L22</f>
        <v>10000</v>
      </c>
      <c r="L21" s="3127"/>
      <c r="M21" s="1445"/>
      <c r="N21" s="1445"/>
      <c r="O21" s="1085"/>
      <c r="P21" s="19"/>
      <c r="Q21" s="4"/>
      <c r="R21" s="1176" t="s">
        <v>41</v>
      </c>
      <c r="S21" s="18">
        <v>313180</v>
      </c>
      <c r="T21" s="18">
        <v>313180</v>
      </c>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row>
    <row r="22" spans="1:57" ht="20.399999999999999">
      <c r="A22" s="603"/>
      <c r="B22" s="603" t="s">
        <v>772</v>
      </c>
      <c r="C22" s="603"/>
      <c r="D22" s="603" t="s">
        <v>1715</v>
      </c>
      <c r="E22" s="604" t="s">
        <v>1732</v>
      </c>
      <c r="F22" s="605" t="s">
        <v>1733</v>
      </c>
      <c r="G22" s="1083"/>
      <c r="H22" s="1083">
        <v>10000</v>
      </c>
      <c r="I22" s="1083"/>
      <c r="J22" s="1084"/>
      <c r="K22" s="120"/>
      <c r="L22" s="1085">
        <v>10000</v>
      </c>
      <c r="M22" s="120"/>
      <c r="N22" s="120"/>
      <c r="O22" s="1085"/>
      <c r="P22" s="5"/>
      <c r="Q22" s="5"/>
      <c r="R22" s="1176" t="s">
        <v>42</v>
      </c>
      <c r="S22" s="18">
        <v>117542</v>
      </c>
      <c r="T22" s="18">
        <v>0</v>
      </c>
      <c r="U22" s="5"/>
      <c r="V22" s="5"/>
      <c r="W22" s="5"/>
      <c r="X22" s="5"/>
      <c r="Y22" s="5"/>
      <c r="Z22" s="5"/>
      <c r="AA22" s="5"/>
      <c r="AB22" s="5"/>
      <c r="AC22" s="5"/>
      <c r="AD22" s="5"/>
      <c r="AE22" s="5"/>
      <c r="AF22" s="5"/>
      <c r="AG22" s="5"/>
      <c r="AH22" s="5"/>
      <c r="AI22" s="123"/>
      <c r="AJ22" s="123"/>
      <c r="AK22" s="123"/>
      <c r="AL22" s="123"/>
      <c r="AM22" s="593"/>
      <c r="AN22" s="124"/>
      <c r="AO22" s="594"/>
      <c r="AP22" s="384"/>
      <c r="AQ22" s="595"/>
      <c r="AR22" s="5"/>
      <c r="AS22" s="4"/>
      <c r="AT22" s="4"/>
      <c r="AU22" s="4"/>
      <c r="AV22" s="4"/>
      <c r="AW22" s="4"/>
      <c r="AX22" s="4"/>
      <c r="AY22" s="4"/>
      <c r="AZ22" s="4"/>
      <c r="BA22" s="4"/>
      <c r="BB22" s="4"/>
      <c r="BC22" s="4"/>
      <c r="BD22" s="4"/>
      <c r="BE22" s="4"/>
    </row>
    <row r="23" spans="1:57">
      <c r="A23" s="596"/>
      <c r="B23" s="596" t="s">
        <v>772</v>
      </c>
      <c r="C23" s="612" t="s">
        <v>1714</v>
      </c>
      <c r="D23" s="596" t="s">
        <v>1715</v>
      </c>
      <c r="E23" s="597" t="s">
        <v>1021</v>
      </c>
      <c r="F23" s="598"/>
      <c r="G23" s="1080">
        <v>952269</v>
      </c>
      <c r="H23" s="1080"/>
      <c r="I23" s="1080">
        <v>634484</v>
      </c>
      <c r="J23" s="1081"/>
      <c r="K23" s="602">
        <f>L24</f>
        <v>947155</v>
      </c>
      <c r="L23" s="3127"/>
      <c r="M23" s="1445"/>
      <c r="N23" s="1445"/>
      <c r="O23" s="1085"/>
      <c r="P23" s="5"/>
      <c r="Q23" s="4"/>
      <c r="R23" s="1176" t="s">
        <v>589</v>
      </c>
      <c r="S23" s="18">
        <v>36139</v>
      </c>
      <c r="T23" s="18">
        <v>35420</v>
      </c>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row>
    <row r="24" spans="1:57" ht="20.399999999999999">
      <c r="A24" s="603"/>
      <c r="B24" s="603" t="s">
        <v>772</v>
      </c>
      <c r="C24" s="603"/>
      <c r="D24" s="603" t="s">
        <v>1715</v>
      </c>
      <c r="E24" s="604" t="s">
        <v>1021</v>
      </c>
      <c r="F24" s="605" t="s">
        <v>3038</v>
      </c>
      <c r="G24" s="1083"/>
      <c r="H24" s="1083">
        <v>952269</v>
      </c>
      <c r="I24" s="1083"/>
      <c r="J24" s="1084"/>
      <c r="K24" s="120"/>
      <c r="L24" s="1085">
        <v>947155</v>
      </c>
      <c r="M24" s="120"/>
      <c r="N24" s="120"/>
      <c r="O24" s="1085"/>
      <c r="P24" s="5"/>
      <c r="Q24" s="5"/>
      <c r="R24" s="1176" t="s">
        <v>46</v>
      </c>
      <c r="S24" s="18">
        <v>580000</v>
      </c>
      <c r="T24" s="18">
        <v>642000</v>
      </c>
      <c r="U24" s="5"/>
      <c r="V24" s="5"/>
      <c r="W24" s="5"/>
      <c r="X24" s="5"/>
      <c r="Y24" s="5"/>
      <c r="Z24" s="5"/>
      <c r="AA24" s="5"/>
      <c r="AB24" s="5"/>
      <c r="AC24" s="5"/>
      <c r="AD24" s="5"/>
      <c r="AE24" s="5"/>
      <c r="AF24" s="5"/>
      <c r="AG24" s="5"/>
      <c r="AH24" s="5"/>
      <c r="AI24" s="123"/>
      <c r="AJ24" s="123"/>
      <c r="AK24" s="123"/>
      <c r="AL24" s="123"/>
      <c r="AM24" s="593"/>
      <c r="AN24" s="124"/>
      <c r="AO24" s="594"/>
      <c r="AP24" s="384"/>
      <c r="AQ24" s="595"/>
      <c r="AR24" s="5"/>
      <c r="AS24" s="4"/>
      <c r="AT24" s="4"/>
      <c r="AU24" s="4"/>
      <c r="AV24" s="4"/>
      <c r="AW24" s="4"/>
      <c r="AX24" s="4"/>
      <c r="AY24" s="4"/>
      <c r="AZ24" s="4"/>
      <c r="BA24" s="4"/>
      <c r="BB24" s="4"/>
      <c r="BC24" s="4"/>
      <c r="BD24" s="4"/>
      <c r="BE24" s="4"/>
    </row>
    <row r="25" spans="1:57" ht="30.6">
      <c r="A25" s="596"/>
      <c r="B25" s="596" t="s">
        <v>772</v>
      </c>
      <c r="C25" s="612" t="s">
        <v>305</v>
      </c>
      <c r="D25" s="612" t="s">
        <v>431</v>
      </c>
      <c r="E25" s="597" t="s">
        <v>1746</v>
      </c>
      <c r="F25" s="598" t="s">
        <v>1747</v>
      </c>
      <c r="G25" s="1080">
        <v>20000</v>
      </c>
      <c r="H25" s="1080"/>
      <c r="I25" s="1080">
        <v>22228</v>
      </c>
      <c r="J25" s="1081"/>
      <c r="K25" s="602">
        <f>L26</f>
        <v>23000</v>
      </c>
      <c r="L25" s="3127"/>
      <c r="M25" s="1445"/>
      <c r="N25" s="1445"/>
      <c r="O25" s="1085"/>
      <c r="P25" s="5"/>
      <c r="Q25" s="4"/>
      <c r="R25" s="1176" t="s">
        <v>45</v>
      </c>
      <c r="S25" s="18">
        <v>623605</v>
      </c>
      <c r="T25" s="18">
        <v>704819</v>
      </c>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row>
    <row r="26" spans="1:57" ht="30.6">
      <c r="A26" s="603"/>
      <c r="B26" s="603" t="s">
        <v>772</v>
      </c>
      <c r="C26" s="603"/>
      <c r="D26" s="603" t="s">
        <v>431</v>
      </c>
      <c r="E26" s="604" t="s">
        <v>1746</v>
      </c>
      <c r="F26" s="605" t="s">
        <v>1747</v>
      </c>
      <c r="G26" s="1083"/>
      <c r="H26" s="1083">
        <v>20000</v>
      </c>
      <c r="I26" s="1083"/>
      <c r="J26" s="1084"/>
      <c r="K26" s="120"/>
      <c r="L26" s="1085">
        <v>23000</v>
      </c>
      <c r="M26" s="120"/>
      <c r="N26" s="120"/>
      <c r="O26" s="1085"/>
      <c r="P26" s="19"/>
      <c r="Q26" s="5"/>
      <c r="R26" s="1176" t="s">
        <v>2662</v>
      </c>
      <c r="S26" s="18">
        <v>0</v>
      </c>
      <c r="T26" s="18">
        <v>9799</v>
      </c>
      <c r="U26" s="5"/>
      <c r="V26" s="5"/>
      <c r="W26" s="5"/>
      <c r="X26" s="5"/>
      <c r="Y26" s="5"/>
      <c r="Z26" s="5"/>
      <c r="AA26" s="5"/>
      <c r="AB26" s="5"/>
      <c r="AC26" s="5"/>
      <c r="AD26" s="5"/>
      <c r="AE26" s="5"/>
      <c r="AF26" s="5"/>
      <c r="AG26" s="5"/>
      <c r="AH26" s="5"/>
      <c r="AI26" s="123"/>
      <c r="AJ26" s="123"/>
      <c r="AK26" s="123"/>
      <c r="AL26" s="123"/>
      <c r="AM26" s="593"/>
      <c r="AN26" s="124"/>
      <c r="AO26" s="594"/>
      <c r="AP26" s="384"/>
      <c r="AQ26" s="595"/>
      <c r="AR26" s="5"/>
      <c r="AS26" s="4"/>
      <c r="AT26" s="4"/>
      <c r="AU26" s="4"/>
      <c r="AV26" s="4"/>
      <c r="AW26" s="4"/>
      <c r="AX26" s="4"/>
      <c r="AY26" s="4"/>
      <c r="AZ26" s="4"/>
      <c r="BA26" s="4"/>
      <c r="BB26" s="4"/>
      <c r="BC26" s="4"/>
      <c r="BD26" s="4"/>
      <c r="BE26" s="4"/>
    </row>
    <row r="27" spans="1:57" ht="20.399999999999999">
      <c r="A27" s="596"/>
      <c r="B27" s="596" t="s">
        <v>772</v>
      </c>
      <c r="C27" s="612" t="s">
        <v>305</v>
      </c>
      <c r="D27" s="612" t="s">
        <v>431</v>
      </c>
      <c r="E27" s="597" t="s">
        <v>1749</v>
      </c>
      <c r="F27" s="598" t="s">
        <v>1750</v>
      </c>
      <c r="G27" s="1080">
        <v>4500</v>
      </c>
      <c r="H27" s="1080"/>
      <c r="I27" s="1080">
        <v>2880</v>
      </c>
      <c r="J27" s="1081"/>
      <c r="K27" s="602">
        <f>L28</f>
        <v>4500</v>
      </c>
      <c r="L27" s="3127"/>
      <c r="M27" s="1445"/>
      <c r="N27" s="1445"/>
      <c r="O27" s="1085"/>
      <c r="P27" s="5"/>
      <c r="Q27" s="4"/>
      <c r="R27" s="1176" t="s">
        <v>1319</v>
      </c>
      <c r="S27" s="18">
        <v>7720985.849522423</v>
      </c>
      <c r="T27" s="18">
        <v>8893820.3007999994</v>
      </c>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row>
    <row r="28" spans="1:57" ht="20.399999999999999">
      <c r="A28" s="603"/>
      <c r="B28" s="603" t="s">
        <v>772</v>
      </c>
      <c r="C28" s="603"/>
      <c r="D28" s="603" t="s">
        <v>431</v>
      </c>
      <c r="E28" s="604" t="s">
        <v>1749</v>
      </c>
      <c r="F28" s="605" t="s">
        <v>1750</v>
      </c>
      <c r="G28" s="1083"/>
      <c r="H28" s="1083">
        <v>4500</v>
      </c>
      <c r="I28" s="1083"/>
      <c r="J28" s="1084"/>
      <c r="K28" s="1094"/>
      <c r="L28" s="1085">
        <v>4500</v>
      </c>
      <c r="M28" s="120"/>
      <c r="N28" s="120"/>
      <c r="O28" s="1085"/>
      <c r="P28" s="19"/>
      <c r="Q28" s="5"/>
      <c r="R28" s="1176" t="s">
        <v>1837</v>
      </c>
      <c r="S28" s="18">
        <v>0</v>
      </c>
      <c r="T28" s="18">
        <v>0</v>
      </c>
      <c r="U28" s="5"/>
      <c r="V28" s="5"/>
      <c r="W28" s="5"/>
      <c r="X28" s="5"/>
      <c r="Y28" s="5"/>
      <c r="Z28" s="5"/>
      <c r="AA28" s="5"/>
      <c r="AB28" s="5"/>
      <c r="AC28" s="5"/>
      <c r="AD28" s="5"/>
      <c r="AE28" s="5"/>
      <c r="AF28" s="5"/>
      <c r="AG28" s="5"/>
      <c r="AH28" s="5"/>
      <c r="AI28" s="123"/>
      <c r="AJ28" s="123"/>
      <c r="AK28" s="123"/>
      <c r="AL28" s="123"/>
      <c r="AM28" s="593"/>
      <c r="AN28" s="124"/>
      <c r="AO28" s="594"/>
      <c r="AP28" s="384"/>
      <c r="AQ28" s="595"/>
      <c r="AR28" s="5"/>
      <c r="AS28" s="4"/>
      <c r="AT28" s="4"/>
      <c r="AU28" s="4"/>
      <c r="AV28" s="4"/>
      <c r="AW28" s="4"/>
      <c r="AX28" s="4"/>
      <c r="AY28" s="4"/>
      <c r="AZ28" s="4"/>
      <c r="BA28" s="4"/>
      <c r="BB28" s="4"/>
      <c r="BC28" s="4"/>
      <c r="BD28" s="4"/>
      <c r="BE28" s="4"/>
    </row>
    <row r="29" spans="1:57" ht="20.399999999999999">
      <c r="A29" s="596"/>
      <c r="B29" s="596" t="s">
        <v>772</v>
      </c>
      <c r="C29" s="612" t="s">
        <v>305</v>
      </c>
      <c r="D29" s="612" t="s">
        <v>431</v>
      </c>
      <c r="E29" s="597" t="s">
        <v>1751</v>
      </c>
      <c r="F29" s="598" t="s">
        <v>1752</v>
      </c>
      <c r="G29" s="1080">
        <v>500</v>
      </c>
      <c r="H29" s="1080"/>
      <c r="I29" s="1080">
        <v>184</v>
      </c>
      <c r="J29" s="1081"/>
      <c r="K29" s="602">
        <f>L30</f>
        <v>500</v>
      </c>
      <c r="L29" s="3127"/>
      <c r="M29" s="1445"/>
      <c r="N29" s="1445"/>
      <c r="O29" s="1085"/>
      <c r="P29" s="5"/>
      <c r="Q29" s="4"/>
      <c r="R29" s="1176" t="s">
        <v>1816</v>
      </c>
      <c r="S29" s="18">
        <v>0</v>
      </c>
      <c r="T29" s="18">
        <v>0</v>
      </c>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row>
    <row r="30" spans="1:57" ht="20.399999999999999">
      <c r="A30" s="603"/>
      <c r="B30" s="603" t="s">
        <v>772</v>
      </c>
      <c r="C30" s="603"/>
      <c r="D30" s="603" t="s">
        <v>431</v>
      </c>
      <c r="E30" s="604" t="s">
        <v>1751</v>
      </c>
      <c r="F30" s="605" t="s">
        <v>1752</v>
      </c>
      <c r="G30" s="1083"/>
      <c r="H30" s="1083">
        <v>500</v>
      </c>
      <c r="I30" s="1083"/>
      <c r="J30" s="1084"/>
      <c r="K30" s="1094"/>
      <c r="L30" s="1085">
        <v>500</v>
      </c>
      <c r="M30" s="120"/>
      <c r="N30" s="120"/>
      <c r="O30" s="1087"/>
      <c r="P30" s="19"/>
      <c r="Q30" s="5"/>
      <c r="R30" s="1175" t="s">
        <v>52</v>
      </c>
      <c r="S30" s="2537">
        <v>350000</v>
      </c>
      <c r="T30" s="2537">
        <v>355000</v>
      </c>
      <c r="U30" s="5"/>
      <c r="V30" s="5"/>
      <c r="W30" s="5"/>
      <c r="X30" s="5"/>
      <c r="Y30" s="5"/>
      <c r="Z30" s="5"/>
      <c r="AA30" s="5"/>
      <c r="AB30" s="5"/>
      <c r="AC30" s="5"/>
      <c r="AD30" s="5"/>
      <c r="AE30" s="5"/>
      <c r="AF30" s="5"/>
      <c r="AG30" s="5"/>
      <c r="AH30" s="5"/>
      <c r="AI30" s="123"/>
      <c r="AJ30" s="123"/>
      <c r="AK30" s="123"/>
      <c r="AL30" s="123"/>
      <c r="AM30" s="593"/>
      <c r="AN30" s="124"/>
      <c r="AO30" s="594"/>
      <c r="AP30" s="384"/>
      <c r="AQ30" s="595"/>
      <c r="AR30" s="5"/>
      <c r="AS30" s="4"/>
      <c r="AT30" s="4"/>
      <c r="AU30" s="4"/>
      <c r="AV30" s="4"/>
      <c r="AW30" s="4"/>
      <c r="AX30" s="4"/>
      <c r="AY30" s="4"/>
      <c r="AZ30" s="4"/>
      <c r="BA30" s="4"/>
      <c r="BB30" s="4"/>
      <c r="BC30" s="4"/>
      <c r="BD30" s="4"/>
      <c r="BE30" s="4"/>
    </row>
    <row r="31" spans="1:57" ht="20.399999999999999">
      <c r="A31" s="596"/>
      <c r="B31" s="596" t="s">
        <v>772</v>
      </c>
      <c r="C31" s="612" t="s">
        <v>305</v>
      </c>
      <c r="D31" s="612" t="s">
        <v>431</v>
      </c>
      <c r="E31" s="597" t="s">
        <v>1753</v>
      </c>
      <c r="F31" s="598" t="s">
        <v>1754</v>
      </c>
      <c r="G31" s="1080">
        <v>100</v>
      </c>
      <c r="H31" s="1080"/>
      <c r="I31" s="1080">
        <v>35</v>
      </c>
      <c r="J31" s="1081"/>
      <c r="K31" s="602">
        <f>L32</f>
        <v>100</v>
      </c>
      <c r="L31" s="3128"/>
      <c r="M31" s="1445"/>
      <c r="N31" s="1445"/>
      <c r="O31" s="1087"/>
      <c r="P31" s="5"/>
      <c r="Q31" s="4"/>
      <c r="R31" s="1175" t="s">
        <v>59</v>
      </c>
      <c r="S31" s="2537">
        <v>61000</v>
      </c>
      <c r="T31" s="2537">
        <v>1696</v>
      </c>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row>
    <row r="32" spans="1:57" ht="20.399999999999999">
      <c r="A32" s="603"/>
      <c r="B32" s="603" t="s">
        <v>772</v>
      </c>
      <c r="C32" s="603"/>
      <c r="D32" s="603" t="s">
        <v>431</v>
      </c>
      <c r="E32" s="604" t="s">
        <v>1753</v>
      </c>
      <c r="F32" s="605" t="s">
        <v>1754</v>
      </c>
      <c r="G32" s="1083"/>
      <c r="H32" s="1083">
        <v>100</v>
      </c>
      <c r="I32" s="1083"/>
      <c r="J32" s="1084"/>
      <c r="K32" s="1094"/>
      <c r="L32" s="1085">
        <v>100</v>
      </c>
      <c r="M32" s="120"/>
      <c r="N32" s="120"/>
      <c r="O32" s="1085"/>
      <c r="P32" s="19"/>
      <c r="Q32" s="5"/>
      <c r="R32" s="1175" t="s">
        <v>61</v>
      </c>
      <c r="S32" s="2537">
        <v>158800</v>
      </c>
      <c r="T32" s="2537">
        <v>162800</v>
      </c>
      <c r="U32" s="5"/>
      <c r="V32" s="5"/>
      <c r="W32" s="5"/>
      <c r="X32" s="5"/>
      <c r="Y32" s="5"/>
      <c r="Z32" s="5"/>
      <c r="AA32" s="5"/>
      <c r="AB32" s="5"/>
      <c r="AC32" s="5"/>
      <c r="AD32" s="5"/>
      <c r="AE32" s="5"/>
      <c r="AF32" s="5"/>
      <c r="AG32" s="5"/>
      <c r="AH32" s="5"/>
      <c r="AI32" s="123"/>
      <c r="AJ32" s="123"/>
      <c r="AK32" s="123"/>
      <c r="AL32" s="123"/>
      <c r="AM32" s="593"/>
      <c r="AN32" s="124"/>
      <c r="AO32" s="594"/>
      <c r="AP32" s="384"/>
      <c r="AQ32" s="595"/>
      <c r="AR32" s="5"/>
      <c r="AS32" s="4"/>
      <c r="AT32" s="4"/>
      <c r="AU32" s="4"/>
      <c r="AV32" s="4"/>
      <c r="AW32" s="4"/>
      <c r="AX32" s="4"/>
      <c r="AY32" s="4"/>
      <c r="AZ32" s="4"/>
      <c r="BA32" s="4"/>
      <c r="BB32" s="4"/>
      <c r="BC32" s="4"/>
      <c r="BD32" s="4"/>
      <c r="BE32" s="4"/>
    </row>
    <row r="33" spans="1:57" ht="20.399999999999999">
      <c r="A33" s="596"/>
      <c r="B33" s="596" t="s">
        <v>772</v>
      </c>
      <c r="C33" s="612" t="s">
        <v>305</v>
      </c>
      <c r="D33" s="612" t="s">
        <v>431</v>
      </c>
      <c r="E33" s="597" t="s">
        <v>1755</v>
      </c>
      <c r="F33" s="598" t="s">
        <v>1756</v>
      </c>
      <c r="G33" s="1080">
        <v>1600</v>
      </c>
      <c r="H33" s="1080"/>
      <c r="I33" s="1080">
        <v>2117</v>
      </c>
      <c r="J33" s="1081"/>
      <c r="K33" s="602">
        <f>L34</f>
        <v>4000</v>
      </c>
      <c r="L33" s="3127"/>
      <c r="M33" s="1445"/>
      <c r="N33" s="1445"/>
      <c r="O33" s="1085"/>
      <c r="P33" s="5"/>
      <c r="Q33" s="4"/>
      <c r="R33" s="1176" t="s">
        <v>1798</v>
      </c>
      <c r="S33" s="18">
        <v>0</v>
      </c>
      <c r="T33" s="18">
        <v>0</v>
      </c>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row>
    <row r="34" spans="1:57" ht="20.399999999999999">
      <c r="A34" s="603"/>
      <c r="B34" s="603" t="s">
        <v>772</v>
      </c>
      <c r="C34" s="603"/>
      <c r="D34" s="603" t="s">
        <v>431</v>
      </c>
      <c r="E34" s="604" t="s">
        <v>1755</v>
      </c>
      <c r="F34" s="605" t="s">
        <v>1756</v>
      </c>
      <c r="G34" s="1083"/>
      <c r="H34" s="1083">
        <v>1600</v>
      </c>
      <c r="I34" s="1083"/>
      <c r="J34" s="1084"/>
      <c r="K34" s="120"/>
      <c r="L34" s="1085">
        <v>4000</v>
      </c>
      <c r="M34" s="120"/>
      <c r="N34" s="120"/>
      <c r="O34" s="1085"/>
      <c r="P34" s="19"/>
      <c r="Q34" s="5"/>
      <c r="R34" s="1175" t="s">
        <v>64</v>
      </c>
      <c r="S34" s="2537">
        <v>236370.02</v>
      </c>
      <c r="T34" s="2537">
        <v>236911.78</v>
      </c>
      <c r="U34" s="5"/>
      <c r="V34" s="5"/>
      <c r="W34" s="5"/>
      <c r="X34" s="5"/>
      <c r="Y34" s="5"/>
      <c r="Z34" s="5"/>
      <c r="AA34" s="5"/>
      <c r="AB34" s="5"/>
      <c r="AC34" s="5"/>
      <c r="AD34" s="5"/>
      <c r="AE34" s="5"/>
      <c r="AF34" s="5"/>
      <c r="AG34" s="5"/>
      <c r="AH34" s="5"/>
      <c r="AI34" s="123"/>
      <c r="AJ34" s="123"/>
      <c r="AK34" s="123"/>
      <c r="AL34" s="123"/>
      <c r="AM34" s="593"/>
      <c r="AN34" s="124"/>
      <c r="AO34" s="594"/>
      <c r="AP34" s="384"/>
      <c r="AQ34" s="595"/>
      <c r="AR34" s="5"/>
      <c r="AS34" s="4"/>
      <c r="AT34" s="4"/>
      <c r="AU34" s="4"/>
      <c r="AV34" s="4"/>
      <c r="AW34" s="4"/>
      <c r="AX34" s="4"/>
      <c r="AY34" s="4"/>
      <c r="AZ34" s="4"/>
      <c r="BA34" s="4"/>
      <c r="BB34" s="4"/>
      <c r="BC34" s="4"/>
      <c r="BD34" s="4"/>
      <c r="BE34" s="4"/>
    </row>
    <row r="35" spans="1:57">
      <c r="A35" s="596"/>
      <c r="B35" s="596" t="s">
        <v>772</v>
      </c>
      <c r="C35" s="612" t="s">
        <v>305</v>
      </c>
      <c r="D35" s="612" t="s">
        <v>431</v>
      </c>
      <c r="E35" s="597" t="s">
        <v>1757</v>
      </c>
      <c r="F35" s="598" t="s">
        <v>1758</v>
      </c>
      <c r="G35" s="1080">
        <v>10000</v>
      </c>
      <c r="H35" s="1080"/>
      <c r="I35" s="1080">
        <v>10693</v>
      </c>
      <c r="J35" s="1081"/>
      <c r="K35" s="602">
        <f>L36</f>
        <v>14000</v>
      </c>
      <c r="L35" s="3128"/>
      <c r="M35" s="1445"/>
      <c r="N35" s="1445"/>
      <c r="O35" s="1085"/>
      <c r="P35" s="5"/>
      <c r="Q35" s="4"/>
      <c r="R35" s="1175" t="s">
        <v>65</v>
      </c>
      <c r="S35" s="2537">
        <v>96000</v>
      </c>
      <c r="T35" s="2537">
        <v>103000</v>
      </c>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row>
    <row r="36" spans="1:57">
      <c r="A36" s="603"/>
      <c r="B36" s="603" t="s">
        <v>772</v>
      </c>
      <c r="C36" s="603"/>
      <c r="D36" s="603" t="s">
        <v>431</v>
      </c>
      <c r="E36" s="604" t="s">
        <v>1757</v>
      </c>
      <c r="F36" s="605" t="s">
        <v>1758</v>
      </c>
      <c r="G36" s="1083"/>
      <c r="H36" s="1083">
        <v>10000</v>
      </c>
      <c r="I36" s="1083"/>
      <c r="J36" s="1084"/>
      <c r="K36" s="120"/>
      <c r="L36" s="1085">
        <v>14000</v>
      </c>
      <c r="M36" s="120"/>
      <c r="N36" s="120"/>
      <c r="O36" s="1085"/>
      <c r="P36" s="19"/>
      <c r="Q36" s="5"/>
      <c r="R36" s="1175" t="s">
        <v>1067</v>
      </c>
      <c r="S36" s="2537">
        <v>0</v>
      </c>
      <c r="T36" s="2537">
        <v>0</v>
      </c>
      <c r="U36" s="5"/>
      <c r="V36" s="5"/>
      <c r="W36" s="5"/>
      <c r="X36" s="5"/>
      <c r="Y36" s="5"/>
      <c r="Z36" s="5"/>
      <c r="AA36" s="5"/>
      <c r="AB36" s="5"/>
      <c r="AC36" s="5"/>
      <c r="AD36" s="5"/>
      <c r="AE36" s="5"/>
      <c r="AF36" s="5"/>
      <c r="AG36" s="5"/>
      <c r="AH36" s="5"/>
      <c r="AI36" s="123"/>
      <c r="AJ36" s="123"/>
      <c r="AK36" s="123"/>
      <c r="AL36" s="123"/>
      <c r="AM36" s="593"/>
      <c r="AN36" s="124"/>
      <c r="AO36" s="594"/>
      <c r="AP36" s="384"/>
      <c r="AQ36" s="595"/>
      <c r="AR36" s="5"/>
      <c r="AS36" s="4"/>
      <c r="AT36" s="4"/>
      <c r="AU36" s="4"/>
      <c r="AV36" s="4"/>
      <c r="AW36" s="4"/>
      <c r="AX36" s="4"/>
      <c r="AY36" s="4"/>
      <c r="AZ36" s="4"/>
      <c r="BA36" s="4"/>
      <c r="BB36" s="4"/>
      <c r="BC36" s="4"/>
      <c r="BD36" s="4"/>
      <c r="BE36" s="4"/>
    </row>
    <row r="37" spans="1:57">
      <c r="A37" s="596"/>
      <c r="B37" s="596" t="s">
        <v>772</v>
      </c>
      <c r="C37" s="612" t="s">
        <v>305</v>
      </c>
      <c r="D37" s="612" t="s">
        <v>431</v>
      </c>
      <c r="E37" s="597" t="s">
        <v>1759</v>
      </c>
      <c r="F37" s="598" t="s">
        <v>1760</v>
      </c>
      <c r="G37" s="1080">
        <v>4500</v>
      </c>
      <c r="H37" s="1080"/>
      <c r="I37" s="1080">
        <v>1819</v>
      </c>
      <c r="J37" s="1081"/>
      <c r="K37" s="602">
        <f>L38</f>
        <v>4500</v>
      </c>
      <c r="L37" s="3128"/>
      <c r="M37" s="1445"/>
      <c r="N37" s="1445"/>
      <c r="O37" s="1085"/>
      <c r="P37" s="5"/>
      <c r="Q37" s="4"/>
      <c r="R37" s="1175" t="s">
        <v>1284</v>
      </c>
      <c r="S37" s="2537">
        <v>7000</v>
      </c>
      <c r="T37" s="2537">
        <v>2000</v>
      </c>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row>
    <row r="38" spans="1:57">
      <c r="A38" s="603"/>
      <c r="B38" s="603" t="s">
        <v>772</v>
      </c>
      <c r="C38" s="603"/>
      <c r="D38" s="603" t="s">
        <v>431</v>
      </c>
      <c r="E38" s="604" t="s">
        <v>1759</v>
      </c>
      <c r="F38" s="605" t="s">
        <v>1760</v>
      </c>
      <c r="G38" s="1083"/>
      <c r="H38" s="1083">
        <v>4500</v>
      </c>
      <c r="I38" s="1083"/>
      <c r="J38" s="1084"/>
      <c r="K38" s="1094"/>
      <c r="L38" s="1085">
        <v>4500</v>
      </c>
      <c r="M38" s="120"/>
      <c r="N38" s="120"/>
      <c r="O38" s="1085"/>
      <c r="P38" s="19"/>
      <c r="Q38" s="5"/>
      <c r="R38" s="1175" t="s">
        <v>1744</v>
      </c>
      <c r="S38" s="2537">
        <v>0</v>
      </c>
      <c r="T38" s="2537">
        <v>0</v>
      </c>
      <c r="U38" s="5"/>
      <c r="V38" s="5"/>
      <c r="W38" s="5"/>
      <c r="X38" s="5"/>
      <c r="Y38" s="5"/>
      <c r="Z38" s="5"/>
      <c r="AA38" s="5"/>
      <c r="AB38" s="5"/>
      <c r="AC38" s="5"/>
      <c r="AD38" s="5"/>
      <c r="AE38" s="5"/>
      <c r="AF38" s="5"/>
      <c r="AG38" s="5"/>
      <c r="AH38" s="5"/>
      <c r="AI38" s="123"/>
      <c r="AJ38" s="123"/>
      <c r="AK38" s="123"/>
      <c r="AL38" s="123"/>
      <c r="AM38" s="593"/>
      <c r="AN38" s="124"/>
      <c r="AO38" s="594"/>
      <c r="AP38" s="384"/>
      <c r="AQ38" s="595"/>
      <c r="AR38" s="5"/>
      <c r="AS38" s="4"/>
      <c r="AT38" s="4"/>
      <c r="AU38" s="4"/>
      <c r="AV38" s="4"/>
      <c r="AW38" s="4"/>
      <c r="AX38" s="4"/>
      <c r="AY38" s="4"/>
      <c r="AZ38" s="4"/>
      <c r="BA38" s="4"/>
      <c r="BB38" s="4"/>
      <c r="BC38" s="4"/>
      <c r="BD38" s="4"/>
      <c r="BE38" s="4"/>
    </row>
    <row r="39" spans="1:57" ht="20.399999999999999">
      <c r="A39" s="596"/>
      <c r="B39" s="596" t="s">
        <v>772</v>
      </c>
      <c r="C39" s="612" t="s">
        <v>305</v>
      </c>
      <c r="D39" s="612" t="s">
        <v>431</v>
      </c>
      <c r="E39" s="597" t="s">
        <v>1735</v>
      </c>
      <c r="F39" s="598" t="s">
        <v>1736</v>
      </c>
      <c r="G39" s="1088">
        <v>0</v>
      </c>
      <c r="H39" s="1088"/>
      <c r="I39" s="1088">
        <v>6075</v>
      </c>
      <c r="J39" s="1089"/>
      <c r="K39" s="602">
        <f>L40</f>
        <v>0</v>
      </c>
      <c r="L39" s="3128"/>
      <c r="M39" s="1445"/>
      <c r="N39" s="1445"/>
      <c r="P39" s="5"/>
      <c r="Q39" s="4"/>
      <c r="R39" s="1175" t="s">
        <v>1794</v>
      </c>
      <c r="S39" s="2537">
        <v>48000</v>
      </c>
      <c r="T39" s="2537">
        <v>45000</v>
      </c>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row>
    <row r="40" spans="1:57">
      <c r="A40" s="603"/>
      <c r="B40" s="603" t="s">
        <v>772</v>
      </c>
      <c r="C40" s="603"/>
      <c r="D40" s="603" t="s">
        <v>431</v>
      </c>
      <c r="E40" s="604" t="s">
        <v>1735</v>
      </c>
      <c r="F40" s="605"/>
      <c r="G40" s="1090"/>
      <c r="H40" s="1090">
        <v>0</v>
      </c>
      <c r="I40" s="1090"/>
      <c r="J40" s="1091"/>
      <c r="K40" s="1094"/>
      <c r="L40" s="1502">
        <v>0</v>
      </c>
      <c r="M40" s="120"/>
      <c r="N40" s="120"/>
      <c r="P40" s="19"/>
      <c r="Q40" s="5"/>
      <c r="R40" s="1175" t="s">
        <v>1796</v>
      </c>
      <c r="S40" s="2537">
        <v>7000</v>
      </c>
      <c r="T40" s="2537">
        <v>8500</v>
      </c>
      <c r="U40" s="5"/>
      <c r="V40" s="5"/>
      <c r="W40" s="5"/>
      <c r="X40" s="5"/>
      <c r="Y40" s="5"/>
      <c r="Z40" s="5"/>
      <c r="AA40" s="5"/>
      <c r="AB40" s="5"/>
      <c r="AC40" s="5"/>
      <c r="AD40" s="5"/>
      <c r="AE40" s="5"/>
      <c r="AF40" s="5"/>
      <c r="AG40" s="5"/>
      <c r="AH40" s="5"/>
      <c r="AI40" s="123"/>
      <c r="AJ40" s="123"/>
      <c r="AK40" s="123"/>
      <c r="AL40" s="123"/>
      <c r="AM40" s="593"/>
      <c r="AN40" s="124"/>
      <c r="AO40" s="594"/>
      <c r="AP40" s="384"/>
      <c r="AQ40" s="595"/>
      <c r="AR40" s="5"/>
      <c r="AS40" s="4"/>
      <c r="AT40" s="4"/>
      <c r="AU40" s="4"/>
      <c r="AV40" s="4"/>
      <c r="AW40" s="4"/>
      <c r="AX40" s="4"/>
      <c r="AY40" s="4"/>
      <c r="AZ40" s="4"/>
      <c r="BA40" s="4"/>
      <c r="BB40" s="4"/>
      <c r="BC40" s="4"/>
      <c r="BD40" s="4"/>
      <c r="BE40" s="4"/>
    </row>
    <row r="41" spans="1:57" ht="20.399999999999999">
      <c r="A41" s="596"/>
      <c r="B41" s="596" t="s">
        <v>772</v>
      </c>
      <c r="C41" s="612" t="s">
        <v>305</v>
      </c>
      <c r="D41" s="596" t="s">
        <v>431</v>
      </c>
      <c r="E41" s="597" t="s">
        <v>1737</v>
      </c>
      <c r="F41" s="598" t="s">
        <v>1738</v>
      </c>
      <c r="G41" s="1080">
        <v>0</v>
      </c>
      <c r="H41" s="1080"/>
      <c r="I41" s="1080">
        <v>21.96</v>
      </c>
      <c r="J41" s="1081"/>
      <c r="K41" s="602">
        <f>L42</f>
        <v>0</v>
      </c>
      <c r="L41" s="3128"/>
      <c r="M41" s="1445"/>
      <c r="N41" s="1445"/>
      <c r="O41" s="1085"/>
      <c r="P41" s="5"/>
      <c r="Q41" s="4"/>
      <c r="R41" s="1175" t="s">
        <v>1764</v>
      </c>
      <c r="S41" s="2537">
        <v>46973</v>
      </c>
      <c r="T41" s="2537">
        <v>65657</v>
      </c>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row>
    <row r="42" spans="1:57">
      <c r="A42" s="603"/>
      <c r="B42" s="603" t="s">
        <v>772</v>
      </c>
      <c r="C42" s="603"/>
      <c r="D42" s="603" t="s">
        <v>431</v>
      </c>
      <c r="E42" s="604" t="s">
        <v>1737</v>
      </c>
      <c r="F42" s="605" t="s">
        <v>1739</v>
      </c>
      <c r="G42" s="1083"/>
      <c r="H42" s="1083"/>
      <c r="I42" s="1083"/>
      <c r="J42" s="1084"/>
      <c r="K42" s="120"/>
      <c r="L42" s="1502"/>
      <c r="M42" s="120"/>
      <c r="N42" s="120"/>
      <c r="O42" s="1085"/>
      <c r="P42" s="19"/>
      <c r="Q42" s="5"/>
      <c r="R42" s="1175" t="s">
        <v>1767</v>
      </c>
      <c r="S42" s="18">
        <v>0</v>
      </c>
      <c r="T42" s="18">
        <v>0</v>
      </c>
      <c r="U42" s="5"/>
      <c r="V42" s="5"/>
      <c r="W42" s="5"/>
      <c r="X42" s="5"/>
      <c r="Y42" s="5"/>
      <c r="Z42" s="5"/>
      <c r="AA42" s="5"/>
      <c r="AB42" s="5"/>
      <c r="AC42" s="5"/>
      <c r="AD42" s="5"/>
      <c r="AE42" s="5"/>
      <c r="AF42" s="5"/>
      <c r="AG42" s="5"/>
      <c r="AH42" s="5"/>
      <c r="AI42" s="123"/>
      <c r="AJ42" s="123"/>
      <c r="AK42" s="123"/>
      <c r="AL42" s="123"/>
      <c r="AM42" s="593"/>
      <c r="AN42" s="124"/>
      <c r="AO42" s="594"/>
      <c r="AP42" s="384"/>
      <c r="AQ42" s="595"/>
      <c r="AR42" s="5"/>
      <c r="AS42" s="4"/>
      <c r="AT42" s="4"/>
      <c r="AU42" s="4"/>
      <c r="AV42" s="4"/>
      <c r="AW42" s="4"/>
      <c r="AX42" s="4"/>
      <c r="AY42" s="4"/>
      <c r="AZ42" s="4"/>
      <c r="BA42" s="4"/>
      <c r="BB42" s="4"/>
      <c r="BC42" s="4"/>
      <c r="BD42" s="4"/>
      <c r="BE42" s="4"/>
    </row>
    <row r="43" spans="1:57" hidden="1">
      <c r="A43" s="596"/>
      <c r="B43" s="596" t="s">
        <v>326</v>
      </c>
      <c r="C43" s="612" t="s">
        <v>305</v>
      </c>
      <c r="D43" s="612" t="s">
        <v>431</v>
      </c>
      <c r="E43" s="597" t="s">
        <v>45</v>
      </c>
      <c r="F43" s="598" t="s">
        <v>1762</v>
      </c>
      <c r="G43" s="1088">
        <v>0</v>
      </c>
      <c r="H43" s="1088"/>
      <c r="I43" s="1088">
        <v>4568</v>
      </c>
      <c r="J43" s="1089"/>
      <c r="K43" s="602">
        <f>L44</f>
        <v>0</v>
      </c>
      <c r="L43" s="3128"/>
      <c r="M43" s="1445"/>
      <c r="N43" s="1445"/>
      <c r="O43" s="1085"/>
      <c r="P43" s="5"/>
      <c r="Q43" s="4"/>
      <c r="R43" s="1176" t="s">
        <v>2637</v>
      </c>
      <c r="S43" s="18">
        <v>0</v>
      </c>
      <c r="T43" s="18">
        <v>0</v>
      </c>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row>
    <row r="44" spans="1:57" ht="40.799999999999997" hidden="1">
      <c r="A44" s="603"/>
      <c r="B44" s="603" t="s">
        <v>326</v>
      </c>
      <c r="C44" s="603"/>
      <c r="D44" s="603" t="s">
        <v>431</v>
      </c>
      <c r="E44" s="604" t="s">
        <v>45</v>
      </c>
      <c r="F44" s="605" t="s">
        <v>1763</v>
      </c>
      <c r="G44" s="1090"/>
      <c r="H44" s="1090">
        <v>0</v>
      </c>
      <c r="I44" s="1090"/>
      <c r="J44" s="1091"/>
      <c r="K44" s="1094"/>
      <c r="L44" s="1502">
        <v>0</v>
      </c>
      <c r="M44" s="120"/>
      <c r="N44" s="120"/>
      <c r="O44" s="1085"/>
      <c r="P44" s="19"/>
      <c r="Q44" s="5"/>
      <c r="R44" s="1176" t="s">
        <v>2659</v>
      </c>
      <c r="S44" s="18">
        <v>0</v>
      </c>
      <c r="T44" s="18">
        <v>0</v>
      </c>
      <c r="U44" s="5"/>
      <c r="V44" s="5"/>
      <c r="W44" s="5"/>
      <c r="X44" s="5"/>
      <c r="Y44" s="5"/>
      <c r="Z44" s="5"/>
      <c r="AA44" s="5"/>
      <c r="AB44" s="5"/>
      <c r="AC44" s="5"/>
      <c r="AD44" s="5"/>
      <c r="AE44" s="5"/>
      <c r="AF44" s="5"/>
      <c r="AG44" s="5"/>
      <c r="AH44" s="5"/>
      <c r="AI44" s="123"/>
      <c r="AJ44" s="123"/>
      <c r="AK44" s="123"/>
      <c r="AL44" s="123"/>
      <c r="AM44" s="593"/>
      <c r="AN44" s="124"/>
      <c r="AO44" s="594"/>
      <c r="AP44" s="384"/>
      <c r="AQ44" s="595"/>
      <c r="AR44" s="5"/>
      <c r="AS44" s="4"/>
      <c r="AT44" s="4"/>
      <c r="AU44" s="4"/>
      <c r="AV44" s="4"/>
      <c r="AW44" s="4"/>
      <c r="AX44" s="4"/>
      <c r="AY44" s="4"/>
      <c r="AZ44" s="4"/>
      <c r="BA44" s="4"/>
      <c r="BB44" s="4"/>
      <c r="BC44" s="4"/>
      <c r="BD44" s="4"/>
      <c r="BE44" s="4"/>
    </row>
    <row r="45" spans="1:57">
      <c r="A45" s="596"/>
      <c r="B45" s="596" t="s">
        <v>772</v>
      </c>
      <c r="C45" s="612" t="s">
        <v>305</v>
      </c>
      <c r="D45" s="612" t="s">
        <v>431</v>
      </c>
      <c r="E45" s="597" t="s">
        <v>65</v>
      </c>
      <c r="F45" s="598" t="s">
        <v>1742</v>
      </c>
      <c r="G45" s="1080">
        <v>0</v>
      </c>
      <c r="H45" s="1080"/>
      <c r="I45" s="1080">
        <v>6651</v>
      </c>
      <c r="J45" s="1081"/>
      <c r="K45" s="602">
        <f>SUM(L46:L48)</f>
        <v>6000</v>
      </c>
      <c r="L45" s="3128"/>
      <c r="M45" s="1445"/>
      <c r="N45" s="1445">
        <f>(K45+K49)/121*21</f>
        <v>2950.413223140496</v>
      </c>
      <c r="O45" s="1085"/>
      <c r="P45" s="5"/>
      <c r="Q45" s="4"/>
      <c r="R45" s="1175" t="s">
        <v>1718</v>
      </c>
      <c r="S45" s="2537">
        <v>1945625.2941176472</v>
      </c>
      <c r="T45" s="2537">
        <v>1945590.9982352939</v>
      </c>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row>
    <row r="46" spans="1:57">
      <c r="A46" s="603"/>
      <c r="B46" s="603" t="s">
        <v>772</v>
      </c>
      <c r="C46" s="603"/>
      <c r="D46" s="603" t="s">
        <v>431</v>
      </c>
      <c r="E46" s="604" t="s">
        <v>65</v>
      </c>
      <c r="F46" s="605" t="s">
        <v>3459</v>
      </c>
      <c r="G46" s="1083"/>
      <c r="H46" s="1083"/>
      <c r="I46" s="1083"/>
      <c r="J46" s="1084"/>
      <c r="K46" s="1094"/>
      <c r="L46" s="1085">
        <v>1250</v>
      </c>
      <c r="M46" s="120"/>
      <c r="N46" s="120"/>
      <c r="O46" s="1085"/>
      <c r="P46" s="19"/>
      <c r="Q46" s="5"/>
      <c r="R46" s="1175" t="s">
        <v>1720</v>
      </c>
      <c r="S46" s="2537">
        <v>137000</v>
      </c>
      <c r="T46" s="2537">
        <v>101202</v>
      </c>
      <c r="U46" s="5"/>
      <c r="V46" s="5"/>
      <c r="W46" s="5"/>
      <c r="X46" s="5"/>
      <c r="Y46" s="5"/>
      <c r="Z46" s="5"/>
      <c r="AA46" s="5"/>
      <c r="AB46" s="5"/>
      <c r="AC46" s="5"/>
      <c r="AD46" s="5"/>
      <c r="AE46" s="5"/>
      <c r="AF46" s="5"/>
      <c r="AG46" s="5"/>
      <c r="AH46" s="5"/>
      <c r="AI46" s="123"/>
      <c r="AJ46" s="123"/>
      <c r="AK46" s="123"/>
      <c r="AL46" s="123"/>
      <c r="AM46" s="593"/>
      <c r="AN46" s="124"/>
      <c r="AO46" s="594"/>
      <c r="AP46" s="384"/>
      <c r="AQ46" s="595"/>
      <c r="AR46" s="5"/>
      <c r="AS46" s="4"/>
      <c r="AT46" s="4"/>
      <c r="AU46" s="4"/>
      <c r="AV46" s="4"/>
      <c r="AW46" s="4"/>
      <c r="AX46" s="4"/>
      <c r="AY46" s="4"/>
      <c r="AZ46" s="4"/>
      <c r="BA46" s="4"/>
      <c r="BB46" s="4"/>
      <c r="BC46" s="4"/>
      <c r="BD46" s="4"/>
      <c r="BE46" s="4"/>
    </row>
    <row r="47" spans="1:57">
      <c r="A47" s="596"/>
      <c r="B47" s="603" t="s">
        <v>772</v>
      </c>
      <c r="C47" s="603"/>
      <c r="D47" s="603" t="s">
        <v>431</v>
      </c>
      <c r="E47" s="604" t="s">
        <v>65</v>
      </c>
      <c r="F47" s="1496" t="s">
        <v>3460</v>
      </c>
      <c r="G47" s="1083"/>
      <c r="H47" s="1083"/>
      <c r="I47" s="1083"/>
      <c r="J47" s="1084"/>
      <c r="K47" s="1094"/>
      <c r="L47" s="1085">
        <f>850*2</f>
        <v>1700</v>
      </c>
      <c r="M47" s="120"/>
      <c r="N47" s="120"/>
      <c r="O47" s="1085"/>
      <c r="P47" s="5"/>
      <c r="Q47" s="4"/>
      <c r="R47" s="1175" t="s">
        <v>1722</v>
      </c>
      <c r="S47" s="2537">
        <v>362227.76470588235</v>
      </c>
      <c r="T47" s="2537">
        <v>392303.99941176467</v>
      </c>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row>
    <row r="48" spans="1:57">
      <c r="A48" s="603"/>
      <c r="B48" s="603" t="s">
        <v>772</v>
      </c>
      <c r="C48" s="603"/>
      <c r="D48" s="603" t="s">
        <v>431</v>
      </c>
      <c r="E48" s="604" t="s">
        <v>65</v>
      </c>
      <c r="F48" s="1496" t="s">
        <v>3461</v>
      </c>
      <c r="G48" s="1083"/>
      <c r="H48" s="1083"/>
      <c r="I48" s="1083"/>
      <c r="J48" s="1084"/>
      <c r="K48" s="1094"/>
      <c r="L48" s="1085">
        <v>3050</v>
      </c>
      <c r="M48" s="120"/>
      <c r="N48" s="120"/>
      <c r="O48" s="1085"/>
      <c r="P48" s="19"/>
      <c r="Q48" s="5"/>
      <c r="R48" s="1175" t="s">
        <v>1724</v>
      </c>
      <c r="S48" s="2537">
        <v>30000</v>
      </c>
      <c r="T48" s="2537">
        <v>54624</v>
      </c>
      <c r="U48" s="5"/>
      <c r="V48" s="5"/>
      <c r="W48" s="5"/>
      <c r="X48" s="5"/>
      <c r="Y48" s="5"/>
      <c r="Z48" s="5"/>
      <c r="AA48" s="5"/>
      <c r="AB48" s="5"/>
      <c r="AC48" s="5"/>
      <c r="AD48" s="5"/>
      <c r="AE48" s="5"/>
      <c r="AF48" s="5"/>
      <c r="AG48" s="5"/>
      <c r="AH48" s="5"/>
      <c r="AI48" s="123"/>
      <c r="AJ48" s="123"/>
      <c r="AK48" s="123"/>
      <c r="AL48" s="123"/>
      <c r="AM48" s="593"/>
      <c r="AN48" s="124"/>
      <c r="AO48" s="594"/>
      <c r="AP48" s="384"/>
      <c r="AQ48" s="595"/>
      <c r="AR48" s="5"/>
      <c r="AS48" s="4"/>
      <c r="AT48" s="4"/>
      <c r="AU48" s="4"/>
      <c r="AV48" s="4"/>
      <c r="AW48" s="4"/>
      <c r="AX48" s="4"/>
      <c r="AY48" s="4"/>
      <c r="AZ48" s="4"/>
      <c r="BA48" s="4"/>
      <c r="BB48" s="4"/>
      <c r="BC48" s="4"/>
      <c r="BD48" s="4"/>
      <c r="BE48" s="4"/>
    </row>
    <row r="49" spans="1:57">
      <c r="A49" s="596"/>
      <c r="B49" s="596" t="s">
        <v>772</v>
      </c>
      <c r="C49" s="612" t="s">
        <v>305</v>
      </c>
      <c r="D49" s="612" t="s">
        <v>431</v>
      </c>
      <c r="E49" s="597" t="s">
        <v>1764</v>
      </c>
      <c r="F49" s="598" t="s">
        <v>1765</v>
      </c>
      <c r="G49" s="1080">
        <v>15000</v>
      </c>
      <c r="H49" s="1080"/>
      <c r="I49" s="1080">
        <v>8581.27</v>
      </c>
      <c r="J49" s="1081"/>
      <c r="K49" s="602">
        <f>L50</f>
        <v>11000</v>
      </c>
      <c r="L49" s="3128"/>
      <c r="M49" s="1445"/>
      <c r="N49" s="1445"/>
      <c r="O49" s="1085"/>
      <c r="P49" s="5"/>
      <c r="Q49" s="4"/>
      <c r="R49" s="1175" t="s">
        <v>1726</v>
      </c>
      <c r="S49" s="2537">
        <v>665898.5294117647</v>
      </c>
      <c r="T49" s="2537">
        <v>670098.99529411772</v>
      </c>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row>
    <row r="50" spans="1:57">
      <c r="A50" s="603"/>
      <c r="B50" s="603" t="s">
        <v>772</v>
      </c>
      <c r="C50" s="603"/>
      <c r="D50" s="603" t="s">
        <v>431</v>
      </c>
      <c r="E50" s="604" t="s">
        <v>1764</v>
      </c>
      <c r="F50" s="605" t="s">
        <v>1766</v>
      </c>
      <c r="G50" s="1083"/>
      <c r="H50" s="1083">
        <v>15000</v>
      </c>
      <c r="I50" s="1083"/>
      <c r="J50" s="1084"/>
      <c r="K50" s="1094"/>
      <c r="L50" s="1085">
        <v>11000</v>
      </c>
      <c r="M50" s="120"/>
      <c r="N50" s="120"/>
      <c r="O50" s="1085"/>
      <c r="P50" s="19"/>
      <c r="Q50" s="5"/>
      <c r="R50" s="1175" t="s">
        <v>1728</v>
      </c>
      <c r="S50" s="2537">
        <v>70588</v>
      </c>
      <c r="T50" s="2537">
        <v>60185</v>
      </c>
      <c r="U50" s="5"/>
      <c r="V50" s="5"/>
      <c r="W50" s="5"/>
      <c r="X50" s="5"/>
      <c r="Y50" s="5"/>
      <c r="Z50" s="5"/>
      <c r="AA50" s="5"/>
      <c r="AB50" s="5"/>
      <c r="AC50" s="5"/>
      <c r="AD50" s="5"/>
      <c r="AE50" s="5"/>
      <c r="AF50" s="5"/>
      <c r="AG50" s="5"/>
      <c r="AH50" s="5"/>
      <c r="AI50" s="123"/>
      <c r="AJ50" s="123"/>
      <c r="AK50" s="123"/>
      <c r="AL50" s="123"/>
      <c r="AM50" s="593"/>
      <c r="AN50" s="124"/>
      <c r="AO50" s="594"/>
      <c r="AP50" s="384"/>
      <c r="AQ50" s="595"/>
      <c r="AR50" s="5"/>
      <c r="AS50" s="4"/>
      <c r="AT50" s="4"/>
      <c r="AU50" s="4"/>
      <c r="AV50" s="4"/>
      <c r="AW50" s="4"/>
      <c r="AX50" s="4"/>
      <c r="AY50" s="4"/>
      <c r="AZ50" s="4"/>
      <c r="BA50" s="4"/>
      <c r="BB50" s="4"/>
      <c r="BC50" s="4"/>
      <c r="BD50" s="4"/>
      <c r="BE50" s="4"/>
    </row>
    <row r="51" spans="1:57">
      <c r="A51" s="596"/>
      <c r="B51" s="596" t="s">
        <v>772</v>
      </c>
      <c r="C51" s="612" t="s">
        <v>305</v>
      </c>
      <c r="D51" s="612" t="s">
        <v>431</v>
      </c>
      <c r="E51" s="597" t="s">
        <v>1767</v>
      </c>
      <c r="F51" s="598" t="s">
        <v>1768</v>
      </c>
      <c r="G51" s="1080">
        <v>0</v>
      </c>
      <c r="H51" s="1080"/>
      <c r="I51" s="1080">
        <v>8.4700000000000006</v>
      </c>
      <c r="J51" s="1081"/>
      <c r="K51" s="602">
        <f>L52</f>
        <v>0</v>
      </c>
      <c r="L51" s="3127"/>
      <c r="M51" s="1445"/>
      <c r="N51" s="1445"/>
      <c r="O51" s="1085"/>
      <c r="P51" s="5"/>
      <c r="Q51" s="4"/>
      <c r="R51" s="1175" t="s">
        <v>1014</v>
      </c>
      <c r="S51" s="2537">
        <v>5000</v>
      </c>
      <c r="T51" s="2537">
        <v>5000</v>
      </c>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row>
    <row r="52" spans="1:57">
      <c r="A52" s="603"/>
      <c r="B52" s="603" t="s">
        <v>772</v>
      </c>
      <c r="C52" s="603"/>
      <c r="D52" s="603" t="s">
        <v>431</v>
      </c>
      <c r="E52" s="604" t="s">
        <v>1767</v>
      </c>
      <c r="F52" s="605" t="s">
        <v>1769</v>
      </c>
      <c r="G52" s="1083"/>
      <c r="H52" s="1083">
        <v>0</v>
      </c>
      <c r="I52" s="1083"/>
      <c r="J52" s="1084"/>
      <c r="K52" s="120"/>
      <c r="L52" s="1085">
        <v>0</v>
      </c>
      <c r="M52" s="120"/>
      <c r="N52" s="120"/>
      <c r="O52" s="1085"/>
      <c r="P52" s="19"/>
      <c r="Q52" s="5"/>
      <c r="R52" s="1175" t="s">
        <v>1013</v>
      </c>
      <c r="S52" s="18">
        <v>60000</v>
      </c>
      <c r="T52" s="18">
        <v>70000</v>
      </c>
      <c r="U52" s="5"/>
      <c r="V52" s="5"/>
      <c r="W52" s="5"/>
      <c r="X52" s="5"/>
      <c r="Y52" s="5"/>
      <c r="Z52" s="5"/>
      <c r="AA52" s="5"/>
      <c r="AB52" s="5"/>
      <c r="AC52" s="5"/>
      <c r="AD52" s="5"/>
      <c r="AE52" s="5"/>
      <c r="AF52" s="5"/>
      <c r="AG52" s="5"/>
      <c r="AH52" s="5"/>
      <c r="AI52" s="123"/>
      <c r="AJ52" s="123"/>
      <c r="AK52" s="123"/>
      <c r="AL52" s="123"/>
      <c r="AM52" s="593"/>
      <c r="AN52" s="124"/>
      <c r="AO52" s="594"/>
      <c r="AP52" s="384"/>
      <c r="AQ52" s="595"/>
      <c r="AR52" s="5"/>
      <c r="AS52" s="4"/>
      <c r="AT52" s="4"/>
      <c r="AU52" s="4"/>
      <c r="AV52" s="4"/>
      <c r="AW52" s="4"/>
      <c r="AX52" s="4"/>
      <c r="AY52" s="4"/>
      <c r="AZ52" s="4"/>
      <c r="BA52" s="4"/>
      <c r="BB52" s="4"/>
      <c r="BC52" s="4"/>
      <c r="BD52" s="4"/>
      <c r="BE52" s="4"/>
    </row>
    <row r="53" spans="1:57" ht="20.399999999999999" hidden="1">
      <c r="A53" s="596"/>
      <c r="B53" s="3289" t="s">
        <v>326</v>
      </c>
      <c r="C53" s="612" t="s">
        <v>306</v>
      </c>
      <c r="D53" s="612" t="s">
        <v>1894</v>
      </c>
      <c r="E53" s="597" t="s">
        <v>1735</v>
      </c>
      <c r="F53" s="598" t="s">
        <v>1736</v>
      </c>
      <c r="G53" s="1088">
        <v>0</v>
      </c>
      <c r="H53" s="1088"/>
      <c r="I53" s="1088">
        <v>1800</v>
      </c>
      <c r="J53" s="1089"/>
      <c r="K53" s="602">
        <f>L54</f>
        <v>0</v>
      </c>
      <c r="L53" s="602"/>
      <c r="M53" s="1445"/>
      <c r="N53" s="1445"/>
      <c r="O53" s="1085"/>
      <c r="P53" s="5"/>
      <c r="Q53" s="4"/>
      <c r="R53" s="1175" t="s">
        <v>1730</v>
      </c>
      <c r="S53" s="2537">
        <v>0</v>
      </c>
      <c r="T53" s="2537">
        <v>0</v>
      </c>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row>
    <row r="54" spans="1:57" ht="20.399999999999999" hidden="1">
      <c r="A54" s="603"/>
      <c r="B54" s="3290" t="s">
        <v>326</v>
      </c>
      <c r="C54" s="603"/>
      <c r="D54" s="603" t="s">
        <v>1894</v>
      </c>
      <c r="E54" s="604" t="s">
        <v>1735</v>
      </c>
      <c r="F54" s="605" t="s">
        <v>3344</v>
      </c>
      <c r="G54" s="1090"/>
      <c r="H54" s="1090">
        <v>0</v>
      </c>
      <c r="I54" s="1090"/>
      <c r="J54" s="1091"/>
      <c r="K54" s="120"/>
      <c r="L54" s="120"/>
      <c r="M54" s="120"/>
      <c r="N54" s="120"/>
      <c r="O54" s="1085"/>
      <c r="P54" s="19"/>
      <c r="Q54" s="5"/>
      <c r="R54" s="1175" t="s">
        <v>1746</v>
      </c>
      <c r="S54" s="2537">
        <v>20000</v>
      </c>
      <c r="T54" s="2537">
        <v>23000</v>
      </c>
      <c r="U54" s="5"/>
      <c r="V54" s="5"/>
      <c r="W54" s="5"/>
      <c r="X54" s="5"/>
      <c r="Y54" s="5"/>
      <c r="Z54" s="5"/>
      <c r="AA54" s="5"/>
      <c r="AB54" s="5"/>
      <c r="AC54" s="5"/>
      <c r="AD54" s="5"/>
      <c r="AE54" s="5"/>
      <c r="AF54" s="5"/>
      <c r="AG54" s="5"/>
      <c r="AH54" s="5"/>
      <c r="AI54" s="123"/>
      <c r="AJ54" s="123"/>
      <c r="AK54" s="123"/>
      <c r="AL54" s="123"/>
      <c r="AM54" s="593"/>
      <c r="AN54" s="124"/>
      <c r="AO54" s="594"/>
      <c r="AP54" s="384"/>
      <c r="AQ54" s="595"/>
      <c r="AR54" s="5"/>
      <c r="AS54" s="4"/>
      <c r="AT54" s="4"/>
      <c r="AU54" s="4"/>
      <c r="AV54" s="4"/>
      <c r="AW54" s="4"/>
      <c r="AX54" s="4"/>
      <c r="AY54" s="4"/>
      <c r="AZ54" s="4"/>
      <c r="BA54" s="4"/>
      <c r="BB54" s="4"/>
      <c r="BC54" s="4"/>
      <c r="BD54" s="4"/>
      <c r="BE54" s="4"/>
    </row>
    <row r="55" spans="1:57" hidden="1">
      <c r="A55" s="596"/>
      <c r="B55" s="3289" t="s">
        <v>326</v>
      </c>
      <c r="C55" s="612" t="s">
        <v>306</v>
      </c>
      <c r="D55" s="612" t="s">
        <v>1894</v>
      </c>
      <c r="E55" s="597" t="s">
        <v>45</v>
      </c>
      <c r="F55" s="598" t="s">
        <v>1762</v>
      </c>
      <c r="G55" s="1088">
        <v>0</v>
      </c>
      <c r="H55" s="1088"/>
      <c r="I55" s="1088">
        <v>0</v>
      </c>
      <c r="J55" s="1089"/>
      <c r="K55" s="602">
        <f>L56</f>
        <v>88984</v>
      </c>
      <c r="L55" s="602"/>
      <c r="M55" s="1445"/>
      <c r="N55" s="1445"/>
      <c r="O55" s="1085"/>
      <c r="P55" s="5"/>
      <c r="Q55" s="4"/>
      <c r="R55" s="1175" t="s">
        <v>1748</v>
      </c>
      <c r="S55" s="2537">
        <v>0</v>
      </c>
      <c r="T55" s="2537">
        <v>0</v>
      </c>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row>
    <row r="56" spans="1:57" ht="30.6" hidden="1">
      <c r="A56" s="603"/>
      <c r="B56" s="3290" t="s">
        <v>326</v>
      </c>
      <c r="C56" s="603"/>
      <c r="D56" s="603" t="s">
        <v>1894</v>
      </c>
      <c r="E56" s="604" t="s">
        <v>45</v>
      </c>
      <c r="F56" s="605" t="s">
        <v>2633</v>
      </c>
      <c r="G56" s="1090"/>
      <c r="H56" s="1090">
        <v>0</v>
      </c>
      <c r="I56" s="1090"/>
      <c r="J56" s="1091"/>
      <c r="K56" s="120"/>
      <c r="L56" s="120">
        <v>88984</v>
      </c>
      <c r="M56" s="120"/>
      <c r="N56" s="120"/>
      <c r="O56" s="1085"/>
      <c r="P56" s="19"/>
      <c r="Q56" s="5"/>
      <c r="R56" s="1175" t="s">
        <v>1827</v>
      </c>
      <c r="S56" s="2537">
        <v>1100</v>
      </c>
      <c r="T56" s="2537">
        <v>1100</v>
      </c>
      <c r="U56" s="5"/>
      <c r="V56" s="5"/>
      <c r="W56" s="5"/>
      <c r="X56" s="5"/>
      <c r="Y56" s="5"/>
      <c r="Z56" s="5"/>
      <c r="AA56" s="5"/>
      <c r="AB56" s="5"/>
      <c r="AC56" s="5"/>
      <c r="AD56" s="5"/>
      <c r="AE56" s="5"/>
      <c r="AF56" s="5"/>
      <c r="AG56" s="5"/>
      <c r="AH56" s="5"/>
      <c r="AI56" s="123"/>
      <c r="AJ56" s="123"/>
      <c r="AK56" s="123"/>
      <c r="AL56" s="123"/>
      <c r="AM56" s="593"/>
      <c r="AN56" s="124"/>
      <c r="AO56" s="594"/>
      <c r="AP56" s="384"/>
      <c r="AQ56" s="595"/>
      <c r="AR56" s="5"/>
      <c r="AS56" s="4"/>
      <c r="AT56" s="4"/>
      <c r="AU56" s="4"/>
      <c r="AV56" s="4"/>
      <c r="AW56" s="4"/>
      <c r="AX56" s="4"/>
      <c r="AY56" s="4"/>
      <c r="AZ56" s="4"/>
      <c r="BA56" s="4"/>
      <c r="BB56" s="4"/>
      <c r="BC56" s="4"/>
      <c r="BD56" s="4"/>
      <c r="BE56" s="4"/>
    </row>
    <row r="57" spans="1:57">
      <c r="A57" s="596"/>
      <c r="B57" s="596" t="s">
        <v>772</v>
      </c>
      <c r="C57" s="612" t="s">
        <v>307</v>
      </c>
      <c r="D57" s="1658" t="s">
        <v>1895</v>
      </c>
      <c r="E57" s="597" t="s">
        <v>31</v>
      </c>
      <c r="F57" s="598" t="s">
        <v>1761</v>
      </c>
      <c r="G57" s="1080">
        <v>85000</v>
      </c>
      <c r="H57" s="1080"/>
      <c r="I57" s="1080">
        <v>88800.62</v>
      </c>
      <c r="J57" s="1081"/>
      <c r="K57" s="1659">
        <f>L58</f>
        <v>85000</v>
      </c>
      <c r="L57" s="1659"/>
      <c r="M57" s="1445"/>
      <c r="N57" s="1445"/>
      <c r="O57" s="1085"/>
      <c r="P57" s="5"/>
      <c r="Q57" s="4"/>
      <c r="R57" s="1175" t="s">
        <v>1749</v>
      </c>
      <c r="S57" s="2537">
        <v>4500</v>
      </c>
      <c r="T57" s="2537">
        <v>4500</v>
      </c>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row>
    <row r="58" spans="1:57">
      <c r="A58" s="603"/>
      <c r="B58" s="603" t="s">
        <v>772</v>
      </c>
      <c r="C58" s="603"/>
      <c r="D58" s="616" t="s">
        <v>1895</v>
      </c>
      <c r="E58" s="604" t="s">
        <v>31</v>
      </c>
      <c r="F58" s="605"/>
      <c r="G58" s="1083"/>
      <c r="H58" s="1083">
        <v>85000</v>
      </c>
      <c r="I58" s="1083"/>
      <c r="J58" s="1084"/>
      <c r="K58" s="1660"/>
      <c r="L58" s="1660">
        <v>85000</v>
      </c>
      <c r="M58" s="120"/>
      <c r="N58" s="120"/>
      <c r="O58" s="1085"/>
      <c r="P58" s="19"/>
      <c r="Q58" s="5"/>
      <c r="R58" s="1175" t="s">
        <v>1751</v>
      </c>
      <c r="S58" s="2537">
        <v>500</v>
      </c>
      <c r="T58" s="2537">
        <v>500</v>
      </c>
      <c r="U58" s="5"/>
      <c r="V58" s="5"/>
      <c r="W58" s="5"/>
      <c r="X58" s="5"/>
      <c r="Y58" s="5"/>
      <c r="Z58" s="5"/>
      <c r="AA58" s="5"/>
      <c r="AB58" s="5"/>
      <c r="AC58" s="5"/>
      <c r="AD58" s="5"/>
      <c r="AE58" s="5"/>
      <c r="AF58" s="5"/>
      <c r="AG58" s="5"/>
      <c r="AH58" s="5"/>
      <c r="AI58" s="123"/>
      <c r="AJ58" s="123"/>
      <c r="AK58" s="123"/>
      <c r="AL58" s="123"/>
      <c r="AM58" s="593"/>
      <c r="AN58" s="124"/>
      <c r="AO58" s="594"/>
      <c r="AP58" s="384"/>
      <c r="AQ58" s="595"/>
      <c r="AR58" s="5"/>
      <c r="AS58" s="4"/>
      <c r="AT58" s="4"/>
      <c r="AU58" s="4"/>
      <c r="AV58" s="4"/>
      <c r="AW58" s="4"/>
      <c r="AX58" s="4"/>
      <c r="AY58" s="4"/>
      <c r="AZ58" s="4"/>
      <c r="BA58" s="4"/>
      <c r="BB58" s="4"/>
      <c r="BC58" s="4"/>
      <c r="BD58" s="4"/>
      <c r="BE58" s="4"/>
    </row>
    <row r="59" spans="1:57">
      <c r="A59" s="596"/>
      <c r="B59" s="596" t="s">
        <v>772</v>
      </c>
      <c r="C59" s="612" t="s">
        <v>309</v>
      </c>
      <c r="D59" s="612" t="s">
        <v>407</v>
      </c>
      <c r="E59" s="597" t="s">
        <v>31</v>
      </c>
      <c r="F59" s="598" t="s">
        <v>1761</v>
      </c>
      <c r="G59" s="1080">
        <v>5000</v>
      </c>
      <c r="H59" s="1080"/>
      <c r="I59" s="1080">
        <v>6840.48</v>
      </c>
      <c r="J59" s="1081"/>
      <c r="K59" s="602">
        <f>L60</f>
        <v>5000</v>
      </c>
      <c r="L59" s="602"/>
      <c r="M59" s="1445"/>
      <c r="N59" s="1445"/>
      <c r="O59" s="1085"/>
      <c r="P59" s="5"/>
      <c r="Q59" s="4"/>
      <c r="R59" s="1175" t="s">
        <v>1753</v>
      </c>
      <c r="S59" s="2537">
        <v>100</v>
      </c>
      <c r="T59" s="2537">
        <v>100</v>
      </c>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row>
    <row r="60" spans="1:57">
      <c r="A60" s="603"/>
      <c r="B60" s="603" t="s">
        <v>772</v>
      </c>
      <c r="C60" s="603"/>
      <c r="D60" s="603" t="s">
        <v>407</v>
      </c>
      <c r="E60" s="604" t="s">
        <v>31</v>
      </c>
      <c r="F60" s="605"/>
      <c r="G60" s="1083"/>
      <c r="H60" s="1083">
        <v>5000</v>
      </c>
      <c r="I60" s="1083"/>
      <c r="J60" s="1084"/>
      <c r="K60" s="120"/>
      <c r="L60" s="120">
        <v>5000</v>
      </c>
      <c r="M60" s="120"/>
      <c r="N60" s="120"/>
      <c r="O60" s="1085"/>
      <c r="P60" s="19"/>
      <c r="Q60" s="5"/>
      <c r="R60" s="1175" t="s">
        <v>1755</v>
      </c>
      <c r="S60" s="2537">
        <v>1860</v>
      </c>
      <c r="T60" s="2537">
        <v>4300</v>
      </c>
      <c r="U60" s="5"/>
      <c r="V60" s="5"/>
      <c r="W60" s="5"/>
      <c r="X60" s="5"/>
      <c r="Y60" s="5"/>
      <c r="Z60" s="5"/>
      <c r="AA60" s="5"/>
      <c r="AB60" s="5"/>
      <c r="AC60" s="5"/>
      <c r="AD60" s="5"/>
      <c r="AE60" s="5"/>
      <c r="AF60" s="5"/>
      <c r="AG60" s="5"/>
      <c r="AH60" s="5"/>
      <c r="AI60" s="123"/>
      <c r="AJ60" s="123"/>
      <c r="AK60" s="123"/>
      <c r="AL60" s="123"/>
      <c r="AM60" s="593"/>
      <c r="AN60" s="124"/>
      <c r="AO60" s="594"/>
      <c r="AP60" s="384"/>
      <c r="AQ60" s="595"/>
      <c r="AR60" s="5"/>
      <c r="AS60" s="4"/>
      <c r="AT60" s="4"/>
      <c r="AU60" s="4"/>
      <c r="AV60" s="4"/>
      <c r="AW60" s="4"/>
      <c r="AX60" s="4"/>
      <c r="AY60" s="4"/>
      <c r="AZ60" s="4"/>
      <c r="BA60" s="4"/>
      <c r="BB60" s="4"/>
      <c r="BC60" s="4"/>
      <c r="BD60" s="4"/>
      <c r="BE60" s="4"/>
    </row>
    <row r="61" spans="1:57" ht="20.399999999999999">
      <c r="A61" s="596"/>
      <c r="B61" s="596" t="s">
        <v>772</v>
      </c>
      <c r="C61" s="612" t="s">
        <v>309</v>
      </c>
      <c r="D61" s="612" t="s">
        <v>407</v>
      </c>
      <c r="E61" s="597" t="s">
        <v>1770</v>
      </c>
      <c r="F61" s="598" t="s">
        <v>1771</v>
      </c>
      <c r="G61" s="1080">
        <v>40000</v>
      </c>
      <c r="H61" s="1080"/>
      <c r="I61" s="1080">
        <v>28197</v>
      </c>
      <c r="J61" s="1081"/>
      <c r="K61" s="602">
        <f>L62</f>
        <v>40000</v>
      </c>
      <c r="L61" s="602"/>
      <c r="M61" s="1445"/>
      <c r="N61" s="1445"/>
      <c r="O61" s="1085"/>
      <c r="P61" s="5"/>
      <c r="Q61" s="4"/>
      <c r="R61" s="1175" t="s">
        <v>1757</v>
      </c>
      <c r="S61" s="2537">
        <v>33000</v>
      </c>
      <c r="T61" s="2537">
        <v>37000</v>
      </c>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row>
    <row r="62" spans="1:57">
      <c r="A62" s="603"/>
      <c r="B62" s="603" t="s">
        <v>772</v>
      </c>
      <c r="C62" s="603"/>
      <c r="D62" s="603" t="s">
        <v>407</v>
      </c>
      <c r="E62" s="604" t="s">
        <v>1770</v>
      </c>
      <c r="F62" s="605"/>
      <c r="G62" s="1083"/>
      <c r="H62" s="1083">
        <v>40000</v>
      </c>
      <c r="I62" s="1083"/>
      <c r="J62" s="1084"/>
      <c r="K62" s="120"/>
      <c r="L62" s="120">
        <v>40000</v>
      </c>
      <c r="M62" s="120"/>
      <c r="N62" s="120"/>
      <c r="O62" s="1085"/>
      <c r="P62" s="19"/>
      <c r="Q62" s="5"/>
      <c r="R62" s="1175" t="s">
        <v>1774</v>
      </c>
      <c r="S62" s="2537">
        <v>13000</v>
      </c>
      <c r="T62" s="2537">
        <v>22000</v>
      </c>
      <c r="U62" s="5"/>
      <c r="V62" s="5"/>
      <c r="W62" s="5"/>
      <c r="X62" s="5"/>
      <c r="Y62" s="5"/>
      <c r="Z62" s="5"/>
      <c r="AA62" s="5"/>
      <c r="AB62" s="5"/>
      <c r="AC62" s="5"/>
      <c r="AD62" s="5"/>
      <c r="AE62" s="5"/>
      <c r="AF62" s="5"/>
      <c r="AG62" s="5"/>
      <c r="AH62" s="5"/>
      <c r="AI62" s="123"/>
      <c r="AJ62" s="123"/>
      <c r="AK62" s="123"/>
      <c r="AL62" s="123"/>
      <c r="AM62" s="593"/>
      <c r="AN62" s="124"/>
      <c r="AO62" s="594"/>
      <c r="AP62" s="384"/>
      <c r="AQ62" s="595"/>
      <c r="AR62" s="5"/>
      <c r="AS62" s="4"/>
      <c r="AT62" s="4"/>
      <c r="AU62" s="4"/>
      <c r="AV62" s="4"/>
      <c r="AW62" s="4"/>
      <c r="AX62" s="4"/>
      <c r="AY62" s="4"/>
      <c r="AZ62" s="4"/>
      <c r="BA62" s="4"/>
      <c r="BB62" s="4"/>
      <c r="BC62" s="4"/>
      <c r="BD62" s="4"/>
      <c r="BE62" s="4"/>
    </row>
    <row r="63" spans="1:57" hidden="1">
      <c r="A63" s="596"/>
      <c r="B63" s="3289" t="s">
        <v>326</v>
      </c>
      <c r="C63" s="612" t="s">
        <v>309</v>
      </c>
      <c r="D63" s="612" t="s">
        <v>407</v>
      </c>
      <c r="E63" s="597" t="s">
        <v>45</v>
      </c>
      <c r="F63" s="598" t="s">
        <v>1762</v>
      </c>
      <c r="G63" s="1088">
        <v>15586</v>
      </c>
      <c r="H63" s="1088"/>
      <c r="I63" s="1088">
        <v>15151.85</v>
      </c>
      <c r="J63" s="1089"/>
      <c r="K63" s="602">
        <f>L64</f>
        <v>0</v>
      </c>
      <c r="L63" s="602"/>
      <c r="M63" s="1445"/>
      <c r="N63" s="1445"/>
      <c r="O63" s="1085"/>
      <c r="P63" s="5"/>
      <c r="Q63" s="4"/>
      <c r="R63" s="1175" t="s">
        <v>1776</v>
      </c>
      <c r="S63" s="2537">
        <v>85000</v>
      </c>
      <c r="T63" s="2537">
        <v>70000</v>
      </c>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row>
    <row r="64" spans="1:57" ht="20.399999999999999" hidden="1">
      <c r="A64" s="603"/>
      <c r="B64" s="3290" t="s">
        <v>326</v>
      </c>
      <c r="C64" s="603"/>
      <c r="D64" s="603" t="s">
        <v>407</v>
      </c>
      <c r="E64" s="604" t="s">
        <v>45</v>
      </c>
      <c r="F64" s="605" t="s">
        <v>3044</v>
      </c>
      <c r="G64" s="1090"/>
      <c r="H64" s="1090">
        <v>15586</v>
      </c>
      <c r="I64" s="1090"/>
      <c r="J64" s="1091"/>
      <c r="K64" s="120"/>
      <c r="L64" s="120"/>
      <c r="M64" s="120"/>
      <c r="N64" s="120"/>
      <c r="O64" s="1085"/>
      <c r="P64" s="19"/>
      <c r="Q64" s="5"/>
      <c r="R64" s="1175" t="s">
        <v>1759</v>
      </c>
      <c r="S64" s="2537">
        <v>5000</v>
      </c>
      <c r="T64" s="2537">
        <v>4800</v>
      </c>
      <c r="U64" s="5"/>
      <c r="V64" s="5"/>
      <c r="W64" s="5"/>
      <c r="X64" s="5"/>
      <c r="Y64" s="5"/>
      <c r="Z64" s="5"/>
      <c r="AA64" s="5"/>
      <c r="AB64" s="5"/>
      <c r="AC64" s="5"/>
      <c r="AD64" s="5"/>
      <c r="AE64" s="5"/>
      <c r="AF64" s="5"/>
      <c r="AG64" s="5"/>
      <c r="AH64" s="5"/>
      <c r="AI64" s="123"/>
      <c r="AJ64" s="123"/>
      <c r="AK64" s="123"/>
      <c r="AL64" s="123"/>
      <c r="AM64" s="593"/>
      <c r="AN64" s="124"/>
      <c r="AO64" s="594"/>
      <c r="AP64" s="384"/>
      <c r="AQ64" s="595"/>
      <c r="AR64" s="5"/>
      <c r="AS64" s="4"/>
      <c r="AT64" s="4"/>
      <c r="AU64" s="4"/>
      <c r="AV64" s="4"/>
      <c r="AW64" s="4"/>
      <c r="AX64" s="4"/>
      <c r="AY64" s="4"/>
      <c r="AZ64" s="4"/>
      <c r="BA64" s="4"/>
      <c r="BB64" s="4"/>
      <c r="BC64" s="4"/>
      <c r="BD64" s="4"/>
      <c r="BE64" s="4"/>
    </row>
    <row r="65" spans="1:57" hidden="1">
      <c r="A65" s="596"/>
      <c r="B65" s="3289" t="s">
        <v>326</v>
      </c>
      <c r="C65" s="612" t="s">
        <v>1003</v>
      </c>
      <c r="D65" s="612" t="s">
        <v>1898</v>
      </c>
      <c r="E65" s="597" t="s">
        <v>45</v>
      </c>
      <c r="F65" s="598" t="s">
        <v>1762</v>
      </c>
      <c r="G65" s="1088">
        <v>406576</v>
      </c>
      <c r="H65" s="1088"/>
      <c r="I65" s="1088">
        <v>306325.88</v>
      </c>
      <c r="J65" s="1089"/>
      <c r="K65" s="602">
        <f>SUM(L66)</f>
        <v>406576</v>
      </c>
      <c r="L65" s="602"/>
      <c r="M65" s="1445"/>
      <c r="N65" s="1445"/>
      <c r="O65" s="1085"/>
      <c r="P65" s="5"/>
      <c r="Q65" s="4"/>
      <c r="R65" s="82" t="s">
        <v>2847</v>
      </c>
      <c r="S65" s="18">
        <v>97506</v>
      </c>
      <c r="T65" s="18">
        <v>18972</v>
      </c>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row>
    <row r="66" spans="1:57" hidden="1">
      <c r="A66" s="603"/>
      <c r="B66" s="3290" t="s">
        <v>326</v>
      </c>
      <c r="C66" s="603"/>
      <c r="D66" s="603" t="s">
        <v>1898</v>
      </c>
      <c r="E66" s="604" t="s">
        <v>45</v>
      </c>
      <c r="F66" s="605" t="s">
        <v>1772</v>
      </c>
      <c r="G66" s="1090"/>
      <c r="H66" s="1090">
        <v>406576</v>
      </c>
      <c r="I66" s="1090"/>
      <c r="J66" s="1091"/>
      <c r="K66" s="120"/>
      <c r="L66" s="120">
        <v>406576</v>
      </c>
      <c r="M66" s="120"/>
      <c r="N66" s="120"/>
      <c r="O66" s="1085"/>
      <c r="P66" s="5"/>
      <c r="Q66" s="5"/>
      <c r="R66" s="82" t="s">
        <v>1021</v>
      </c>
      <c r="S66" s="18">
        <v>952269</v>
      </c>
      <c r="T66" s="18">
        <v>947155</v>
      </c>
      <c r="U66" s="5"/>
      <c r="V66" s="5"/>
      <c r="W66" s="5"/>
      <c r="X66" s="5"/>
      <c r="Y66" s="5"/>
      <c r="Z66" s="5"/>
      <c r="AA66" s="5"/>
      <c r="AB66" s="5"/>
      <c r="AC66" s="5"/>
      <c r="AD66" s="5"/>
      <c r="AE66" s="5"/>
      <c r="AF66" s="5"/>
      <c r="AG66" s="5"/>
      <c r="AH66" s="5"/>
      <c r="AI66" s="123"/>
      <c r="AJ66" s="123"/>
      <c r="AK66" s="123"/>
      <c r="AL66" s="123"/>
      <c r="AM66" s="593"/>
      <c r="AN66" s="124"/>
      <c r="AO66" s="594"/>
      <c r="AP66" s="384"/>
      <c r="AQ66" s="595"/>
      <c r="AR66" s="5"/>
      <c r="AS66" s="4"/>
      <c r="AT66" s="4"/>
      <c r="AU66" s="4"/>
      <c r="AV66" s="4"/>
      <c r="AW66" s="4"/>
      <c r="AX66" s="4"/>
      <c r="AY66" s="4"/>
      <c r="AZ66" s="4"/>
      <c r="BA66" s="4"/>
      <c r="BB66" s="4"/>
      <c r="BC66" s="4"/>
      <c r="BD66" s="4"/>
      <c r="BE66" s="4"/>
    </row>
    <row r="67" spans="1:57" hidden="1">
      <c r="A67" s="596"/>
      <c r="B67" s="3289" t="s">
        <v>326</v>
      </c>
      <c r="C67" s="612" t="s">
        <v>1001</v>
      </c>
      <c r="D67" s="612" t="s">
        <v>1901</v>
      </c>
      <c r="E67" s="597" t="s">
        <v>1013</v>
      </c>
      <c r="F67" s="598" t="s">
        <v>1762</v>
      </c>
      <c r="G67" s="1080">
        <v>60000</v>
      </c>
      <c r="H67" s="1080"/>
      <c r="I67" s="1080">
        <v>89775.38</v>
      </c>
      <c r="J67" s="1081"/>
      <c r="K67" s="602">
        <f>L68</f>
        <v>70000</v>
      </c>
      <c r="L67" s="602"/>
      <c r="M67" s="1445"/>
      <c r="N67" s="1445"/>
      <c r="O67" s="1085"/>
      <c r="P67" s="19"/>
      <c r="Q67" s="4"/>
      <c r="R67" s="82" t="s">
        <v>2963</v>
      </c>
      <c r="S67" s="18">
        <v>345033</v>
      </c>
      <c r="T67" s="18">
        <v>49416.41</v>
      </c>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row>
    <row r="68" spans="1:57" ht="20.399999999999999" hidden="1">
      <c r="A68" s="603"/>
      <c r="B68" s="3290" t="s">
        <v>326</v>
      </c>
      <c r="C68" s="603"/>
      <c r="D68" s="603" t="s">
        <v>1901</v>
      </c>
      <c r="E68" s="604" t="s">
        <v>1013</v>
      </c>
      <c r="F68" s="605" t="s">
        <v>1773</v>
      </c>
      <c r="G68" s="1083"/>
      <c r="H68" s="1083">
        <v>60000</v>
      </c>
      <c r="I68" s="1083"/>
      <c r="J68" s="1084"/>
      <c r="K68" s="120"/>
      <c r="L68" s="120">
        <v>70000</v>
      </c>
      <c r="M68" s="120"/>
      <c r="N68" s="120"/>
      <c r="O68" s="1085"/>
      <c r="P68" s="5"/>
      <c r="Q68" s="5"/>
      <c r="R68" s="1176" t="s">
        <v>4776</v>
      </c>
      <c r="S68" s="18">
        <v>62460938.177757718</v>
      </c>
      <c r="T68" s="18">
        <v>66893580.203741163</v>
      </c>
      <c r="U68" s="5"/>
      <c r="V68" s="5"/>
      <c r="W68" s="5"/>
      <c r="X68" s="5"/>
      <c r="Y68" s="5"/>
      <c r="Z68" s="5"/>
      <c r="AA68" s="5"/>
      <c r="AB68" s="5"/>
      <c r="AC68" s="5"/>
      <c r="AD68" s="5"/>
      <c r="AE68" s="5"/>
      <c r="AF68" s="5"/>
      <c r="AG68" s="5"/>
      <c r="AH68" s="5"/>
      <c r="AI68" s="123"/>
      <c r="AJ68" s="123"/>
      <c r="AK68" s="123"/>
      <c r="AL68" s="123"/>
      <c r="AM68" s="593"/>
      <c r="AN68" s="124"/>
      <c r="AO68" s="594"/>
      <c r="AP68" s="384"/>
      <c r="AQ68" s="595"/>
      <c r="AR68" s="5"/>
      <c r="AS68" s="4"/>
      <c r="AT68" s="4"/>
      <c r="AU68" s="4"/>
      <c r="AV68" s="4"/>
      <c r="AW68" s="4"/>
      <c r="AX68" s="4"/>
      <c r="AY68" s="4"/>
      <c r="AZ68" s="4"/>
      <c r="BA68" s="4"/>
      <c r="BB68" s="4"/>
      <c r="BC68" s="4"/>
      <c r="BD68" s="4"/>
      <c r="BE68" s="4"/>
    </row>
    <row r="69" spans="1:57" hidden="1">
      <c r="A69" s="596"/>
      <c r="B69" s="3289" t="s">
        <v>2634</v>
      </c>
      <c r="C69" s="612" t="s">
        <v>2635</v>
      </c>
      <c r="D69" s="1651" t="s">
        <v>2636</v>
      </c>
      <c r="E69" s="597" t="s">
        <v>2637</v>
      </c>
      <c r="F69" s="598" t="s">
        <v>2638</v>
      </c>
      <c r="G69" s="1080">
        <v>0</v>
      </c>
      <c r="H69" s="1080"/>
      <c r="I69" s="1080">
        <v>0</v>
      </c>
      <c r="J69" s="1081"/>
      <c r="K69" s="1404">
        <f>L70</f>
        <v>0</v>
      </c>
      <c r="L69" s="613"/>
      <c r="M69" s="1445"/>
      <c r="N69" s="1445"/>
      <c r="O69" s="1085"/>
      <c r="P69" s="19"/>
      <c r="Q69" s="4"/>
      <c r="R69"/>
      <c r="S69"/>
      <c r="T69"/>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row>
    <row r="70" spans="1:57" hidden="1">
      <c r="A70" s="603"/>
      <c r="B70" s="3290" t="s">
        <v>2634</v>
      </c>
      <c r="C70" s="603"/>
      <c r="D70" s="1150" t="s">
        <v>2636</v>
      </c>
      <c r="E70" s="604" t="s">
        <v>2637</v>
      </c>
      <c r="F70" s="605" t="s">
        <v>2638</v>
      </c>
      <c r="G70" s="1083"/>
      <c r="H70" s="1083">
        <v>0</v>
      </c>
      <c r="I70" s="1083"/>
      <c r="J70" s="1084"/>
      <c r="K70" s="1094"/>
      <c r="L70" s="1501">
        <v>0</v>
      </c>
      <c r="M70" s="120"/>
      <c r="N70" s="120"/>
      <c r="O70" s="1085"/>
      <c r="P70" s="5"/>
      <c r="Q70" s="5"/>
      <c r="R70"/>
      <c r="S70"/>
      <c r="T70"/>
      <c r="U70" s="5"/>
      <c r="V70" s="5"/>
      <c r="W70" s="5"/>
      <c r="X70" s="5"/>
      <c r="Y70" s="5"/>
      <c r="Z70" s="5"/>
      <c r="AA70" s="5"/>
      <c r="AB70" s="5"/>
      <c r="AC70" s="5"/>
      <c r="AD70" s="5"/>
      <c r="AE70" s="5"/>
      <c r="AF70" s="5"/>
      <c r="AG70" s="5"/>
      <c r="AH70" s="5"/>
      <c r="AI70" s="123"/>
      <c r="AJ70" s="123"/>
      <c r="AK70" s="123"/>
      <c r="AL70" s="123"/>
      <c r="AM70" s="593"/>
      <c r="AN70" s="124"/>
      <c r="AO70" s="594"/>
      <c r="AP70" s="384"/>
      <c r="AQ70" s="595"/>
      <c r="AR70" s="5"/>
      <c r="AS70" s="4"/>
      <c r="AT70" s="4"/>
      <c r="AU70" s="4"/>
      <c r="AV70" s="4"/>
      <c r="AW70" s="4"/>
      <c r="AX70" s="4"/>
      <c r="AY70" s="4"/>
      <c r="AZ70" s="4"/>
      <c r="BA70" s="4"/>
      <c r="BB70" s="4"/>
      <c r="BC70" s="4"/>
      <c r="BD70" s="4"/>
      <c r="BE70" s="4"/>
    </row>
    <row r="71" spans="1:57" ht="20.399999999999999">
      <c r="A71" s="596"/>
      <c r="B71" s="596" t="s">
        <v>772</v>
      </c>
      <c r="C71" s="612" t="s">
        <v>1023</v>
      </c>
      <c r="D71" s="612" t="s">
        <v>421</v>
      </c>
      <c r="E71" s="597" t="s">
        <v>1774</v>
      </c>
      <c r="F71" s="598" t="s">
        <v>1775</v>
      </c>
      <c r="G71" s="1080">
        <f>H72</f>
        <v>13000</v>
      </c>
      <c r="H71" s="1080"/>
      <c r="I71" s="1080">
        <v>24564</v>
      </c>
      <c r="J71" s="1081"/>
      <c r="K71" s="602">
        <f>L72</f>
        <v>22000</v>
      </c>
      <c r="L71" s="613"/>
      <c r="M71" s="1445"/>
      <c r="N71" s="1445"/>
      <c r="O71" s="1085"/>
      <c r="P71" s="19"/>
      <c r="Q71" s="4"/>
      <c r="R71"/>
      <c r="S71"/>
      <c r="T71"/>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row>
    <row r="72" spans="1:57" ht="20.399999999999999">
      <c r="A72" s="603"/>
      <c r="B72" s="603" t="s">
        <v>772</v>
      </c>
      <c r="C72" s="603"/>
      <c r="D72" s="603" t="s">
        <v>421</v>
      </c>
      <c r="E72" s="604" t="s">
        <v>1774</v>
      </c>
      <c r="F72" s="605" t="s">
        <v>1775</v>
      </c>
      <c r="G72" s="1083"/>
      <c r="H72" s="1083">
        <v>13000</v>
      </c>
      <c r="I72" s="1083"/>
      <c r="J72" s="1084"/>
      <c r="K72" s="120"/>
      <c r="L72" s="120">
        <v>22000</v>
      </c>
      <c r="M72" s="120"/>
      <c r="N72" s="120"/>
      <c r="O72" s="1092"/>
      <c r="P72" s="5"/>
      <c r="Q72" s="5"/>
      <c r="R72"/>
      <c r="S72"/>
      <c r="T72"/>
      <c r="U72" s="5"/>
      <c r="V72" s="5"/>
      <c r="W72" s="5"/>
      <c r="X72" s="5"/>
      <c r="Y72" s="5"/>
      <c r="Z72" s="5"/>
      <c r="AA72" s="5"/>
      <c r="AB72" s="5"/>
      <c r="AC72" s="5"/>
      <c r="AD72" s="5"/>
      <c r="AE72" s="5"/>
      <c r="AF72" s="5"/>
      <c r="AG72" s="5"/>
      <c r="AH72" s="5"/>
      <c r="AI72" s="123"/>
      <c r="AJ72" s="123"/>
      <c r="AK72" s="123"/>
      <c r="AL72" s="123"/>
      <c r="AM72" s="593"/>
      <c r="AN72" s="124"/>
      <c r="AO72" s="594"/>
      <c r="AP72" s="384"/>
      <c r="AQ72" s="595"/>
      <c r="AR72" s="5"/>
      <c r="AS72" s="4"/>
      <c r="AT72" s="4"/>
      <c r="AU72" s="4"/>
      <c r="AV72" s="4"/>
      <c r="AW72" s="4"/>
      <c r="AX72" s="4"/>
      <c r="AY72" s="4"/>
      <c r="AZ72" s="4"/>
      <c r="BA72" s="4"/>
      <c r="BB72" s="4"/>
      <c r="BC72" s="4"/>
      <c r="BD72" s="4"/>
      <c r="BE72" s="4"/>
    </row>
    <row r="73" spans="1:57">
      <c r="A73" s="596"/>
      <c r="B73" s="596" t="s">
        <v>772</v>
      </c>
      <c r="C73" s="612" t="s">
        <v>1023</v>
      </c>
      <c r="D73" s="612" t="s">
        <v>421</v>
      </c>
      <c r="E73" s="597" t="s">
        <v>1776</v>
      </c>
      <c r="F73" s="598" t="s">
        <v>1777</v>
      </c>
      <c r="G73" s="1080">
        <v>85000</v>
      </c>
      <c r="H73" s="1080"/>
      <c r="I73" s="1080">
        <v>68127</v>
      </c>
      <c r="J73" s="1081"/>
      <c r="K73" s="602">
        <f>L74</f>
        <v>70000</v>
      </c>
      <c r="L73" s="602"/>
      <c r="M73" s="1445"/>
      <c r="N73" s="1445"/>
      <c r="O73" s="1085"/>
      <c r="P73" s="19"/>
      <c r="Q73" s="4"/>
      <c r="R73"/>
      <c r="S73"/>
      <c r="T73"/>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row>
    <row r="74" spans="1:57">
      <c r="A74" s="603"/>
      <c r="B74" s="603" t="s">
        <v>772</v>
      </c>
      <c r="C74" s="603"/>
      <c r="D74" s="603" t="s">
        <v>421</v>
      </c>
      <c r="E74" s="604" t="s">
        <v>1776</v>
      </c>
      <c r="F74" s="605" t="s">
        <v>1777</v>
      </c>
      <c r="G74" s="1083"/>
      <c r="H74" s="1083">
        <v>85000</v>
      </c>
      <c r="I74" s="1083"/>
      <c r="J74" s="1084"/>
      <c r="K74" s="120"/>
      <c r="L74" s="120">
        <v>70000</v>
      </c>
      <c r="M74" s="120"/>
      <c r="N74" s="120"/>
      <c r="O74" s="1085"/>
      <c r="P74" s="5"/>
      <c r="Q74" s="5"/>
      <c r="R74"/>
      <c r="S74"/>
      <c r="T74"/>
      <c r="U74" s="5"/>
      <c r="V74" s="5"/>
      <c r="W74" s="5"/>
      <c r="X74" s="5"/>
      <c r="Y74" s="5"/>
      <c r="Z74" s="5"/>
      <c r="AA74" s="5"/>
      <c r="AB74" s="5"/>
      <c r="AC74" s="5"/>
      <c r="AD74" s="5"/>
      <c r="AE74" s="5"/>
      <c r="AF74" s="5"/>
      <c r="AG74" s="5"/>
      <c r="AH74" s="5"/>
      <c r="AI74" s="123"/>
      <c r="AJ74" s="123"/>
      <c r="AK74" s="123"/>
      <c r="AL74" s="123"/>
      <c r="AM74" s="593"/>
      <c r="AN74" s="124"/>
      <c r="AO74" s="594"/>
      <c r="AP74" s="384"/>
      <c r="AQ74" s="595"/>
      <c r="AR74" s="5"/>
      <c r="AS74" s="4"/>
      <c r="AT74" s="4"/>
      <c r="AU74" s="4"/>
      <c r="AV74" s="4"/>
      <c r="AW74" s="4"/>
      <c r="AX74" s="4"/>
      <c r="AY74" s="4"/>
      <c r="AZ74" s="4"/>
      <c r="BA74" s="4"/>
      <c r="BB74" s="4"/>
      <c r="BC74" s="4"/>
      <c r="BD74" s="4"/>
      <c r="BE74" s="4"/>
    </row>
    <row r="75" spans="1:57">
      <c r="A75" s="619"/>
      <c r="B75" s="596" t="s">
        <v>772</v>
      </c>
      <c r="C75" s="612" t="s">
        <v>1023</v>
      </c>
      <c r="D75" s="612" t="s">
        <v>421</v>
      </c>
      <c r="E75" s="597" t="s">
        <v>1759</v>
      </c>
      <c r="F75" s="598" t="s">
        <v>1760</v>
      </c>
      <c r="G75" s="1080">
        <v>500</v>
      </c>
      <c r="H75" s="1080"/>
      <c r="I75" s="1080">
        <v>102</v>
      </c>
      <c r="J75" s="1081"/>
      <c r="K75" s="602">
        <f>L76</f>
        <v>300</v>
      </c>
      <c r="L75" s="613"/>
      <c r="M75" s="1445"/>
      <c r="N75" s="1445"/>
      <c r="O75" s="1085"/>
      <c r="P75" s="19"/>
      <c r="Q75" s="4"/>
      <c r="R75"/>
      <c r="S75"/>
      <c r="T75"/>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row>
    <row r="76" spans="1:57">
      <c r="A76" s="625"/>
      <c r="B76" s="603" t="s">
        <v>772</v>
      </c>
      <c r="C76" s="603"/>
      <c r="D76" s="603" t="s">
        <v>421</v>
      </c>
      <c r="E76" s="604" t="s">
        <v>1759</v>
      </c>
      <c r="F76" s="605" t="s">
        <v>1778</v>
      </c>
      <c r="G76" s="1083"/>
      <c r="H76" s="1083">
        <v>500</v>
      </c>
      <c r="I76" s="1083"/>
      <c r="J76" s="1084"/>
      <c r="K76" s="120"/>
      <c r="L76" s="120">
        <v>300</v>
      </c>
      <c r="M76" s="120"/>
      <c r="N76" s="120"/>
      <c r="O76" s="1085"/>
      <c r="P76" s="5"/>
      <c r="Q76" s="5"/>
      <c r="R76"/>
      <c r="S76"/>
      <c r="T76"/>
      <c r="U76" s="5"/>
      <c r="V76" s="5"/>
      <c r="W76" s="5"/>
      <c r="X76" s="5"/>
      <c r="Y76" s="5"/>
      <c r="Z76" s="5"/>
      <c r="AA76" s="5"/>
      <c r="AB76" s="5"/>
      <c r="AC76" s="5"/>
      <c r="AD76" s="5"/>
      <c r="AE76" s="5"/>
      <c r="AF76" s="5"/>
      <c r="AG76" s="5"/>
      <c r="AH76" s="5"/>
      <c r="AI76" s="123"/>
      <c r="AJ76" s="123"/>
      <c r="AK76" s="123"/>
      <c r="AL76" s="123"/>
      <c r="AM76" s="593"/>
      <c r="AN76" s="124"/>
      <c r="AO76" s="594"/>
      <c r="AP76" s="384"/>
      <c r="AQ76" s="595"/>
      <c r="AR76" s="5"/>
      <c r="AS76" s="4"/>
      <c r="AT76" s="4"/>
      <c r="AU76" s="4"/>
      <c r="AV76" s="4"/>
      <c r="AW76" s="4"/>
      <c r="AX76" s="4"/>
      <c r="AY76" s="4"/>
      <c r="AZ76" s="4"/>
      <c r="BA76" s="4"/>
      <c r="BB76" s="4"/>
      <c r="BC76" s="4"/>
      <c r="BD76" s="4"/>
      <c r="BE76" s="4"/>
    </row>
    <row r="77" spans="1:57" ht="30.6" hidden="1">
      <c r="A77" s="596"/>
      <c r="B77" s="3289" t="s">
        <v>365</v>
      </c>
      <c r="C77" s="612" t="s">
        <v>310</v>
      </c>
      <c r="D77" s="612" t="s">
        <v>1903</v>
      </c>
      <c r="E77" s="620" t="s">
        <v>1835</v>
      </c>
      <c r="F77" s="621" t="s">
        <v>1836</v>
      </c>
      <c r="G77" s="1080">
        <v>0</v>
      </c>
      <c r="H77" s="1080"/>
      <c r="I77" s="1080">
        <v>0</v>
      </c>
      <c r="J77" s="1081"/>
      <c r="K77" s="1404">
        <f>L78</f>
        <v>0</v>
      </c>
      <c r="L77" s="613"/>
      <c r="M77" s="1445"/>
      <c r="N77" s="1445"/>
      <c r="O77" s="1082"/>
      <c r="P77" s="622"/>
      <c r="Q77" s="5"/>
      <c r="R77"/>
      <c r="S77"/>
      <c r="T77"/>
      <c r="U77" s="5"/>
      <c r="V77" s="5"/>
      <c r="W77" s="5"/>
      <c r="X77" s="5"/>
      <c r="Y77" s="5"/>
      <c r="Z77" s="5"/>
      <c r="AA77" s="5"/>
      <c r="AB77" s="5"/>
      <c r="AC77" s="5"/>
      <c r="AD77" s="5"/>
      <c r="AE77" s="5"/>
      <c r="AF77" s="5"/>
      <c r="AG77" s="5"/>
      <c r="AH77" s="5"/>
      <c r="AI77" s="123"/>
      <c r="AJ77" s="123"/>
      <c r="AK77" s="123"/>
      <c r="AL77" s="123"/>
      <c r="AM77" s="593"/>
      <c r="AN77" s="124"/>
      <c r="AO77" s="594"/>
      <c r="AP77" s="384"/>
      <c r="AQ77" s="595"/>
      <c r="AR77" s="5"/>
      <c r="AS77" s="4"/>
      <c r="AT77" s="4"/>
      <c r="AU77" s="4"/>
      <c r="AV77" s="4"/>
      <c r="AW77" s="4"/>
      <c r="AX77" s="4"/>
      <c r="AY77" s="4"/>
      <c r="AZ77" s="4"/>
      <c r="BA77" s="4"/>
      <c r="BB77" s="4"/>
      <c r="BC77" s="4"/>
      <c r="BD77" s="4"/>
      <c r="BE77" s="4"/>
    </row>
    <row r="78" spans="1:57" ht="30.6" hidden="1">
      <c r="A78" s="603"/>
      <c r="B78" s="3290" t="s">
        <v>365</v>
      </c>
      <c r="C78" s="603"/>
      <c r="D78" s="603" t="s">
        <v>1903</v>
      </c>
      <c r="E78" s="626" t="s">
        <v>1835</v>
      </c>
      <c r="F78" s="627" t="s">
        <v>2639</v>
      </c>
      <c r="G78" s="1083"/>
      <c r="H78" s="1083">
        <v>0</v>
      </c>
      <c r="I78" s="1083"/>
      <c r="J78" s="1084"/>
      <c r="K78" s="1094"/>
      <c r="L78" s="1501"/>
      <c r="M78" s="120"/>
      <c r="N78" s="120"/>
      <c r="O78" s="1082"/>
      <c r="P78" s="628"/>
      <c r="Q78" s="4"/>
      <c r="R78"/>
      <c r="S78"/>
      <c r="T78"/>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row>
    <row r="79" spans="1:57" hidden="1">
      <c r="A79" s="603"/>
      <c r="B79" s="3289" t="s">
        <v>365</v>
      </c>
      <c r="C79" s="612" t="s">
        <v>310</v>
      </c>
      <c r="D79" s="612" t="s">
        <v>1903</v>
      </c>
      <c r="E79" s="597" t="s">
        <v>45</v>
      </c>
      <c r="F79" s="598" t="s">
        <v>1762</v>
      </c>
      <c r="G79" s="1088">
        <v>18000</v>
      </c>
      <c r="H79" s="1088"/>
      <c r="I79" s="1088"/>
      <c r="J79" s="1089"/>
      <c r="K79" s="602">
        <f>SUM(L80:L81)</f>
        <v>13000</v>
      </c>
      <c r="L79" s="602"/>
      <c r="M79" s="1445"/>
      <c r="N79" s="1445"/>
      <c r="O79" s="1085"/>
      <c r="P79" s="19"/>
      <c r="Q79" s="5"/>
      <c r="R79"/>
      <c r="S79"/>
      <c r="T79"/>
      <c r="U79" s="5"/>
      <c r="V79" s="5"/>
      <c r="W79" s="5"/>
      <c r="X79" s="5"/>
      <c r="Y79" s="5"/>
      <c r="Z79" s="5"/>
      <c r="AA79" s="5"/>
      <c r="AB79" s="5"/>
      <c r="AC79" s="5"/>
      <c r="AD79" s="5"/>
      <c r="AE79" s="5"/>
      <c r="AF79" s="5"/>
      <c r="AG79" s="5"/>
      <c r="AH79" s="5"/>
      <c r="AI79" s="123"/>
      <c r="AJ79" s="123"/>
      <c r="AK79" s="123"/>
      <c r="AL79" s="123"/>
      <c r="AM79" s="593"/>
      <c r="AN79" s="124"/>
      <c r="AO79" s="594"/>
      <c r="AP79" s="384"/>
      <c r="AQ79" s="595"/>
      <c r="AR79" s="5"/>
      <c r="AS79" s="4"/>
      <c r="AT79" s="4"/>
      <c r="AU79" s="4"/>
      <c r="AV79" s="4"/>
      <c r="AW79" s="4"/>
      <c r="AX79" s="4"/>
      <c r="AY79" s="4"/>
      <c r="AZ79" s="4"/>
      <c r="BA79" s="4"/>
      <c r="BB79" s="4"/>
      <c r="BC79" s="4"/>
      <c r="BD79" s="4"/>
      <c r="BE79" s="4"/>
    </row>
    <row r="80" spans="1:57" hidden="1">
      <c r="A80" s="596"/>
      <c r="B80" s="3290" t="s">
        <v>365</v>
      </c>
      <c r="C80" s="603"/>
      <c r="D80" s="603" t="s">
        <v>1903</v>
      </c>
      <c r="E80" s="604" t="s">
        <v>45</v>
      </c>
      <c r="F80" s="605" t="s">
        <v>1779</v>
      </c>
      <c r="G80" s="1090"/>
      <c r="H80" s="1090">
        <v>18000</v>
      </c>
      <c r="I80" s="1090"/>
      <c r="J80" s="1091"/>
      <c r="K80" s="120"/>
      <c r="L80" s="120">
        <v>12000</v>
      </c>
      <c r="M80" s="120"/>
      <c r="N80" s="120"/>
      <c r="O80" s="1085"/>
      <c r="P80" s="5"/>
      <c r="Q80" s="4"/>
      <c r="R80"/>
      <c r="S80"/>
      <c r="T80"/>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row>
    <row r="81" spans="1:57" hidden="1">
      <c r="A81" s="603"/>
      <c r="B81" s="3290" t="s">
        <v>365</v>
      </c>
      <c r="C81" s="603"/>
      <c r="D81" s="603" t="s">
        <v>1903</v>
      </c>
      <c r="E81" s="604" t="s">
        <v>45</v>
      </c>
      <c r="F81" s="605" t="s">
        <v>1780</v>
      </c>
      <c r="G81" s="1090"/>
      <c r="H81" s="1090"/>
      <c r="I81" s="1090"/>
      <c r="J81" s="1091"/>
      <c r="K81" s="120"/>
      <c r="L81" s="120">
        <v>1000</v>
      </c>
      <c r="M81" s="1445"/>
      <c r="N81" s="1445"/>
      <c r="O81" s="1085"/>
      <c r="P81" s="5"/>
      <c r="Q81" s="5"/>
      <c r="R81"/>
      <c r="S81"/>
      <c r="T81"/>
      <c r="U81" s="5"/>
      <c r="V81" s="5"/>
      <c r="W81" s="5"/>
      <c r="X81" s="5"/>
      <c r="Y81" s="5"/>
      <c r="Z81" s="5"/>
      <c r="AA81" s="5"/>
      <c r="AB81" s="5"/>
      <c r="AC81" s="5"/>
      <c r="AD81" s="5"/>
      <c r="AE81" s="5"/>
      <c r="AF81" s="5"/>
      <c r="AG81" s="5"/>
      <c r="AH81" s="5"/>
      <c r="AI81" s="123"/>
      <c r="AJ81" s="123"/>
      <c r="AK81" s="123"/>
      <c r="AL81" s="123"/>
      <c r="AM81" s="593"/>
      <c r="AN81" s="124"/>
      <c r="AO81" s="594"/>
      <c r="AP81" s="384"/>
      <c r="AQ81" s="595"/>
      <c r="AR81" s="5"/>
      <c r="AS81" s="4"/>
      <c r="AT81" s="4"/>
      <c r="AU81" s="4"/>
      <c r="AV81" s="4"/>
      <c r="AW81" s="4"/>
      <c r="AX81" s="4"/>
      <c r="AY81" s="4"/>
      <c r="AZ81" s="4"/>
      <c r="BA81" s="4"/>
      <c r="BB81" s="4"/>
      <c r="BC81" s="4"/>
      <c r="BD81" s="4"/>
      <c r="BE81" s="4"/>
    </row>
    <row r="82" spans="1:57" ht="20.399999999999999" hidden="1">
      <c r="A82" s="596"/>
      <c r="B82" s="3289" t="s">
        <v>365</v>
      </c>
      <c r="C82" s="612" t="s">
        <v>310</v>
      </c>
      <c r="D82" s="612" t="s">
        <v>1903</v>
      </c>
      <c r="E82" s="597" t="s">
        <v>1764</v>
      </c>
      <c r="F82" s="598" t="s">
        <v>1736</v>
      </c>
      <c r="G82" s="599">
        <v>10623</v>
      </c>
      <c r="H82" s="599"/>
      <c r="I82" s="600"/>
      <c r="J82" s="601"/>
      <c r="K82" s="602">
        <f>L83</f>
        <v>10622</v>
      </c>
      <c r="L82" s="602"/>
      <c r="M82" s="120"/>
      <c r="N82" s="120"/>
      <c r="O82" s="1085"/>
      <c r="P82" s="19"/>
      <c r="Q82" s="4"/>
      <c r="R82"/>
      <c r="S82"/>
      <c r="T82"/>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row>
    <row r="83" spans="1:57" hidden="1">
      <c r="A83" s="603"/>
      <c r="B83" s="3290" t="s">
        <v>365</v>
      </c>
      <c r="C83" s="603"/>
      <c r="D83" s="603" t="s">
        <v>1903</v>
      </c>
      <c r="E83" s="604" t="s">
        <v>1764</v>
      </c>
      <c r="F83" s="605" t="s">
        <v>2889</v>
      </c>
      <c r="G83" s="606"/>
      <c r="H83" s="606">
        <v>10623</v>
      </c>
      <c r="I83" s="121"/>
      <c r="J83" s="122"/>
      <c r="K83" s="120"/>
      <c r="L83" s="120">
        <v>10622</v>
      </c>
      <c r="M83" s="120"/>
      <c r="N83" s="120"/>
      <c r="O83" s="1085"/>
      <c r="P83" s="5"/>
      <c r="Q83" s="5"/>
      <c r="R83"/>
      <c r="S83"/>
      <c r="T83"/>
      <c r="U83" s="5"/>
      <c r="V83" s="5"/>
      <c r="W83" s="5"/>
      <c r="X83" s="5"/>
      <c r="Y83" s="5"/>
      <c r="Z83" s="5"/>
      <c r="AA83" s="5"/>
      <c r="AB83" s="5"/>
      <c r="AC83" s="5"/>
      <c r="AD83" s="5"/>
      <c r="AE83" s="5"/>
      <c r="AF83" s="5"/>
      <c r="AG83" s="5"/>
      <c r="AH83" s="5"/>
      <c r="AI83" s="123"/>
      <c r="AJ83" s="123"/>
      <c r="AK83" s="123"/>
      <c r="AL83" s="123"/>
      <c r="AM83" s="593"/>
      <c r="AN83" s="124"/>
      <c r="AO83" s="594"/>
      <c r="AP83" s="384"/>
      <c r="AQ83" s="595"/>
      <c r="AR83" s="5"/>
      <c r="AS83" s="4"/>
      <c r="AT83" s="4"/>
      <c r="AU83" s="4"/>
      <c r="AV83" s="4"/>
      <c r="AW83" s="4"/>
      <c r="AX83" s="4"/>
      <c r="AY83" s="4"/>
      <c r="AZ83" s="4"/>
      <c r="BA83" s="4"/>
      <c r="BB83" s="4"/>
      <c r="BC83" s="4"/>
      <c r="BD83" s="4"/>
      <c r="BE83" s="4"/>
    </row>
    <row r="84" spans="1:57" hidden="1">
      <c r="A84" s="596"/>
      <c r="B84" s="3289" t="s">
        <v>365</v>
      </c>
      <c r="C84" s="612" t="s">
        <v>310</v>
      </c>
      <c r="D84" s="612" t="s">
        <v>1903</v>
      </c>
      <c r="E84" s="597" t="s">
        <v>1319</v>
      </c>
      <c r="F84" s="598" t="s">
        <v>1782</v>
      </c>
      <c r="G84" s="1080"/>
      <c r="H84" s="1080"/>
      <c r="I84" s="1080"/>
      <c r="J84" s="1081"/>
      <c r="K84" s="602">
        <f>SUM(L85:L92)</f>
        <v>1176054.389</v>
      </c>
      <c r="L84" s="602"/>
      <c r="M84" s="1445"/>
      <c r="N84" s="1445"/>
      <c r="O84" s="1085"/>
      <c r="P84" s="5"/>
      <c r="Q84" s="4"/>
      <c r="R84"/>
      <c r="S84"/>
      <c r="T8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row>
    <row r="85" spans="1:57" ht="30.6" hidden="1">
      <c r="A85" s="603"/>
      <c r="B85" s="3290" t="s">
        <v>365</v>
      </c>
      <c r="C85" s="603"/>
      <c r="D85" s="603" t="s">
        <v>1903</v>
      </c>
      <c r="E85" s="604" t="s">
        <v>1319</v>
      </c>
      <c r="F85" s="605" t="s">
        <v>4615</v>
      </c>
      <c r="G85" s="1083"/>
      <c r="H85" s="1083"/>
      <c r="I85" s="1083"/>
      <c r="J85" s="1084"/>
      <c r="K85" s="120"/>
      <c r="L85" s="120">
        <v>768794.7790000001</v>
      </c>
      <c r="M85" s="120"/>
      <c r="N85" s="120"/>
      <c r="O85" s="1085"/>
      <c r="P85" s="5"/>
      <c r="Q85" s="5"/>
      <c r="R85"/>
      <c r="S85"/>
      <c r="T85"/>
      <c r="U85" s="5"/>
      <c r="V85" s="5"/>
      <c r="W85" s="5"/>
      <c r="X85" s="5"/>
      <c r="Y85" s="5"/>
      <c r="Z85" s="5"/>
      <c r="AA85" s="5"/>
      <c r="AB85" s="5"/>
      <c r="AC85" s="5"/>
      <c r="AD85" s="5"/>
      <c r="AE85" s="5"/>
      <c r="AF85" s="5"/>
      <c r="AG85" s="5"/>
      <c r="AH85" s="5"/>
      <c r="AI85" s="603"/>
      <c r="AJ85" s="603"/>
      <c r="AK85" s="603"/>
      <c r="AL85" s="603"/>
      <c r="AM85" s="607"/>
      <c r="AN85" s="608"/>
      <c r="AO85" s="609"/>
      <c r="AP85" s="610"/>
      <c r="AQ85" s="595"/>
      <c r="AR85" s="5"/>
      <c r="AS85" s="4"/>
      <c r="AT85" s="4"/>
      <c r="AU85" s="4"/>
      <c r="AV85" s="4"/>
      <c r="AW85" s="4"/>
      <c r="AX85" s="4"/>
      <c r="AY85" s="4"/>
      <c r="AZ85" s="4"/>
      <c r="BA85" s="4"/>
      <c r="BB85" s="4"/>
      <c r="BC85" s="4"/>
      <c r="BD85" s="4"/>
      <c r="BE85" s="4"/>
    </row>
    <row r="86" spans="1:57" ht="20.399999999999999" hidden="1">
      <c r="A86" s="2679"/>
      <c r="B86" s="3290" t="s">
        <v>365</v>
      </c>
      <c r="C86" s="603"/>
      <c r="D86" s="603" t="s">
        <v>1903</v>
      </c>
      <c r="E86" s="604" t="s">
        <v>1319</v>
      </c>
      <c r="F86" s="3049" t="s">
        <v>4617</v>
      </c>
      <c r="G86" s="1083"/>
      <c r="H86" s="1083"/>
      <c r="I86" s="1083"/>
      <c r="J86" s="1084"/>
      <c r="K86" s="120"/>
      <c r="L86" s="120">
        <v>36542</v>
      </c>
      <c r="M86" s="120"/>
      <c r="N86" s="120"/>
      <c r="O86" s="1085"/>
      <c r="P86" s="5"/>
      <c r="Q86" s="5"/>
      <c r="R86"/>
      <c r="S86"/>
      <c r="T86"/>
      <c r="U86" s="5"/>
      <c r="V86" s="5"/>
      <c r="W86" s="5"/>
      <c r="X86" s="5"/>
      <c r="Y86" s="5"/>
      <c r="Z86" s="5"/>
      <c r="AA86" s="5"/>
      <c r="AB86" s="5"/>
      <c r="AC86" s="5"/>
      <c r="AD86" s="5"/>
      <c r="AE86" s="5"/>
      <c r="AF86" s="5"/>
      <c r="AG86" s="5"/>
      <c r="AH86" s="5"/>
      <c r="AI86" s="5"/>
      <c r="AJ86" s="5"/>
      <c r="AK86" s="5"/>
      <c r="AL86" s="5"/>
      <c r="AM86" s="584"/>
      <c r="AN86" s="585"/>
      <c r="AO86" s="586"/>
      <c r="AP86" s="6"/>
      <c r="AQ86" s="587"/>
      <c r="AR86" s="5"/>
      <c r="AS86" s="4"/>
      <c r="AT86" s="4"/>
      <c r="AU86" s="4"/>
      <c r="AV86" s="4"/>
      <c r="AW86" s="4"/>
      <c r="AX86" s="4"/>
      <c r="AY86" s="4"/>
      <c r="AZ86" s="4"/>
      <c r="BA86" s="4"/>
      <c r="BB86" s="4"/>
      <c r="BC86" s="4"/>
      <c r="BD86" s="4"/>
      <c r="BE86" s="4"/>
    </row>
    <row r="87" spans="1:57" ht="20.399999999999999" hidden="1">
      <c r="A87" s="2679"/>
      <c r="B87" s="3290" t="s">
        <v>365</v>
      </c>
      <c r="C87" s="603"/>
      <c r="D87" s="603" t="s">
        <v>1903</v>
      </c>
      <c r="E87" s="604" t="s">
        <v>1319</v>
      </c>
      <c r="F87" s="3049" t="s">
        <v>4618</v>
      </c>
      <c r="G87" s="1083"/>
      <c r="H87" s="1083"/>
      <c r="I87" s="1083"/>
      <c r="J87" s="1084"/>
      <c r="K87" s="120"/>
      <c r="L87" s="120">
        <v>76315</v>
      </c>
      <c r="M87" s="120"/>
      <c r="N87" s="120"/>
      <c r="O87" s="1085"/>
      <c r="P87" s="5"/>
      <c r="Q87" s="5"/>
      <c r="R87"/>
      <c r="S87"/>
      <c r="T87"/>
      <c r="U87" s="5"/>
      <c r="V87" s="5"/>
      <c r="W87" s="5"/>
      <c r="X87" s="5"/>
      <c r="Y87" s="5"/>
      <c r="Z87" s="5"/>
      <c r="AA87" s="5"/>
      <c r="AB87" s="5"/>
      <c r="AC87" s="5"/>
      <c r="AD87" s="5"/>
      <c r="AE87" s="5"/>
      <c r="AF87" s="5"/>
      <c r="AG87" s="5"/>
      <c r="AH87" s="5"/>
      <c r="AI87" s="5"/>
      <c r="AJ87" s="5"/>
      <c r="AK87" s="5"/>
      <c r="AL87" s="5"/>
      <c r="AM87" s="584"/>
      <c r="AN87" s="585"/>
      <c r="AO87" s="586"/>
      <c r="AP87" s="6"/>
      <c r="AQ87" s="587"/>
      <c r="AR87" s="5"/>
      <c r="AS87" s="4"/>
      <c r="AT87" s="4"/>
      <c r="AU87" s="4"/>
      <c r="AV87" s="4"/>
      <c r="AW87" s="4"/>
      <c r="AX87" s="4"/>
      <c r="AY87" s="4"/>
      <c r="AZ87" s="4"/>
      <c r="BA87" s="4"/>
      <c r="BB87" s="4"/>
      <c r="BC87" s="4"/>
      <c r="BD87" s="4"/>
      <c r="BE87" s="4"/>
    </row>
    <row r="88" spans="1:57" ht="20.399999999999999" hidden="1">
      <c r="A88" s="2679"/>
      <c r="B88" s="3290" t="s">
        <v>365</v>
      </c>
      <c r="C88" s="603"/>
      <c r="D88" s="603" t="s">
        <v>1903</v>
      </c>
      <c r="E88" s="604" t="s">
        <v>1319</v>
      </c>
      <c r="F88" s="3049" t="s">
        <v>4619</v>
      </c>
      <c r="G88" s="1083"/>
      <c r="H88" s="1083"/>
      <c r="I88" s="1083"/>
      <c r="J88" s="1084"/>
      <c r="K88" s="120"/>
      <c r="L88" s="120">
        <v>35684.11</v>
      </c>
      <c r="M88" s="120"/>
      <c r="N88" s="120"/>
      <c r="O88" s="1085"/>
      <c r="P88" s="5"/>
      <c r="Q88" s="5"/>
      <c r="R88"/>
      <c r="S88"/>
      <c r="T88"/>
      <c r="U88" s="5"/>
      <c r="V88" s="5"/>
      <c r="W88" s="5"/>
      <c r="X88" s="5"/>
      <c r="Y88" s="5"/>
      <c r="Z88" s="5"/>
      <c r="AA88" s="5"/>
      <c r="AB88" s="5"/>
      <c r="AC88" s="5"/>
      <c r="AD88" s="5"/>
      <c r="AE88" s="5"/>
      <c r="AF88" s="5"/>
      <c r="AG88" s="5"/>
      <c r="AH88" s="5"/>
      <c r="AI88" s="5"/>
      <c r="AJ88" s="5"/>
      <c r="AK88" s="5"/>
      <c r="AL88" s="5"/>
      <c r="AM88" s="584"/>
      <c r="AN88" s="585"/>
      <c r="AO88" s="586"/>
      <c r="AP88" s="6"/>
      <c r="AQ88" s="587"/>
      <c r="AR88" s="5"/>
      <c r="AS88" s="4"/>
      <c r="AT88" s="4"/>
      <c r="AU88" s="4"/>
      <c r="AV88" s="4"/>
      <c r="AW88" s="4"/>
      <c r="AX88" s="4"/>
      <c r="AY88" s="4"/>
      <c r="AZ88" s="4"/>
      <c r="BA88" s="4"/>
      <c r="BB88" s="4"/>
      <c r="BC88" s="4"/>
      <c r="BD88" s="4"/>
      <c r="BE88" s="4"/>
    </row>
    <row r="89" spans="1:57" ht="20.399999999999999" hidden="1">
      <c r="A89" s="2679"/>
      <c r="B89" s="3290" t="s">
        <v>365</v>
      </c>
      <c r="C89" s="603"/>
      <c r="D89" s="603" t="s">
        <v>1903</v>
      </c>
      <c r="E89" s="604" t="s">
        <v>1319</v>
      </c>
      <c r="F89" s="3049" t="s">
        <v>4620</v>
      </c>
      <c r="G89" s="1083"/>
      <c r="H89" s="1083"/>
      <c r="I89" s="1083"/>
      <c r="J89" s="1084"/>
      <c r="K89" s="120"/>
      <c r="L89" s="120">
        <v>63719</v>
      </c>
      <c r="M89" s="120"/>
      <c r="N89" s="120"/>
      <c r="O89" s="1085"/>
      <c r="P89" s="5"/>
      <c r="Q89" s="5"/>
      <c r="R89"/>
      <c r="S89"/>
      <c r="T89"/>
      <c r="U89" s="5"/>
      <c r="V89" s="5"/>
      <c r="W89" s="5"/>
      <c r="X89" s="5"/>
      <c r="Y89" s="5"/>
      <c r="Z89" s="5"/>
      <c r="AA89" s="5"/>
      <c r="AB89" s="5"/>
      <c r="AC89" s="5"/>
      <c r="AD89" s="5"/>
      <c r="AE89" s="5"/>
      <c r="AF89" s="5"/>
      <c r="AG89" s="5"/>
      <c r="AH89" s="5"/>
      <c r="AI89" s="5"/>
      <c r="AJ89" s="5"/>
      <c r="AK89" s="5"/>
      <c r="AL89" s="5"/>
      <c r="AM89" s="584"/>
      <c r="AN89" s="585"/>
      <c r="AO89" s="586"/>
      <c r="AP89" s="6"/>
      <c r="AQ89" s="587"/>
      <c r="AR89" s="5"/>
      <c r="AS89" s="4"/>
      <c r="AT89" s="4"/>
      <c r="AU89" s="4"/>
      <c r="AV89" s="4"/>
      <c r="AW89" s="4"/>
      <c r="AX89" s="4"/>
      <c r="AY89" s="4"/>
      <c r="AZ89" s="4"/>
      <c r="BA89" s="4"/>
      <c r="BB89" s="4"/>
      <c r="BC89" s="4"/>
      <c r="BD89" s="4"/>
      <c r="BE89" s="4"/>
    </row>
    <row r="90" spans="1:57" ht="20.399999999999999" hidden="1">
      <c r="A90" s="2679"/>
      <c r="B90" s="3290" t="s">
        <v>365</v>
      </c>
      <c r="C90" s="603"/>
      <c r="D90" s="603" t="s">
        <v>1903</v>
      </c>
      <c r="E90" s="604" t="s">
        <v>1319</v>
      </c>
      <c r="F90" s="3049" t="s">
        <v>4621</v>
      </c>
      <c r="G90" s="1083"/>
      <c r="H90" s="1083"/>
      <c r="I90" s="1083"/>
      <c r="J90" s="1084"/>
      <c r="K90" s="120"/>
      <c r="L90" s="120">
        <v>58080</v>
      </c>
      <c r="M90" s="120"/>
      <c r="N90" s="120"/>
      <c r="O90" s="1085"/>
      <c r="P90" s="5"/>
      <c r="Q90" s="5"/>
      <c r="R90"/>
      <c r="S90"/>
      <c r="T90"/>
      <c r="U90" s="5"/>
      <c r="V90" s="5"/>
      <c r="W90" s="5"/>
      <c r="X90" s="5"/>
      <c r="Y90" s="5"/>
      <c r="Z90" s="5"/>
      <c r="AA90" s="5"/>
      <c r="AB90" s="5"/>
      <c r="AC90" s="5"/>
      <c r="AD90" s="5"/>
      <c r="AE90" s="5"/>
      <c r="AF90" s="5"/>
      <c r="AG90" s="5"/>
      <c r="AH90" s="5"/>
      <c r="AI90" s="5"/>
      <c r="AJ90" s="5"/>
      <c r="AK90" s="5"/>
      <c r="AL90" s="5"/>
      <c r="AM90" s="584"/>
      <c r="AN90" s="585"/>
      <c r="AO90" s="586"/>
      <c r="AP90" s="6"/>
      <c r="AQ90" s="587"/>
      <c r="AR90" s="5"/>
      <c r="AS90" s="4"/>
      <c r="AT90" s="4"/>
      <c r="AU90" s="4"/>
      <c r="AV90" s="4"/>
      <c r="AW90" s="4"/>
      <c r="AX90" s="4"/>
      <c r="AY90" s="4"/>
      <c r="AZ90" s="4"/>
      <c r="BA90" s="4"/>
      <c r="BB90" s="4"/>
      <c r="BC90" s="4"/>
      <c r="BD90" s="4"/>
      <c r="BE90" s="4"/>
    </row>
    <row r="91" spans="1:57" ht="20.399999999999999" hidden="1">
      <c r="A91" s="2679"/>
      <c r="B91" s="3290" t="s">
        <v>365</v>
      </c>
      <c r="C91" s="603"/>
      <c r="D91" s="603" t="s">
        <v>1903</v>
      </c>
      <c r="E91" s="604" t="s">
        <v>1319</v>
      </c>
      <c r="F91" s="3049" t="s">
        <v>4622</v>
      </c>
      <c r="G91" s="1083"/>
      <c r="H91" s="1083"/>
      <c r="I91" s="1083"/>
      <c r="J91" s="1084"/>
      <c r="K91" s="120"/>
      <c r="L91" s="120">
        <v>39567</v>
      </c>
      <c r="M91" s="120"/>
      <c r="N91" s="120"/>
      <c r="O91" s="1085"/>
      <c r="P91" s="5"/>
      <c r="Q91" s="5"/>
      <c r="R91"/>
      <c r="S91"/>
      <c r="T91"/>
      <c r="U91" s="5"/>
      <c r="V91" s="5"/>
      <c r="W91" s="5"/>
      <c r="X91" s="5"/>
      <c r="Y91" s="5"/>
      <c r="Z91" s="5"/>
      <c r="AA91" s="5"/>
      <c r="AB91" s="5"/>
      <c r="AC91" s="5"/>
      <c r="AD91" s="5"/>
      <c r="AE91" s="5"/>
      <c r="AF91" s="5"/>
      <c r="AG91" s="5"/>
      <c r="AH91" s="5"/>
      <c r="AI91" s="5"/>
      <c r="AJ91" s="5"/>
      <c r="AK91" s="5"/>
      <c r="AL91" s="5"/>
      <c r="AM91" s="584"/>
      <c r="AN91" s="585"/>
      <c r="AO91" s="586"/>
      <c r="AP91" s="6"/>
      <c r="AQ91" s="587"/>
      <c r="AR91" s="5"/>
      <c r="AS91" s="4"/>
      <c r="AT91" s="4"/>
      <c r="AU91" s="4"/>
      <c r="AV91" s="4"/>
      <c r="AW91" s="4"/>
      <c r="AX91" s="4"/>
      <c r="AY91" s="4"/>
      <c r="AZ91" s="4"/>
      <c r="BA91" s="4"/>
      <c r="BB91" s="4"/>
      <c r="BC91" s="4"/>
      <c r="BD91" s="4"/>
      <c r="BE91" s="4"/>
    </row>
    <row r="92" spans="1:57" ht="20.399999999999999" hidden="1">
      <c r="A92" s="2679"/>
      <c r="B92" s="3290" t="s">
        <v>365</v>
      </c>
      <c r="C92" s="603"/>
      <c r="D92" s="603" t="s">
        <v>1903</v>
      </c>
      <c r="E92" s="604" t="s">
        <v>1319</v>
      </c>
      <c r="F92" s="3049" t="s">
        <v>4972</v>
      </c>
      <c r="G92" s="1083"/>
      <c r="H92" s="1083"/>
      <c r="I92" s="1083"/>
      <c r="J92" s="1084"/>
      <c r="K92" s="120"/>
      <c r="L92" s="120">
        <v>97352.5</v>
      </c>
      <c r="M92" s="120"/>
      <c r="N92" s="120"/>
      <c r="O92" s="1085"/>
      <c r="P92" s="5"/>
      <c r="Q92" s="5"/>
      <c r="R92"/>
      <c r="S92"/>
      <c r="T92"/>
      <c r="U92" s="5"/>
      <c r="V92" s="5"/>
      <c r="W92" s="5"/>
      <c r="X92" s="5"/>
      <c r="Y92" s="5"/>
      <c r="Z92" s="5"/>
      <c r="AA92" s="5"/>
      <c r="AB92" s="5"/>
      <c r="AC92" s="5"/>
      <c r="AD92" s="5"/>
      <c r="AE92" s="5"/>
      <c r="AF92" s="5"/>
      <c r="AG92" s="5"/>
      <c r="AH92" s="5"/>
      <c r="AI92" s="5"/>
      <c r="AJ92" s="5"/>
      <c r="AK92" s="5"/>
      <c r="AL92" s="5"/>
      <c r="AM92" s="584"/>
      <c r="AN92" s="585"/>
      <c r="AO92" s="586"/>
      <c r="AP92" s="6"/>
      <c r="AQ92" s="587"/>
      <c r="AR92" s="5"/>
      <c r="AS92" s="4"/>
      <c r="AT92" s="4"/>
      <c r="AU92" s="4"/>
      <c r="AV92" s="4"/>
      <c r="AW92" s="4"/>
      <c r="AX92" s="4"/>
      <c r="AY92" s="4"/>
      <c r="AZ92" s="4"/>
      <c r="BA92" s="4"/>
      <c r="BB92" s="4"/>
      <c r="BC92" s="4"/>
      <c r="BD92" s="4"/>
      <c r="BE92" s="4"/>
    </row>
    <row r="93" spans="1:57" hidden="1">
      <c r="A93" s="596"/>
      <c r="B93" s="3289" t="s">
        <v>365</v>
      </c>
      <c r="C93" s="612" t="s">
        <v>1985</v>
      </c>
      <c r="D93" s="612" t="s">
        <v>1905</v>
      </c>
      <c r="E93" s="597" t="s">
        <v>1319</v>
      </c>
      <c r="F93" s="598" t="s">
        <v>1782</v>
      </c>
      <c r="G93" s="1080">
        <v>308658.84952242271</v>
      </c>
      <c r="H93" s="1080"/>
      <c r="I93" s="1080"/>
      <c r="J93" s="1081"/>
      <c r="K93" s="602">
        <f>L94</f>
        <v>971940</v>
      </c>
      <c r="L93" s="602"/>
      <c r="M93" s="1445"/>
      <c r="N93" s="1445"/>
      <c r="O93" s="1085"/>
      <c r="P93" s="19"/>
      <c r="Q93" s="4"/>
      <c r="R93"/>
      <c r="S93"/>
      <c r="T93"/>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row>
    <row r="94" spans="1:57" hidden="1">
      <c r="A94" s="603"/>
      <c r="B94" s="3290" t="s">
        <v>365</v>
      </c>
      <c r="C94" s="603"/>
      <c r="D94" s="603" t="s">
        <v>1905</v>
      </c>
      <c r="E94" s="604" t="s">
        <v>1319</v>
      </c>
      <c r="F94" s="605" t="s">
        <v>1637</v>
      </c>
      <c r="G94" s="1083"/>
      <c r="H94" s="1083">
        <v>308658.84952242271</v>
      </c>
      <c r="I94" s="1083"/>
      <c r="J94" s="1084"/>
      <c r="K94" s="120"/>
      <c r="L94" s="120">
        <f>1072582-100642</f>
        <v>971940</v>
      </c>
      <c r="M94" s="120"/>
      <c r="N94" s="120"/>
      <c r="O94" s="1085"/>
      <c r="P94" s="5"/>
      <c r="Q94" s="5"/>
      <c r="R94"/>
      <c r="S94"/>
      <c r="T94"/>
      <c r="U94" s="5"/>
      <c r="V94" s="5"/>
      <c r="W94" s="5"/>
      <c r="X94" s="5"/>
      <c r="Y94" s="5"/>
      <c r="Z94" s="5"/>
      <c r="AA94" s="5"/>
      <c r="AB94" s="5"/>
      <c r="AC94" s="5"/>
      <c r="AD94" s="5"/>
      <c r="AE94" s="5"/>
      <c r="AF94" s="5"/>
      <c r="AG94" s="5"/>
      <c r="AH94" s="5"/>
      <c r="AI94" s="123"/>
      <c r="AJ94" s="123"/>
      <c r="AK94" s="123"/>
      <c r="AL94" s="123"/>
      <c r="AM94" s="593"/>
      <c r="AN94" s="124"/>
      <c r="AO94" s="594"/>
      <c r="AP94" s="384"/>
      <c r="AQ94" s="595"/>
      <c r="AR94" s="5"/>
      <c r="AS94" s="4"/>
      <c r="AT94" s="4"/>
      <c r="AU94" s="4"/>
      <c r="AV94" s="4"/>
      <c r="AW94" s="4"/>
      <c r="AX94" s="4"/>
      <c r="AY94" s="4"/>
      <c r="AZ94" s="4"/>
      <c r="BA94" s="4"/>
      <c r="BB94" s="4"/>
      <c r="BC94" s="4"/>
      <c r="BD94" s="4"/>
      <c r="BE94" s="4"/>
    </row>
    <row r="95" spans="1:57" hidden="1">
      <c r="A95" s="596"/>
      <c r="B95" s="3289" t="s">
        <v>365</v>
      </c>
      <c r="C95" s="612" t="s">
        <v>2673</v>
      </c>
      <c r="D95" s="612" t="s">
        <v>2885</v>
      </c>
      <c r="E95" s="597" t="s">
        <v>1319</v>
      </c>
      <c r="F95" s="598" t="s">
        <v>1782</v>
      </c>
      <c r="G95" s="1080">
        <v>103070</v>
      </c>
      <c r="H95" s="1080"/>
      <c r="I95" s="1080">
        <v>66588.62</v>
      </c>
      <c r="J95" s="1081"/>
      <c r="K95" s="602">
        <f>L96</f>
        <v>357425</v>
      </c>
      <c r="L95" s="602"/>
      <c r="M95" s="1445"/>
      <c r="N95" s="1445"/>
      <c r="O95" s="1085"/>
      <c r="P95" s="5"/>
      <c r="Q95" s="4"/>
      <c r="R95"/>
      <c r="S95"/>
      <c r="T95"/>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row>
    <row r="96" spans="1:57" hidden="1">
      <c r="A96" s="603"/>
      <c r="B96" s="3290" t="s">
        <v>365</v>
      </c>
      <c r="C96" s="603"/>
      <c r="D96" s="603" t="s">
        <v>2885</v>
      </c>
      <c r="E96" s="604" t="s">
        <v>1319</v>
      </c>
      <c r="F96" s="605" t="s">
        <v>1694</v>
      </c>
      <c r="G96" s="1083"/>
      <c r="H96" s="1083">
        <v>103070</v>
      </c>
      <c r="I96" s="1083"/>
      <c r="J96" s="1084"/>
      <c r="K96" s="120"/>
      <c r="L96" s="120">
        <f>390980-33555</f>
        <v>357425</v>
      </c>
      <c r="M96" s="120"/>
      <c r="N96" s="120"/>
      <c r="O96" s="1085"/>
      <c r="P96" s="5"/>
      <c r="Q96" s="5"/>
      <c r="R96"/>
      <c r="S96"/>
      <c r="T96"/>
      <c r="U96" s="5"/>
      <c r="V96" s="5"/>
      <c r="W96" s="5"/>
      <c r="X96" s="5"/>
      <c r="Y96" s="5"/>
      <c r="Z96" s="5"/>
      <c r="AA96" s="5"/>
      <c r="AB96" s="5"/>
      <c r="AC96" s="5"/>
      <c r="AD96" s="5"/>
      <c r="AE96" s="5"/>
      <c r="AF96" s="5"/>
      <c r="AG96" s="5"/>
      <c r="AH96" s="5"/>
      <c r="AI96" s="603"/>
      <c r="AJ96" s="603"/>
      <c r="AK96" s="603"/>
      <c r="AL96" s="603"/>
      <c r="AM96" s="607"/>
      <c r="AN96" s="608"/>
      <c r="AO96" s="609"/>
      <c r="AP96" s="610"/>
      <c r="AQ96" s="595"/>
      <c r="AR96" s="5"/>
      <c r="AS96" s="4"/>
      <c r="AT96" s="4"/>
      <c r="AU96" s="4"/>
      <c r="AV96" s="4"/>
      <c r="AW96" s="4"/>
      <c r="AX96" s="4"/>
      <c r="AY96" s="4"/>
      <c r="AZ96" s="4"/>
      <c r="BA96" s="4"/>
      <c r="BB96" s="4"/>
      <c r="BC96" s="4"/>
      <c r="BD96" s="4"/>
      <c r="BE96" s="4"/>
    </row>
    <row r="97" spans="1:57" hidden="1">
      <c r="A97" s="596"/>
      <c r="B97" s="3289" t="s">
        <v>365</v>
      </c>
      <c r="C97" s="612" t="s">
        <v>2883</v>
      </c>
      <c r="D97" s="612" t="s">
        <v>2884</v>
      </c>
      <c r="E97" s="597" t="s">
        <v>1319</v>
      </c>
      <c r="F97" s="598" t="s">
        <v>1782</v>
      </c>
      <c r="G97" s="1080">
        <v>638646</v>
      </c>
      <c r="H97" s="1080"/>
      <c r="I97" s="1080"/>
      <c r="J97" s="1081"/>
      <c r="K97" s="602">
        <f>SUM(L98:L99)</f>
        <v>918723.47</v>
      </c>
      <c r="L97" s="613"/>
      <c r="M97" s="1445"/>
      <c r="N97" s="1445"/>
      <c r="O97" s="1085"/>
      <c r="P97" s="5"/>
      <c r="Q97" s="5"/>
      <c r="R97"/>
      <c r="S97"/>
      <c r="T97"/>
      <c r="U97" s="5"/>
      <c r="V97" s="5"/>
      <c r="W97" s="5"/>
      <c r="X97" s="5"/>
      <c r="Y97" s="5"/>
      <c r="Z97" s="5"/>
      <c r="AA97" s="5"/>
      <c r="AB97" s="5"/>
      <c r="AC97" s="5"/>
      <c r="AD97" s="5"/>
      <c r="AE97" s="5"/>
      <c r="AF97" s="5"/>
      <c r="AG97" s="5"/>
      <c r="AH97" s="5"/>
      <c r="AI97" s="603"/>
      <c r="AJ97" s="603"/>
      <c r="AK97" s="603"/>
      <c r="AL97" s="603"/>
      <c r="AM97" s="607"/>
      <c r="AN97" s="608"/>
      <c r="AO97" s="609"/>
      <c r="AP97" s="610"/>
      <c r="AQ97" s="595"/>
      <c r="AR97" s="5"/>
      <c r="AS97" s="4"/>
      <c r="AT97" s="4"/>
      <c r="AU97" s="4"/>
      <c r="AV97" s="4"/>
      <c r="AW97" s="4"/>
      <c r="AX97" s="4"/>
      <c r="AY97" s="4"/>
      <c r="AZ97" s="4"/>
      <c r="BA97" s="4"/>
      <c r="BB97" s="4"/>
      <c r="BC97" s="4"/>
      <c r="BD97" s="4"/>
      <c r="BE97" s="4"/>
    </row>
    <row r="98" spans="1:57" ht="20.399999999999999" hidden="1">
      <c r="A98" s="603"/>
      <c r="B98" s="3290" t="s">
        <v>365</v>
      </c>
      <c r="C98" s="603"/>
      <c r="D98" s="603" t="s">
        <v>2884</v>
      </c>
      <c r="E98" s="604" t="s">
        <v>1319</v>
      </c>
      <c r="F98" s="605" t="s">
        <v>5189</v>
      </c>
      <c r="G98" s="1083"/>
      <c r="H98" s="1083">
        <v>638646</v>
      </c>
      <c r="I98" s="1083"/>
      <c r="J98" s="1084"/>
      <c r="K98" s="1094"/>
      <c r="L98" s="120">
        <f>638646-3650</f>
        <v>634996</v>
      </c>
      <c r="M98" s="120"/>
      <c r="N98" s="120"/>
      <c r="O98" s="1085"/>
      <c r="P98" s="5"/>
      <c r="Q98" s="4"/>
      <c r="R98"/>
      <c r="S98"/>
      <c r="T98"/>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row>
    <row r="99" spans="1:57" ht="20.399999999999999" hidden="1">
      <c r="A99" s="2679"/>
      <c r="B99" s="3290" t="s">
        <v>365</v>
      </c>
      <c r="C99" s="603"/>
      <c r="D99" s="603" t="s">
        <v>2884</v>
      </c>
      <c r="E99" s="604" t="s">
        <v>1319</v>
      </c>
      <c r="F99" s="605" t="s">
        <v>5190</v>
      </c>
      <c r="G99" s="1083"/>
      <c r="H99" s="1083"/>
      <c r="I99" s="1083"/>
      <c r="J99" s="1084"/>
      <c r="K99" s="1094"/>
      <c r="L99" s="120">
        <v>283727.46999999997</v>
      </c>
      <c r="M99" s="120"/>
      <c r="N99" s="120"/>
      <c r="O99" s="1085"/>
      <c r="P99" s="5"/>
      <c r="Q99" s="4"/>
      <c r="R99"/>
      <c r="S99"/>
      <c r="T99"/>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row>
    <row r="100" spans="1:57" ht="40.799999999999997" hidden="1">
      <c r="A100" s="596"/>
      <c r="B100" s="3289" t="s">
        <v>365</v>
      </c>
      <c r="C100" s="612" t="s">
        <v>2964</v>
      </c>
      <c r="D100" s="612" t="s">
        <v>2917</v>
      </c>
      <c r="E100" s="597" t="s">
        <v>2963</v>
      </c>
      <c r="F100" s="598" t="s">
        <v>1781</v>
      </c>
      <c r="G100" s="599">
        <v>333333</v>
      </c>
      <c r="H100" s="599"/>
      <c r="I100" s="600">
        <v>75000</v>
      </c>
      <c r="J100" s="601"/>
      <c r="K100" s="602">
        <f>L101</f>
        <v>0</v>
      </c>
      <c r="L100" s="602"/>
      <c r="M100" s="1445"/>
      <c r="N100" s="1445"/>
      <c r="O100" s="1085"/>
      <c r="P100" s="19"/>
      <c r="Q100" s="4"/>
      <c r="R100"/>
      <c r="S100"/>
      <c r="T100"/>
      <c r="U100" s="5"/>
      <c r="V100" s="5"/>
      <c r="W100" s="5"/>
      <c r="X100" s="5"/>
      <c r="Y100" s="5"/>
      <c r="Z100" s="5"/>
      <c r="AA100" s="5"/>
      <c r="AB100" s="5"/>
      <c r="AC100" s="5"/>
      <c r="AD100" s="5"/>
      <c r="AE100" s="5"/>
      <c r="AF100" s="5"/>
      <c r="AG100" s="5"/>
      <c r="AH100" s="5"/>
      <c r="AI100" s="603"/>
      <c r="AJ100" s="603"/>
      <c r="AK100" s="603"/>
      <c r="AL100" s="603"/>
      <c r="AM100" s="607"/>
      <c r="AN100" s="608"/>
      <c r="AO100" s="609"/>
      <c r="AP100" s="610"/>
      <c r="AQ100" s="595"/>
      <c r="AR100" s="5"/>
      <c r="AS100" s="4"/>
      <c r="AT100" s="4"/>
      <c r="AU100" s="4"/>
      <c r="AV100" s="4"/>
      <c r="AW100" s="4"/>
      <c r="AX100" s="4"/>
      <c r="AY100" s="4"/>
      <c r="AZ100" s="4"/>
      <c r="BA100" s="4"/>
      <c r="BB100" s="4"/>
      <c r="BC100" s="4"/>
      <c r="BD100" s="4"/>
      <c r="BE100" s="4"/>
    </row>
    <row r="101" spans="1:57" hidden="1">
      <c r="A101" s="603"/>
      <c r="B101" s="3290" t="s">
        <v>365</v>
      </c>
      <c r="C101" s="603"/>
      <c r="D101" s="603" t="s">
        <v>2917</v>
      </c>
      <c r="E101" s="604" t="s">
        <v>2963</v>
      </c>
      <c r="F101" s="605" t="s">
        <v>2858</v>
      </c>
      <c r="G101" s="606"/>
      <c r="H101" s="606">
        <v>333333</v>
      </c>
      <c r="I101" s="121"/>
      <c r="J101" s="122"/>
      <c r="K101" s="120"/>
      <c r="L101" s="120"/>
      <c r="M101" s="120"/>
      <c r="N101" s="120"/>
      <c r="O101" s="1085"/>
      <c r="P101" s="5"/>
      <c r="Q101" s="5"/>
      <c r="R101"/>
      <c r="S101"/>
      <c r="T101"/>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row>
    <row r="102" spans="1:57" ht="40.799999999999997" hidden="1">
      <c r="A102" s="596"/>
      <c r="B102" s="3289" t="s">
        <v>365</v>
      </c>
      <c r="C102" s="612" t="s">
        <v>3254</v>
      </c>
      <c r="D102" s="1658" t="s">
        <v>3248</v>
      </c>
      <c r="E102" s="597" t="s">
        <v>2963</v>
      </c>
      <c r="F102" s="598" t="s">
        <v>1781</v>
      </c>
      <c r="G102" s="599">
        <v>5400</v>
      </c>
      <c r="H102" s="599"/>
      <c r="I102" s="600">
        <v>6422.37</v>
      </c>
      <c r="J102" s="601"/>
      <c r="K102" s="1659">
        <f>L103</f>
        <v>19267</v>
      </c>
      <c r="L102" s="1659"/>
      <c r="M102" s="1445"/>
      <c r="N102" s="1445"/>
      <c r="O102" s="1085"/>
      <c r="P102" s="19"/>
      <c r="Q102" s="5"/>
      <c r="R102"/>
      <c r="S102"/>
      <c r="T102"/>
      <c r="U102" s="5"/>
      <c r="V102" s="5"/>
      <c r="W102" s="5"/>
      <c r="X102" s="5"/>
      <c r="Y102" s="5"/>
      <c r="Z102" s="5"/>
      <c r="AA102" s="5"/>
      <c r="AB102" s="5"/>
      <c r="AC102" s="5"/>
      <c r="AD102" s="5"/>
      <c r="AE102" s="5"/>
      <c r="AF102" s="5"/>
      <c r="AG102" s="5"/>
      <c r="AH102" s="5"/>
      <c r="AI102" s="603"/>
      <c r="AJ102" s="603"/>
      <c r="AK102" s="603"/>
      <c r="AL102" s="603"/>
      <c r="AM102" s="607"/>
      <c r="AN102" s="608"/>
      <c r="AO102" s="609"/>
      <c r="AP102" s="610"/>
      <c r="AQ102" s="595"/>
      <c r="AR102" s="5"/>
      <c r="AS102" s="4"/>
      <c r="AT102" s="4"/>
      <c r="AU102" s="4"/>
      <c r="AV102" s="4"/>
      <c r="AW102" s="4"/>
      <c r="AX102" s="4"/>
      <c r="AY102" s="4"/>
      <c r="AZ102" s="4"/>
      <c r="BA102" s="4"/>
      <c r="BB102" s="4"/>
      <c r="BC102" s="4"/>
      <c r="BD102" s="4"/>
      <c r="BE102" s="4"/>
    </row>
    <row r="103" spans="1:57" hidden="1">
      <c r="A103" s="603"/>
      <c r="B103" s="3290" t="s">
        <v>365</v>
      </c>
      <c r="C103" s="603"/>
      <c r="D103" s="616" t="s">
        <v>3248</v>
      </c>
      <c r="E103" s="604" t="s">
        <v>2963</v>
      </c>
      <c r="F103" s="605" t="s">
        <v>3249</v>
      </c>
      <c r="G103" s="606"/>
      <c r="H103" s="606">
        <v>5400</v>
      </c>
      <c r="I103" s="121"/>
      <c r="J103" s="122"/>
      <c r="K103" s="1660"/>
      <c r="L103" s="1660">
        <f>25689-6422</f>
        <v>19267</v>
      </c>
      <c r="M103" s="120"/>
      <c r="N103" s="120"/>
      <c r="O103" s="1085"/>
      <c r="P103" s="5"/>
      <c r="Q103" s="4"/>
      <c r="R103"/>
      <c r="S103"/>
      <c r="T103"/>
      <c r="U103" s="5"/>
      <c r="V103" s="5"/>
      <c r="W103" s="5"/>
      <c r="X103" s="5"/>
      <c r="Y103" s="5"/>
      <c r="Z103" s="5"/>
      <c r="AA103" s="5"/>
      <c r="AB103" s="5"/>
      <c r="AC103" s="5"/>
      <c r="AD103" s="5"/>
      <c r="AE103" s="5"/>
      <c r="AF103" s="5"/>
      <c r="AG103" s="5"/>
      <c r="AH103" s="5"/>
      <c r="AI103" s="603"/>
      <c r="AJ103" s="603"/>
      <c r="AK103" s="603"/>
      <c r="AL103" s="603"/>
      <c r="AM103" s="607"/>
      <c r="AN103" s="608"/>
      <c r="AO103" s="609"/>
      <c r="AP103" s="610"/>
      <c r="AQ103" s="595"/>
      <c r="AR103" s="5"/>
      <c r="AS103" s="4"/>
      <c r="AT103" s="4"/>
      <c r="AU103" s="4"/>
      <c r="AV103" s="4"/>
      <c r="AW103" s="4"/>
      <c r="AX103" s="4"/>
      <c r="AY103" s="4"/>
      <c r="AZ103" s="4"/>
      <c r="BA103" s="4"/>
      <c r="BB103" s="4"/>
      <c r="BC103" s="4"/>
      <c r="BD103" s="4"/>
      <c r="BE103" s="4"/>
    </row>
    <row r="104" spans="1:57" ht="40.799999999999997" hidden="1">
      <c r="A104" s="596"/>
      <c r="B104" s="3289" t="s">
        <v>365</v>
      </c>
      <c r="C104" s="612" t="s">
        <v>3255</v>
      </c>
      <c r="D104" s="612" t="s">
        <v>3252</v>
      </c>
      <c r="E104" s="597" t="s">
        <v>2963</v>
      </c>
      <c r="F104" s="598" t="s">
        <v>1781</v>
      </c>
      <c r="G104" s="599">
        <v>900</v>
      </c>
      <c r="H104" s="599"/>
      <c r="I104" s="600"/>
      <c r="J104" s="601"/>
      <c r="K104" s="602">
        <f>L105</f>
        <v>0</v>
      </c>
      <c r="L104" s="602"/>
      <c r="M104" s="1445"/>
      <c r="N104" s="1445"/>
      <c r="O104" s="1085"/>
      <c r="P104" s="5"/>
      <c r="Q104" s="4"/>
      <c r="R104"/>
      <c r="S104"/>
      <c r="T104"/>
      <c r="U104" s="5"/>
      <c r="V104" s="5"/>
      <c r="W104" s="5"/>
      <c r="X104" s="5"/>
      <c r="Y104" s="5"/>
      <c r="Z104" s="5"/>
      <c r="AA104" s="5"/>
      <c r="AB104" s="5"/>
      <c r="AC104" s="5"/>
      <c r="AD104" s="5"/>
      <c r="AE104" s="5"/>
      <c r="AF104" s="5"/>
      <c r="AG104" s="5"/>
      <c r="AH104" s="5"/>
      <c r="AI104" s="603"/>
      <c r="AJ104" s="603"/>
      <c r="AK104" s="603"/>
      <c r="AL104" s="603"/>
      <c r="AM104" s="607"/>
      <c r="AN104" s="608"/>
      <c r="AO104" s="609"/>
      <c r="AP104" s="610"/>
      <c r="AQ104" s="595"/>
      <c r="AR104" s="5"/>
      <c r="AS104" s="4"/>
      <c r="AT104" s="4"/>
      <c r="AU104" s="4"/>
      <c r="AV104" s="4"/>
      <c r="AW104" s="4"/>
      <c r="AX104" s="4"/>
      <c r="AY104" s="4"/>
      <c r="AZ104" s="4"/>
      <c r="BA104" s="4"/>
      <c r="BB104" s="4"/>
      <c r="BC104" s="4"/>
      <c r="BD104" s="4"/>
      <c r="BE104" s="4"/>
    </row>
    <row r="105" spans="1:57" ht="20.399999999999999" hidden="1">
      <c r="A105" s="603"/>
      <c r="B105" s="3290" t="s">
        <v>365</v>
      </c>
      <c r="C105" s="603"/>
      <c r="D105" s="603" t="s">
        <v>3252</v>
      </c>
      <c r="E105" s="604" t="s">
        <v>2963</v>
      </c>
      <c r="F105" s="605" t="s">
        <v>3256</v>
      </c>
      <c r="G105" s="606"/>
      <c r="H105" s="606">
        <v>900</v>
      </c>
      <c r="I105" s="121"/>
      <c r="J105" s="122"/>
      <c r="K105" s="120"/>
      <c r="L105" s="120"/>
      <c r="M105" s="120"/>
      <c r="N105" s="120"/>
      <c r="O105" s="1085"/>
      <c r="P105" s="5"/>
      <c r="Q105" s="4"/>
      <c r="R105"/>
      <c r="S105"/>
      <c r="T105"/>
      <c r="U105" s="5"/>
      <c r="V105" s="5"/>
      <c r="W105" s="5"/>
      <c r="X105" s="5"/>
      <c r="Y105" s="5"/>
      <c r="Z105" s="5"/>
      <c r="AA105" s="5"/>
      <c r="AB105" s="5"/>
      <c r="AC105" s="5"/>
      <c r="AD105" s="5"/>
      <c r="AE105" s="5"/>
      <c r="AF105" s="5"/>
      <c r="AG105" s="5"/>
      <c r="AH105" s="5"/>
      <c r="AI105" s="603"/>
      <c r="AJ105" s="603"/>
      <c r="AK105" s="603"/>
      <c r="AL105" s="603"/>
      <c r="AM105" s="607"/>
      <c r="AN105" s="608"/>
      <c r="AO105" s="609"/>
      <c r="AP105" s="610"/>
      <c r="AQ105" s="595"/>
      <c r="AR105" s="5"/>
      <c r="AS105" s="4"/>
      <c r="AT105" s="4"/>
      <c r="AU105" s="4"/>
      <c r="AV105" s="4"/>
      <c r="AW105" s="4"/>
      <c r="AX105" s="4"/>
      <c r="AY105" s="4"/>
      <c r="AZ105" s="4"/>
      <c r="BA105" s="4"/>
      <c r="BB105" s="4"/>
      <c r="BC105" s="4"/>
      <c r="BD105" s="4"/>
      <c r="BE105" s="4"/>
    </row>
    <row r="106" spans="1:57" ht="40.799999999999997" hidden="1">
      <c r="A106" s="596"/>
      <c r="B106" s="3289" t="s">
        <v>365</v>
      </c>
      <c r="C106" s="612" t="s">
        <v>3271</v>
      </c>
      <c r="D106" s="612" t="s">
        <v>3257</v>
      </c>
      <c r="E106" s="597" t="s">
        <v>2963</v>
      </c>
      <c r="F106" s="598" t="s">
        <v>1781</v>
      </c>
      <c r="G106" s="599">
        <v>1800</v>
      </c>
      <c r="H106" s="599"/>
      <c r="I106" s="600">
        <v>2250</v>
      </c>
      <c r="J106" s="601"/>
      <c r="K106" s="602">
        <f>L107</f>
        <v>0</v>
      </c>
      <c r="L106" s="602"/>
      <c r="M106" s="1445"/>
      <c r="N106" s="1445"/>
      <c r="O106" s="1085"/>
      <c r="P106" s="5"/>
      <c r="Q106" s="4"/>
      <c r="R106"/>
      <c r="S106"/>
      <c r="T106"/>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row>
    <row r="107" spans="1:57" ht="18.600000000000001" hidden="1" customHeight="1">
      <c r="A107" s="603"/>
      <c r="B107" s="3290" t="s">
        <v>365</v>
      </c>
      <c r="C107" s="603"/>
      <c r="D107" s="603" t="s">
        <v>3257</v>
      </c>
      <c r="E107" s="604" t="s">
        <v>2963</v>
      </c>
      <c r="F107" s="605" t="s">
        <v>3259</v>
      </c>
      <c r="G107" s="606"/>
      <c r="H107" s="606">
        <v>1800</v>
      </c>
      <c r="I107" s="121"/>
      <c r="J107" s="122"/>
      <c r="K107" s="120"/>
      <c r="L107" s="120"/>
      <c r="M107" s="120"/>
      <c r="N107" s="120"/>
      <c r="O107" s="1085"/>
      <c r="P107" s="5"/>
      <c r="Q107" s="4"/>
      <c r="R107"/>
      <c r="S107"/>
      <c r="T107"/>
      <c r="U107" s="5"/>
      <c r="V107" s="5"/>
      <c r="W107" s="5"/>
      <c r="X107" s="5"/>
      <c r="Y107" s="5"/>
      <c r="Z107" s="5"/>
      <c r="AA107" s="5"/>
      <c r="AB107" s="5"/>
      <c r="AC107" s="5"/>
      <c r="AD107" s="5"/>
      <c r="AE107" s="5"/>
      <c r="AF107" s="5"/>
      <c r="AG107" s="5"/>
      <c r="AH107" s="5"/>
      <c r="AI107" s="603"/>
      <c r="AJ107" s="603"/>
      <c r="AK107" s="603"/>
      <c r="AL107" s="603"/>
      <c r="AM107" s="607"/>
      <c r="AN107" s="608"/>
      <c r="AO107" s="609"/>
      <c r="AP107" s="610"/>
      <c r="AQ107" s="595"/>
      <c r="AR107" s="5"/>
      <c r="AS107" s="4"/>
      <c r="AT107" s="4"/>
      <c r="AU107" s="4"/>
      <c r="AV107" s="4"/>
      <c r="AW107" s="4"/>
      <c r="AX107" s="4"/>
      <c r="AY107" s="4"/>
      <c r="AZ107" s="4"/>
      <c r="BA107" s="4"/>
      <c r="BB107" s="4"/>
      <c r="BC107" s="4"/>
      <c r="BD107" s="4"/>
      <c r="BE107" s="4"/>
    </row>
    <row r="108" spans="1:57" hidden="1">
      <c r="A108" s="596"/>
      <c r="B108" s="3289" t="s">
        <v>365</v>
      </c>
      <c r="C108" s="612" t="s">
        <v>1634</v>
      </c>
      <c r="D108" s="612" t="s">
        <v>2886</v>
      </c>
      <c r="E108" s="597" t="s">
        <v>1319</v>
      </c>
      <c r="F108" s="598" t="s">
        <v>1782</v>
      </c>
      <c r="G108" s="1080">
        <v>267455</v>
      </c>
      <c r="H108" s="1080"/>
      <c r="I108" s="1080"/>
      <c r="J108" s="1081"/>
      <c r="K108" s="602">
        <f>L109</f>
        <v>0</v>
      </c>
      <c r="L108" s="602"/>
      <c r="M108" s="1445"/>
      <c r="N108" s="1445"/>
      <c r="O108" s="1085"/>
      <c r="P108" s="5"/>
      <c r="Q108" s="5"/>
      <c r="R108"/>
      <c r="S108"/>
      <c r="T108"/>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row>
    <row r="109" spans="1:57" ht="17.399999999999999" hidden="1" customHeight="1">
      <c r="A109" s="603"/>
      <c r="B109" s="3290" t="s">
        <v>365</v>
      </c>
      <c r="C109" s="603"/>
      <c r="D109" s="603" t="s">
        <v>2886</v>
      </c>
      <c r="E109" s="604" t="s">
        <v>1319</v>
      </c>
      <c r="F109" s="605" t="s">
        <v>1635</v>
      </c>
      <c r="G109" s="1083"/>
      <c r="H109" s="1083">
        <v>267455</v>
      </c>
      <c r="I109" s="1083"/>
      <c r="J109" s="1084"/>
      <c r="K109" s="120"/>
      <c r="L109" s="120"/>
      <c r="M109" s="120"/>
      <c r="N109" s="120"/>
      <c r="O109" s="1085"/>
      <c r="P109" s="5"/>
      <c r="Q109" s="5"/>
      <c r="R109"/>
      <c r="S109"/>
      <c r="T109"/>
      <c r="U109" s="5"/>
      <c r="V109" s="5"/>
      <c r="W109" s="5"/>
      <c r="X109" s="5"/>
      <c r="Y109" s="5"/>
      <c r="Z109" s="5"/>
      <c r="AA109" s="5"/>
      <c r="AB109" s="5"/>
      <c r="AC109" s="5"/>
      <c r="AD109" s="5"/>
      <c r="AE109" s="5"/>
      <c r="AF109" s="5"/>
      <c r="AG109" s="5"/>
      <c r="AH109" s="5"/>
      <c r="AI109" s="603"/>
      <c r="AJ109" s="603"/>
      <c r="AK109" s="603"/>
      <c r="AL109" s="603"/>
      <c r="AM109" s="607"/>
      <c r="AN109" s="608"/>
      <c r="AO109" s="609"/>
      <c r="AP109" s="610"/>
      <c r="AQ109" s="595"/>
      <c r="AR109" s="5"/>
      <c r="AS109" s="4"/>
      <c r="AT109" s="4"/>
      <c r="AU109" s="4"/>
      <c r="AV109" s="4"/>
      <c r="AW109" s="4"/>
      <c r="AX109" s="4"/>
      <c r="AY109" s="4"/>
      <c r="AZ109" s="4"/>
      <c r="BA109" s="4"/>
      <c r="BB109" s="4"/>
      <c r="BC109" s="4"/>
      <c r="BD109" s="4"/>
      <c r="BE109" s="4"/>
    </row>
    <row r="110" spans="1:57" hidden="1">
      <c r="A110" s="596"/>
      <c r="B110" s="3289" t="s">
        <v>365</v>
      </c>
      <c r="C110" s="612" t="s">
        <v>1875</v>
      </c>
      <c r="D110" s="612" t="s">
        <v>2640</v>
      </c>
      <c r="E110" s="597" t="s">
        <v>1319</v>
      </c>
      <c r="F110" s="598" t="s">
        <v>1782</v>
      </c>
      <c r="G110" s="1080">
        <v>0</v>
      </c>
      <c r="H110" s="1080"/>
      <c r="I110" s="1080">
        <v>3649.5</v>
      </c>
      <c r="J110" s="1081"/>
      <c r="K110" s="602">
        <f>L111</f>
        <v>36495</v>
      </c>
      <c r="L110" s="602"/>
      <c r="M110" s="1445"/>
      <c r="N110" s="1445"/>
      <c r="O110" s="1085"/>
      <c r="P110" s="5"/>
      <c r="Q110" s="5"/>
      <c r="R110"/>
      <c r="S110"/>
      <c r="T110"/>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row>
    <row r="111" spans="1:57" ht="24.6" hidden="1" customHeight="1">
      <c r="A111" s="603"/>
      <c r="B111" s="3290" t="s">
        <v>365</v>
      </c>
      <c r="C111" s="603"/>
      <c r="D111" s="603" t="s">
        <v>2640</v>
      </c>
      <c r="E111" s="604" t="s">
        <v>1319</v>
      </c>
      <c r="F111" s="605" t="s">
        <v>2641</v>
      </c>
      <c r="G111" s="1083"/>
      <c r="H111" s="1083"/>
      <c r="I111" s="1083"/>
      <c r="J111" s="1084"/>
      <c r="K111" s="120"/>
      <c r="L111" s="120">
        <v>36495</v>
      </c>
      <c r="M111" s="120"/>
      <c r="N111" s="120"/>
      <c r="O111" s="1085"/>
      <c r="P111" s="5"/>
      <c r="Q111" s="5"/>
      <c r="R111"/>
      <c r="S111"/>
      <c r="T111"/>
      <c r="U111" s="5"/>
      <c r="V111" s="5"/>
      <c r="W111" s="5"/>
      <c r="X111" s="5"/>
      <c r="Y111" s="5"/>
      <c r="Z111" s="5"/>
      <c r="AA111" s="5"/>
      <c r="AB111" s="5"/>
      <c r="AC111" s="5"/>
      <c r="AD111" s="5"/>
      <c r="AE111" s="5"/>
      <c r="AF111" s="5"/>
      <c r="AG111" s="5"/>
      <c r="AH111" s="5"/>
      <c r="AI111" s="5"/>
      <c r="AJ111" s="5"/>
      <c r="AK111" s="5"/>
      <c r="AL111" s="5"/>
      <c r="AM111" s="584"/>
      <c r="AN111" s="585"/>
      <c r="AO111" s="586"/>
      <c r="AP111" s="6"/>
      <c r="AQ111" s="587"/>
      <c r="AR111" s="5"/>
      <c r="AS111" s="4"/>
      <c r="AT111" s="4"/>
      <c r="AU111" s="4"/>
      <c r="AV111" s="4"/>
      <c r="AW111" s="4"/>
      <c r="AX111" s="4"/>
      <c r="AY111" s="4"/>
      <c r="AZ111" s="4"/>
      <c r="BA111" s="4"/>
      <c r="BB111" s="4"/>
      <c r="BC111" s="4"/>
      <c r="BD111" s="4"/>
      <c r="BE111" s="4"/>
    </row>
    <row r="112" spans="1:57" hidden="1">
      <c r="A112" s="596"/>
      <c r="B112" s="3289" t="s">
        <v>365</v>
      </c>
      <c r="C112" s="612" t="s">
        <v>1004</v>
      </c>
      <c r="D112" s="612" t="s">
        <v>1783</v>
      </c>
      <c r="E112" s="597" t="s">
        <v>1319</v>
      </c>
      <c r="F112" s="598" t="s">
        <v>1782</v>
      </c>
      <c r="G112" s="1080">
        <v>830550</v>
      </c>
      <c r="H112" s="1080"/>
      <c r="I112" s="1080">
        <v>329062.38</v>
      </c>
      <c r="J112" s="1081"/>
      <c r="K112" s="602">
        <f>SUM(L113:L113)</f>
        <v>345548.73180000001</v>
      </c>
      <c r="L112" s="602"/>
      <c r="M112" s="1445"/>
      <c r="N112" s="1445"/>
      <c r="O112" s="1085"/>
      <c r="P112" s="5"/>
      <c r="Q112" s="5"/>
      <c r="R112"/>
      <c r="S112"/>
      <c r="T112"/>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row>
    <row r="113" spans="1:57" ht="20.25" hidden="1" customHeight="1">
      <c r="A113" s="603"/>
      <c r="B113" s="3290" t="s">
        <v>365</v>
      </c>
      <c r="C113" s="603"/>
      <c r="D113" s="603" t="s">
        <v>1783</v>
      </c>
      <c r="E113" s="604" t="s">
        <v>1319</v>
      </c>
      <c r="F113" s="605" t="s">
        <v>1246</v>
      </c>
      <c r="G113" s="1083"/>
      <c r="H113" s="1083">
        <v>830550</v>
      </c>
      <c r="I113" s="1083"/>
      <c r="J113" s="1084"/>
      <c r="K113" s="120"/>
      <c r="L113" s="120">
        <v>345548.73180000001</v>
      </c>
      <c r="M113" s="120"/>
      <c r="N113" s="120"/>
      <c r="O113" s="1085"/>
      <c r="P113" s="5"/>
      <c r="Q113" s="5"/>
      <c r="R113"/>
      <c r="S113"/>
      <c r="T113"/>
      <c r="U113" s="5"/>
      <c r="V113" s="5"/>
      <c r="W113" s="5"/>
      <c r="X113" s="5"/>
      <c r="Y113" s="5"/>
      <c r="Z113" s="5"/>
      <c r="AA113" s="5"/>
      <c r="AB113" s="5"/>
      <c r="AC113" s="5"/>
      <c r="AD113" s="5"/>
      <c r="AE113" s="5"/>
      <c r="AF113" s="5"/>
      <c r="AG113" s="5"/>
      <c r="AH113" s="5"/>
      <c r="AI113" s="5"/>
      <c r="AJ113" s="5"/>
      <c r="AK113" s="5"/>
      <c r="AL113" s="5"/>
      <c r="AM113" s="584"/>
      <c r="AN113" s="585"/>
      <c r="AO113" s="586"/>
      <c r="AP113" s="6"/>
      <c r="AQ113" s="587"/>
      <c r="AR113" s="5"/>
      <c r="AS113" s="4"/>
      <c r="AT113" s="4"/>
      <c r="AU113" s="4"/>
      <c r="AV113" s="4"/>
      <c r="AW113" s="4"/>
      <c r="AX113" s="4"/>
      <c r="AY113" s="4"/>
      <c r="AZ113" s="4"/>
      <c r="BA113" s="4"/>
      <c r="BB113" s="4"/>
      <c r="BC113" s="4"/>
      <c r="BD113" s="4"/>
      <c r="BE113" s="4"/>
    </row>
    <row r="114" spans="1:57" hidden="1">
      <c r="A114" s="596"/>
      <c r="B114" s="3289" t="s">
        <v>365</v>
      </c>
      <c r="C114" s="612" t="s">
        <v>1005</v>
      </c>
      <c r="D114" s="612" t="s">
        <v>1948</v>
      </c>
      <c r="E114" s="597" t="s">
        <v>1319</v>
      </c>
      <c r="F114" s="598" t="s">
        <v>1782</v>
      </c>
      <c r="G114" s="1080">
        <v>2661252</v>
      </c>
      <c r="H114" s="1080"/>
      <c r="I114" s="1080">
        <v>918392</v>
      </c>
      <c r="J114" s="1081"/>
      <c r="K114" s="602">
        <f>L115</f>
        <v>3050102</v>
      </c>
      <c r="L114" s="602"/>
      <c r="M114" s="1445"/>
      <c r="N114" s="1445"/>
      <c r="O114" s="1085"/>
      <c r="P114" s="5"/>
      <c r="Q114" s="5"/>
      <c r="R114"/>
      <c r="S114"/>
      <c r="T11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row>
    <row r="115" spans="1:57" ht="20.25" hidden="1" customHeight="1">
      <c r="A115" s="603"/>
      <c r="B115" s="3290" t="s">
        <v>365</v>
      </c>
      <c r="C115" s="603"/>
      <c r="D115" s="603" t="s">
        <v>1948</v>
      </c>
      <c r="E115" s="604" t="s">
        <v>1319</v>
      </c>
      <c r="F115" s="605" t="s">
        <v>980</v>
      </c>
      <c r="G115" s="1083"/>
      <c r="H115" s="1083">
        <v>2661252</v>
      </c>
      <c r="I115" s="1083"/>
      <c r="J115" s="1084"/>
      <c r="K115" s="120"/>
      <c r="L115" s="120">
        <f>3051714-1612</f>
        <v>3050102</v>
      </c>
      <c r="M115" s="120"/>
      <c r="N115" s="120"/>
      <c r="O115" s="1085"/>
      <c r="P115" s="5"/>
      <c r="Q115" s="5"/>
      <c r="R115"/>
      <c r="S115"/>
      <c r="T115"/>
      <c r="U115" s="5"/>
      <c r="V115" s="5"/>
      <c r="W115" s="5"/>
      <c r="X115" s="5"/>
      <c r="Y115" s="5"/>
      <c r="Z115" s="5"/>
      <c r="AA115" s="5"/>
      <c r="AB115" s="5"/>
      <c r="AC115" s="5"/>
      <c r="AD115" s="5"/>
      <c r="AE115" s="5"/>
      <c r="AF115" s="5"/>
      <c r="AG115" s="5"/>
      <c r="AH115" s="5"/>
      <c r="AI115" s="5"/>
      <c r="AJ115" s="5"/>
      <c r="AK115" s="5"/>
      <c r="AL115" s="5"/>
      <c r="AM115" s="584"/>
      <c r="AN115" s="585"/>
      <c r="AO115" s="586"/>
      <c r="AP115" s="6"/>
      <c r="AQ115" s="587"/>
      <c r="AR115" s="5"/>
      <c r="AS115" s="4"/>
      <c r="AT115" s="4"/>
      <c r="AU115" s="4"/>
      <c r="AV115" s="4"/>
      <c r="AW115" s="4"/>
      <c r="AX115" s="4"/>
      <c r="AY115" s="4"/>
      <c r="AZ115" s="4"/>
      <c r="BA115" s="4"/>
      <c r="BB115" s="4"/>
      <c r="BC115" s="4"/>
      <c r="BD115" s="4"/>
      <c r="BE115" s="4"/>
    </row>
    <row r="116" spans="1:57" hidden="1">
      <c r="A116" s="596"/>
      <c r="B116" s="3289" t="s">
        <v>365</v>
      </c>
      <c r="C116" s="612" t="s">
        <v>1321</v>
      </c>
      <c r="D116" s="612" t="s">
        <v>1908</v>
      </c>
      <c r="E116" s="597" t="s">
        <v>45</v>
      </c>
      <c r="F116" s="598" t="s">
        <v>1762</v>
      </c>
      <c r="G116" s="1088">
        <v>38052</v>
      </c>
      <c r="H116" s="1088"/>
      <c r="I116" s="1088">
        <v>38051.64</v>
      </c>
      <c r="J116" s="1089"/>
      <c r="K116" s="602">
        <f>L117</f>
        <v>0</v>
      </c>
      <c r="L116" s="602"/>
      <c r="M116" s="1445"/>
      <c r="N116" s="1445"/>
      <c r="O116" s="1085"/>
      <c r="P116" s="5"/>
      <c r="Q116" s="5"/>
      <c r="R116"/>
      <c r="S116"/>
      <c r="T116"/>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row>
    <row r="117" spans="1:57" ht="20.25" hidden="1" customHeight="1">
      <c r="A117" s="603"/>
      <c r="B117" s="3290" t="s">
        <v>365</v>
      </c>
      <c r="C117" s="603"/>
      <c r="D117" s="603" t="s">
        <v>1908</v>
      </c>
      <c r="E117" s="604" t="s">
        <v>45</v>
      </c>
      <c r="F117" s="605" t="s">
        <v>3112</v>
      </c>
      <c r="G117" s="1090"/>
      <c r="H117" s="1090">
        <v>38052</v>
      </c>
      <c r="I117" s="1090"/>
      <c r="J117" s="1091"/>
      <c r="K117" s="120"/>
      <c r="L117" s="120"/>
      <c r="M117" s="120"/>
      <c r="N117" s="120"/>
      <c r="O117" s="1085"/>
      <c r="P117" s="5"/>
      <c r="Q117" s="5"/>
      <c r="R117"/>
      <c r="S117"/>
      <c r="T117"/>
      <c r="U117" s="5"/>
      <c r="V117" s="5"/>
      <c r="W117" s="5"/>
      <c r="X117" s="5"/>
      <c r="Y117" s="5"/>
      <c r="Z117" s="5"/>
      <c r="AA117" s="5"/>
      <c r="AB117" s="5"/>
      <c r="AC117" s="5"/>
      <c r="AD117" s="5"/>
      <c r="AE117" s="5"/>
      <c r="AF117" s="5"/>
      <c r="AG117" s="5"/>
      <c r="AH117" s="5"/>
      <c r="AI117" s="5"/>
      <c r="AJ117" s="5"/>
      <c r="AK117" s="5"/>
      <c r="AL117" s="5"/>
      <c r="AM117" s="584"/>
      <c r="AN117" s="585"/>
      <c r="AO117" s="586"/>
      <c r="AP117" s="6"/>
      <c r="AQ117" s="587"/>
      <c r="AR117" s="5"/>
      <c r="AS117" s="4"/>
      <c r="AT117" s="4"/>
      <c r="AU117" s="4"/>
      <c r="AV117" s="4"/>
      <c r="AW117" s="4"/>
      <c r="AX117" s="4"/>
      <c r="AY117" s="4"/>
      <c r="AZ117" s="4"/>
      <c r="BA117" s="4"/>
      <c r="BB117" s="4"/>
      <c r="BC117" s="4"/>
      <c r="BD117" s="4"/>
      <c r="BE117" s="4"/>
    </row>
    <row r="118" spans="1:57" ht="20.399999999999999" hidden="1">
      <c r="A118" s="596"/>
      <c r="B118" s="3289" t="s">
        <v>365</v>
      </c>
      <c r="C118" s="612" t="s">
        <v>1986</v>
      </c>
      <c r="D118" s="612" t="s">
        <v>1950</v>
      </c>
      <c r="E118" s="597" t="s">
        <v>1319</v>
      </c>
      <c r="F118" s="598" t="s">
        <v>2887</v>
      </c>
      <c r="G118" s="1080">
        <v>217332</v>
      </c>
      <c r="H118" s="1080"/>
      <c r="I118" s="1080"/>
      <c r="J118" s="1081"/>
      <c r="K118" s="602">
        <f>L119</f>
        <v>0</v>
      </c>
      <c r="L118" s="602"/>
      <c r="M118" s="1445"/>
      <c r="N118" s="1445"/>
      <c r="O118" s="1085"/>
      <c r="P118" s="19"/>
      <c r="Q118" s="5"/>
      <c r="R118"/>
      <c r="S118"/>
      <c r="T118"/>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row>
    <row r="119" spans="1:57" ht="20.25" hidden="1" customHeight="1">
      <c r="A119" s="603"/>
      <c r="B119" s="3290" t="s">
        <v>365</v>
      </c>
      <c r="C119" s="603"/>
      <c r="D119" s="603" t="s">
        <v>1950</v>
      </c>
      <c r="E119" s="604" t="s">
        <v>1319</v>
      </c>
      <c r="F119" s="605" t="s">
        <v>2887</v>
      </c>
      <c r="G119" s="1083"/>
      <c r="H119" s="1083">
        <v>217332</v>
      </c>
      <c r="I119" s="1083"/>
      <c r="J119" s="1084"/>
      <c r="K119" s="120"/>
      <c r="L119" s="120"/>
      <c r="M119" s="120"/>
      <c r="N119" s="120"/>
      <c r="O119" s="1085"/>
      <c r="P119" s="5"/>
      <c r="Q119" s="5"/>
      <c r="R119"/>
      <c r="S119"/>
      <c r="T119"/>
      <c r="U119" s="5"/>
      <c r="V119" s="5"/>
      <c r="W119" s="5"/>
      <c r="X119" s="5"/>
      <c r="Y119" s="5"/>
      <c r="Z119" s="5"/>
      <c r="AA119" s="5"/>
      <c r="AB119" s="5"/>
      <c r="AC119" s="5"/>
      <c r="AD119" s="5"/>
      <c r="AE119" s="5"/>
      <c r="AF119" s="5"/>
      <c r="AG119" s="5"/>
      <c r="AH119" s="5"/>
      <c r="AI119" s="5"/>
      <c r="AJ119" s="5"/>
      <c r="AK119" s="5"/>
      <c r="AL119" s="5"/>
      <c r="AM119" s="584"/>
      <c r="AN119" s="585"/>
      <c r="AO119" s="586"/>
      <c r="AP119" s="6"/>
      <c r="AQ119" s="587"/>
      <c r="AR119" s="5"/>
      <c r="AS119" s="4"/>
      <c r="AT119" s="4"/>
      <c r="AU119" s="4"/>
      <c r="AV119" s="4"/>
      <c r="AW119" s="4"/>
      <c r="AX119" s="4"/>
      <c r="AY119" s="4"/>
      <c r="AZ119" s="4"/>
      <c r="BA119" s="4"/>
      <c r="BB119" s="4"/>
      <c r="BC119" s="4"/>
      <c r="BD119" s="4"/>
      <c r="BE119" s="4"/>
    </row>
    <row r="120" spans="1:57">
      <c r="A120" s="603"/>
      <c r="B120" s="596" t="s">
        <v>772</v>
      </c>
      <c r="C120" s="612" t="s">
        <v>1784</v>
      </c>
      <c r="D120" s="596" t="s">
        <v>1909</v>
      </c>
      <c r="E120" s="597" t="s">
        <v>64</v>
      </c>
      <c r="F120" s="598" t="s">
        <v>1741</v>
      </c>
      <c r="G120" s="1080">
        <v>8294.7199999999993</v>
      </c>
      <c r="H120" s="1080"/>
      <c r="I120" s="1080">
        <v>8379.0400000000009</v>
      </c>
      <c r="J120" s="1081"/>
      <c r="K120" s="602">
        <f>SUM(L121:L122)</f>
        <v>8294.9599999999991</v>
      </c>
      <c r="L120" s="602"/>
      <c r="M120" s="1445"/>
      <c r="N120" s="1445"/>
      <c r="O120" s="1085"/>
      <c r="P120" s="19"/>
      <c r="Q120" s="4"/>
      <c r="R120"/>
      <c r="S120"/>
      <c r="T120"/>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row>
    <row r="121" spans="1:57" ht="20.399999999999999">
      <c r="A121" s="603"/>
      <c r="B121" s="603" t="s">
        <v>772</v>
      </c>
      <c r="C121" s="603"/>
      <c r="D121" s="603" t="s">
        <v>1909</v>
      </c>
      <c r="E121" s="604" t="s">
        <v>64</v>
      </c>
      <c r="F121" s="605" t="s">
        <v>3641</v>
      </c>
      <c r="G121" s="1083"/>
      <c r="H121" s="1083">
        <v>1034.72</v>
      </c>
      <c r="I121" s="1083">
        <v>861</v>
      </c>
      <c r="J121" s="1084"/>
      <c r="K121" s="120"/>
      <c r="L121" s="120">
        <f>86.08*12+2</f>
        <v>1034.96</v>
      </c>
      <c r="M121" s="120"/>
      <c r="N121" s="120"/>
      <c r="O121" s="1085"/>
      <c r="P121" s="5"/>
      <c r="Q121" s="5"/>
      <c r="R121"/>
      <c r="S121"/>
      <c r="T121"/>
      <c r="U121" s="5"/>
      <c r="V121" s="5"/>
      <c r="W121" s="5"/>
      <c r="X121" s="5"/>
      <c r="Y121" s="5"/>
      <c r="Z121" s="5"/>
      <c r="AA121" s="5"/>
      <c r="AB121" s="5"/>
      <c r="AC121" s="5"/>
      <c r="AD121" s="5"/>
      <c r="AE121" s="5"/>
      <c r="AF121" s="5"/>
      <c r="AG121" s="5"/>
      <c r="AH121" s="5"/>
      <c r="AI121" s="603"/>
      <c r="AJ121" s="603"/>
      <c r="AK121" s="603"/>
      <c r="AL121" s="603"/>
      <c r="AM121" s="607"/>
      <c r="AN121" s="608"/>
      <c r="AO121" s="609"/>
      <c r="AP121" s="610"/>
      <c r="AQ121" s="595"/>
      <c r="AR121" s="5"/>
      <c r="AS121" s="4"/>
      <c r="AT121" s="4"/>
      <c r="AU121" s="4"/>
      <c r="AV121" s="4"/>
      <c r="AW121" s="4"/>
      <c r="AX121" s="4"/>
      <c r="AY121" s="4"/>
      <c r="AZ121" s="4"/>
      <c r="BA121" s="4"/>
      <c r="BB121" s="4"/>
      <c r="BC121" s="4"/>
      <c r="BD121" s="4"/>
      <c r="BE121" s="4"/>
    </row>
    <row r="122" spans="1:57" ht="20.399999999999999">
      <c r="A122" s="596"/>
      <c r="B122" s="603" t="s">
        <v>772</v>
      </c>
      <c r="C122" s="603"/>
      <c r="D122" s="603" t="s">
        <v>1909</v>
      </c>
      <c r="E122" s="604" t="s">
        <v>64</v>
      </c>
      <c r="F122" s="605" t="s">
        <v>1785</v>
      </c>
      <c r="G122" s="1083"/>
      <c r="H122" s="1083">
        <v>7260</v>
      </c>
      <c r="I122" s="1083">
        <v>6050</v>
      </c>
      <c r="J122" s="1084"/>
      <c r="K122" s="120"/>
      <c r="L122" s="120">
        <f>605*12</f>
        <v>7260</v>
      </c>
      <c r="M122" s="1445"/>
      <c r="N122" s="1445"/>
      <c r="O122" s="1085"/>
      <c r="P122" s="19"/>
      <c r="Q122" s="4"/>
      <c r="R122"/>
      <c r="S122"/>
      <c r="T122"/>
      <c r="U122" s="5"/>
      <c r="V122" s="5"/>
      <c r="W122" s="5"/>
      <c r="X122" s="5"/>
      <c r="Y122" s="5"/>
      <c r="Z122" s="5"/>
      <c r="AA122" s="5"/>
      <c r="AB122" s="5"/>
      <c r="AC122" s="5"/>
      <c r="AD122" s="5"/>
      <c r="AE122" s="5"/>
      <c r="AF122" s="5"/>
      <c r="AG122" s="5"/>
      <c r="AH122" s="5"/>
      <c r="AI122" s="123"/>
      <c r="AJ122" s="123"/>
      <c r="AK122" s="123"/>
      <c r="AL122" s="123"/>
      <c r="AM122" s="593"/>
      <c r="AN122" s="124"/>
      <c r="AO122" s="594"/>
      <c r="AP122" s="384"/>
      <c r="AQ122" s="595"/>
      <c r="AR122" s="5"/>
      <c r="AS122" s="4"/>
      <c r="AT122" s="4"/>
      <c r="AU122" s="4"/>
      <c r="AV122" s="4"/>
      <c r="AW122" s="4"/>
      <c r="AX122" s="4"/>
      <c r="AY122" s="4"/>
      <c r="AZ122" s="4"/>
      <c r="BA122" s="4"/>
      <c r="BB122" s="4"/>
      <c r="BC122" s="4"/>
      <c r="BD122" s="4"/>
      <c r="BE122" s="4"/>
    </row>
    <row r="123" spans="1:57" ht="20.399999999999999">
      <c r="A123" s="603"/>
      <c r="B123" s="596" t="s">
        <v>772</v>
      </c>
      <c r="C123" s="612" t="s">
        <v>1695</v>
      </c>
      <c r="D123" s="596" t="s">
        <v>1910</v>
      </c>
      <c r="E123" s="597" t="s">
        <v>1735</v>
      </c>
      <c r="F123" s="598" t="s">
        <v>1736</v>
      </c>
      <c r="G123" s="1080">
        <v>5727.7199999999993</v>
      </c>
      <c r="H123" s="1080"/>
      <c r="I123" s="1080">
        <f>SUM(I124:I126)</f>
        <v>4684</v>
      </c>
      <c r="J123" s="1081"/>
      <c r="K123" s="602">
        <f>SUM(L124:L126)</f>
        <v>5727.7199999999993</v>
      </c>
      <c r="L123" s="613"/>
      <c r="M123" s="120"/>
      <c r="N123" s="120"/>
      <c r="O123" s="1085"/>
      <c r="P123" s="19"/>
      <c r="Q123" s="4"/>
      <c r="R123"/>
      <c r="S123"/>
      <c r="T123"/>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row>
    <row r="124" spans="1:57" ht="20.399999999999999">
      <c r="A124" s="603"/>
      <c r="B124" s="603" t="s">
        <v>772</v>
      </c>
      <c r="C124" s="603"/>
      <c r="D124" s="603" t="s">
        <v>1910</v>
      </c>
      <c r="E124" s="604" t="s">
        <v>1735</v>
      </c>
      <c r="F124" s="605" t="s">
        <v>2642</v>
      </c>
      <c r="G124" s="1083"/>
      <c r="H124" s="1083">
        <v>1226.04</v>
      </c>
      <c r="I124" s="1083">
        <v>1022</v>
      </c>
      <c r="J124" s="1084"/>
      <c r="K124" s="120"/>
      <c r="L124" s="120">
        <f>102.17*12</f>
        <v>1226.04</v>
      </c>
      <c r="M124" s="120"/>
      <c r="N124" s="120"/>
      <c r="O124" s="1085"/>
      <c r="P124" s="5"/>
      <c r="Q124" s="5"/>
      <c r="R124"/>
      <c r="S124"/>
      <c r="T124"/>
      <c r="U124" s="5"/>
      <c r="V124" s="5"/>
      <c r="W124" s="5"/>
      <c r="X124" s="5"/>
      <c r="Y124" s="5"/>
      <c r="Z124" s="5"/>
      <c r="AA124" s="5"/>
      <c r="AB124" s="5"/>
      <c r="AC124" s="5"/>
      <c r="AD124" s="5"/>
      <c r="AE124" s="5"/>
      <c r="AF124" s="5"/>
      <c r="AG124" s="5"/>
      <c r="AH124" s="5"/>
      <c r="AI124" s="603"/>
      <c r="AJ124" s="603"/>
      <c r="AK124" s="603"/>
      <c r="AL124" s="603"/>
      <c r="AM124" s="607"/>
      <c r="AN124" s="608"/>
      <c r="AO124" s="609"/>
      <c r="AP124" s="610"/>
      <c r="AQ124" s="595"/>
      <c r="AR124" s="5"/>
      <c r="AS124" s="4"/>
      <c r="AT124" s="4"/>
      <c r="AU124" s="4"/>
      <c r="AV124" s="4"/>
      <c r="AW124" s="4"/>
      <c r="AX124" s="4"/>
      <c r="AY124" s="4"/>
      <c r="AZ124" s="4"/>
      <c r="BA124" s="4"/>
      <c r="BB124" s="4"/>
      <c r="BC124" s="4"/>
      <c r="BD124" s="4"/>
      <c r="BE124" s="4"/>
    </row>
    <row r="125" spans="1:57" ht="20.399999999999999">
      <c r="A125" s="596"/>
      <c r="B125" s="603" t="s">
        <v>772</v>
      </c>
      <c r="C125" s="603"/>
      <c r="D125" s="603" t="s">
        <v>1910</v>
      </c>
      <c r="E125" s="604" t="s">
        <v>1735</v>
      </c>
      <c r="F125" s="605" t="s">
        <v>2643</v>
      </c>
      <c r="G125" s="1083"/>
      <c r="H125" s="1083">
        <v>1076.1600000000001</v>
      </c>
      <c r="I125" s="1083">
        <v>807</v>
      </c>
      <c r="J125" s="1084"/>
      <c r="K125" s="120"/>
      <c r="L125" s="120">
        <f>89.68*12</f>
        <v>1076.1600000000001</v>
      </c>
      <c r="M125" s="1085"/>
      <c r="N125" s="1085"/>
      <c r="O125" s="1085"/>
      <c r="P125" s="19"/>
      <c r="Q125" s="4"/>
      <c r="R125"/>
      <c r="S125"/>
      <c r="T125"/>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row>
    <row r="126" spans="1:57" ht="20.399999999999999">
      <c r="A126" s="603"/>
      <c r="B126" s="603" t="s">
        <v>772</v>
      </c>
      <c r="C126" s="603"/>
      <c r="D126" s="603" t="s">
        <v>1910</v>
      </c>
      <c r="E126" s="604" t="s">
        <v>1735</v>
      </c>
      <c r="F126" s="605" t="s">
        <v>2644</v>
      </c>
      <c r="G126" s="1083"/>
      <c r="H126" s="1083">
        <v>3425.5199999999995</v>
      </c>
      <c r="I126" s="1083">
        <v>2855</v>
      </c>
      <c r="J126" s="1084"/>
      <c r="K126" s="120"/>
      <c r="L126" s="120">
        <f>285.46*12</f>
        <v>3425.5199999999995</v>
      </c>
      <c r="M126" s="1085"/>
      <c r="N126" s="1085"/>
      <c r="O126" s="1085"/>
      <c r="P126" s="5"/>
      <c r="Q126" s="5"/>
      <c r="R126"/>
      <c r="S126"/>
      <c r="T126"/>
      <c r="U126" s="5"/>
      <c r="V126" s="5"/>
      <c r="W126" s="5"/>
      <c r="X126" s="5"/>
      <c r="Y126" s="5"/>
      <c r="Z126" s="5"/>
      <c r="AA126" s="5"/>
      <c r="AB126" s="5"/>
      <c r="AC126" s="5"/>
      <c r="AD126" s="5"/>
      <c r="AE126" s="5"/>
      <c r="AF126" s="5"/>
      <c r="AG126" s="5"/>
      <c r="AH126" s="5"/>
      <c r="AI126" s="123"/>
      <c r="AJ126" s="123"/>
      <c r="AK126" s="123"/>
      <c r="AL126" s="123"/>
      <c r="AM126" s="593"/>
      <c r="AN126" s="124"/>
      <c r="AO126" s="594"/>
      <c r="AP126" s="384"/>
      <c r="AQ126" s="595"/>
      <c r="AR126" s="5"/>
      <c r="AS126" s="4"/>
      <c r="AT126" s="4"/>
      <c r="AU126" s="4"/>
      <c r="AV126" s="4"/>
      <c r="AW126" s="4"/>
      <c r="AX126" s="4"/>
      <c r="AY126" s="4"/>
      <c r="AZ126" s="4"/>
      <c r="BA126" s="4"/>
      <c r="BB126" s="4"/>
      <c r="BC126" s="4"/>
      <c r="BD126" s="4"/>
      <c r="BE126" s="4"/>
    </row>
    <row r="127" spans="1:57">
      <c r="A127" s="603"/>
      <c r="B127" s="596" t="s">
        <v>772</v>
      </c>
      <c r="C127" s="612" t="s">
        <v>1695</v>
      </c>
      <c r="D127" s="596" t="s">
        <v>1910</v>
      </c>
      <c r="E127" s="614" t="s">
        <v>64</v>
      </c>
      <c r="F127" s="615" t="s">
        <v>1741</v>
      </c>
      <c r="G127" s="1080">
        <v>40725</v>
      </c>
      <c r="H127" s="1080"/>
      <c r="I127" s="1080">
        <v>41884.089999999997</v>
      </c>
      <c r="J127" s="1081"/>
      <c r="K127" s="602">
        <f>SUM(L128:L143)</f>
        <v>42500.200000000004</v>
      </c>
      <c r="L127" s="613"/>
      <c r="M127" s="1085"/>
      <c r="N127" s="1085"/>
      <c r="O127" s="1085"/>
      <c r="P127" s="5"/>
      <c r="Q127" s="5"/>
      <c r="R127"/>
      <c r="S127"/>
      <c r="T127"/>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row>
    <row r="128" spans="1:57" ht="20.399999999999999">
      <c r="A128" s="603"/>
      <c r="B128" s="603" t="s">
        <v>772</v>
      </c>
      <c r="C128" s="603"/>
      <c r="D128" s="603" t="s">
        <v>1910</v>
      </c>
      <c r="E128" s="617" t="s">
        <v>64</v>
      </c>
      <c r="F128" s="618" t="s">
        <v>1786</v>
      </c>
      <c r="G128" s="1083"/>
      <c r="H128" s="1083">
        <v>2724</v>
      </c>
      <c r="I128" s="1083">
        <f>1135*2</f>
        <v>2270</v>
      </c>
      <c r="J128" s="1084"/>
      <c r="K128" s="120"/>
      <c r="L128" s="1085">
        <f>227*12</f>
        <v>2724</v>
      </c>
      <c r="M128" s="1085"/>
      <c r="N128" s="1085"/>
      <c r="O128" s="1085"/>
      <c r="P128" s="5"/>
      <c r="Q128" s="5"/>
      <c r="R128"/>
      <c r="S128"/>
      <c r="T128"/>
      <c r="U128" s="5"/>
      <c r="V128" s="5"/>
      <c r="W128" s="5"/>
      <c r="X128" s="5"/>
      <c r="Y128" s="5"/>
      <c r="Z128" s="5"/>
      <c r="AA128" s="5"/>
      <c r="AB128" s="5"/>
      <c r="AC128" s="5"/>
      <c r="AD128" s="5"/>
      <c r="AE128" s="5"/>
      <c r="AF128" s="5"/>
      <c r="AG128" s="5"/>
      <c r="AH128" s="5"/>
      <c r="AI128" s="123"/>
      <c r="AJ128" s="123"/>
      <c r="AK128" s="123"/>
      <c r="AL128" s="123"/>
      <c r="AM128" s="593"/>
      <c r="AN128" s="124"/>
      <c r="AO128" s="594"/>
      <c r="AP128" s="384"/>
      <c r="AQ128" s="595"/>
      <c r="AR128" s="5"/>
      <c r="AS128" s="4"/>
      <c r="AT128" s="4"/>
      <c r="AU128" s="4"/>
      <c r="AV128" s="4"/>
      <c r="AW128" s="4"/>
      <c r="AX128" s="4"/>
      <c r="AY128" s="4"/>
      <c r="AZ128" s="4"/>
      <c r="BA128" s="4"/>
      <c r="BB128" s="4"/>
      <c r="BC128" s="4"/>
      <c r="BD128" s="4"/>
      <c r="BE128" s="4"/>
    </row>
    <row r="129" spans="1:57" ht="30.6">
      <c r="A129" s="603"/>
      <c r="B129" s="603" t="s">
        <v>772</v>
      </c>
      <c r="C129" s="603"/>
      <c r="D129" s="603" t="s">
        <v>1910</v>
      </c>
      <c r="E129" s="617" t="s">
        <v>64</v>
      </c>
      <c r="F129" s="618" t="s">
        <v>3345</v>
      </c>
      <c r="G129" s="1083"/>
      <c r="H129" s="1083">
        <v>6669.9600000000009</v>
      </c>
      <c r="I129" s="1083">
        <v>7143</v>
      </c>
      <c r="J129" s="1084"/>
      <c r="K129" s="120"/>
      <c r="L129" s="1085">
        <f>793.61*12</f>
        <v>9523.32</v>
      </c>
      <c r="M129" s="1085"/>
      <c r="N129" s="1085"/>
      <c r="O129" s="1085"/>
      <c r="P129" s="19"/>
      <c r="Q129" s="4"/>
      <c r="R129"/>
      <c r="S129"/>
      <c r="T129"/>
      <c r="U129" s="5"/>
      <c r="V129" s="5"/>
      <c r="W129" s="5"/>
      <c r="X129" s="5"/>
      <c r="Y129" s="5"/>
      <c r="Z129" s="5"/>
      <c r="AA129" s="5"/>
      <c r="AB129" s="5"/>
      <c r="AC129" s="5"/>
      <c r="AD129" s="5"/>
      <c r="AE129" s="5"/>
      <c r="AF129" s="5"/>
      <c r="AG129" s="5"/>
      <c r="AH129" s="5"/>
      <c r="AI129" s="123"/>
      <c r="AJ129" s="123"/>
      <c r="AK129" s="123"/>
      <c r="AL129" s="123"/>
      <c r="AM129" s="593"/>
      <c r="AN129" s="124"/>
      <c r="AO129" s="594"/>
      <c r="AP129" s="384"/>
      <c r="AQ129" s="595"/>
      <c r="AR129" s="5"/>
      <c r="AS129" s="4"/>
      <c r="AT129" s="4"/>
      <c r="AU129" s="4"/>
      <c r="AV129" s="4"/>
      <c r="AW129" s="4"/>
      <c r="AX129" s="4"/>
      <c r="AY129" s="4"/>
      <c r="AZ129" s="4"/>
      <c r="BA129" s="4"/>
      <c r="BB129" s="4"/>
      <c r="BC129" s="4"/>
      <c r="BD129" s="4"/>
      <c r="BE129" s="4"/>
    </row>
    <row r="130" spans="1:57" ht="20.399999999999999">
      <c r="A130" s="603"/>
      <c r="B130" s="603" t="s">
        <v>772</v>
      </c>
      <c r="C130" s="603"/>
      <c r="D130" s="603" t="s">
        <v>1910</v>
      </c>
      <c r="E130" s="617" t="s">
        <v>64</v>
      </c>
      <c r="F130" s="618" t="s">
        <v>3346</v>
      </c>
      <c r="G130" s="1083"/>
      <c r="H130" s="1083">
        <v>1597.1999999999998</v>
      </c>
      <c r="I130" s="1083">
        <v>972</v>
      </c>
      <c r="J130" s="1084"/>
      <c r="K130" s="120"/>
      <c r="L130" s="1085">
        <f>119.79*12</f>
        <v>1437.48</v>
      </c>
      <c r="M130" s="1085"/>
      <c r="N130" s="1085"/>
      <c r="O130" s="1085"/>
      <c r="P130" s="5"/>
      <c r="Q130" s="5"/>
      <c r="R130"/>
      <c r="S130"/>
      <c r="T130"/>
      <c r="U130" s="5"/>
      <c r="V130" s="5"/>
      <c r="W130" s="5"/>
      <c r="X130" s="5"/>
      <c r="Y130" s="5"/>
      <c r="Z130" s="5"/>
      <c r="AA130" s="5"/>
      <c r="AB130" s="5"/>
      <c r="AC130" s="5"/>
      <c r="AD130" s="5"/>
      <c r="AE130" s="5"/>
      <c r="AF130" s="5"/>
      <c r="AG130" s="5"/>
      <c r="AH130" s="5"/>
      <c r="AI130" s="123"/>
      <c r="AJ130" s="123"/>
      <c r="AK130" s="123"/>
      <c r="AL130" s="123"/>
      <c r="AM130" s="593"/>
      <c r="AN130" s="124"/>
      <c r="AO130" s="594"/>
      <c r="AP130" s="384"/>
      <c r="AQ130" s="595"/>
      <c r="AR130" s="5"/>
      <c r="AS130" s="4"/>
      <c r="AT130" s="4"/>
      <c r="AU130" s="4"/>
      <c r="AV130" s="4"/>
      <c r="AW130" s="4"/>
      <c r="AX130" s="4"/>
      <c r="AY130" s="4"/>
      <c r="AZ130" s="4"/>
      <c r="BA130" s="4"/>
      <c r="BB130" s="4"/>
      <c r="BC130" s="4"/>
      <c r="BD130" s="4"/>
      <c r="BE130" s="4"/>
    </row>
    <row r="131" spans="1:57" ht="30.6">
      <c r="A131" s="603"/>
      <c r="B131" s="603" t="s">
        <v>772</v>
      </c>
      <c r="C131" s="603"/>
      <c r="D131" s="603" t="s">
        <v>1910</v>
      </c>
      <c r="E131" s="617" t="s">
        <v>64</v>
      </c>
      <c r="F131" s="1133" t="s">
        <v>2645</v>
      </c>
      <c r="G131" s="1083"/>
      <c r="H131" s="1083">
        <v>5508.36</v>
      </c>
      <c r="I131" s="1083"/>
      <c r="J131" s="1084"/>
      <c r="K131" s="120"/>
      <c r="L131" s="1085">
        <v>0</v>
      </c>
      <c r="M131" s="1085"/>
      <c r="N131" s="1085"/>
      <c r="O131" s="1085"/>
      <c r="P131" s="5"/>
      <c r="Q131" s="4"/>
      <c r="R131"/>
      <c r="S131"/>
      <c r="T131"/>
      <c r="U131" s="5"/>
      <c r="V131" s="5"/>
      <c r="W131" s="5"/>
      <c r="X131" s="5"/>
      <c r="Y131" s="5"/>
      <c r="Z131" s="5"/>
      <c r="AA131" s="5"/>
      <c r="AB131" s="5"/>
      <c r="AC131" s="5"/>
      <c r="AD131" s="5"/>
      <c r="AE131" s="5"/>
      <c r="AF131" s="5"/>
      <c r="AG131" s="5"/>
      <c r="AH131" s="5"/>
      <c r="AI131" s="5"/>
      <c r="AJ131" s="5"/>
      <c r="AK131" s="5"/>
      <c r="AL131" s="5"/>
      <c r="AM131" s="584"/>
      <c r="AN131" s="585"/>
      <c r="AO131" s="586"/>
      <c r="AP131" s="6"/>
      <c r="AQ131" s="587"/>
      <c r="AR131" s="5"/>
      <c r="AS131" s="4"/>
      <c r="AT131" s="4"/>
      <c r="AU131" s="4"/>
      <c r="AV131" s="4"/>
      <c r="AW131" s="4"/>
      <c r="AX131" s="4"/>
      <c r="AY131" s="4"/>
      <c r="AZ131" s="4"/>
      <c r="BA131" s="4"/>
      <c r="BB131" s="4"/>
      <c r="BC131" s="4"/>
      <c r="BD131" s="4"/>
      <c r="BE131" s="4"/>
    </row>
    <row r="132" spans="1:57" ht="20.399999999999999">
      <c r="A132" s="603"/>
      <c r="B132" s="603" t="s">
        <v>772</v>
      </c>
      <c r="C132" s="603"/>
      <c r="D132" s="603" t="s">
        <v>1910</v>
      </c>
      <c r="E132" s="617" t="s">
        <v>64</v>
      </c>
      <c r="F132" s="1133" t="s">
        <v>3350</v>
      </c>
      <c r="G132" s="1083"/>
      <c r="H132" s="1083">
        <v>639.88</v>
      </c>
      <c r="I132" s="1083">
        <v>452.54</v>
      </c>
      <c r="J132" s="1084"/>
      <c r="K132" s="120"/>
      <c r="L132" s="1085">
        <v>0</v>
      </c>
      <c r="M132" s="1085"/>
      <c r="N132" s="1085"/>
      <c r="O132" s="1085"/>
      <c r="P132" s="5"/>
      <c r="Q132" s="5"/>
      <c r="R132"/>
      <c r="S132"/>
      <c r="T132"/>
      <c r="U132" s="5"/>
      <c r="V132" s="5"/>
      <c r="W132" s="5"/>
      <c r="X132" s="5"/>
      <c r="Y132" s="5"/>
      <c r="Z132" s="5"/>
      <c r="AA132" s="5"/>
      <c r="AB132" s="5"/>
      <c r="AC132" s="5"/>
      <c r="AD132" s="5"/>
      <c r="AE132" s="5"/>
      <c r="AF132" s="5"/>
      <c r="AG132" s="5"/>
      <c r="AH132" s="5"/>
      <c r="AI132" s="5"/>
      <c r="AJ132" s="5"/>
      <c r="AK132" s="5"/>
      <c r="AL132" s="5"/>
      <c r="AM132" s="584"/>
      <c r="AN132" s="585"/>
      <c r="AO132" s="586"/>
      <c r="AP132" s="6"/>
      <c r="AQ132" s="587"/>
      <c r="AR132" s="5"/>
      <c r="AS132" s="4"/>
      <c r="AT132" s="4"/>
      <c r="AU132" s="4"/>
      <c r="AV132" s="4"/>
      <c r="AW132" s="4"/>
      <c r="AX132" s="4"/>
      <c r="AY132" s="4"/>
      <c r="AZ132" s="4"/>
      <c r="BA132" s="4"/>
      <c r="BB132" s="4"/>
      <c r="BC132" s="4"/>
      <c r="BD132" s="4"/>
      <c r="BE132" s="4"/>
    </row>
    <row r="133" spans="1:57" ht="40.799999999999997">
      <c r="A133" s="603"/>
      <c r="B133" s="603" t="s">
        <v>772</v>
      </c>
      <c r="C133" s="603"/>
      <c r="D133" s="603" t="s">
        <v>1910</v>
      </c>
      <c r="E133" s="617" t="s">
        <v>64</v>
      </c>
      <c r="F133" s="618" t="s">
        <v>3347</v>
      </c>
      <c r="G133" s="1083"/>
      <c r="H133" s="1083">
        <v>638.88</v>
      </c>
      <c r="I133" s="1083">
        <v>532</v>
      </c>
      <c r="J133" s="1084"/>
      <c r="K133" s="120"/>
      <c r="L133" s="1085">
        <f>53.24*12</f>
        <v>638.88</v>
      </c>
      <c r="M133" s="1085"/>
      <c r="N133" s="1085"/>
      <c r="O133" s="1085"/>
      <c r="P133" s="19"/>
      <c r="Q133" s="4"/>
      <c r="R133"/>
      <c r="S133"/>
      <c r="T133"/>
      <c r="U133" s="5"/>
      <c r="V133" s="5"/>
      <c r="W133" s="5"/>
      <c r="X133" s="5"/>
      <c r="Y133" s="5"/>
      <c r="Z133" s="5"/>
      <c r="AA133" s="5"/>
      <c r="AB133" s="5"/>
      <c r="AC133" s="5"/>
      <c r="AD133" s="5"/>
      <c r="AE133" s="5"/>
      <c r="AF133" s="5"/>
      <c r="AG133" s="5"/>
      <c r="AH133" s="5"/>
      <c r="AI133" s="5"/>
      <c r="AJ133" s="5"/>
      <c r="AK133" s="5"/>
      <c r="AL133" s="5"/>
      <c r="AM133" s="584"/>
      <c r="AN133" s="585"/>
      <c r="AO133" s="586"/>
      <c r="AP133" s="6"/>
      <c r="AQ133" s="587"/>
      <c r="AR133" s="5"/>
      <c r="AS133" s="4"/>
      <c r="AT133" s="4"/>
      <c r="AU133" s="4"/>
      <c r="AV133" s="4"/>
      <c r="AW133" s="4"/>
      <c r="AX133" s="4"/>
      <c r="AY133" s="4"/>
      <c r="AZ133" s="4"/>
      <c r="BA133" s="4"/>
      <c r="BB133" s="4"/>
      <c r="BC133" s="4"/>
      <c r="BD133" s="4"/>
      <c r="BE133" s="4"/>
    </row>
    <row r="134" spans="1:57" ht="20.399999999999999">
      <c r="A134" s="603"/>
      <c r="B134" s="603" t="s">
        <v>772</v>
      </c>
      <c r="C134" s="603"/>
      <c r="D134" s="603" t="s">
        <v>1910</v>
      </c>
      <c r="E134" s="617" t="s">
        <v>64</v>
      </c>
      <c r="F134" s="618" t="s">
        <v>3348</v>
      </c>
      <c r="G134" s="1083"/>
      <c r="H134" s="1083">
        <v>6073.4400000000005</v>
      </c>
      <c r="I134" s="1083">
        <v>6768</v>
      </c>
      <c r="J134" s="1084"/>
      <c r="K134" s="120"/>
      <c r="L134" s="1085">
        <f>676.81*12</f>
        <v>8121.7199999999993</v>
      </c>
      <c r="M134" s="1085"/>
      <c r="N134" s="1085"/>
      <c r="O134" s="1085"/>
      <c r="P134" s="5"/>
      <c r="Q134" s="5"/>
      <c r="R134"/>
      <c r="S134"/>
      <c r="T134"/>
      <c r="U134" s="5"/>
      <c r="V134" s="5"/>
      <c r="W134" s="5"/>
      <c r="X134" s="5"/>
      <c r="Y134" s="5"/>
      <c r="Z134" s="5"/>
      <c r="AA134" s="5"/>
      <c r="AB134" s="5"/>
      <c r="AC134" s="5"/>
      <c r="AD134" s="5"/>
      <c r="AE134" s="5"/>
      <c r="AF134" s="5"/>
      <c r="AG134" s="5"/>
      <c r="AH134" s="5"/>
      <c r="AI134" s="5"/>
      <c r="AJ134" s="5"/>
      <c r="AK134" s="5"/>
      <c r="AL134" s="5"/>
      <c r="AM134" s="584"/>
      <c r="AN134" s="585"/>
      <c r="AO134" s="586"/>
      <c r="AP134" s="6"/>
      <c r="AQ134" s="587"/>
      <c r="AR134" s="5"/>
      <c r="AS134" s="4"/>
      <c r="AT134" s="4"/>
      <c r="AU134" s="4"/>
      <c r="AV134" s="4"/>
      <c r="AW134" s="4"/>
      <c r="AX134" s="4"/>
      <c r="AY134" s="4"/>
      <c r="AZ134" s="4"/>
      <c r="BA134" s="4"/>
      <c r="BB134" s="4"/>
      <c r="BC134" s="4"/>
      <c r="BD134" s="4"/>
      <c r="BE134" s="4"/>
    </row>
    <row r="135" spans="1:57" ht="26.4" customHeight="1">
      <c r="A135" s="603"/>
      <c r="B135" s="603" t="s">
        <v>772</v>
      </c>
      <c r="C135" s="603"/>
      <c r="D135" s="603" t="s">
        <v>1910</v>
      </c>
      <c r="E135" s="617" t="s">
        <v>64</v>
      </c>
      <c r="F135" s="618" t="s">
        <v>1787</v>
      </c>
      <c r="G135" s="1083"/>
      <c r="H135" s="1083">
        <v>1367.52</v>
      </c>
      <c r="I135" s="1083">
        <v>1140</v>
      </c>
      <c r="J135" s="1084"/>
      <c r="K135" s="120"/>
      <c r="L135" s="1085">
        <f>113.96*12</f>
        <v>1367.52</v>
      </c>
      <c r="M135" s="1085"/>
      <c r="N135" s="1085"/>
      <c r="O135" s="1085"/>
      <c r="P135" s="19"/>
      <c r="Q135" s="4"/>
      <c r="R135"/>
      <c r="S135"/>
      <c r="T135"/>
      <c r="U135" s="5"/>
      <c r="V135" s="5"/>
      <c r="W135" s="5"/>
      <c r="X135" s="5"/>
      <c r="Y135" s="5"/>
      <c r="Z135" s="5"/>
      <c r="AA135" s="5"/>
      <c r="AB135" s="5"/>
      <c r="AC135" s="5"/>
      <c r="AD135" s="5"/>
      <c r="AE135" s="5"/>
      <c r="AF135" s="5"/>
      <c r="AG135" s="5"/>
      <c r="AH135" s="5"/>
      <c r="AI135" s="5"/>
      <c r="AJ135" s="5"/>
      <c r="AK135" s="5"/>
      <c r="AL135" s="5"/>
      <c r="AM135" s="584"/>
      <c r="AN135" s="585"/>
      <c r="AO135" s="586"/>
      <c r="AP135" s="6"/>
      <c r="AQ135" s="587"/>
      <c r="AR135" s="5"/>
      <c r="AS135" s="4"/>
      <c r="AT135" s="4"/>
      <c r="AU135" s="4"/>
      <c r="AV135" s="4"/>
      <c r="AW135" s="4"/>
      <c r="AX135" s="4"/>
      <c r="AY135" s="4"/>
      <c r="AZ135" s="4"/>
      <c r="BA135" s="4"/>
      <c r="BB135" s="4"/>
      <c r="BC135" s="4"/>
      <c r="BD135" s="4"/>
      <c r="BE135" s="4"/>
    </row>
    <row r="136" spans="1:57" ht="30" customHeight="1">
      <c r="A136" s="603"/>
      <c r="B136" s="603" t="s">
        <v>772</v>
      </c>
      <c r="C136" s="603"/>
      <c r="D136" s="603" t="s">
        <v>1910</v>
      </c>
      <c r="E136" s="617" t="s">
        <v>64</v>
      </c>
      <c r="F136" s="618" t="s">
        <v>1788</v>
      </c>
      <c r="G136" s="1083"/>
      <c r="H136" s="1083">
        <v>3113.2799999999997</v>
      </c>
      <c r="I136" s="1083">
        <v>2595</v>
      </c>
      <c r="J136" s="1084"/>
      <c r="K136" s="120"/>
      <c r="L136" s="1085">
        <f>259.44*12</f>
        <v>3113.2799999999997</v>
      </c>
      <c r="M136" s="1085"/>
      <c r="N136" s="1085"/>
      <c r="O136" s="1085"/>
      <c r="P136" s="5"/>
      <c r="Q136" s="5"/>
      <c r="R136"/>
      <c r="S136"/>
      <c r="T136"/>
      <c r="U136" s="5"/>
      <c r="V136" s="5"/>
      <c r="W136" s="5"/>
      <c r="X136" s="5"/>
      <c r="Y136" s="5"/>
      <c r="Z136" s="5"/>
      <c r="AA136" s="5"/>
      <c r="AB136" s="5"/>
      <c r="AC136" s="5"/>
      <c r="AD136" s="5"/>
      <c r="AE136" s="5"/>
      <c r="AF136" s="5"/>
      <c r="AG136" s="5"/>
      <c r="AH136" s="5"/>
      <c r="AI136" s="5"/>
      <c r="AJ136" s="5"/>
      <c r="AK136" s="5"/>
      <c r="AL136" s="5"/>
      <c r="AM136" s="584"/>
      <c r="AN136" s="585"/>
      <c r="AO136" s="586"/>
      <c r="AP136" s="6"/>
      <c r="AQ136" s="587"/>
      <c r="AR136" s="5"/>
      <c r="AS136" s="4"/>
      <c r="AT136" s="4"/>
      <c r="AU136" s="4"/>
      <c r="AV136" s="4"/>
      <c r="AW136" s="4"/>
      <c r="AX136" s="4"/>
      <c r="AY136" s="4"/>
      <c r="AZ136" s="4"/>
      <c r="BA136" s="4"/>
      <c r="BB136" s="4"/>
      <c r="BC136" s="4"/>
      <c r="BD136" s="4"/>
      <c r="BE136" s="4"/>
    </row>
    <row r="137" spans="1:57" ht="20.399999999999999">
      <c r="A137" s="603"/>
      <c r="B137" s="603" t="s">
        <v>772</v>
      </c>
      <c r="C137" s="603"/>
      <c r="D137" s="603" t="s">
        <v>1910</v>
      </c>
      <c r="E137" s="617" t="s">
        <v>64</v>
      </c>
      <c r="F137" s="618" t="s">
        <v>1789</v>
      </c>
      <c r="G137" s="1083"/>
      <c r="H137" s="1083">
        <v>3654.3599999999997</v>
      </c>
      <c r="I137" s="1083">
        <v>2347</v>
      </c>
      <c r="J137" s="1084"/>
      <c r="K137" s="120"/>
      <c r="L137" s="1085">
        <f>304.53*12</f>
        <v>3654.3599999999997</v>
      </c>
      <c r="M137" s="1085"/>
      <c r="N137" s="1085"/>
      <c r="O137" s="1085"/>
      <c r="P137" s="5"/>
      <c r="Q137" s="5"/>
      <c r="R137"/>
      <c r="S137"/>
      <c r="T137"/>
      <c r="U137" s="5"/>
      <c r="V137" s="5"/>
      <c r="W137" s="5"/>
      <c r="X137" s="5"/>
      <c r="Y137" s="5"/>
      <c r="Z137" s="5"/>
      <c r="AA137" s="5"/>
      <c r="AB137" s="5"/>
      <c r="AC137" s="5"/>
      <c r="AD137" s="5"/>
      <c r="AE137" s="5"/>
      <c r="AF137" s="5"/>
      <c r="AG137" s="5"/>
      <c r="AH137" s="5"/>
      <c r="AI137" s="5"/>
      <c r="AJ137" s="5"/>
      <c r="AK137" s="5"/>
      <c r="AL137" s="5"/>
      <c r="AM137" s="584"/>
      <c r="AN137" s="585"/>
      <c r="AO137" s="586"/>
      <c r="AP137" s="6"/>
      <c r="AQ137" s="587"/>
      <c r="AR137" s="5"/>
      <c r="AS137" s="4"/>
      <c r="AT137" s="4"/>
      <c r="AU137" s="4"/>
      <c r="AV137" s="4"/>
      <c r="AW137" s="4"/>
      <c r="AX137" s="4"/>
      <c r="AY137" s="4"/>
      <c r="AZ137" s="4"/>
      <c r="BA137" s="4"/>
      <c r="BB137" s="4"/>
      <c r="BC137" s="4"/>
      <c r="BD137" s="4"/>
      <c r="BE137" s="4"/>
    </row>
    <row r="138" spans="1:57" ht="20.399999999999999">
      <c r="A138" s="1495"/>
      <c r="B138" s="603" t="s">
        <v>772</v>
      </c>
      <c r="C138" s="603"/>
      <c r="D138" s="603" t="s">
        <v>1910</v>
      </c>
      <c r="E138" s="617" t="s">
        <v>64</v>
      </c>
      <c r="F138" s="618" t="s">
        <v>1790</v>
      </c>
      <c r="G138" s="1083"/>
      <c r="H138" s="1083">
        <v>3125.3999999999996</v>
      </c>
      <c r="I138" s="1083">
        <v>2605</v>
      </c>
      <c r="J138" s="1084"/>
      <c r="K138" s="120"/>
      <c r="L138" s="1085">
        <f>260.45*12</f>
        <v>3125.3999999999996</v>
      </c>
      <c r="M138" s="1085"/>
      <c r="N138" s="1085"/>
      <c r="O138" s="1085"/>
      <c r="P138" s="5"/>
      <c r="Q138" s="5"/>
      <c r="R138"/>
      <c r="S138"/>
      <c r="T138"/>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row>
    <row r="139" spans="1:57" ht="20.399999999999999">
      <c r="A139" s="1495"/>
      <c r="B139" s="603" t="s">
        <v>772</v>
      </c>
      <c r="C139" s="603"/>
      <c r="D139" s="603" t="s">
        <v>1910</v>
      </c>
      <c r="E139" s="617" t="s">
        <v>64</v>
      </c>
      <c r="F139" s="618" t="s">
        <v>2646</v>
      </c>
      <c r="G139" s="1083"/>
      <c r="H139" s="1083">
        <v>3103.04</v>
      </c>
      <c r="I139" s="1083">
        <v>2495</v>
      </c>
      <c r="J139" s="1084"/>
      <c r="K139" s="120"/>
      <c r="L139" s="1085">
        <f>258.42*12+2</f>
        <v>3103.04</v>
      </c>
      <c r="M139" s="1445"/>
      <c r="N139" s="1445"/>
      <c r="O139" s="1085"/>
      <c r="P139" s="19"/>
      <c r="Q139" s="4"/>
      <c r="R139"/>
      <c r="S139"/>
      <c r="T139"/>
      <c r="U139" s="5"/>
      <c r="V139" s="5"/>
      <c r="W139" s="5"/>
      <c r="X139" s="5"/>
      <c r="Y139" s="5"/>
      <c r="Z139" s="5"/>
      <c r="AA139" s="5"/>
      <c r="AB139" s="5"/>
      <c r="AC139" s="5"/>
      <c r="AD139" s="5"/>
      <c r="AE139" s="5"/>
      <c r="AF139" s="5"/>
      <c r="AG139" s="5"/>
      <c r="AH139" s="5"/>
      <c r="AI139" s="603"/>
      <c r="AJ139" s="603"/>
      <c r="AK139" s="603"/>
      <c r="AL139" s="603"/>
      <c r="AM139" s="607"/>
      <c r="AN139" s="608"/>
      <c r="AO139" s="609"/>
      <c r="AP139" s="610"/>
      <c r="AQ139" s="595"/>
      <c r="AR139" s="5"/>
      <c r="AS139" s="4"/>
      <c r="AT139" s="4"/>
      <c r="AU139" s="4"/>
      <c r="AV139" s="4"/>
      <c r="AW139" s="4"/>
      <c r="AX139" s="4"/>
      <c r="AY139" s="4"/>
      <c r="AZ139" s="4"/>
      <c r="BA139" s="4"/>
      <c r="BB139" s="4"/>
      <c r="BC139" s="4"/>
      <c r="BD139" s="4"/>
      <c r="BE139" s="4"/>
    </row>
    <row r="140" spans="1:57" ht="30.6">
      <c r="A140" s="603"/>
      <c r="B140" s="603" t="s">
        <v>772</v>
      </c>
      <c r="C140" s="603"/>
      <c r="D140" s="603" t="s">
        <v>1910</v>
      </c>
      <c r="E140" s="617" t="s">
        <v>64</v>
      </c>
      <c r="F140" s="1497" t="s">
        <v>3349</v>
      </c>
      <c r="G140" s="1083"/>
      <c r="H140" s="1083"/>
      <c r="I140" s="1083">
        <v>2630</v>
      </c>
      <c r="J140" s="1084"/>
      <c r="K140" s="120"/>
      <c r="L140" s="1085">
        <f>319.45*12</f>
        <v>3833.3999999999996</v>
      </c>
      <c r="M140" s="120"/>
      <c r="N140" s="120"/>
      <c r="O140" s="1085"/>
      <c r="P140" s="5"/>
      <c r="Q140" s="5"/>
      <c r="R140"/>
      <c r="S140"/>
      <c r="T140"/>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row>
    <row r="141" spans="1:57" ht="20.399999999999999">
      <c r="A141" s="1669"/>
      <c r="B141" s="603" t="s">
        <v>772</v>
      </c>
      <c r="C141" s="603"/>
      <c r="D141" s="603" t="s">
        <v>3646</v>
      </c>
      <c r="E141" s="617" t="s">
        <v>64</v>
      </c>
      <c r="F141" s="1497" t="s">
        <v>3647</v>
      </c>
      <c r="G141" s="1083"/>
      <c r="H141" s="1083"/>
      <c r="I141" s="1083"/>
      <c r="J141" s="1084"/>
      <c r="K141" s="120"/>
      <c r="L141" s="1085">
        <f>59.9*12</f>
        <v>718.8</v>
      </c>
      <c r="M141" s="120"/>
      <c r="N141" s="120"/>
      <c r="O141" s="1085"/>
      <c r="P141" s="5"/>
      <c r="Q141" s="5"/>
      <c r="R141"/>
      <c r="S141"/>
      <c r="T141"/>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row>
    <row r="142" spans="1:57" ht="20.399999999999999">
      <c r="A142" s="603"/>
      <c r="B142" s="603" t="s">
        <v>772</v>
      </c>
      <c r="C142" s="603"/>
      <c r="D142" s="603" t="s">
        <v>1910</v>
      </c>
      <c r="E142" s="617" t="s">
        <v>64</v>
      </c>
      <c r="F142" s="1497" t="s">
        <v>3351</v>
      </c>
      <c r="G142" s="1083"/>
      <c r="H142" s="1083"/>
      <c r="I142" s="1083">
        <f>524+250</f>
        <v>774</v>
      </c>
      <c r="J142" s="1084"/>
      <c r="K142" s="120"/>
      <c r="L142" s="1502"/>
      <c r="M142" s="1445"/>
      <c r="N142" s="1445"/>
      <c r="O142" s="1085"/>
      <c r="P142" s="5"/>
      <c r="Q142" s="4"/>
      <c r="R142"/>
      <c r="S142"/>
      <c r="T142"/>
      <c r="U142" s="5"/>
      <c r="V142" s="5"/>
      <c r="W142" s="5"/>
      <c r="X142" s="5"/>
      <c r="Y142" s="5"/>
      <c r="Z142" s="5"/>
      <c r="AA142" s="5"/>
      <c r="AB142" s="5"/>
      <c r="AC142" s="5"/>
      <c r="AD142" s="5"/>
      <c r="AE142" s="5"/>
      <c r="AF142" s="5"/>
      <c r="AG142" s="5"/>
      <c r="AH142" s="5"/>
      <c r="AI142" s="123"/>
      <c r="AJ142" s="123"/>
      <c r="AK142" s="123"/>
      <c r="AL142" s="123"/>
      <c r="AM142" s="593"/>
      <c r="AN142" s="124"/>
      <c r="AO142" s="594"/>
      <c r="AP142" s="384"/>
      <c r="AQ142" s="595"/>
      <c r="AR142" s="5"/>
      <c r="AS142" s="4"/>
      <c r="AT142" s="4"/>
      <c r="AU142" s="4"/>
      <c r="AV142" s="4"/>
      <c r="AW142" s="4"/>
      <c r="AX142" s="4"/>
      <c r="AY142" s="4"/>
      <c r="AZ142" s="4"/>
      <c r="BA142" s="4"/>
      <c r="BB142" s="4"/>
      <c r="BC142" s="4"/>
      <c r="BD142" s="4"/>
      <c r="BE142" s="4"/>
    </row>
    <row r="143" spans="1:57">
      <c r="A143" s="603"/>
      <c r="B143" s="603" t="s">
        <v>772</v>
      </c>
      <c r="C143" s="603"/>
      <c r="D143" s="603" t="s">
        <v>1910</v>
      </c>
      <c r="E143" s="617" t="s">
        <v>64</v>
      </c>
      <c r="F143" s="618" t="s">
        <v>1791</v>
      </c>
      <c r="G143" s="1083"/>
      <c r="H143" s="1083">
        <v>2510.2600000000002</v>
      </c>
      <c r="I143" s="1083">
        <v>965</v>
      </c>
      <c r="J143" s="1084"/>
      <c r="K143" s="120"/>
      <c r="L143" s="1085">
        <f>1200-61</f>
        <v>1139</v>
      </c>
      <c r="M143" s="1445"/>
      <c r="N143" s="1445"/>
      <c r="O143" s="1085"/>
      <c r="P143" s="5"/>
      <c r="Q143" s="5"/>
      <c r="R143"/>
      <c r="S143"/>
      <c r="T143"/>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row>
    <row r="144" spans="1:57">
      <c r="A144" s="596"/>
      <c r="B144" s="596" t="s">
        <v>772</v>
      </c>
      <c r="C144" s="612" t="s">
        <v>1695</v>
      </c>
      <c r="D144" s="596" t="s">
        <v>1910</v>
      </c>
      <c r="E144" s="614" t="s">
        <v>1067</v>
      </c>
      <c r="F144" s="615" t="s">
        <v>1743</v>
      </c>
      <c r="G144" s="1080">
        <v>0</v>
      </c>
      <c r="H144" s="1080"/>
      <c r="I144" s="1080">
        <v>36.299999999999997</v>
      </c>
      <c r="J144" s="1081"/>
      <c r="K144" s="602">
        <f>L145</f>
        <v>0</v>
      </c>
      <c r="L144" s="613"/>
      <c r="M144" s="120"/>
      <c r="N144" s="120"/>
      <c r="O144" s="1085"/>
      <c r="P144" s="5"/>
      <c r="Q144" s="5"/>
      <c r="R144"/>
      <c r="S144"/>
      <c r="T14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row>
    <row r="145" spans="1:57" ht="30.6">
      <c r="A145" s="603"/>
      <c r="B145" s="603" t="s">
        <v>772</v>
      </c>
      <c r="C145" s="603"/>
      <c r="D145" s="603" t="s">
        <v>1910</v>
      </c>
      <c r="E145" s="617" t="s">
        <v>1067</v>
      </c>
      <c r="F145" s="618" t="s">
        <v>2647</v>
      </c>
      <c r="G145" s="1083"/>
      <c r="H145" s="1083"/>
      <c r="I145" s="1083"/>
      <c r="J145" s="1084"/>
      <c r="K145" s="120"/>
      <c r="L145" s="1501"/>
      <c r="M145" s="1445"/>
      <c r="N145" s="1445"/>
      <c r="O145" s="1085"/>
      <c r="P145" s="5"/>
      <c r="Q145" s="5"/>
      <c r="R145"/>
      <c r="S145"/>
      <c r="T145"/>
      <c r="U145" s="5"/>
      <c r="V145" s="5"/>
      <c r="W145" s="5"/>
      <c r="X145" s="5"/>
      <c r="Y145" s="5"/>
      <c r="Z145" s="5"/>
      <c r="AA145" s="5"/>
      <c r="AB145" s="5"/>
      <c r="AC145" s="5"/>
      <c r="AD145" s="5"/>
      <c r="AE145" s="5"/>
      <c r="AF145" s="5"/>
      <c r="AG145" s="5"/>
      <c r="AH145" s="5"/>
      <c r="AI145" s="123"/>
      <c r="AJ145" s="123"/>
      <c r="AK145" s="123"/>
      <c r="AL145" s="123"/>
      <c r="AM145" s="593"/>
      <c r="AN145" s="124"/>
      <c r="AO145" s="594"/>
      <c r="AP145" s="384"/>
      <c r="AQ145" s="595"/>
      <c r="AR145" s="5"/>
      <c r="AS145" s="4"/>
      <c r="AT145" s="4"/>
      <c r="AU145" s="4"/>
      <c r="AV145" s="4"/>
      <c r="AW145" s="4"/>
      <c r="AX145" s="4"/>
      <c r="AY145" s="4"/>
      <c r="AZ145" s="4"/>
      <c r="BA145" s="4"/>
      <c r="BB145" s="4"/>
      <c r="BC145" s="4"/>
      <c r="BD145" s="4"/>
      <c r="BE145" s="4"/>
    </row>
    <row r="146" spans="1:57">
      <c r="A146" s="596"/>
      <c r="B146" s="596" t="s">
        <v>772</v>
      </c>
      <c r="C146" s="612" t="s">
        <v>1695</v>
      </c>
      <c r="D146" s="596" t="s">
        <v>1910</v>
      </c>
      <c r="E146" s="614" t="s">
        <v>1764</v>
      </c>
      <c r="F146" s="615" t="s">
        <v>1765</v>
      </c>
      <c r="G146" s="1080">
        <v>0</v>
      </c>
      <c r="H146" s="1080"/>
      <c r="I146" s="1080">
        <v>66729.600000000006</v>
      </c>
      <c r="J146" s="1081"/>
      <c r="K146" s="602">
        <f>L147</f>
        <v>0</v>
      </c>
      <c r="L146" s="613"/>
      <c r="M146" s="120"/>
      <c r="N146" s="120"/>
      <c r="O146" s="1085"/>
      <c r="P146" s="5"/>
      <c r="Q146" s="5"/>
      <c r="R146"/>
      <c r="S146"/>
      <c r="T146"/>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row>
    <row r="147" spans="1:57" ht="40.799999999999997">
      <c r="A147" s="603"/>
      <c r="B147" s="603" t="s">
        <v>772</v>
      </c>
      <c r="C147" s="603"/>
      <c r="D147" s="603" t="s">
        <v>1910</v>
      </c>
      <c r="E147" s="617" t="s">
        <v>1764</v>
      </c>
      <c r="F147" s="618" t="s">
        <v>3352</v>
      </c>
      <c r="G147" s="1083"/>
      <c r="H147" s="1083">
        <v>0</v>
      </c>
      <c r="I147" s="1083"/>
      <c r="J147" s="1084"/>
      <c r="K147" s="120"/>
      <c r="L147" s="1501">
        <v>0</v>
      </c>
      <c r="M147" s="1445"/>
      <c r="N147" s="1445"/>
      <c r="O147" s="1085"/>
      <c r="P147" s="5"/>
      <c r="Q147" s="5"/>
      <c r="R147"/>
      <c r="S147"/>
      <c r="T147"/>
      <c r="U147" s="5"/>
      <c r="V147" s="5"/>
      <c r="W147" s="5"/>
      <c r="X147" s="5"/>
      <c r="Y147" s="5"/>
      <c r="Z147" s="5"/>
      <c r="AA147" s="5"/>
      <c r="AB147" s="5"/>
      <c r="AC147" s="5"/>
      <c r="AD147" s="5"/>
      <c r="AE147" s="5"/>
      <c r="AF147" s="5"/>
      <c r="AG147" s="5"/>
      <c r="AH147" s="5"/>
      <c r="AI147" s="123"/>
      <c r="AJ147" s="123"/>
      <c r="AK147" s="123"/>
      <c r="AL147" s="123"/>
      <c r="AM147" s="593"/>
      <c r="AN147" s="124"/>
      <c r="AO147" s="594"/>
      <c r="AP147" s="384"/>
      <c r="AQ147" s="595"/>
      <c r="AR147" s="5"/>
      <c r="AS147" s="4"/>
      <c r="AT147" s="4"/>
      <c r="AU147" s="4"/>
      <c r="AV147" s="4"/>
      <c r="AW147" s="4"/>
      <c r="AX147" s="4"/>
      <c r="AY147" s="4"/>
      <c r="AZ147" s="4"/>
      <c r="BA147" s="4"/>
      <c r="BB147" s="4"/>
      <c r="BC147" s="4"/>
      <c r="BD147" s="4"/>
      <c r="BE147" s="4"/>
    </row>
    <row r="148" spans="1:57" ht="30.6">
      <c r="A148" s="596"/>
      <c r="B148" s="596" t="s">
        <v>772</v>
      </c>
      <c r="C148" s="612" t="s">
        <v>966</v>
      </c>
      <c r="D148" s="612" t="s">
        <v>1913</v>
      </c>
      <c r="E148" s="597" t="s">
        <v>1748</v>
      </c>
      <c r="F148" s="598" t="s">
        <v>2632</v>
      </c>
      <c r="G148" s="1080">
        <v>0</v>
      </c>
      <c r="H148" s="1080"/>
      <c r="I148" s="1080">
        <f>SUM(I149:I149)</f>
        <v>130.1</v>
      </c>
      <c r="J148" s="1081"/>
      <c r="K148" s="602">
        <f>SUM(L149:L149)</f>
        <v>0</v>
      </c>
      <c r="L148" s="613"/>
      <c r="M148" s="120"/>
      <c r="N148" s="120"/>
      <c r="O148" s="1085"/>
      <c r="P148" s="5"/>
      <c r="Q148" s="5"/>
      <c r="R148"/>
      <c r="S148"/>
      <c r="T148"/>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row>
    <row r="149" spans="1:57" ht="61.2">
      <c r="A149" s="603"/>
      <c r="B149" s="603" t="s">
        <v>772</v>
      </c>
      <c r="C149" s="603"/>
      <c r="D149" s="603" t="s">
        <v>1913</v>
      </c>
      <c r="E149" s="604" t="s">
        <v>1748</v>
      </c>
      <c r="F149" s="605" t="s">
        <v>3353</v>
      </c>
      <c r="G149" s="1083"/>
      <c r="H149" s="1083"/>
      <c r="I149" s="1083">
        <v>130.1</v>
      </c>
      <c r="J149" s="1084"/>
      <c r="K149" s="120"/>
      <c r="L149" s="1501">
        <v>0</v>
      </c>
      <c r="M149" s="1445"/>
      <c r="N149" s="1445"/>
      <c r="O149" s="1085"/>
      <c r="P149" s="5"/>
      <c r="Q149" s="5"/>
      <c r="R149"/>
      <c r="S149"/>
      <c r="T149"/>
      <c r="U149" s="5"/>
      <c r="V149" s="5"/>
      <c r="W149" s="5"/>
      <c r="X149" s="5"/>
      <c r="Y149" s="5"/>
      <c r="Z149" s="5"/>
      <c r="AA149" s="5"/>
      <c r="AB149" s="5"/>
      <c r="AC149" s="5"/>
      <c r="AD149" s="5"/>
      <c r="AE149" s="5"/>
      <c r="AF149" s="5"/>
      <c r="AG149" s="5"/>
      <c r="AH149" s="5"/>
      <c r="AI149" s="123"/>
      <c r="AJ149" s="123"/>
      <c r="AK149" s="123"/>
      <c r="AL149" s="123"/>
      <c r="AM149" s="593"/>
      <c r="AN149" s="124"/>
      <c r="AO149" s="594"/>
      <c r="AP149" s="384"/>
      <c r="AQ149" s="595"/>
      <c r="AR149" s="5"/>
      <c r="AS149" s="4"/>
      <c r="AT149" s="4"/>
      <c r="AU149" s="4"/>
      <c r="AV149" s="4"/>
      <c r="AW149" s="4"/>
      <c r="AX149" s="4"/>
      <c r="AY149" s="4"/>
      <c r="AZ149" s="4"/>
      <c r="BA149" s="4"/>
      <c r="BB149" s="4"/>
      <c r="BC149" s="4"/>
      <c r="BD149" s="4"/>
      <c r="BE149" s="4"/>
    </row>
    <row r="150" spans="1:57">
      <c r="A150" s="596"/>
      <c r="B150" s="596" t="s">
        <v>772</v>
      </c>
      <c r="C150" s="612" t="s">
        <v>966</v>
      </c>
      <c r="D150" s="612" t="s">
        <v>1913</v>
      </c>
      <c r="E150" s="597" t="s">
        <v>1759</v>
      </c>
      <c r="F150" s="598" t="s">
        <v>1760</v>
      </c>
      <c r="G150" s="1080">
        <v>0</v>
      </c>
      <c r="H150" s="1080"/>
      <c r="I150" s="1080">
        <f>SUM(I151:I151)</f>
        <v>154</v>
      </c>
      <c r="J150" s="1081"/>
      <c r="K150" s="602">
        <f>SUM(L151:L151)</f>
        <v>0</v>
      </c>
      <c r="L150" s="613"/>
      <c r="M150" s="1445"/>
      <c r="N150" s="1445"/>
      <c r="O150" s="1085"/>
      <c r="P150" s="5"/>
      <c r="Q150" s="5"/>
      <c r="R150"/>
      <c r="S150"/>
      <c r="T150"/>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row>
    <row r="151" spans="1:57">
      <c r="A151" s="603"/>
      <c r="B151" s="603" t="s">
        <v>772</v>
      </c>
      <c r="C151" s="603"/>
      <c r="D151" s="603" t="s">
        <v>1913</v>
      </c>
      <c r="E151" s="604" t="s">
        <v>1759</v>
      </c>
      <c r="F151" s="605"/>
      <c r="G151" s="1083"/>
      <c r="H151" s="1083"/>
      <c r="I151" s="1083">
        <v>154</v>
      </c>
      <c r="J151" s="1084"/>
      <c r="K151" s="120"/>
      <c r="L151" s="1501">
        <v>0</v>
      </c>
      <c r="M151" s="120"/>
      <c r="N151" s="120"/>
      <c r="O151" s="1085"/>
      <c r="P151" s="5"/>
      <c r="Q151" s="5"/>
      <c r="R151"/>
      <c r="S151"/>
      <c r="T151"/>
      <c r="U151" s="5"/>
      <c r="V151" s="5"/>
      <c r="W151" s="5"/>
      <c r="X151" s="5"/>
      <c r="Y151" s="5"/>
      <c r="Z151" s="5"/>
      <c r="AA151" s="5"/>
      <c r="AB151" s="5"/>
      <c r="AC151" s="5"/>
      <c r="AD151" s="5"/>
      <c r="AE151" s="5"/>
      <c r="AF151" s="5"/>
      <c r="AG151" s="5"/>
      <c r="AH151" s="5"/>
      <c r="AI151" s="123"/>
      <c r="AJ151" s="123"/>
      <c r="AK151" s="123"/>
      <c r="AL151" s="123"/>
      <c r="AM151" s="593"/>
      <c r="AN151" s="124"/>
      <c r="AO151" s="594"/>
      <c r="AP151" s="384"/>
      <c r="AQ151" s="595"/>
      <c r="AR151" s="5"/>
      <c r="AS151" s="4"/>
      <c r="AT151" s="4"/>
      <c r="AU151" s="4"/>
      <c r="AV151" s="4"/>
      <c r="AW151" s="4"/>
      <c r="AX151" s="4"/>
      <c r="AY151" s="4"/>
      <c r="AZ151" s="4"/>
      <c r="BA151" s="4"/>
      <c r="BB151" s="4"/>
      <c r="BC151" s="4"/>
      <c r="BD151" s="4"/>
      <c r="BE151" s="4"/>
    </row>
    <row r="152" spans="1:57">
      <c r="A152" s="596"/>
      <c r="B152" s="596" t="s">
        <v>772</v>
      </c>
      <c r="C152" s="612" t="s">
        <v>966</v>
      </c>
      <c r="D152" s="612" t="s">
        <v>1913</v>
      </c>
      <c r="E152" s="614" t="s">
        <v>447</v>
      </c>
      <c r="F152" s="615" t="s">
        <v>1734</v>
      </c>
      <c r="G152" s="1080">
        <v>0</v>
      </c>
      <c r="H152" s="1080"/>
      <c r="I152" s="1080">
        <v>717.95</v>
      </c>
      <c r="J152" s="1081"/>
      <c r="K152" s="602">
        <f>L153</f>
        <v>0</v>
      </c>
      <c r="L152" s="613"/>
      <c r="M152" s="120"/>
      <c r="N152" s="120"/>
      <c r="O152" s="1085"/>
      <c r="P152" s="5"/>
      <c r="Q152" s="5"/>
      <c r="R152"/>
      <c r="S152"/>
      <c r="T152"/>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row>
    <row r="153" spans="1:57">
      <c r="A153" s="603"/>
      <c r="B153" s="603" t="s">
        <v>772</v>
      </c>
      <c r="C153" s="603"/>
      <c r="D153" s="603" t="s">
        <v>1913</v>
      </c>
      <c r="E153" s="617" t="s">
        <v>447</v>
      </c>
      <c r="F153" s="618" t="s">
        <v>1734</v>
      </c>
      <c r="G153" s="1083"/>
      <c r="H153" s="1083">
        <v>0</v>
      </c>
      <c r="I153" s="1083"/>
      <c r="J153" s="1084"/>
      <c r="K153" s="120"/>
      <c r="L153" s="1501"/>
      <c r="M153" s="120"/>
      <c r="N153" s="120"/>
      <c r="O153" s="1085"/>
      <c r="P153" s="5"/>
      <c r="Q153" s="5"/>
      <c r="R153"/>
      <c r="S153"/>
      <c r="T153"/>
      <c r="U153" s="5"/>
      <c r="V153" s="5"/>
      <c r="W153" s="5"/>
      <c r="X153" s="5"/>
      <c r="Y153" s="5"/>
      <c r="Z153" s="5"/>
      <c r="AA153" s="5"/>
      <c r="AB153" s="5"/>
      <c r="AC153" s="5"/>
      <c r="AD153" s="5"/>
      <c r="AE153" s="5"/>
      <c r="AF153" s="5"/>
      <c r="AG153" s="5"/>
      <c r="AH153" s="5"/>
      <c r="AI153" s="123"/>
      <c r="AJ153" s="123"/>
      <c r="AK153" s="123"/>
      <c r="AL153" s="123"/>
      <c r="AM153" s="593"/>
      <c r="AN153" s="124"/>
      <c r="AO153" s="594"/>
      <c r="AP153" s="384"/>
      <c r="AQ153" s="595"/>
      <c r="AR153" s="5"/>
      <c r="AS153" s="4"/>
      <c r="AT153" s="4"/>
      <c r="AU153" s="4"/>
      <c r="AV153" s="4"/>
      <c r="AW153" s="4"/>
      <c r="AX153" s="4"/>
      <c r="AY153" s="4"/>
      <c r="AZ153" s="4"/>
      <c r="BA153" s="4"/>
      <c r="BB153" s="4"/>
      <c r="BC153" s="4"/>
      <c r="BD153" s="4"/>
      <c r="BE153" s="4"/>
    </row>
    <row r="154" spans="1:57" ht="20.399999999999999">
      <c r="A154" s="596"/>
      <c r="B154" s="596" t="s">
        <v>772</v>
      </c>
      <c r="C154" s="612" t="s">
        <v>966</v>
      </c>
      <c r="D154" s="612" t="s">
        <v>1913</v>
      </c>
      <c r="E154" s="597" t="s">
        <v>1735</v>
      </c>
      <c r="F154" s="598" t="s">
        <v>1736</v>
      </c>
      <c r="G154" s="1080">
        <v>0</v>
      </c>
      <c r="H154" s="1080"/>
      <c r="I154" s="1080">
        <v>29642.7</v>
      </c>
      <c r="J154" s="1081"/>
      <c r="K154" s="602">
        <f>L155</f>
        <v>0</v>
      </c>
      <c r="L154" s="613"/>
      <c r="M154" s="120"/>
      <c r="N154" s="120"/>
      <c r="O154" s="1085"/>
      <c r="P154" s="19"/>
      <c r="Q154" s="4"/>
      <c r="R154"/>
      <c r="S154"/>
      <c r="T15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row>
    <row r="155" spans="1:57">
      <c r="A155" s="603"/>
      <c r="B155" s="603" t="s">
        <v>772</v>
      </c>
      <c r="C155" s="603"/>
      <c r="D155" s="603" t="s">
        <v>1913</v>
      </c>
      <c r="E155" s="604" t="s">
        <v>1735</v>
      </c>
      <c r="F155" s="605" t="s">
        <v>2648</v>
      </c>
      <c r="G155" s="1083"/>
      <c r="H155" s="1083"/>
      <c r="I155" s="1083"/>
      <c r="J155" s="1084"/>
      <c r="K155" s="120"/>
      <c r="L155" s="1501"/>
      <c r="M155" s="1445"/>
      <c r="N155" s="1445"/>
      <c r="O155" s="1085"/>
      <c r="P155" s="5"/>
      <c r="Q155" s="5"/>
      <c r="R155"/>
      <c r="S155"/>
      <c r="T155"/>
      <c r="U155" s="5"/>
      <c r="V155" s="5"/>
      <c r="W155" s="5"/>
      <c r="X155" s="5"/>
      <c r="Y155" s="5"/>
      <c r="Z155" s="5"/>
      <c r="AA155" s="5"/>
      <c r="AB155" s="5"/>
      <c r="AC155" s="5"/>
      <c r="AD155" s="5"/>
      <c r="AE155" s="5"/>
      <c r="AF155" s="5"/>
      <c r="AG155" s="5"/>
      <c r="AH155" s="5"/>
      <c r="AI155" s="123"/>
      <c r="AJ155" s="123"/>
      <c r="AK155" s="123"/>
      <c r="AL155" s="123"/>
      <c r="AM155" s="593"/>
      <c r="AN155" s="124"/>
      <c r="AO155" s="594"/>
      <c r="AP155" s="384"/>
      <c r="AQ155" s="595"/>
      <c r="AR155" s="5"/>
      <c r="AS155" s="4"/>
      <c r="AT155" s="4"/>
      <c r="AU155" s="4"/>
      <c r="AV155" s="4"/>
      <c r="AW155" s="4"/>
      <c r="AX155" s="4"/>
      <c r="AY155" s="4"/>
      <c r="AZ155" s="4"/>
      <c r="BA155" s="4"/>
      <c r="BB155" s="4"/>
      <c r="BC155" s="4"/>
      <c r="BD155" s="4"/>
      <c r="BE155" s="4"/>
    </row>
    <row r="156" spans="1:57">
      <c r="A156" s="596"/>
      <c r="B156" s="596" t="s">
        <v>772</v>
      </c>
      <c r="C156" s="612" t="s">
        <v>966</v>
      </c>
      <c r="D156" s="612" t="s">
        <v>1913</v>
      </c>
      <c r="E156" s="597" t="s">
        <v>1792</v>
      </c>
      <c r="F156" s="598" t="s">
        <v>1793</v>
      </c>
      <c r="G156" s="602">
        <v>159278</v>
      </c>
      <c r="H156" s="602"/>
      <c r="I156" s="602">
        <v>182316.84</v>
      </c>
      <c r="J156" s="601"/>
      <c r="K156" s="602">
        <f>L157</f>
        <v>0</v>
      </c>
      <c r="L156" s="602"/>
      <c r="M156" s="120"/>
      <c r="N156" s="120"/>
      <c r="O156" s="1085"/>
      <c r="P156" s="19"/>
      <c r="Q156" s="4"/>
      <c r="R156"/>
      <c r="S156"/>
      <c r="T156"/>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row>
    <row r="157" spans="1:57">
      <c r="A157" s="603"/>
      <c r="B157" s="603" t="s">
        <v>772</v>
      </c>
      <c r="C157" s="603"/>
      <c r="D157" s="603" t="s">
        <v>1913</v>
      </c>
      <c r="E157" s="604" t="s">
        <v>1792</v>
      </c>
      <c r="F157" s="1133" t="s">
        <v>1793</v>
      </c>
      <c r="G157" s="120"/>
      <c r="H157" s="120">
        <v>159278</v>
      </c>
      <c r="I157" s="120"/>
      <c r="J157" s="1396"/>
      <c r="K157" s="120"/>
      <c r="L157" s="120"/>
      <c r="M157" s="120"/>
      <c r="N157" s="120"/>
      <c r="O157" s="1085"/>
      <c r="P157" s="5"/>
      <c r="Q157" s="5"/>
      <c r="R157"/>
      <c r="S157"/>
      <c r="T157"/>
      <c r="U157" s="5"/>
      <c r="V157" s="5"/>
      <c r="W157" s="5"/>
      <c r="X157" s="5"/>
      <c r="Y157" s="5"/>
      <c r="Z157" s="5"/>
      <c r="AA157" s="5"/>
      <c r="AB157" s="5"/>
      <c r="AC157" s="5"/>
      <c r="AD157" s="5"/>
      <c r="AE157" s="5"/>
      <c r="AF157" s="5"/>
      <c r="AG157" s="5"/>
      <c r="AH157" s="5"/>
      <c r="AI157" s="123"/>
      <c r="AJ157" s="123"/>
      <c r="AK157" s="123"/>
      <c r="AL157" s="123"/>
      <c r="AM157" s="593"/>
      <c r="AN157" s="124"/>
      <c r="AO157" s="594"/>
      <c r="AP157" s="384"/>
      <c r="AQ157" s="595"/>
      <c r="AR157" s="5"/>
      <c r="AS157" s="4"/>
      <c r="AT157" s="4"/>
      <c r="AU157" s="4"/>
      <c r="AV157" s="4"/>
      <c r="AW157" s="4"/>
      <c r="AX157" s="4"/>
      <c r="AY157" s="4"/>
      <c r="AZ157" s="4"/>
      <c r="BA157" s="4"/>
      <c r="BB157" s="4"/>
      <c r="BC157" s="4"/>
      <c r="BD157" s="4"/>
      <c r="BE157" s="4"/>
    </row>
    <row r="158" spans="1:57">
      <c r="A158" s="603"/>
      <c r="B158" s="596" t="s">
        <v>772</v>
      </c>
      <c r="C158" s="612" t="s">
        <v>966</v>
      </c>
      <c r="D158" s="612" t="s">
        <v>1913</v>
      </c>
      <c r="E158" s="614" t="s">
        <v>64</v>
      </c>
      <c r="F158" s="615" t="s">
        <v>1741</v>
      </c>
      <c r="G158" s="1080">
        <v>17000</v>
      </c>
      <c r="H158" s="1080"/>
      <c r="I158" s="1080">
        <v>15272.56</v>
      </c>
      <c r="J158" s="1081"/>
      <c r="K158" s="602">
        <f>SUM(L159:L162)</f>
        <v>766.31999999999994</v>
      </c>
      <c r="L158" s="602"/>
      <c r="M158" s="120">
        <f>(K158+K163+K165)/121*21</f>
        <v>10546.220826446281</v>
      </c>
      <c r="N158" s="120"/>
      <c r="O158" s="1085"/>
      <c r="P158" s="19"/>
      <c r="Q158" s="4"/>
      <c r="R158"/>
      <c r="S158"/>
      <c r="T158"/>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row>
    <row r="159" spans="1:57" ht="20.399999999999999">
      <c r="A159" s="603"/>
      <c r="B159" s="603" t="s">
        <v>772</v>
      </c>
      <c r="C159" s="603"/>
      <c r="D159" s="603" t="s">
        <v>1913</v>
      </c>
      <c r="E159" s="617" t="s">
        <v>64</v>
      </c>
      <c r="F159" s="618" t="s">
        <v>2649</v>
      </c>
      <c r="G159" s="1083"/>
      <c r="H159" s="1083">
        <v>8581.32</v>
      </c>
      <c r="I159" s="1083">
        <v>10488.28</v>
      </c>
      <c r="J159" s="1084"/>
      <c r="K159" s="120"/>
      <c r="L159" s="120">
        <v>0</v>
      </c>
      <c r="M159" s="120"/>
      <c r="N159" s="120"/>
      <c r="O159" s="1085"/>
      <c r="P159" s="5"/>
      <c r="Q159" s="5"/>
      <c r="R159"/>
      <c r="S159"/>
      <c r="T159"/>
      <c r="U159" s="5"/>
      <c r="V159" s="5"/>
      <c r="W159" s="5"/>
      <c r="X159" s="5"/>
      <c r="Y159" s="5"/>
      <c r="Z159" s="5"/>
      <c r="AA159" s="5"/>
      <c r="AB159" s="5"/>
      <c r="AC159" s="5"/>
      <c r="AD159" s="5"/>
      <c r="AE159" s="5"/>
      <c r="AF159" s="5"/>
      <c r="AG159" s="5"/>
      <c r="AH159" s="5"/>
      <c r="AI159" s="123"/>
      <c r="AJ159" s="123"/>
      <c r="AK159" s="123"/>
      <c r="AL159" s="123"/>
      <c r="AM159" s="593"/>
      <c r="AN159" s="124"/>
      <c r="AO159" s="594"/>
      <c r="AP159" s="384"/>
      <c r="AQ159" s="595"/>
      <c r="AR159" s="5"/>
      <c r="AS159" s="4"/>
      <c r="AT159" s="4"/>
      <c r="AU159" s="4"/>
      <c r="AV159" s="4"/>
      <c r="AW159" s="4"/>
      <c r="AX159" s="4"/>
      <c r="AY159" s="4"/>
      <c r="AZ159" s="4"/>
      <c r="BA159" s="4"/>
      <c r="BB159" s="4"/>
      <c r="BC159" s="4"/>
      <c r="BD159" s="4"/>
      <c r="BE159" s="4"/>
    </row>
    <row r="160" spans="1:57" ht="20.399999999999999">
      <c r="A160" s="603"/>
      <c r="B160" s="603" t="s">
        <v>772</v>
      </c>
      <c r="C160" s="603"/>
      <c r="D160" s="603" t="s">
        <v>1913</v>
      </c>
      <c r="E160" s="617" t="s">
        <v>64</v>
      </c>
      <c r="F160" s="618" t="s">
        <v>2650</v>
      </c>
      <c r="G160" s="1083"/>
      <c r="H160" s="1083">
        <v>1297.08</v>
      </c>
      <c r="I160" s="1083">
        <v>1074.44</v>
      </c>
      <c r="J160" s="1084"/>
      <c r="K160" s="120"/>
      <c r="L160" s="120"/>
      <c r="M160" s="1445"/>
      <c r="N160" s="1445"/>
      <c r="O160" s="1085"/>
      <c r="P160" s="19"/>
      <c r="Q160" s="4"/>
      <c r="R160"/>
      <c r="S160"/>
      <c r="T160"/>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row>
    <row r="161" spans="1:57" ht="20.399999999999999">
      <c r="A161" s="596"/>
      <c r="B161" s="603" t="s">
        <v>772</v>
      </c>
      <c r="C161" s="603"/>
      <c r="D161" s="603" t="s">
        <v>1913</v>
      </c>
      <c r="E161" s="617" t="s">
        <v>64</v>
      </c>
      <c r="F161" s="618" t="s">
        <v>3354</v>
      </c>
      <c r="G161" s="1083"/>
      <c r="H161" s="1083">
        <v>766.31999999999994</v>
      </c>
      <c r="I161" s="1083">
        <v>638.6</v>
      </c>
      <c r="J161" s="1084"/>
      <c r="K161" s="120"/>
      <c r="L161" s="120">
        <f>63.86*12</f>
        <v>766.31999999999994</v>
      </c>
      <c r="M161" s="120"/>
      <c r="N161" s="120"/>
      <c r="O161" s="1085"/>
      <c r="P161" s="5"/>
      <c r="Q161" s="5"/>
      <c r="R161"/>
      <c r="S161"/>
      <c r="T161"/>
      <c r="U161" s="5"/>
      <c r="V161" s="5"/>
      <c r="W161" s="5"/>
      <c r="X161" s="5"/>
      <c r="Y161" s="5"/>
      <c r="Z161" s="5"/>
      <c r="AA161" s="5"/>
      <c r="AB161" s="5"/>
      <c r="AC161" s="5"/>
      <c r="AD161" s="5"/>
      <c r="AE161" s="5"/>
      <c r="AF161" s="5"/>
      <c r="AG161" s="5"/>
      <c r="AH161" s="5"/>
      <c r="AI161" s="123"/>
      <c r="AJ161" s="123"/>
      <c r="AK161" s="123"/>
      <c r="AL161" s="123"/>
      <c r="AM161" s="593"/>
      <c r="AN161" s="124"/>
      <c r="AO161" s="594"/>
      <c r="AP161" s="384"/>
      <c r="AQ161" s="595"/>
      <c r="AR161" s="5"/>
      <c r="AS161" s="4"/>
      <c r="AT161" s="4"/>
      <c r="AU161" s="4"/>
      <c r="AV161" s="4"/>
      <c r="AW161" s="4"/>
      <c r="AX161" s="4"/>
      <c r="AY161" s="4"/>
      <c r="AZ161" s="4"/>
      <c r="BA161" s="4"/>
      <c r="BB161" s="4"/>
      <c r="BC161" s="4"/>
      <c r="BD161" s="4"/>
      <c r="BE161" s="4"/>
    </row>
    <row r="162" spans="1:57">
      <c r="A162" s="603"/>
      <c r="B162" s="603" t="s">
        <v>772</v>
      </c>
      <c r="C162" s="603"/>
      <c r="D162" s="603" t="s">
        <v>1913</v>
      </c>
      <c r="E162" s="617" t="s">
        <v>64</v>
      </c>
      <c r="F162" s="618" t="s">
        <v>2651</v>
      </c>
      <c r="G162" s="1083"/>
      <c r="H162" s="1083">
        <v>6355.2800000000007</v>
      </c>
      <c r="I162" s="1083"/>
      <c r="J162" s="1084"/>
      <c r="K162" s="120"/>
      <c r="L162" s="120"/>
      <c r="M162" s="1445"/>
      <c r="N162" s="1445"/>
      <c r="O162" s="1085"/>
      <c r="P162" s="19"/>
      <c r="Q162" s="4"/>
      <c r="R162"/>
      <c r="S162"/>
      <c r="T162"/>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row>
    <row r="163" spans="1:57">
      <c r="A163" s="596"/>
      <c r="B163" s="596" t="s">
        <v>772</v>
      </c>
      <c r="C163" s="612" t="s">
        <v>966</v>
      </c>
      <c r="D163" s="612" t="s">
        <v>1913</v>
      </c>
      <c r="E163" s="614" t="s">
        <v>65</v>
      </c>
      <c r="F163" s="615" t="s">
        <v>1742</v>
      </c>
      <c r="G163" s="1080">
        <v>54000</v>
      </c>
      <c r="H163" s="1080"/>
      <c r="I163" s="1080">
        <v>59170</v>
      </c>
      <c r="J163" s="1081"/>
      <c r="K163" s="602">
        <f>L164</f>
        <v>55000</v>
      </c>
      <c r="L163" s="602"/>
      <c r="M163" s="120"/>
      <c r="N163" s="120"/>
      <c r="O163" s="1085"/>
      <c r="P163" s="5"/>
      <c r="Q163" s="5"/>
      <c r="R163"/>
      <c r="S163"/>
      <c r="T163"/>
      <c r="U163" s="5"/>
      <c r="V163" s="5"/>
      <c r="W163" s="5"/>
      <c r="X163" s="5"/>
      <c r="Y163" s="5"/>
      <c r="Z163" s="5"/>
      <c r="AA163" s="5"/>
      <c r="AB163" s="5"/>
      <c r="AC163" s="5"/>
      <c r="AD163" s="5"/>
      <c r="AE163" s="5"/>
      <c r="AF163" s="5"/>
      <c r="AG163" s="5"/>
      <c r="AH163" s="5"/>
      <c r="AI163" s="123"/>
      <c r="AJ163" s="123"/>
      <c r="AK163" s="123"/>
      <c r="AL163" s="123"/>
      <c r="AM163" s="593"/>
      <c r="AN163" s="124"/>
      <c r="AO163" s="594"/>
      <c r="AP163" s="384"/>
      <c r="AQ163" s="595"/>
      <c r="AR163" s="5"/>
      <c r="AS163" s="4"/>
      <c r="AT163" s="4"/>
      <c r="AU163" s="4"/>
      <c r="AV163" s="4"/>
      <c r="AW163" s="4"/>
      <c r="AX163" s="4"/>
      <c r="AY163" s="4"/>
      <c r="AZ163" s="4"/>
      <c r="BA163" s="4"/>
      <c r="BB163" s="4"/>
      <c r="BC163" s="4"/>
      <c r="BD163" s="4"/>
      <c r="BE163" s="4"/>
    </row>
    <row r="164" spans="1:57">
      <c r="A164" s="603"/>
      <c r="B164" s="603" t="s">
        <v>772</v>
      </c>
      <c r="C164" s="603"/>
      <c r="D164" s="603" t="s">
        <v>1913</v>
      </c>
      <c r="E164" s="617" t="s">
        <v>65</v>
      </c>
      <c r="F164" s="618" t="s">
        <v>1742</v>
      </c>
      <c r="G164" s="1083"/>
      <c r="H164" s="1083">
        <v>54000</v>
      </c>
      <c r="I164" s="1083"/>
      <c r="J164" s="1084"/>
      <c r="K164" s="120"/>
      <c r="L164" s="120">
        <v>55000</v>
      </c>
      <c r="M164" s="1445"/>
      <c r="N164" s="1445"/>
      <c r="O164" s="1085"/>
      <c r="P164" s="19"/>
      <c r="Q164" s="4"/>
      <c r="R164"/>
      <c r="S164"/>
      <c r="T16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row>
    <row r="165" spans="1:57">
      <c r="A165" s="596"/>
      <c r="B165" s="596" t="s">
        <v>772</v>
      </c>
      <c r="C165" s="612" t="s">
        <v>966</v>
      </c>
      <c r="D165" s="612" t="s">
        <v>1913</v>
      </c>
      <c r="E165" s="614" t="s">
        <v>1764</v>
      </c>
      <c r="F165" s="615" t="s">
        <v>1742</v>
      </c>
      <c r="G165" s="1080">
        <v>0</v>
      </c>
      <c r="H165" s="1080"/>
      <c r="I165" s="1080">
        <v>6907.54</v>
      </c>
      <c r="J165" s="1081"/>
      <c r="K165" s="602">
        <f>L166</f>
        <v>5000</v>
      </c>
      <c r="L165" s="602"/>
      <c r="M165" s="120"/>
      <c r="N165" s="120"/>
      <c r="O165" s="1085"/>
      <c r="P165" s="5"/>
      <c r="Q165" s="5"/>
      <c r="R165"/>
      <c r="S165"/>
      <c r="T165"/>
      <c r="U165" s="5"/>
      <c r="V165" s="5"/>
      <c r="W165" s="5"/>
      <c r="X165" s="5"/>
      <c r="Y165" s="5"/>
      <c r="Z165" s="5"/>
      <c r="AA165" s="5"/>
      <c r="AB165" s="5"/>
      <c r="AC165" s="5"/>
      <c r="AD165" s="5"/>
      <c r="AE165" s="5"/>
      <c r="AF165" s="5"/>
      <c r="AG165" s="5"/>
      <c r="AH165" s="5"/>
      <c r="AI165" s="123"/>
      <c r="AJ165" s="123"/>
      <c r="AK165" s="123"/>
      <c r="AL165" s="123"/>
      <c r="AM165" s="593"/>
      <c r="AN165" s="124"/>
      <c r="AO165" s="594"/>
      <c r="AP165" s="384"/>
      <c r="AQ165" s="595"/>
      <c r="AR165" s="5"/>
      <c r="AS165" s="4"/>
      <c r="AT165" s="4"/>
      <c r="AU165" s="4"/>
      <c r="AV165" s="4"/>
      <c r="AW165" s="4"/>
      <c r="AX165" s="4"/>
      <c r="AY165" s="4"/>
      <c r="AZ165" s="4"/>
      <c r="BA165" s="4"/>
      <c r="BB165" s="4"/>
      <c r="BC165" s="4"/>
      <c r="BD165" s="4"/>
      <c r="BE165" s="4"/>
    </row>
    <row r="166" spans="1:57">
      <c r="A166" s="603"/>
      <c r="B166" s="603" t="s">
        <v>772</v>
      </c>
      <c r="C166" s="603"/>
      <c r="D166" s="603" t="s">
        <v>1913</v>
      </c>
      <c r="E166" s="617" t="s">
        <v>1764</v>
      </c>
      <c r="F166" s="618" t="s">
        <v>1742</v>
      </c>
      <c r="G166" s="1083"/>
      <c r="H166" s="1083">
        <v>0</v>
      </c>
      <c r="I166" s="1083"/>
      <c r="J166" s="1084"/>
      <c r="K166" s="120"/>
      <c r="L166" s="120">
        <v>5000</v>
      </c>
      <c r="M166" s="1445"/>
      <c r="N166" s="1445"/>
      <c r="O166" s="1085"/>
      <c r="P166" s="5"/>
      <c r="Q166" s="4"/>
      <c r="R166"/>
      <c r="S166"/>
      <c r="T166"/>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row>
    <row r="167" spans="1:57">
      <c r="A167" s="596"/>
      <c r="B167" s="596" t="s">
        <v>772</v>
      </c>
      <c r="C167" s="612" t="s">
        <v>311</v>
      </c>
      <c r="D167" s="596" t="s">
        <v>1914</v>
      </c>
      <c r="E167" s="614" t="s">
        <v>447</v>
      </c>
      <c r="F167" s="615" t="s">
        <v>1734</v>
      </c>
      <c r="G167" s="1080"/>
      <c r="H167" s="1080"/>
      <c r="I167" s="1080"/>
      <c r="J167" s="1081"/>
      <c r="K167" s="602">
        <f>L168</f>
        <v>0</v>
      </c>
      <c r="L167" s="602"/>
      <c r="M167" s="120"/>
      <c r="N167" s="120"/>
      <c r="O167" s="1085"/>
      <c r="P167" s="5"/>
      <c r="Q167" s="5"/>
      <c r="R167"/>
      <c r="S167"/>
      <c r="T167"/>
      <c r="U167" s="5"/>
      <c r="V167" s="5"/>
      <c r="W167" s="5"/>
      <c r="X167" s="5"/>
      <c r="Y167" s="5"/>
      <c r="Z167" s="5"/>
      <c r="AA167" s="5"/>
      <c r="AB167" s="5"/>
      <c r="AC167" s="5"/>
      <c r="AD167" s="5"/>
      <c r="AE167" s="5"/>
      <c r="AF167" s="5"/>
      <c r="AG167" s="5"/>
      <c r="AH167" s="5"/>
      <c r="AI167" s="123"/>
      <c r="AJ167" s="123"/>
      <c r="AK167" s="123"/>
      <c r="AL167" s="123"/>
      <c r="AM167" s="593"/>
      <c r="AN167" s="124"/>
      <c r="AO167" s="594"/>
      <c r="AP167" s="384"/>
      <c r="AQ167" s="595"/>
      <c r="AR167" s="5"/>
      <c r="AS167" s="4"/>
      <c r="AT167" s="4"/>
      <c r="AU167" s="4"/>
      <c r="AV167" s="4"/>
      <c r="AW167" s="4"/>
      <c r="AX167" s="4"/>
      <c r="AY167" s="4"/>
      <c r="AZ167" s="4"/>
      <c r="BA167" s="4"/>
      <c r="BB167" s="4"/>
      <c r="BC167" s="4"/>
      <c r="BD167" s="4"/>
      <c r="BE167" s="4"/>
    </row>
    <row r="168" spans="1:57">
      <c r="A168" s="603"/>
      <c r="B168" s="603" t="s">
        <v>772</v>
      </c>
      <c r="C168" s="603"/>
      <c r="D168" s="603" t="s">
        <v>1914</v>
      </c>
      <c r="E168" s="617" t="s">
        <v>447</v>
      </c>
      <c r="F168" s="618" t="s">
        <v>1734</v>
      </c>
      <c r="G168" s="1083"/>
      <c r="H168" s="1083">
        <v>0</v>
      </c>
      <c r="I168" s="1083"/>
      <c r="J168" s="1084"/>
      <c r="K168" s="120"/>
      <c r="L168" s="120">
        <v>0</v>
      </c>
      <c r="M168" s="1445"/>
      <c r="N168" s="1445"/>
      <c r="O168" s="1085"/>
      <c r="P168" s="5"/>
      <c r="Q168" s="4"/>
      <c r="R168"/>
      <c r="S168"/>
      <c r="T168"/>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row>
    <row r="169" spans="1:57">
      <c r="A169" s="596"/>
      <c r="B169" s="596" t="s">
        <v>772</v>
      </c>
      <c r="C169" s="612" t="s">
        <v>311</v>
      </c>
      <c r="D169" s="596" t="s">
        <v>1914</v>
      </c>
      <c r="E169" s="597" t="s">
        <v>64</v>
      </c>
      <c r="F169" s="598" t="s">
        <v>1741</v>
      </c>
      <c r="G169" s="1080">
        <v>50000</v>
      </c>
      <c r="H169" s="1080"/>
      <c r="I169" s="1080">
        <v>45876.13</v>
      </c>
      <c r="J169" s="1081"/>
      <c r="K169" s="602">
        <f>L170</f>
        <v>50000</v>
      </c>
      <c r="L169" s="602"/>
      <c r="M169" s="120"/>
      <c r="N169" s="120"/>
      <c r="O169" s="1085"/>
      <c r="P169" s="19"/>
      <c r="Q169" s="5"/>
      <c r="R169"/>
      <c r="S169"/>
      <c r="T169"/>
      <c r="U169" s="5"/>
      <c r="V169" s="5"/>
      <c r="W169" s="5"/>
      <c r="X169" s="5"/>
      <c r="Y169" s="5"/>
      <c r="Z169" s="5"/>
      <c r="AA169" s="5"/>
      <c r="AB169" s="5"/>
      <c r="AC169" s="5"/>
      <c r="AD169" s="5"/>
      <c r="AE169" s="5"/>
      <c r="AF169" s="5"/>
      <c r="AG169" s="5"/>
      <c r="AH169" s="5"/>
      <c r="AI169" s="123"/>
      <c r="AJ169" s="123"/>
      <c r="AK169" s="123"/>
      <c r="AL169" s="123"/>
      <c r="AM169" s="593"/>
      <c r="AN169" s="124"/>
      <c r="AO169" s="594"/>
      <c r="AP169" s="384"/>
      <c r="AQ169" s="595"/>
      <c r="AR169" s="5"/>
      <c r="AS169" s="4"/>
      <c r="AT169" s="4"/>
      <c r="AU169" s="4"/>
      <c r="AV169" s="4"/>
      <c r="AW169" s="4"/>
      <c r="AX169" s="4"/>
      <c r="AY169" s="4"/>
      <c r="AZ169" s="4"/>
      <c r="BA169" s="4"/>
      <c r="BB169" s="4"/>
      <c r="BC169" s="4"/>
      <c r="BD169" s="4"/>
      <c r="BE169" s="4"/>
    </row>
    <row r="170" spans="1:57">
      <c r="A170" s="603"/>
      <c r="B170" s="603" t="s">
        <v>772</v>
      </c>
      <c r="C170" s="603"/>
      <c r="D170" s="603" t="s">
        <v>1914</v>
      </c>
      <c r="E170" s="604" t="s">
        <v>64</v>
      </c>
      <c r="F170" s="605" t="s">
        <v>2652</v>
      </c>
      <c r="G170" s="1083"/>
      <c r="H170" s="1083">
        <v>50000</v>
      </c>
      <c r="I170" s="1083"/>
      <c r="J170" s="1084"/>
      <c r="K170" s="120"/>
      <c r="L170" s="120">
        <v>50000</v>
      </c>
      <c r="M170" s="1445"/>
      <c r="N170" s="1445"/>
      <c r="O170" s="1085"/>
      <c r="P170" s="5"/>
      <c r="Q170" s="4"/>
      <c r="R170"/>
      <c r="S170"/>
      <c r="T170"/>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row>
    <row r="171" spans="1:57" ht="20.399999999999999">
      <c r="A171" s="596"/>
      <c r="B171" s="596" t="s">
        <v>772</v>
      </c>
      <c r="C171" s="612" t="s">
        <v>311</v>
      </c>
      <c r="D171" s="596" t="s">
        <v>1914</v>
      </c>
      <c r="E171" s="597" t="s">
        <v>1794</v>
      </c>
      <c r="F171" s="598" t="s">
        <v>1795</v>
      </c>
      <c r="G171" s="1080">
        <v>48000</v>
      </c>
      <c r="H171" s="1080"/>
      <c r="I171" s="1080">
        <v>39335</v>
      </c>
      <c r="J171" s="1081"/>
      <c r="K171" s="602">
        <f>L172</f>
        <v>45000</v>
      </c>
      <c r="L171" s="602"/>
      <c r="M171" s="120"/>
      <c r="N171" s="120"/>
      <c r="O171" s="1085"/>
      <c r="P171" s="19"/>
      <c r="Q171" s="5"/>
      <c r="R171"/>
      <c r="S171"/>
      <c r="T171"/>
      <c r="U171" s="5"/>
      <c r="V171" s="5"/>
      <c r="W171" s="5"/>
      <c r="X171" s="5"/>
      <c r="Y171" s="5"/>
      <c r="Z171" s="5"/>
      <c r="AA171" s="5"/>
      <c r="AB171" s="5"/>
      <c r="AC171" s="5"/>
      <c r="AD171" s="5"/>
      <c r="AE171" s="5"/>
      <c r="AF171" s="5"/>
      <c r="AG171" s="5"/>
      <c r="AH171" s="5"/>
      <c r="AI171" s="123"/>
      <c r="AJ171" s="123"/>
      <c r="AK171" s="123"/>
      <c r="AL171" s="123"/>
      <c r="AM171" s="593"/>
      <c r="AN171" s="124"/>
      <c r="AO171" s="594"/>
      <c r="AP171" s="384"/>
      <c r="AQ171" s="595"/>
      <c r="AR171" s="5"/>
      <c r="AS171" s="4"/>
      <c r="AT171" s="4"/>
      <c r="AU171" s="4"/>
      <c r="AV171" s="4"/>
      <c r="AW171" s="4"/>
      <c r="AX171" s="4"/>
      <c r="AY171" s="4"/>
      <c r="AZ171" s="4"/>
      <c r="BA171" s="4"/>
      <c r="BB171" s="4"/>
      <c r="BC171" s="4"/>
      <c r="BD171" s="4"/>
      <c r="BE171" s="4"/>
    </row>
    <row r="172" spans="1:57">
      <c r="A172" s="603"/>
      <c r="B172" s="603" t="s">
        <v>772</v>
      </c>
      <c r="C172" s="603"/>
      <c r="D172" s="603" t="s">
        <v>1914</v>
      </c>
      <c r="E172" s="604" t="s">
        <v>1794</v>
      </c>
      <c r="F172" s="605"/>
      <c r="G172" s="1083"/>
      <c r="H172" s="1083">
        <v>48000</v>
      </c>
      <c r="I172" s="1083"/>
      <c r="J172" s="1084"/>
      <c r="K172" s="120"/>
      <c r="L172" s="120">
        <v>45000</v>
      </c>
      <c r="M172" s="1445">
        <f>(L170+L172)/121*21</f>
        <v>16487.603305785124</v>
      </c>
      <c r="N172" s="1445"/>
      <c r="O172" s="1085"/>
      <c r="P172" s="5"/>
      <c r="Q172" s="4"/>
      <c r="R172"/>
      <c r="S172"/>
      <c r="T172"/>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row>
    <row r="173" spans="1:57">
      <c r="A173" s="596"/>
      <c r="B173" s="596" t="s">
        <v>772</v>
      </c>
      <c r="C173" s="612" t="s">
        <v>311</v>
      </c>
      <c r="D173" s="596" t="s">
        <v>1914</v>
      </c>
      <c r="E173" s="597" t="s">
        <v>1796</v>
      </c>
      <c r="F173" s="598" t="s">
        <v>1797</v>
      </c>
      <c r="G173" s="1080">
        <v>3500</v>
      </c>
      <c r="H173" s="1080"/>
      <c r="I173" s="1080">
        <v>5136</v>
      </c>
      <c r="J173" s="1081"/>
      <c r="K173" s="602">
        <f>L174</f>
        <v>5000</v>
      </c>
      <c r="L173" s="602"/>
      <c r="M173" s="120"/>
      <c r="N173" s="120"/>
      <c r="O173" s="1085"/>
      <c r="P173" s="19"/>
      <c r="Q173" s="5"/>
      <c r="R173"/>
      <c r="S173"/>
      <c r="T173"/>
      <c r="U173" s="5"/>
      <c r="V173" s="5"/>
      <c r="W173" s="5"/>
      <c r="X173" s="5"/>
      <c r="Y173" s="5"/>
      <c r="Z173" s="5"/>
      <c r="AA173" s="5"/>
      <c r="AB173" s="5"/>
      <c r="AC173" s="5"/>
      <c r="AD173" s="5"/>
      <c r="AE173" s="5"/>
      <c r="AF173" s="5"/>
      <c r="AG173" s="5"/>
      <c r="AH173" s="5"/>
      <c r="AI173" s="123"/>
      <c r="AJ173" s="123"/>
      <c r="AK173" s="123"/>
      <c r="AL173" s="123"/>
      <c r="AM173" s="593"/>
      <c r="AN173" s="124"/>
      <c r="AO173" s="594"/>
      <c r="AP173" s="384"/>
      <c r="AQ173" s="595"/>
      <c r="AR173" s="5"/>
      <c r="AS173" s="4"/>
      <c r="AT173" s="4"/>
      <c r="AU173" s="4"/>
      <c r="AV173" s="4"/>
      <c r="AW173" s="4"/>
      <c r="AX173" s="4"/>
      <c r="AY173" s="4"/>
      <c r="AZ173" s="4"/>
      <c r="BA173" s="4"/>
      <c r="BB173" s="4"/>
      <c r="BC173" s="4"/>
      <c r="BD173" s="4"/>
      <c r="BE173" s="4"/>
    </row>
    <row r="174" spans="1:57">
      <c r="A174" s="603"/>
      <c r="B174" s="603" t="s">
        <v>772</v>
      </c>
      <c r="C174" s="603"/>
      <c r="D174" s="603" t="s">
        <v>1914</v>
      </c>
      <c r="E174" s="604" t="s">
        <v>1796</v>
      </c>
      <c r="F174" s="605"/>
      <c r="G174" s="1083"/>
      <c r="H174" s="1083">
        <v>3500</v>
      </c>
      <c r="I174" s="1083"/>
      <c r="J174" s="1084"/>
      <c r="K174" s="120"/>
      <c r="L174" s="120">
        <v>5000</v>
      </c>
      <c r="M174" s="1445"/>
      <c r="N174" s="1445"/>
      <c r="O174" s="1085"/>
      <c r="P174" s="5"/>
      <c r="Q174" s="4"/>
      <c r="R174"/>
      <c r="S174"/>
      <c r="T17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row>
    <row r="175" spans="1:57" ht="20.399999999999999">
      <c r="A175" s="596"/>
      <c r="B175" s="596" t="s">
        <v>772</v>
      </c>
      <c r="C175" s="612" t="s">
        <v>312</v>
      </c>
      <c r="D175" s="596" t="s">
        <v>872</v>
      </c>
      <c r="E175" s="597" t="s">
        <v>1798</v>
      </c>
      <c r="F175" s="598" t="s">
        <v>1799</v>
      </c>
      <c r="G175" s="1080">
        <v>0</v>
      </c>
      <c r="H175" s="1080"/>
      <c r="I175" s="1080">
        <v>364.13</v>
      </c>
      <c r="J175" s="1081"/>
      <c r="K175" s="1404">
        <f>L176</f>
        <v>0</v>
      </c>
      <c r="L175" s="613"/>
      <c r="M175" s="120"/>
      <c r="N175" s="120"/>
      <c r="O175" s="1085"/>
      <c r="P175" s="19"/>
      <c r="Q175" s="5"/>
      <c r="R175"/>
      <c r="S175"/>
      <c r="T175"/>
      <c r="U175" s="5"/>
      <c r="V175" s="5"/>
      <c r="W175" s="5"/>
      <c r="X175" s="5"/>
      <c r="Y175" s="5"/>
      <c r="Z175" s="5"/>
      <c r="AA175" s="5"/>
      <c r="AB175" s="5"/>
      <c r="AC175" s="5"/>
      <c r="AD175" s="5"/>
      <c r="AE175" s="5"/>
      <c r="AF175" s="5"/>
      <c r="AG175" s="5"/>
      <c r="AH175" s="5"/>
      <c r="AI175" s="123"/>
      <c r="AJ175" s="123"/>
      <c r="AK175" s="123"/>
      <c r="AL175" s="123"/>
      <c r="AM175" s="593"/>
      <c r="AN175" s="124"/>
      <c r="AO175" s="594"/>
      <c r="AP175" s="384"/>
      <c r="AQ175" s="595"/>
      <c r="AR175" s="5"/>
      <c r="AS175" s="4"/>
      <c r="AT175" s="4"/>
      <c r="AU175" s="4"/>
      <c r="AV175" s="4"/>
      <c r="AW175" s="4"/>
      <c r="AX175" s="4"/>
      <c r="AY175" s="4"/>
      <c r="AZ175" s="4"/>
      <c r="BA175" s="4"/>
      <c r="BB175" s="4"/>
      <c r="BC175" s="4"/>
      <c r="BD175" s="4"/>
      <c r="BE175" s="4"/>
    </row>
    <row r="176" spans="1:57">
      <c r="A176" s="603"/>
      <c r="B176" s="603" t="s">
        <v>772</v>
      </c>
      <c r="C176" s="603"/>
      <c r="D176" s="603" t="s">
        <v>872</v>
      </c>
      <c r="E176" s="604" t="s">
        <v>1798</v>
      </c>
      <c r="F176" s="605" t="s">
        <v>3355</v>
      </c>
      <c r="G176" s="1083"/>
      <c r="H176" s="1083">
        <v>0</v>
      </c>
      <c r="I176" s="1083"/>
      <c r="J176" s="1084"/>
      <c r="K176" s="1094"/>
      <c r="L176" s="1501">
        <v>0</v>
      </c>
      <c r="M176" s="1445"/>
      <c r="N176" s="1445"/>
      <c r="O176" s="1085"/>
      <c r="P176" s="5"/>
      <c r="Q176" s="4"/>
      <c r="R176"/>
      <c r="S176"/>
      <c r="T176"/>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row>
    <row r="177" spans="1:57" ht="20.399999999999999">
      <c r="A177" s="596"/>
      <c r="B177" s="596" t="s">
        <v>772</v>
      </c>
      <c r="C177" s="612" t="s">
        <v>965</v>
      </c>
      <c r="D177" s="596" t="s">
        <v>873</v>
      </c>
      <c r="E177" s="597" t="s">
        <v>1798</v>
      </c>
      <c r="F177" s="598" t="s">
        <v>1799</v>
      </c>
      <c r="G177" s="1080">
        <v>0</v>
      </c>
      <c r="H177" s="1080"/>
      <c r="I177" s="1080">
        <v>356.87</v>
      </c>
      <c r="J177" s="1081"/>
      <c r="K177" s="1404">
        <f>L178</f>
        <v>0</v>
      </c>
      <c r="L177" s="613"/>
      <c r="M177" s="120"/>
      <c r="N177" s="120"/>
      <c r="O177" s="1085"/>
      <c r="P177" s="19"/>
      <c r="Q177" s="5"/>
      <c r="R177"/>
      <c r="S177"/>
      <c r="T177"/>
      <c r="U177" s="5"/>
      <c r="V177" s="5"/>
      <c r="W177" s="5"/>
      <c r="X177" s="5"/>
      <c r="Y177" s="5"/>
      <c r="Z177" s="5"/>
      <c r="AA177" s="5"/>
      <c r="AB177" s="5"/>
      <c r="AC177" s="5"/>
      <c r="AD177" s="5"/>
      <c r="AE177" s="5"/>
      <c r="AF177" s="5"/>
      <c r="AG177" s="5"/>
      <c r="AH177" s="5"/>
      <c r="AI177" s="123"/>
      <c r="AJ177" s="123"/>
      <c r="AK177" s="123"/>
      <c r="AL177" s="123"/>
      <c r="AM177" s="593"/>
      <c r="AN177" s="124"/>
      <c r="AO177" s="594"/>
      <c r="AP177" s="384"/>
      <c r="AQ177" s="595"/>
      <c r="AR177" s="5"/>
      <c r="AS177" s="4"/>
      <c r="AT177" s="4"/>
      <c r="AU177" s="4"/>
      <c r="AV177" s="4"/>
      <c r="AW177" s="4"/>
      <c r="AX177" s="4"/>
      <c r="AY177" s="4"/>
      <c r="AZ177" s="4"/>
      <c r="BA177" s="4"/>
      <c r="BB177" s="4"/>
      <c r="BC177" s="4"/>
      <c r="BD177" s="4"/>
      <c r="BE177" s="4"/>
    </row>
    <row r="178" spans="1:57" ht="14.4" customHeight="1">
      <c r="A178" s="603"/>
      <c r="B178" s="603" t="s">
        <v>772</v>
      </c>
      <c r="C178" s="603"/>
      <c r="D178" s="603" t="s">
        <v>873</v>
      </c>
      <c r="E178" s="604" t="s">
        <v>1798</v>
      </c>
      <c r="F178" s="605" t="s">
        <v>3355</v>
      </c>
      <c r="G178" s="1083"/>
      <c r="H178" s="1083">
        <v>0</v>
      </c>
      <c r="I178" s="1083"/>
      <c r="J178" s="1084"/>
      <c r="K178" s="1094"/>
      <c r="L178" s="1501">
        <v>0</v>
      </c>
      <c r="M178" s="1445"/>
      <c r="N178" s="1445"/>
      <c r="O178" s="1085"/>
      <c r="P178" s="5"/>
      <c r="Q178" s="4"/>
      <c r="R178"/>
      <c r="S178"/>
      <c r="T178"/>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row>
    <row r="179" spans="1:57" ht="20.399999999999999">
      <c r="A179" s="596"/>
      <c r="B179" s="596" t="s">
        <v>772</v>
      </c>
      <c r="C179" s="612" t="s">
        <v>1007</v>
      </c>
      <c r="D179" s="596" t="s">
        <v>1915</v>
      </c>
      <c r="E179" s="597" t="s">
        <v>1755</v>
      </c>
      <c r="F179" s="598" t="s">
        <v>1756</v>
      </c>
      <c r="G179" s="1080">
        <v>150</v>
      </c>
      <c r="H179" s="1080"/>
      <c r="I179" s="1080">
        <v>150</v>
      </c>
      <c r="J179" s="1081"/>
      <c r="K179" s="602">
        <f>L180</f>
        <v>150</v>
      </c>
      <c r="L179" s="613"/>
      <c r="M179" s="120"/>
      <c r="N179" s="120"/>
      <c r="O179" s="1085"/>
      <c r="P179" s="19"/>
      <c r="Q179" s="5"/>
      <c r="R179"/>
      <c r="S179"/>
      <c r="T179"/>
      <c r="U179" s="5"/>
      <c r="V179" s="5"/>
      <c r="W179" s="5"/>
      <c r="X179" s="5"/>
      <c r="Y179" s="5"/>
      <c r="Z179" s="5"/>
      <c r="AA179" s="5"/>
      <c r="AB179" s="5"/>
      <c r="AC179" s="5"/>
      <c r="AD179" s="5"/>
      <c r="AE179" s="5"/>
      <c r="AF179" s="5"/>
      <c r="AG179" s="5"/>
      <c r="AH179" s="5"/>
      <c r="AI179" s="123"/>
      <c r="AJ179" s="123"/>
      <c r="AK179" s="123"/>
      <c r="AL179" s="123"/>
      <c r="AM179" s="593"/>
      <c r="AN179" s="124"/>
      <c r="AO179" s="594"/>
      <c r="AP179" s="384"/>
      <c r="AQ179" s="595"/>
      <c r="AR179" s="5"/>
      <c r="AS179" s="4"/>
      <c r="AT179" s="4"/>
      <c r="AU179" s="4"/>
      <c r="AV179" s="4"/>
      <c r="AW179" s="4"/>
      <c r="AX179" s="4"/>
      <c r="AY179" s="4"/>
      <c r="AZ179" s="4"/>
      <c r="BA179" s="4"/>
      <c r="BB179" s="4"/>
      <c r="BC179" s="4"/>
      <c r="BD179" s="4"/>
      <c r="BE179" s="4"/>
    </row>
    <row r="180" spans="1:57" ht="14.4" customHeight="1">
      <c r="A180" s="603"/>
      <c r="B180" s="603" t="s">
        <v>772</v>
      </c>
      <c r="C180" s="603"/>
      <c r="D180" s="603" t="s">
        <v>1915</v>
      </c>
      <c r="E180" s="604" t="s">
        <v>1755</v>
      </c>
      <c r="F180" s="605" t="s">
        <v>1756</v>
      </c>
      <c r="G180" s="1083"/>
      <c r="H180" s="1083">
        <v>150</v>
      </c>
      <c r="I180" s="1083"/>
      <c r="J180" s="1084"/>
      <c r="K180" s="120"/>
      <c r="L180" s="120">
        <v>150</v>
      </c>
      <c r="M180" s="1445"/>
      <c r="N180" s="1445"/>
      <c r="O180" s="1085"/>
      <c r="P180" s="5"/>
      <c r="Q180" s="4"/>
      <c r="R180"/>
      <c r="S180"/>
      <c r="T180"/>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row>
    <row r="181" spans="1:57">
      <c r="A181" s="596"/>
      <c r="B181" s="596" t="s">
        <v>772</v>
      </c>
      <c r="C181" s="612" t="s">
        <v>1007</v>
      </c>
      <c r="D181" s="596" t="s">
        <v>1915</v>
      </c>
      <c r="E181" s="597" t="s">
        <v>1757</v>
      </c>
      <c r="F181" s="598" t="s">
        <v>1758</v>
      </c>
      <c r="G181" s="1080">
        <v>10000</v>
      </c>
      <c r="H181" s="1080"/>
      <c r="I181" s="1080">
        <v>9212</v>
      </c>
      <c r="J181" s="1081"/>
      <c r="K181" s="602">
        <f>L182</f>
        <v>10000</v>
      </c>
      <c r="L181" s="613"/>
      <c r="M181" s="120"/>
      <c r="N181" s="120"/>
      <c r="O181" s="1085"/>
      <c r="P181" s="19"/>
      <c r="Q181" s="5"/>
      <c r="R181"/>
      <c r="S181"/>
      <c r="T181"/>
      <c r="U181" s="5"/>
      <c r="V181" s="5"/>
      <c r="W181" s="5"/>
      <c r="X181" s="5"/>
      <c r="Y181" s="5"/>
      <c r="Z181" s="5"/>
      <c r="AA181" s="5"/>
      <c r="AB181" s="5"/>
      <c r="AC181" s="5"/>
      <c r="AD181" s="5"/>
      <c r="AE181" s="5"/>
      <c r="AF181" s="5"/>
      <c r="AG181" s="5"/>
      <c r="AH181" s="5"/>
      <c r="AI181" s="123"/>
      <c r="AJ181" s="123"/>
      <c r="AK181" s="123"/>
      <c r="AL181" s="123"/>
      <c r="AM181" s="593"/>
      <c r="AN181" s="124"/>
      <c r="AO181" s="594"/>
      <c r="AP181" s="384"/>
      <c r="AQ181" s="595"/>
      <c r="AR181" s="5"/>
      <c r="AS181" s="4"/>
      <c r="AT181" s="4"/>
      <c r="AU181" s="4"/>
      <c r="AV181" s="4"/>
      <c r="AW181" s="4"/>
      <c r="AX181" s="4"/>
      <c r="AY181" s="4"/>
      <c r="AZ181" s="4"/>
      <c r="BA181" s="4"/>
      <c r="BB181" s="4"/>
      <c r="BC181" s="4"/>
      <c r="BD181" s="4"/>
      <c r="BE181" s="4"/>
    </row>
    <row r="182" spans="1:57" ht="21" customHeight="1">
      <c r="A182" s="603"/>
      <c r="B182" s="603" t="s">
        <v>772</v>
      </c>
      <c r="C182" s="603"/>
      <c r="D182" s="603" t="s">
        <v>1915</v>
      </c>
      <c r="E182" s="604" t="s">
        <v>1757</v>
      </c>
      <c r="F182" s="605" t="s">
        <v>1758</v>
      </c>
      <c r="G182" s="1083"/>
      <c r="H182" s="1083">
        <v>10000</v>
      </c>
      <c r="I182" s="1083"/>
      <c r="J182" s="1084"/>
      <c r="K182" s="120"/>
      <c r="L182" s="120">
        <v>10000</v>
      </c>
      <c r="M182" s="1445"/>
      <c r="N182" s="1445"/>
      <c r="O182" s="1085"/>
      <c r="P182" s="5"/>
      <c r="Q182" s="4"/>
      <c r="R182"/>
      <c r="S182"/>
      <c r="T182"/>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row>
    <row r="183" spans="1:57">
      <c r="A183" s="596"/>
      <c r="B183" s="596" t="s">
        <v>772</v>
      </c>
      <c r="C183" s="612" t="s">
        <v>1007</v>
      </c>
      <c r="D183" s="596" t="s">
        <v>1915</v>
      </c>
      <c r="E183" s="597" t="s">
        <v>447</v>
      </c>
      <c r="F183" s="598" t="s">
        <v>1734</v>
      </c>
      <c r="G183" s="1080"/>
      <c r="H183" s="1080"/>
      <c r="I183" s="1080">
        <v>400</v>
      </c>
      <c r="J183" s="1081"/>
      <c r="K183" s="602">
        <f>L184</f>
        <v>0</v>
      </c>
      <c r="L183" s="602"/>
      <c r="M183" s="120"/>
      <c r="N183" s="120"/>
      <c r="O183" s="1085"/>
      <c r="P183" s="19"/>
      <c r="Q183" s="5"/>
      <c r="R183"/>
      <c r="S183"/>
      <c r="T183"/>
      <c r="U183" s="5"/>
      <c r="V183" s="5"/>
      <c r="W183" s="5"/>
      <c r="X183" s="5"/>
      <c r="Y183" s="5"/>
      <c r="Z183" s="5"/>
      <c r="AA183" s="5"/>
      <c r="AB183" s="5"/>
      <c r="AC183" s="5"/>
      <c r="AD183" s="5"/>
      <c r="AE183" s="5"/>
      <c r="AF183" s="5"/>
      <c r="AG183" s="5"/>
      <c r="AH183" s="5"/>
      <c r="AI183" s="123"/>
      <c r="AJ183" s="123"/>
      <c r="AK183" s="123"/>
      <c r="AL183" s="123"/>
      <c r="AM183" s="593"/>
      <c r="AN183" s="124"/>
      <c r="AO183" s="594"/>
      <c r="AP183" s="384"/>
      <c r="AQ183" s="595"/>
      <c r="AR183" s="5"/>
      <c r="AS183" s="4"/>
      <c r="AT183" s="4"/>
      <c r="AU183" s="4"/>
      <c r="AV183" s="4"/>
      <c r="AW183" s="4"/>
      <c r="AX183" s="4"/>
      <c r="AY183" s="4"/>
      <c r="AZ183" s="4"/>
      <c r="BA183" s="4"/>
      <c r="BB183" s="4"/>
      <c r="BC183" s="4"/>
      <c r="BD183" s="4"/>
      <c r="BE183" s="4"/>
    </row>
    <row r="184" spans="1:57" ht="14.4" customHeight="1">
      <c r="A184" s="603"/>
      <c r="B184" s="603" t="s">
        <v>772</v>
      </c>
      <c r="C184" s="603"/>
      <c r="D184" s="603" t="s">
        <v>1915</v>
      </c>
      <c r="E184" s="604" t="s">
        <v>447</v>
      </c>
      <c r="F184" s="605"/>
      <c r="G184" s="1083"/>
      <c r="H184" s="1083"/>
      <c r="I184" s="1083"/>
      <c r="J184" s="1084"/>
      <c r="K184" s="120"/>
      <c r="L184" s="120"/>
      <c r="M184" s="120"/>
      <c r="N184" s="120"/>
      <c r="O184" s="1085"/>
      <c r="P184" s="5"/>
      <c r="Q184" s="4"/>
      <c r="R184"/>
      <c r="S184"/>
      <c r="T18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row>
    <row r="185" spans="1:57" ht="20.399999999999999">
      <c r="A185" s="596"/>
      <c r="B185" s="596" t="s">
        <v>772</v>
      </c>
      <c r="C185" s="612" t="s">
        <v>1007</v>
      </c>
      <c r="D185" s="596" t="s">
        <v>1915</v>
      </c>
      <c r="E185" s="597" t="s">
        <v>1735</v>
      </c>
      <c r="F185" s="598" t="s">
        <v>1736</v>
      </c>
      <c r="G185" s="1080"/>
      <c r="H185" s="1080"/>
      <c r="I185" s="1080">
        <v>2400</v>
      </c>
      <c r="J185" s="1081"/>
      <c r="K185" s="602">
        <f>L186</f>
        <v>0</v>
      </c>
      <c r="L185" s="602"/>
      <c r="M185" s="120"/>
      <c r="N185" s="120"/>
      <c r="O185" s="1085"/>
      <c r="P185" s="19"/>
      <c r="Q185" s="5"/>
      <c r="R185"/>
      <c r="S185"/>
      <c r="T185"/>
      <c r="U185" s="5"/>
      <c r="V185" s="5"/>
      <c r="W185" s="5"/>
      <c r="X185" s="5"/>
      <c r="Y185" s="5"/>
      <c r="Z185" s="5"/>
      <c r="AA185" s="5"/>
      <c r="AB185" s="5"/>
      <c r="AC185" s="5"/>
      <c r="AD185" s="5"/>
      <c r="AE185" s="5"/>
      <c r="AF185" s="5"/>
      <c r="AG185" s="5"/>
      <c r="AH185" s="5"/>
      <c r="AI185" s="123"/>
      <c r="AJ185" s="123"/>
      <c r="AK185" s="123"/>
      <c r="AL185" s="123"/>
      <c r="AM185" s="593"/>
      <c r="AN185" s="124"/>
      <c r="AO185" s="594"/>
      <c r="AP185" s="384"/>
      <c r="AQ185" s="595"/>
      <c r="AR185" s="5"/>
      <c r="AS185" s="4"/>
      <c r="AT185" s="4"/>
      <c r="AU185" s="4"/>
      <c r="AV185" s="4"/>
      <c r="AW185" s="4"/>
      <c r="AX185" s="4"/>
      <c r="AY185" s="4"/>
      <c r="AZ185" s="4"/>
      <c r="BA185" s="4"/>
      <c r="BB185" s="4"/>
      <c r="BC185" s="4"/>
      <c r="BD185" s="4"/>
      <c r="BE185" s="4"/>
    </row>
    <row r="186" spans="1:57" ht="14.4" customHeight="1">
      <c r="A186" s="603"/>
      <c r="B186" s="603" t="s">
        <v>772</v>
      </c>
      <c r="C186" s="603"/>
      <c r="D186" s="603" t="s">
        <v>1915</v>
      </c>
      <c r="E186" s="604" t="s">
        <v>1735</v>
      </c>
      <c r="F186" s="605"/>
      <c r="G186" s="1083"/>
      <c r="H186" s="1083"/>
      <c r="I186" s="1083"/>
      <c r="J186" s="1084"/>
      <c r="K186" s="120"/>
      <c r="L186" s="120"/>
      <c r="M186" s="120"/>
      <c r="N186" s="120"/>
      <c r="O186" s="1085"/>
      <c r="P186" s="5"/>
      <c r="Q186" s="4"/>
      <c r="R186"/>
      <c r="S186"/>
      <c r="T186"/>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row>
    <row r="187" spans="1:57" hidden="1">
      <c r="A187" s="596"/>
      <c r="B187" s="3289" t="s">
        <v>326</v>
      </c>
      <c r="C187" s="612" t="s">
        <v>1007</v>
      </c>
      <c r="D187" s="596" t="s">
        <v>1915</v>
      </c>
      <c r="E187" s="597" t="s">
        <v>45</v>
      </c>
      <c r="F187" s="598" t="s">
        <v>1762</v>
      </c>
      <c r="G187" s="1088">
        <v>15310</v>
      </c>
      <c r="H187" s="1088"/>
      <c r="I187" s="1088">
        <v>7852.24</v>
      </c>
      <c r="J187" s="1089"/>
      <c r="K187" s="602">
        <f>L188</f>
        <v>15176</v>
      </c>
      <c r="L187" s="602"/>
      <c r="M187" s="120"/>
      <c r="N187" s="120"/>
      <c r="O187" s="1085"/>
      <c r="P187" s="19"/>
      <c r="Q187" s="5"/>
      <c r="R187"/>
      <c r="S187"/>
      <c r="T187"/>
      <c r="U187" s="5"/>
      <c r="V187" s="5"/>
      <c r="W187" s="5"/>
      <c r="X187" s="5"/>
      <c r="Y187" s="5"/>
      <c r="Z187" s="5"/>
      <c r="AA187" s="5"/>
      <c r="AB187" s="5"/>
      <c r="AC187" s="5"/>
      <c r="AD187" s="5"/>
      <c r="AE187" s="5"/>
      <c r="AF187" s="5"/>
      <c r="AG187" s="5"/>
      <c r="AH187" s="5"/>
      <c r="AI187" s="123"/>
      <c r="AJ187" s="123"/>
      <c r="AK187" s="123"/>
      <c r="AL187" s="123"/>
      <c r="AM187" s="593"/>
      <c r="AN187" s="124"/>
      <c r="AO187" s="594"/>
      <c r="AP187" s="384"/>
      <c r="AQ187" s="595"/>
      <c r="AR187" s="5"/>
      <c r="AS187" s="4"/>
      <c r="AT187" s="4"/>
      <c r="AU187" s="4"/>
      <c r="AV187" s="4"/>
      <c r="AW187" s="4"/>
      <c r="AX187" s="4"/>
      <c r="AY187" s="4"/>
      <c r="AZ187" s="4"/>
      <c r="BA187" s="4"/>
      <c r="BB187" s="4"/>
      <c r="BC187" s="4"/>
      <c r="BD187" s="4"/>
      <c r="BE187" s="4"/>
    </row>
    <row r="188" spans="1:57" ht="20.25" hidden="1" customHeight="1">
      <c r="A188" s="603"/>
      <c r="B188" s="3290" t="s">
        <v>326</v>
      </c>
      <c r="C188" s="603"/>
      <c r="D188" s="603" t="s">
        <v>1915</v>
      </c>
      <c r="E188" s="604" t="s">
        <v>45</v>
      </c>
      <c r="F188" s="605" t="s">
        <v>574</v>
      </c>
      <c r="G188" s="1090"/>
      <c r="H188" s="1090">
        <v>15310</v>
      </c>
      <c r="I188" s="1090"/>
      <c r="J188" s="1091"/>
      <c r="K188" s="120"/>
      <c r="L188" s="120">
        <f>15310-134</f>
        <v>15176</v>
      </c>
      <c r="M188" s="120"/>
      <c r="N188" s="120"/>
      <c r="O188" s="1085"/>
      <c r="P188" s="5"/>
      <c r="Q188" s="4"/>
      <c r="R188"/>
      <c r="S188"/>
      <c r="T188"/>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row>
    <row r="189" spans="1:57">
      <c r="A189" s="603"/>
      <c r="B189" s="596" t="s">
        <v>772</v>
      </c>
      <c r="C189" s="612" t="s">
        <v>1007</v>
      </c>
      <c r="D189" s="596" t="s">
        <v>1915</v>
      </c>
      <c r="E189" s="597" t="s">
        <v>64</v>
      </c>
      <c r="F189" s="598" t="s">
        <v>1741</v>
      </c>
      <c r="G189" s="1080">
        <v>25000</v>
      </c>
      <c r="H189" s="1080"/>
      <c r="I189" s="1080">
        <v>21819.3</v>
      </c>
      <c r="J189" s="1081"/>
      <c r="K189" s="602">
        <f>SUM(L190:L191)</f>
        <v>25000</v>
      </c>
      <c r="L189" s="602"/>
      <c r="M189" s="120"/>
      <c r="N189" s="120">
        <f>(K189+K192)/121*21</f>
        <v>8157.0247933884302</v>
      </c>
      <c r="O189" s="1085"/>
      <c r="P189" s="19"/>
      <c r="Q189" s="5"/>
      <c r="R189"/>
      <c r="S189"/>
      <c r="T189"/>
      <c r="U189" s="5"/>
      <c r="V189" s="5"/>
      <c r="W189" s="5"/>
      <c r="X189" s="5"/>
      <c r="Y189" s="5"/>
      <c r="Z189" s="5"/>
      <c r="AA189" s="5"/>
      <c r="AB189" s="5"/>
      <c r="AC189" s="5"/>
      <c r="AD189" s="5"/>
      <c r="AE189" s="5"/>
      <c r="AF189" s="5"/>
      <c r="AG189" s="5"/>
      <c r="AH189" s="5"/>
      <c r="AI189" s="123"/>
      <c r="AJ189" s="123"/>
      <c r="AK189" s="123"/>
      <c r="AL189" s="123"/>
      <c r="AM189" s="593"/>
      <c r="AN189" s="124"/>
      <c r="AO189" s="594"/>
      <c r="AP189" s="384"/>
      <c r="AQ189" s="595"/>
      <c r="AR189" s="5"/>
      <c r="AS189" s="4"/>
      <c r="AT189" s="4"/>
      <c r="AU189" s="4"/>
      <c r="AV189" s="4"/>
      <c r="AW189" s="4"/>
      <c r="AX189" s="4"/>
      <c r="AY189" s="4"/>
      <c r="AZ189" s="4"/>
      <c r="BA189" s="4"/>
      <c r="BB189" s="4"/>
      <c r="BC189" s="4"/>
      <c r="BD189" s="4"/>
      <c r="BE189" s="4"/>
    </row>
    <row r="190" spans="1:57" ht="21" customHeight="1">
      <c r="A190" s="596"/>
      <c r="B190" s="603" t="s">
        <v>772</v>
      </c>
      <c r="C190" s="603"/>
      <c r="D190" s="603" t="s">
        <v>1915</v>
      </c>
      <c r="E190" s="604" t="s">
        <v>64</v>
      </c>
      <c r="F190" s="605" t="s">
        <v>2653</v>
      </c>
      <c r="G190" s="1083"/>
      <c r="H190" s="1083">
        <v>624.36</v>
      </c>
      <c r="I190" s="1083"/>
      <c r="J190" s="1084"/>
      <c r="K190" s="120"/>
      <c r="L190" s="120">
        <f>52.03*12</f>
        <v>624.36</v>
      </c>
      <c r="M190" s="1445"/>
      <c r="N190" s="1445"/>
      <c r="O190" s="1085"/>
      <c r="P190" s="5"/>
      <c r="Q190" s="4"/>
      <c r="R190"/>
      <c r="S190"/>
      <c r="T190"/>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row>
    <row r="191" spans="1:57">
      <c r="A191" s="603"/>
      <c r="B191" s="603" t="s">
        <v>772</v>
      </c>
      <c r="C191" s="603"/>
      <c r="D191" s="603" t="s">
        <v>1915</v>
      </c>
      <c r="E191" s="604" t="s">
        <v>64</v>
      </c>
      <c r="F191" s="605" t="s">
        <v>1791</v>
      </c>
      <c r="G191" s="1083"/>
      <c r="H191" s="1083">
        <v>24375.64</v>
      </c>
      <c r="I191" s="1083"/>
      <c r="J191" s="1084"/>
      <c r="K191" s="120"/>
      <c r="L191" s="120">
        <f>25000-L190</f>
        <v>24375.64</v>
      </c>
      <c r="M191" s="120"/>
      <c r="N191" s="120"/>
      <c r="O191" s="1085"/>
      <c r="P191" s="19"/>
      <c r="Q191" s="5"/>
      <c r="R191"/>
      <c r="S191"/>
      <c r="T191"/>
      <c r="U191" s="5"/>
      <c r="V191" s="5"/>
      <c r="W191" s="5"/>
      <c r="X191" s="5"/>
      <c r="Y191" s="5"/>
      <c r="Z191" s="5"/>
      <c r="AA191" s="5"/>
      <c r="AB191" s="5"/>
      <c r="AC191" s="5"/>
      <c r="AD191" s="5"/>
      <c r="AE191" s="5"/>
      <c r="AF191" s="5"/>
      <c r="AG191" s="5"/>
      <c r="AH191" s="5"/>
      <c r="AI191" s="123"/>
      <c r="AJ191" s="123"/>
      <c r="AK191" s="123"/>
      <c r="AL191" s="123"/>
      <c r="AM191" s="593"/>
      <c r="AN191" s="124"/>
      <c r="AO191" s="594"/>
      <c r="AP191" s="384"/>
      <c r="AQ191" s="595"/>
      <c r="AR191" s="5"/>
      <c r="AS191" s="4"/>
      <c r="AT191" s="4"/>
      <c r="AU191" s="4"/>
      <c r="AV191" s="4"/>
      <c r="AW191" s="4"/>
      <c r="AX191" s="4"/>
      <c r="AY191" s="4"/>
      <c r="AZ191" s="4"/>
      <c r="BA191" s="4"/>
      <c r="BB191" s="4"/>
      <c r="BC191" s="4"/>
      <c r="BD191" s="4"/>
      <c r="BE191" s="4"/>
    </row>
    <row r="192" spans="1:57" ht="14.4" customHeight="1">
      <c r="A192" s="596"/>
      <c r="B192" s="596" t="s">
        <v>772</v>
      </c>
      <c r="C192" s="612" t="s">
        <v>1007</v>
      </c>
      <c r="D192" s="596" t="s">
        <v>1915</v>
      </c>
      <c r="E192" s="597" t="s">
        <v>65</v>
      </c>
      <c r="F192" s="598" t="s">
        <v>1742</v>
      </c>
      <c r="G192" s="1080">
        <v>22000</v>
      </c>
      <c r="H192" s="1080"/>
      <c r="I192" s="1080">
        <v>18238.7</v>
      </c>
      <c r="J192" s="1081"/>
      <c r="K192" s="602">
        <f>L193</f>
        <v>22000</v>
      </c>
      <c r="L192" s="602"/>
      <c r="M192" s="1445"/>
      <c r="N192" s="1445"/>
      <c r="O192" s="1085"/>
      <c r="P192" s="5"/>
      <c r="Q192" s="4"/>
      <c r="R192"/>
      <c r="S192"/>
      <c r="T192"/>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row>
    <row r="193" spans="1:57">
      <c r="A193" s="603"/>
      <c r="B193" s="603" t="s">
        <v>772</v>
      </c>
      <c r="C193" s="603"/>
      <c r="D193" s="603" t="s">
        <v>1915</v>
      </c>
      <c r="E193" s="604" t="s">
        <v>65</v>
      </c>
      <c r="F193" s="605"/>
      <c r="G193" s="1083"/>
      <c r="H193" s="1083">
        <v>22000</v>
      </c>
      <c r="I193" s="1083"/>
      <c r="J193" s="1084"/>
      <c r="K193" s="120"/>
      <c r="L193" s="120">
        <f>12000+10000</f>
        <v>22000</v>
      </c>
      <c r="M193" s="120"/>
      <c r="N193" s="120"/>
      <c r="O193" s="1085"/>
      <c r="P193" s="5"/>
      <c r="Q193" s="5"/>
      <c r="R193"/>
      <c r="S193"/>
      <c r="T193"/>
      <c r="U193" s="5"/>
      <c r="V193" s="5"/>
      <c r="W193" s="5"/>
      <c r="X193" s="5"/>
      <c r="Y193" s="5"/>
      <c r="Z193" s="5"/>
      <c r="AA193" s="5"/>
      <c r="AB193" s="5"/>
      <c r="AC193" s="5"/>
      <c r="AD193" s="5"/>
      <c r="AE193" s="5"/>
      <c r="AF193" s="5"/>
      <c r="AG193" s="5"/>
      <c r="AH193" s="5"/>
      <c r="AI193" s="123"/>
      <c r="AJ193" s="123"/>
      <c r="AK193" s="123"/>
      <c r="AL193" s="123"/>
      <c r="AM193" s="593"/>
      <c r="AN193" s="124"/>
      <c r="AO193" s="594"/>
      <c r="AP193" s="384"/>
      <c r="AQ193" s="595"/>
      <c r="AR193" s="5"/>
      <c r="AS193" s="4"/>
      <c r="AT193" s="4"/>
      <c r="AU193" s="4"/>
      <c r="AV193" s="4"/>
      <c r="AW193" s="4"/>
      <c r="AX193" s="4"/>
      <c r="AY193" s="4"/>
      <c r="AZ193" s="4"/>
      <c r="BA193" s="4"/>
      <c r="BB193" s="4"/>
      <c r="BC193" s="4"/>
      <c r="BD193" s="4"/>
      <c r="BE193" s="4"/>
    </row>
    <row r="194" spans="1:57" ht="14.4" customHeight="1">
      <c r="A194" s="596"/>
      <c r="B194" s="596" t="s">
        <v>772</v>
      </c>
      <c r="C194" s="612" t="s">
        <v>1007</v>
      </c>
      <c r="D194" s="596" t="s">
        <v>1915</v>
      </c>
      <c r="E194" s="597" t="s">
        <v>1284</v>
      </c>
      <c r="F194" s="598" t="s">
        <v>1800</v>
      </c>
      <c r="G194" s="1080">
        <v>5000</v>
      </c>
      <c r="H194" s="1080"/>
      <c r="I194" s="1080"/>
      <c r="J194" s="1081"/>
      <c r="K194" s="602">
        <f>L195</f>
        <v>0</v>
      </c>
      <c r="L194" s="602"/>
      <c r="M194" s="1445"/>
      <c r="N194" s="1445"/>
      <c r="O194" s="1085"/>
      <c r="P194" s="19"/>
      <c r="Q194" s="4"/>
      <c r="R194"/>
      <c r="S194"/>
      <c r="T19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row>
    <row r="195" spans="1:57" ht="20.399999999999999">
      <c r="A195" s="603"/>
      <c r="B195" s="603" t="s">
        <v>772</v>
      </c>
      <c r="C195" s="603"/>
      <c r="D195" s="603" t="s">
        <v>1915</v>
      </c>
      <c r="E195" s="604" t="s">
        <v>1284</v>
      </c>
      <c r="F195" s="605" t="s">
        <v>2654</v>
      </c>
      <c r="G195" s="1083"/>
      <c r="H195" s="1083">
        <v>5000</v>
      </c>
      <c r="I195" s="1083"/>
      <c r="J195" s="1084"/>
      <c r="K195" s="120"/>
      <c r="L195" s="120"/>
      <c r="M195" s="120"/>
      <c r="N195" s="120"/>
      <c r="O195" s="1085"/>
      <c r="P195" s="5"/>
      <c r="Q195" s="5"/>
      <c r="R195"/>
      <c r="S195"/>
      <c r="T195"/>
      <c r="U195" s="5"/>
      <c r="V195" s="5"/>
      <c r="W195" s="5"/>
      <c r="X195" s="5"/>
      <c r="Y195" s="5"/>
      <c r="Z195" s="5"/>
      <c r="AA195" s="5"/>
      <c r="AB195" s="5"/>
      <c r="AC195" s="5"/>
      <c r="AD195" s="5"/>
      <c r="AE195" s="5"/>
      <c r="AF195" s="5"/>
      <c r="AG195" s="5"/>
      <c r="AH195" s="5"/>
      <c r="AI195" s="123"/>
      <c r="AJ195" s="123"/>
      <c r="AK195" s="123"/>
      <c r="AL195" s="123"/>
      <c r="AM195" s="593"/>
      <c r="AN195" s="124"/>
      <c r="AO195" s="594"/>
      <c r="AP195" s="384"/>
      <c r="AQ195" s="595"/>
      <c r="AR195" s="5"/>
      <c r="AS195" s="4"/>
      <c r="AT195" s="4"/>
      <c r="AU195" s="4"/>
      <c r="AV195" s="4"/>
      <c r="AW195" s="4"/>
      <c r="AX195" s="4"/>
      <c r="AY195" s="4"/>
      <c r="AZ195" s="4"/>
      <c r="BA195" s="4"/>
      <c r="BB195" s="4"/>
      <c r="BC195" s="4"/>
      <c r="BD195" s="4"/>
      <c r="BE195" s="4"/>
    </row>
    <row r="196" spans="1:57" ht="14.4" customHeight="1">
      <c r="A196" s="596"/>
      <c r="B196" s="596" t="s">
        <v>772</v>
      </c>
      <c r="C196" s="612" t="s">
        <v>1007</v>
      </c>
      <c r="D196" s="596" t="s">
        <v>1915</v>
      </c>
      <c r="E196" s="597" t="s">
        <v>1764</v>
      </c>
      <c r="F196" s="598" t="s">
        <v>1765</v>
      </c>
      <c r="G196" s="1080">
        <v>3000</v>
      </c>
      <c r="H196" s="1080"/>
      <c r="I196" s="1080">
        <v>5188.7700000000004</v>
      </c>
      <c r="J196" s="1081"/>
      <c r="K196" s="602">
        <f>L197</f>
        <v>8000</v>
      </c>
      <c r="L196" s="602"/>
      <c r="M196" s="1445"/>
      <c r="N196" s="1445"/>
      <c r="O196" s="1085"/>
      <c r="P196" s="19" t="s">
        <v>1801</v>
      </c>
      <c r="Q196" s="4"/>
      <c r="R196"/>
      <c r="S196"/>
      <c r="T196"/>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row>
    <row r="197" spans="1:57">
      <c r="A197" s="603"/>
      <c r="B197" s="603" t="s">
        <v>772</v>
      </c>
      <c r="C197" s="603"/>
      <c r="D197" s="603" t="s">
        <v>1915</v>
      </c>
      <c r="E197" s="604" t="s">
        <v>1764</v>
      </c>
      <c r="F197" s="605"/>
      <c r="G197" s="1083"/>
      <c r="H197" s="1083">
        <v>3000</v>
      </c>
      <c r="I197" s="1083"/>
      <c r="J197" s="1084"/>
      <c r="K197" s="120"/>
      <c r="L197" s="120">
        <v>8000</v>
      </c>
      <c r="M197" s="120"/>
      <c r="N197" s="120"/>
      <c r="O197" s="1085"/>
      <c r="P197" s="5"/>
      <c r="Q197" s="5"/>
      <c r="R197"/>
      <c r="S197"/>
      <c r="T197"/>
      <c r="U197" s="5"/>
      <c r="V197" s="5"/>
      <c r="W197" s="5"/>
      <c r="X197" s="5"/>
      <c r="Y197" s="5"/>
      <c r="Z197" s="5"/>
      <c r="AA197" s="5"/>
      <c r="AB197" s="5"/>
      <c r="AC197" s="5"/>
      <c r="AD197" s="5"/>
      <c r="AE197" s="5"/>
      <c r="AF197" s="5"/>
      <c r="AG197" s="5"/>
      <c r="AH197" s="5"/>
      <c r="AI197" s="123"/>
      <c r="AJ197" s="123"/>
      <c r="AK197" s="123"/>
      <c r="AL197" s="123"/>
      <c r="AM197" s="593"/>
      <c r="AN197" s="124"/>
      <c r="AO197" s="594"/>
      <c r="AP197" s="384"/>
      <c r="AQ197" s="595"/>
      <c r="AR197" s="5"/>
      <c r="AS197" s="4"/>
      <c r="AT197" s="4"/>
      <c r="AU197" s="4"/>
      <c r="AV197" s="4"/>
      <c r="AW197" s="4"/>
      <c r="AX197" s="4"/>
      <c r="AY197" s="4"/>
      <c r="AZ197" s="4"/>
      <c r="BA197" s="4"/>
      <c r="BB197" s="4"/>
      <c r="BC197" s="4"/>
      <c r="BD197" s="4"/>
      <c r="BE197" s="4"/>
    </row>
    <row r="198" spans="1:57" ht="14.4" customHeight="1">
      <c r="A198" s="596"/>
      <c r="B198" s="596" t="s">
        <v>772</v>
      </c>
      <c r="C198" s="612" t="s">
        <v>999</v>
      </c>
      <c r="D198" s="596" t="s">
        <v>1916</v>
      </c>
      <c r="E198" s="597" t="s">
        <v>1755</v>
      </c>
      <c r="F198" s="598" t="s">
        <v>1756</v>
      </c>
      <c r="G198" s="1080">
        <v>110</v>
      </c>
      <c r="H198" s="1080"/>
      <c r="I198" s="1080">
        <v>50</v>
      </c>
      <c r="J198" s="1081"/>
      <c r="K198" s="602">
        <f>L199</f>
        <v>150</v>
      </c>
      <c r="L198" s="602"/>
      <c r="M198" s="1445"/>
      <c r="N198" s="1445"/>
      <c r="O198" s="1085"/>
      <c r="P198" s="19"/>
      <c r="Q198" s="4"/>
      <c r="R198"/>
      <c r="S198"/>
      <c r="T198"/>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row>
    <row r="199" spans="1:57">
      <c r="A199" s="603"/>
      <c r="B199" s="603" t="s">
        <v>772</v>
      </c>
      <c r="C199" s="603"/>
      <c r="D199" s="603" t="s">
        <v>1916</v>
      </c>
      <c r="E199" s="604" t="s">
        <v>1755</v>
      </c>
      <c r="F199" s="605"/>
      <c r="G199" s="1083"/>
      <c r="H199" s="1083">
        <v>110</v>
      </c>
      <c r="I199" s="1083"/>
      <c r="J199" s="1084"/>
      <c r="K199" s="120"/>
      <c r="L199" s="120">
        <v>150</v>
      </c>
      <c r="M199" s="120"/>
      <c r="N199" s="120"/>
      <c r="O199" s="1085"/>
      <c r="P199" s="5"/>
      <c r="Q199" s="5"/>
      <c r="R199"/>
      <c r="S199"/>
      <c r="T199"/>
      <c r="U199" s="5"/>
      <c r="V199" s="5"/>
      <c r="W199" s="5"/>
      <c r="X199" s="5"/>
      <c r="Y199" s="5"/>
      <c r="Z199" s="5"/>
      <c r="AA199" s="5"/>
      <c r="AB199" s="5"/>
      <c r="AC199" s="5"/>
      <c r="AD199" s="5"/>
      <c r="AE199" s="5"/>
      <c r="AF199" s="5"/>
      <c r="AG199" s="5"/>
      <c r="AH199" s="5"/>
      <c r="AI199" s="123"/>
      <c r="AJ199" s="123"/>
      <c r="AK199" s="123"/>
      <c r="AL199" s="123"/>
      <c r="AM199" s="593"/>
      <c r="AN199" s="124"/>
      <c r="AO199" s="594"/>
      <c r="AP199" s="384"/>
      <c r="AQ199" s="595"/>
      <c r="AR199" s="5"/>
      <c r="AS199" s="4"/>
      <c r="AT199" s="4"/>
      <c r="AU199" s="4"/>
      <c r="AV199" s="4"/>
      <c r="AW199" s="4"/>
      <c r="AX199" s="4"/>
      <c r="AY199" s="4"/>
      <c r="AZ199" s="4"/>
      <c r="BA199" s="4"/>
      <c r="BB199" s="4"/>
      <c r="BC199" s="4"/>
      <c r="BD199" s="4"/>
      <c r="BE199" s="4"/>
    </row>
    <row r="200" spans="1:57" ht="14.4" customHeight="1">
      <c r="A200" s="596"/>
      <c r="B200" s="596" t="s">
        <v>772</v>
      </c>
      <c r="C200" s="612" t="s">
        <v>999</v>
      </c>
      <c r="D200" s="596" t="s">
        <v>1916</v>
      </c>
      <c r="E200" s="597" t="s">
        <v>1757</v>
      </c>
      <c r="F200" s="598" t="s">
        <v>1758</v>
      </c>
      <c r="G200" s="1080">
        <v>13000</v>
      </c>
      <c r="H200" s="1080"/>
      <c r="I200" s="1080">
        <v>16160.5</v>
      </c>
      <c r="J200" s="1081"/>
      <c r="K200" s="602">
        <f>L201</f>
        <v>13000</v>
      </c>
      <c r="L200" s="613"/>
      <c r="M200" s="1445"/>
      <c r="N200" s="1445"/>
      <c r="O200" s="1085"/>
      <c r="P200" s="19"/>
      <c r="Q200" s="4"/>
      <c r="R200"/>
      <c r="S200"/>
      <c r="T200"/>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row>
    <row r="201" spans="1:57">
      <c r="A201" s="603"/>
      <c r="B201" s="603" t="s">
        <v>772</v>
      </c>
      <c r="C201" s="603"/>
      <c r="D201" s="603" t="s">
        <v>1916</v>
      </c>
      <c r="E201" s="604" t="s">
        <v>1757</v>
      </c>
      <c r="F201" s="605"/>
      <c r="G201" s="1083"/>
      <c r="H201" s="1083">
        <v>13000</v>
      </c>
      <c r="I201" s="1083"/>
      <c r="J201" s="1084"/>
      <c r="K201" s="120"/>
      <c r="L201" s="120">
        <v>13000</v>
      </c>
      <c r="M201" s="120"/>
      <c r="N201" s="120"/>
      <c r="O201" s="1085"/>
      <c r="P201" s="5"/>
      <c r="Q201" s="5"/>
      <c r="R201"/>
      <c r="S201"/>
      <c r="T201"/>
      <c r="U201" s="5"/>
      <c r="V201" s="5"/>
      <c r="W201" s="5"/>
      <c r="X201" s="5"/>
      <c r="Y201" s="5"/>
      <c r="Z201" s="5"/>
      <c r="AA201" s="5"/>
      <c r="AB201" s="5"/>
      <c r="AC201" s="5"/>
      <c r="AD201" s="5"/>
      <c r="AE201" s="5"/>
      <c r="AF201" s="5"/>
      <c r="AG201" s="5"/>
      <c r="AH201" s="5"/>
      <c r="AI201" s="123"/>
      <c r="AJ201" s="123"/>
      <c r="AK201" s="123"/>
      <c r="AL201" s="123"/>
      <c r="AM201" s="593"/>
      <c r="AN201" s="124"/>
      <c r="AO201" s="594"/>
      <c r="AP201" s="384"/>
      <c r="AQ201" s="595"/>
      <c r="AR201" s="5"/>
      <c r="AS201" s="4"/>
      <c r="AT201" s="4"/>
      <c r="AU201" s="4"/>
      <c r="AV201" s="4"/>
      <c r="AW201" s="4"/>
      <c r="AX201" s="4"/>
      <c r="AY201" s="4"/>
      <c r="AZ201" s="4"/>
      <c r="BA201" s="4"/>
      <c r="BB201" s="4"/>
      <c r="BC201" s="4"/>
      <c r="BD201" s="4"/>
      <c r="BE201" s="4"/>
    </row>
    <row r="202" spans="1:57" ht="14.4" hidden="1" customHeight="1">
      <c r="A202" s="596"/>
      <c r="B202" s="3289" t="s">
        <v>326</v>
      </c>
      <c r="C202" s="612" t="s">
        <v>999</v>
      </c>
      <c r="D202" s="596" t="s">
        <v>1916</v>
      </c>
      <c r="E202" s="597" t="s">
        <v>45</v>
      </c>
      <c r="F202" s="598" t="s">
        <v>1762</v>
      </c>
      <c r="G202" s="1088">
        <v>11050</v>
      </c>
      <c r="H202" s="1088"/>
      <c r="I202" s="1088">
        <v>5322.76</v>
      </c>
      <c r="J202" s="1089"/>
      <c r="K202" s="602">
        <f>L203</f>
        <v>11050</v>
      </c>
      <c r="L202" s="602"/>
      <c r="M202" s="1445"/>
      <c r="N202" s="1445"/>
      <c r="O202" s="1085"/>
      <c r="P202" s="19"/>
      <c r="Q202" s="4"/>
      <c r="R202"/>
      <c r="S202"/>
      <c r="T202"/>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row>
    <row r="203" spans="1:57" hidden="1">
      <c r="A203" s="603"/>
      <c r="B203" s="3290" t="s">
        <v>326</v>
      </c>
      <c r="C203" s="603"/>
      <c r="D203" s="603" t="s">
        <v>1916</v>
      </c>
      <c r="E203" s="604" t="s">
        <v>45</v>
      </c>
      <c r="F203" s="605"/>
      <c r="G203" s="1090"/>
      <c r="H203" s="1090">
        <v>11050</v>
      </c>
      <c r="I203" s="1090"/>
      <c r="J203" s="1091"/>
      <c r="K203" s="120"/>
      <c r="L203" s="120">
        <v>11050</v>
      </c>
      <c r="M203" s="120"/>
      <c r="N203" s="120"/>
      <c r="O203" s="1085"/>
      <c r="P203" s="5"/>
      <c r="Q203" s="5"/>
      <c r="R203"/>
      <c r="S203"/>
      <c r="T203"/>
      <c r="U203" s="5"/>
      <c r="V203" s="5"/>
      <c r="W203" s="5"/>
      <c r="X203" s="5"/>
      <c r="Y203" s="5"/>
      <c r="Z203" s="5"/>
      <c r="AA203" s="5"/>
      <c r="AB203" s="5"/>
      <c r="AC203" s="5"/>
      <c r="AD203" s="5"/>
      <c r="AE203" s="5"/>
      <c r="AF203" s="5"/>
      <c r="AG203" s="5"/>
      <c r="AH203" s="5"/>
      <c r="AI203" s="123"/>
      <c r="AJ203" s="123"/>
      <c r="AK203" s="123"/>
      <c r="AL203" s="123"/>
      <c r="AM203" s="593"/>
      <c r="AN203" s="124"/>
      <c r="AO203" s="594"/>
      <c r="AP203" s="384"/>
      <c r="AQ203" s="595"/>
      <c r="AR203" s="5"/>
      <c r="AS203" s="4"/>
      <c r="AT203" s="4"/>
      <c r="AU203" s="4"/>
      <c r="AV203" s="4"/>
      <c r="AW203" s="4"/>
      <c r="AX203" s="4"/>
      <c r="AY203" s="4"/>
      <c r="AZ203" s="4"/>
      <c r="BA203" s="4"/>
      <c r="BB203" s="4"/>
      <c r="BC203" s="4"/>
      <c r="BD203" s="4"/>
      <c r="BE203" s="4"/>
    </row>
    <row r="204" spans="1:57" ht="14.4" customHeight="1">
      <c r="A204" s="596"/>
      <c r="B204" s="596" t="s">
        <v>772</v>
      </c>
      <c r="C204" s="612" t="s">
        <v>999</v>
      </c>
      <c r="D204" s="596" t="s">
        <v>1916</v>
      </c>
      <c r="E204" s="597" t="s">
        <v>64</v>
      </c>
      <c r="F204" s="598" t="s">
        <v>1741</v>
      </c>
      <c r="G204" s="1080">
        <v>0</v>
      </c>
      <c r="H204" s="1080"/>
      <c r="I204" s="1080">
        <v>1458.05</v>
      </c>
      <c r="J204" s="1081"/>
      <c r="K204" s="602">
        <f>L205</f>
        <v>1000</v>
      </c>
      <c r="L204" s="602"/>
      <c r="M204" s="1445"/>
      <c r="N204" s="1445"/>
      <c r="O204" s="1085"/>
      <c r="P204" s="19"/>
      <c r="Q204" s="4"/>
      <c r="R204"/>
      <c r="S204"/>
      <c r="T20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row>
    <row r="205" spans="1:57">
      <c r="A205" s="603"/>
      <c r="B205" s="603" t="s">
        <v>772</v>
      </c>
      <c r="C205" s="603"/>
      <c r="D205" s="603" t="s">
        <v>1916</v>
      </c>
      <c r="E205" s="604" t="s">
        <v>64</v>
      </c>
      <c r="F205" s="605"/>
      <c r="G205" s="1083"/>
      <c r="H205" s="1083">
        <v>0</v>
      </c>
      <c r="I205" s="1083"/>
      <c r="J205" s="1084"/>
      <c r="K205" s="120"/>
      <c r="L205" s="120">
        <v>1000</v>
      </c>
      <c r="M205" s="120"/>
      <c r="N205" s="120"/>
      <c r="O205" s="1085"/>
      <c r="P205" s="5"/>
      <c r="Q205" s="5"/>
      <c r="R205"/>
      <c r="S205"/>
      <c r="T205"/>
      <c r="U205" s="5"/>
      <c r="V205" s="5"/>
      <c r="W205" s="5"/>
      <c r="X205" s="5"/>
      <c r="Y205" s="5"/>
      <c r="Z205" s="5"/>
      <c r="AA205" s="5"/>
      <c r="AB205" s="5"/>
      <c r="AC205" s="5"/>
      <c r="AD205" s="5"/>
      <c r="AE205" s="5"/>
      <c r="AF205" s="5"/>
      <c r="AG205" s="5"/>
      <c r="AH205" s="5"/>
      <c r="AI205" s="123"/>
      <c r="AJ205" s="123"/>
      <c r="AK205" s="123"/>
      <c r="AL205" s="123"/>
      <c r="AM205" s="593"/>
      <c r="AN205" s="124"/>
      <c r="AO205" s="594"/>
      <c r="AP205" s="384"/>
      <c r="AQ205" s="595"/>
      <c r="AR205" s="5"/>
      <c r="AS205" s="4"/>
      <c r="AT205" s="4"/>
      <c r="AU205" s="4"/>
      <c r="AV205" s="4"/>
      <c r="AW205" s="4"/>
      <c r="AX205" s="4"/>
      <c r="AY205" s="4"/>
      <c r="AZ205" s="4"/>
      <c r="BA205" s="4"/>
      <c r="BB205" s="4"/>
      <c r="BC205" s="4"/>
      <c r="BD205" s="4"/>
      <c r="BE205" s="4"/>
    </row>
    <row r="206" spans="1:57" ht="14.4" customHeight="1">
      <c r="A206" s="596"/>
      <c r="B206" s="596" t="s">
        <v>772</v>
      </c>
      <c r="C206" s="612" t="s">
        <v>999</v>
      </c>
      <c r="D206" s="596" t="s">
        <v>1916</v>
      </c>
      <c r="E206" s="597" t="s">
        <v>65</v>
      </c>
      <c r="F206" s="598" t="s">
        <v>1742</v>
      </c>
      <c r="G206" s="1080">
        <v>20000</v>
      </c>
      <c r="H206" s="1080"/>
      <c r="I206" s="1080">
        <v>19223.54</v>
      </c>
      <c r="J206" s="1081"/>
      <c r="K206" s="602">
        <f>L207</f>
        <v>20000</v>
      </c>
      <c r="L206" s="602"/>
      <c r="M206" s="1445"/>
      <c r="N206" s="1445">
        <f>20500/121*21</f>
        <v>3557.8512396694218</v>
      </c>
      <c r="O206" s="1085"/>
      <c r="P206" s="19"/>
      <c r="Q206" s="4"/>
      <c r="R206"/>
      <c r="S206"/>
      <c r="T206"/>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row>
    <row r="207" spans="1:57">
      <c r="A207" s="603"/>
      <c r="B207" s="603" t="s">
        <v>772</v>
      </c>
      <c r="C207" s="603"/>
      <c r="D207" s="603" t="s">
        <v>1916</v>
      </c>
      <c r="E207" s="604" t="s">
        <v>65</v>
      </c>
      <c r="F207" s="605"/>
      <c r="G207" s="1083"/>
      <c r="H207" s="1083">
        <v>20000</v>
      </c>
      <c r="I207" s="1083"/>
      <c r="J207" s="1084"/>
      <c r="K207" s="120"/>
      <c r="L207" s="120">
        <v>20000</v>
      </c>
      <c r="M207" s="120"/>
      <c r="N207" s="120"/>
      <c r="O207" s="1085"/>
      <c r="P207" s="5"/>
      <c r="Q207" s="5"/>
      <c r="R207"/>
      <c r="S207"/>
      <c r="T207"/>
      <c r="U207" s="5"/>
      <c r="V207" s="5"/>
      <c r="W207" s="5"/>
      <c r="X207" s="5"/>
      <c r="Y207" s="5"/>
      <c r="Z207" s="5"/>
      <c r="AA207" s="5"/>
      <c r="AB207" s="5"/>
      <c r="AC207" s="5"/>
      <c r="AD207" s="5"/>
      <c r="AE207" s="5"/>
      <c r="AF207" s="5"/>
      <c r="AG207" s="5"/>
      <c r="AH207" s="5"/>
      <c r="AI207" s="123"/>
      <c r="AJ207" s="123"/>
      <c r="AK207" s="123"/>
      <c r="AL207" s="123"/>
      <c r="AM207" s="593"/>
      <c r="AN207" s="124"/>
      <c r="AO207" s="594"/>
      <c r="AP207" s="384"/>
      <c r="AQ207" s="595"/>
      <c r="AR207" s="5"/>
      <c r="AS207" s="4"/>
      <c r="AT207" s="4"/>
      <c r="AU207" s="4"/>
      <c r="AV207" s="4"/>
      <c r="AW207" s="4"/>
      <c r="AX207" s="4"/>
      <c r="AY207" s="4"/>
      <c r="AZ207" s="4"/>
      <c r="BA207" s="4"/>
      <c r="BB207" s="4"/>
      <c r="BC207" s="4"/>
      <c r="BD207" s="4"/>
      <c r="BE207" s="4"/>
    </row>
    <row r="208" spans="1:57" ht="14.4" customHeight="1">
      <c r="A208" s="596"/>
      <c r="B208" s="596" t="s">
        <v>772</v>
      </c>
      <c r="C208" s="612" t="s">
        <v>999</v>
      </c>
      <c r="D208" s="596" t="s">
        <v>1916</v>
      </c>
      <c r="E208" s="597" t="s">
        <v>1284</v>
      </c>
      <c r="F208" s="598" t="s">
        <v>1800</v>
      </c>
      <c r="G208" s="1080">
        <v>2000</v>
      </c>
      <c r="H208" s="1080"/>
      <c r="I208" s="1080">
        <v>504</v>
      </c>
      <c r="J208" s="1081"/>
      <c r="K208" s="602">
        <f>L209</f>
        <v>2000</v>
      </c>
      <c r="L208" s="602"/>
      <c r="M208" s="1445"/>
      <c r="N208" s="1445"/>
      <c r="O208" s="1085"/>
      <c r="P208" s="19"/>
      <c r="Q208" s="4"/>
      <c r="R208"/>
      <c r="S208"/>
      <c r="T208"/>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row>
    <row r="209" spans="1:57">
      <c r="A209" s="603"/>
      <c r="B209" s="603" t="s">
        <v>772</v>
      </c>
      <c r="C209" s="603"/>
      <c r="D209" s="603" t="s">
        <v>1916</v>
      </c>
      <c r="E209" s="604" t="s">
        <v>1284</v>
      </c>
      <c r="F209" s="605"/>
      <c r="G209" s="1083"/>
      <c r="H209" s="1083">
        <v>2000</v>
      </c>
      <c r="I209" s="1083"/>
      <c r="J209" s="1084"/>
      <c r="K209" s="120"/>
      <c r="L209" s="120">
        <v>2000</v>
      </c>
      <c r="M209" s="120"/>
      <c r="N209" s="120"/>
      <c r="O209" s="1085"/>
      <c r="P209" s="5"/>
      <c r="Q209" s="5"/>
      <c r="R209"/>
      <c r="S209"/>
      <c r="T209"/>
      <c r="U209" s="5"/>
      <c r="V209" s="5"/>
      <c r="W209" s="5"/>
      <c r="X209" s="5"/>
      <c r="Y209" s="5"/>
      <c r="Z209" s="5"/>
      <c r="AA209" s="5"/>
      <c r="AB209" s="5"/>
      <c r="AC209" s="5"/>
      <c r="AD209" s="5"/>
      <c r="AE209" s="5"/>
      <c r="AF209" s="5"/>
      <c r="AG209" s="5"/>
      <c r="AH209" s="5"/>
      <c r="AI209" s="123"/>
      <c r="AJ209" s="123"/>
      <c r="AK209" s="123"/>
      <c r="AL209" s="123"/>
      <c r="AM209" s="593"/>
      <c r="AN209" s="124"/>
      <c r="AO209" s="594"/>
      <c r="AP209" s="384"/>
      <c r="AQ209" s="595"/>
      <c r="AR209" s="5"/>
      <c r="AS209" s="4"/>
      <c r="AT209" s="4"/>
      <c r="AU209" s="4"/>
      <c r="AV209" s="4"/>
      <c r="AW209" s="4"/>
      <c r="AX209" s="4"/>
      <c r="AY209" s="4"/>
      <c r="AZ209" s="4"/>
      <c r="BA209" s="4"/>
      <c r="BB209" s="4"/>
      <c r="BC209" s="4"/>
      <c r="BD209" s="4"/>
      <c r="BE209" s="4"/>
    </row>
    <row r="210" spans="1:57" ht="14.4" customHeight="1">
      <c r="A210" s="596"/>
      <c r="B210" s="596" t="s">
        <v>772</v>
      </c>
      <c r="C210" s="612" t="s">
        <v>999</v>
      </c>
      <c r="D210" s="596" t="s">
        <v>1916</v>
      </c>
      <c r="E210" s="597" t="s">
        <v>1764</v>
      </c>
      <c r="F210" s="598" t="s">
        <v>1765</v>
      </c>
      <c r="G210" s="1080">
        <v>0</v>
      </c>
      <c r="H210" s="1080"/>
      <c r="I210" s="1080"/>
      <c r="J210" s="1081"/>
      <c r="K210" s="1659">
        <f>L211</f>
        <v>0</v>
      </c>
      <c r="L210" s="1659"/>
      <c r="M210" s="1947"/>
      <c r="N210" s="1947"/>
      <c r="O210" s="1085"/>
      <c r="P210" s="19" t="s">
        <v>1801</v>
      </c>
      <c r="Q210" s="4"/>
      <c r="R210"/>
      <c r="S210"/>
      <c r="T210"/>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row>
    <row r="211" spans="1:57">
      <c r="A211" s="603"/>
      <c r="B211" s="603" t="s">
        <v>772</v>
      </c>
      <c r="C211" s="603"/>
      <c r="D211" s="603" t="s">
        <v>1916</v>
      </c>
      <c r="E211" s="604" t="s">
        <v>1764</v>
      </c>
      <c r="F211" s="605"/>
      <c r="G211" s="1083"/>
      <c r="H211" s="1083"/>
      <c r="I211" s="1083"/>
      <c r="J211" s="1084"/>
      <c r="K211" s="1660"/>
      <c r="L211" s="1660"/>
      <c r="M211" s="1660"/>
      <c r="N211" s="1660"/>
      <c r="O211" s="1085"/>
      <c r="P211" s="5"/>
      <c r="Q211" s="5"/>
      <c r="R211"/>
      <c r="S211"/>
      <c r="T211"/>
      <c r="U211" s="5"/>
      <c r="V211" s="5"/>
      <c r="W211" s="5"/>
      <c r="X211" s="5"/>
      <c r="Y211" s="5"/>
      <c r="Z211" s="5"/>
      <c r="AA211" s="5"/>
      <c r="AB211" s="5"/>
      <c r="AC211" s="5"/>
      <c r="AD211" s="5"/>
      <c r="AE211" s="5"/>
      <c r="AF211" s="5"/>
      <c r="AG211" s="5"/>
      <c r="AH211" s="5"/>
      <c r="AI211" s="123"/>
      <c r="AJ211" s="123"/>
      <c r="AK211" s="123"/>
      <c r="AL211" s="123"/>
      <c r="AM211" s="593"/>
      <c r="AN211" s="124"/>
      <c r="AO211" s="594"/>
      <c r="AP211" s="384"/>
      <c r="AQ211" s="595"/>
      <c r="AR211" s="5"/>
      <c r="AS211" s="4"/>
      <c r="AT211" s="4"/>
      <c r="AU211" s="4"/>
      <c r="AV211" s="4"/>
      <c r="AW211" s="4"/>
      <c r="AX211" s="4"/>
      <c r="AY211" s="4"/>
      <c r="AZ211" s="4"/>
      <c r="BA211" s="4"/>
      <c r="BB211" s="4"/>
      <c r="BC211" s="4"/>
      <c r="BD211" s="4"/>
      <c r="BE211" s="4"/>
    </row>
    <row r="212" spans="1:57" ht="14.4" customHeight="1">
      <c r="A212" s="596"/>
      <c r="B212" s="596" t="s">
        <v>772</v>
      </c>
      <c r="C212" s="612" t="s">
        <v>998</v>
      </c>
      <c r="D212" s="1946" t="s">
        <v>1917</v>
      </c>
      <c r="E212" s="597" t="s">
        <v>1798</v>
      </c>
      <c r="F212" s="598" t="s">
        <v>1799</v>
      </c>
      <c r="G212" s="1080">
        <v>0</v>
      </c>
      <c r="H212" s="1080"/>
      <c r="I212" s="1080"/>
      <c r="J212" s="1081"/>
      <c r="K212" s="1659">
        <f>L213</f>
        <v>0</v>
      </c>
      <c r="L212" s="1659"/>
      <c r="M212" s="1947"/>
      <c r="N212" s="1947"/>
      <c r="O212" s="1085"/>
      <c r="P212" s="19"/>
      <c r="Q212" s="4"/>
      <c r="R212"/>
      <c r="S212"/>
      <c r="T212"/>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row>
    <row r="213" spans="1:57">
      <c r="A213" s="603"/>
      <c r="B213" s="603" t="s">
        <v>772</v>
      </c>
      <c r="C213" s="603"/>
      <c r="D213" s="616" t="s">
        <v>1917</v>
      </c>
      <c r="E213" s="604" t="s">
        <v>1798</v>
      </c>
      <c r="F213" s="605"/>
      <c r="G213" s="1083"/>
      <c r="H213" s="1083">
        <v>0</v>
      </c>
      <c r="I213" s="1083"/>
      <c r="J213" s="1084"/>
      <c r="K213" s="1660"/>
      <c r="L213" s="1660">
        <v>0</v>
      </c>
      <c r="M213" s="1660"/>
      <c r="N213" s="1660"/>
      <c r="O213" s="1085"/>
      <c r="P213" s="5"/>
      <c r="Q213" s="5"/>
      <c r="R213"/>
      <c r="S213"/>
      <c r="T213"/>
      <c r="U213" s="5"/>
      <c r="V213" s="5"/>
      <c r="W213" s="5"/>
      <c r="X213" s="5"/>
      <c r="Y213" s="5"/>
      <c r="Z213" s="5"/>
      <c r="AA213" s="5"/>
      <c r="AB213" s="5"/>
      <c r="AC213" s="5"/>
      <c r="AD213" s="5"/>
      <c r="AE213" s="5"/>
      <c r="AF213" s="5"/>
      <c r="AG213" s="5"/>
      <c r="AH213" s="5"/>
      <c r="AI213" s="123"/>
      <c r="AJ213" s="123"/>
      <c r="AK213" s="123"/>
      <c r="AL213" s="123"/>
      <c r="AM213" s="593"/>
      <c r="AN213" s="124"/>
      <c r="AO213" s="594"/>
      <c r="AP213" s="384"/>
      <c r="AQ213" s="595"/>
      <c r="AR213" s="5"/>
      <c r="AS213" s="4"/>
      <c r="AT213" s="4"/>
      <c r="AU213" s="4"/>
      <c r="AV213" s="4"/>
      <c r="AW213" s="4"/>
      <c r="AX213" s="4"/>
      <c r="AY213" s="4"/>
      <c r="AZ213" s="4"/>
      <c r="BA213" s="4"/>
      <c r="BB213" s="4"/>
      <c r="BC213" s="4"/>
      <c r="BD213" s="4"/>
      <c r="BE213" s="4"/>
    </row>
    <row r="214" spans="1:57" ht="14.4" customHeight="1">
      <c r="A214" s="596"/>
      <c r="B214" s="596" t="s">
        <v>772</v>
      </c>
      <c r="C214" s="612" t="s">
        <v>998</v>
      </c>
      <c r="D214" s="1946" t="s">
        <v>1917</v>
      </c>
      <c r="E214" s="597" t="s">
        <v>64</v>
      </c>
      <c r="F214" s="598" t="s">
        <v>1741</v>
      </c>
      <c r="G214" s="1080">
        <v>0</v>
      </c>
      <c r="H214" s="1080"/>
      <c r="I214" s="1080">
        <v>3673.55</v>
      </c>
      <c r="J214" s="1081"/>
      <c r="K214" s="1659">
        <f>L215</f>
        <v>0</v>
      </c>
      <c r="L214" s="1659"/>
      <c r="M214" s="1947"/>
      <c r="N214" s="1947"/>
      <c r="O214" s="1085"/>
      <c r="P214" s="19"/>
      <c r="Q214" s="4"/>
      <c r="R214"/>
      <c r="S214"/>
      <c r="T21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row>
    <row r="215" spans="1:57">
      <c r="A215" s="603"/>
      <c r="B215" s="603" t="s">
        <v>772</v>
      </c>
      <c r="C215" s="603"/>
      <c r="D215" s="616" t="s">
        <v>1917</v>
      </c>
      <c r="E215" s="604" t="s">
        <v>64</v>
      </c>
      <c r="F215" s="605"/>
      <c r="G215" s="1083"/>
      <c r="H215" s="1083">
        <v>0</v>
      </c>
      <c r="I215" s="1083"/>
      <c r="J215" s="1084"/>
      <c r="K215" s="1660"/>
      <c r="L215" s="1660">
        <v>0</v>
      </c>
      <c r="M215" s="1660"/>
      <c r="N215" s="1660"/>
      <c r="O215" s="1085"/>
      <c r="P215" s="5"/>
      <c r="Q215" s="5"/>
      <c r="R215"/>
      <c r="S215"/>
      <c r="T215"/>
      <c r="U215" s="5"/>
      <c r="V215" s="5"/>
      <c r="W215" s="5"/>
      <c r="X215" s="5"/>
      <c r="Y215" s="5"/>
      <c r="Z215" s="5"/>
      <c r="AA215" s="5"/>
      <c r="AB215" s="5"/>
      <c r="AC215" s="5"/>
      <c r="AD215" s="5"/>
      <c r="AE215" s="5"/>
      <c r="AF215" s="5"/>
      <c r="AG215" s="5"/>
      <c r="AH215" s="5"/>
      <c r="AI215" s="123"/>
      <c r="AJ215" s="123"/>
      <c r="AK215" s="123"/>
      <c r="AL215" s="123"/>
      <c r="AM215" s="593"/>
      <c r="AN215" s="124"/>
      <c r="AO215" s="594"/>
      <c r="AP215" s="384"/>
      <c r="AQ215" s="595"/>
      <c r="AR215" s="5"/>
      <c r="AS215" s="4"/>
      <c r="AT215" s="4"/>
      <c r="AU215" s="4"/>
      <c r="AV215" s="4"/>
      <c r="AW215" s="4"/>
      <c r="AX215" s="4"/>
      <c r="AY215" s="4"/>
      <c r="AZ215" s="4"/>
      <c r="BA215" s="4"/>
      <c r="BB215" s="4"/>
      <c r="BC215" s="4"/>
      <c r="BD215" s="4"/>
      <c r="BE215" s="4"/>
    </row>
    <row r="216" spans="1:57" ht="14.4" customHeight="1">
      <c r="A216" s="596"/>
      <c r="B216" s="596" t="s">
        <v>772</v>
      </c>
      <c r="C216" s="612" t="s">
        <v>998</v>
      </c>
      <c r="D216" s="1946" t="s">
        <v>1917</v>
      </c>
      <c r="E216" s="597" t="s">
        <v>1744</v>
      </c>
      <c r="F216" s="598" t="s">
        <v>1745</v>
      </c>
      <c r="G216" s="1080">
        <v>0</v>
      </c>
      <c r="H216" s="1080"/>
      <c r="I216" s="1080">
        <v>871.2</v>
      </c>
      <c r="J216" s="1081"/>
      <c r="K216" s="1659">
        <f>L217</f>
        <v>0</v>
      </c>
      <c r="L216" s="1659"/>
      <c r="M216" s="1947"/>
      <c r="N216" s="1947"/>
      <c r="O216" s="1085"/>
      <c r="P216" s="19"/>
      <c r="Q216" s="4"/>
      <c r="R216"/>
      <c r="S216"/>
      <c r="T216"/>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row>
    <row r="217" spans="1:57">
      <c r="A217" s="603"/>
      <c r="B217" s="603" t="s">
        <v>772</v>
      </c>
      <c r="C217" s="603"/>
      <c r="D217" s="616" t="s">
        <v>1917</v>
      </c>
      <c r="E217" s="604" t="s">
        <v>1764</v>
      </c>
      <c r="F217" s="605"/>
      <c r="G217" s="1083"/>
      <c r="H217" s="1083"/>
      <c r="I217" s="1083"/>
      <c r="J217" s="1084"/>
      <c r="K217" s="1660"/>
      <c r="L217" s="1660"/>
      <c r="M217" s="1660"/>
      <c r="N217" s="1660"/>
      <c r="O217" s="1085"/>
      <c r="P217" s="5"/>
      <c r="Q217" s="5"/>
      <c r="R217"/>
      <c r="S217"/>
      <c r="T217"/>
      <c r="U217" s="5"/>
      <c r="V217" s="5"/>
      <c r="W217" s="5"/>
      <c r="X217" s="5"/>
      <c r="Y217" s="5"/>
      <c r="Z217" s="5"/>
      <c r="AA217" s="5"/>
      <c r="AB217" s="5"/>
      <c r="AC217" s="5"/>
      <c r="AD217" s="5"/>
      <c r="AE217" s="5"/>
      <c r="AF217" s="5"/>
      <c r="AG217" s="5"/>
      <c r="AH217" s="5"/>
      <c r="AI217" s="123"/>
      <c r="AJ217" s="123"/>
      <c r="AK217" s="123"/>
      <c r="AL217" s="123"/>
      <c r="AM217" s="593"/>
      <c r="AN217" s="124"/>
      <c r="AO217" s="594"/>
      <c r="AP217" s="384"/>
      <c r="AQ217" s="595"/>
      <c r="AR217" s="5"/>
      <c r="AS217" s="4"/>
      <c r="AT217" s="4"/>
      <c r="AU217" s="4"/>
      <c r="AV217" s="4"/>
      <c r="AW217" s="4"/>
      <c r="AX217" s="4"/>
      <c r="AY217" s="4"/>
      <c r="AZ217" s="4"/>
      <c r="BA217" s="4"/>
      <c r="BB217" s="4"/>
      <c r="BC217" s="4"/>
      <c r="BD217" s="4"/>
      <c r="BE217" s="4"/>
    </row>
    <row r="218" spans="1:57" ht="14.4" hidden="1" customHeight="1">
      <c r="A218" s="596"/>
      <c r="B218" s="3289" t="s">
        <v>326</v>
      </c>
      <c r="C218" s="612" t="s">
        <v>1315</v>
      </c>
      <c r="D218" s="596" t="s">
        <v>1305</v>
      </c>
      <c r="E218" s="597" t="s">
        <v>45</v>
      </c>
      <c r="F218" s="598" t="s">
        <v>1762</v>
      </c>
      <c r="G218" s="611">
        <v>0</v>
      </c>
      <c r="H218" s="611"/>
      <c r="I218" s="600"/>
      <c r="J218" s="601"/>
      <c r="K218" s="1659">
        <f>L219</f>
        <v>0</v>
      </c>
      <c r="L218" s="1659"/>
      <c r="M218" s="1947"/>
      <c r="N218" s="1947"/>
      <c r="O218" s="1085"/>
      <c r="P218" s="19"/>
      <c r="Q218" s="4"/>
      <c r="R218"/>
      <c r="S218"/>
      <c r="T218"/>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row>
    <row r="219" spans="1:57" hidden="1">
      <c r="A219" s="603"/>
      <c r="B219" s="3290" t="s">
        <v>326</v>
      </c>
      <c r="C219" s="603"/>
      <c r="D219" s="603" t="s">
        <v>1305</v>
      </c>
      <c r="E219" s="604" t="s">
        <v>45</v>
      </c>
      <c r="F219" s="605"/>
      <c r="G219" s="583"/>
      <c r="H219" s="583"/>
      <c r="I219" s="121"/>
      <c r="J219" s="122"/>
      <c r="K219" s="1660"/>
      <c r="L219" s="1660"/>
      <c r="M219" s="1660"/>
      <c r="N219" s="1660"/>
      <c r="O219" s="1085"/>
      <c r="P219" s="5"/>
      <c r="Q219" s="5"/>
      <c r="R219"/>
      <c r="S219"/>
      <c r="T219"/>
      <c r="U219" s="5"/>
      <c r="V219" s="5"/>
      <c r="W219" s="5"/>
      <c r="X219" s="5"/>
      <c r="Y219" s="5"/>
      <c r="Z219" s="5"/>
      <c r="AA219" s="5"/>
      <c r="AB219" s="5"/>
      <c r="AC219" s="5"/>
      <c r="AD219" s="5"/>
      <c r="AE219" s="5"/>
      <c r="AF219" s="5"/>
      <c r="AG219" s="5"/>
      <c r="AH219" s="5"/>
      <c r="AI219" s="123"/>
      <c r="AJ219" s="123"/>
      <c r="AK219" s="123"/>
      <c r="AL219" s="123"/>
      <c r="AM219" s="593"/>
      <c r="AN219" s="124"/>
      <c r="AO219" s="594"/>
      <c r="AP219" s="384"/>
      <c r="AQ219" s="595"/>
      <c r="AR219" s="5"/>
      <c r="AS219" s="4"/>
      <c r="AT219" s="4"/>
      <c r="AU219" s="4"/>
      <c r="AV219" s="4"/>
      <c r="AW219" s="4"/>
      <c r="AX219" s="4"/>
      <c r="AY219" s="4"/>
      <c r="AZ219" s="4"/>
      <c r="BA219" s="4"/>
      <c r="BB219" s="4"/>
      <c r="BC219" s="4"/>
      <c r="BD219" s="4"/>
      <c r="BE219" s="4"/>
    </row>
    <row r="220" spans="1:57" ht="14.4" customHeight="1">
      <c r="A220" s="596"/>
      <c r="B220" s="3289" t="s">
        <v>772</v>
      </c>
      <c r="C220" s="612" t="s">
        <v>1299</v>
      </c>
      <c r="D220" s="1946" t="s">
        <v>1919</v>
      </c>
      <c r="E220" s="597" t="s">
        <v>64</v>
      </c>
      <c r="F220" s="598" t="s">
        <v>1741</v>
      </c>
      <c r="G220" s="1080">
        <v>9000</v>
      </c>
      <c r="H220" s="1080"/>
      <c r="I220" s="1080">
        <v>4824.59</v>
      </c>
      <c r="J220" s="1081"/>
      <c r="K220" s="1659">
        <f>L221</f>
        <v>5000</v>
      </c>
      <c r="L220" s="1659"/>
      <c r="M220" s="1947"/>
      <c r="N220" s="1947"/>
      <c r="O220" s="1085"/>
      <c r="P220" s="19"/>
      <c r="Q220" s="4"/>
      <c r="R220"/>
      <c r="S220"/>
      <c r="T220"/>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row>
    <row r="221" spans="1:57">
      <c r="A221" s="603"/>
      <c r="B221" s="3290" t="s">
        <v>772</v>
      </c>
      <c r="C221" s="603"/>
      <c r="D221" s="616" t="s">
        <v>1919</v>
      </c>
      <c r="E221" s="604" t="s">
        <v>64</v>
      </c>
      <c r="F221" s="605"/>
      <c r="G221" s="1083"/>
      <c r="H221" s="1083">
        <v>9000</v>
      </c>
      <c r="I221" s="1083"/>
      <c r="J221" s="1084"/>
      <c r="K221" s="1660"/>
      <c r="L221" s="1660">
        <v>5000</v>
      </c>
      <c r="M221" s="1660"/>
      <c r="N221" s="1660"/>
      <c r="O221" s="1085"/>
      <c r="P221" s="5"/>
      <c r="Q221" s="5"/>
      <c r="R221"/>
      <c r="S221"/>
      <c r="T221"/>
      <c r="U221" s="5"/>
      <c r="V221" s="5"/>
      <c r="W221" s="5"/>
      <c r="X221" s="5"/>
      <c r="Y221" s="5"/>
      <c r="Z221" s="5"/>
      <c r="AA221" s="5"/>
      <c r="AB221" s="5"/>
      <c r="AC221" s="5"/>
      <c r="AD221" s="5"/>
      <c r="AE221" s="5"/>
      <c r="AF221" s="5"/>
      <c r="AG221" s="5"/>
      <c r="AH221" s="5"/>
      <c r="AI221" s="123"/>
      <c r="AJ221" s="123"/>
      <c r="AK221" s="123"/>
      <c r="AL221" s="123"/>
      <c r="AM221" s="593"/>
      <c r="AN221" s="124"/>
      <c r="AO221" s="594"/>
      <c r="AP221" s="384"/>
      <c r="AQ221" s="595"/>
      <c r="AR221" s="5"/>
      <c r="AS221" s="4"/>
      <c r="AT221" s="4"/>
      <c r="AU221" s="4"/>
      <c r="AV221" s="4"/>
      <c r="AW221" s="4"/>
      <c r="AX221" s="4"/>
      <c r="AY221" s="4"/>
      <c r="AZ221" s="4"/>
      <c r="BA221" s="4"/>
      <c r="BB221" s="4"/>
      <c r="BC221" s="4"/>
      <c r="BD221" s="4"/>
      <c r="BE221" s="4"/>
    </row>
    <row r="222" spans="1:57" ht="14.4" hidden="1" customHeight="1">
      <c r="A222" s="596"/>
      <c r="B222" s="3289" t="s">
        <v>365</v>
      </c>
      <c r="C222" s="612" t="s">
        <v>1025</v>
      </c>
      <c r="D222" s="596" t="s">
        <v>1951</v>
      </c>
      <c r="E222" s="597" t="s">
        <v>1319</v>
      </c>
      <c r="F222" s="598" t="s">
        <v>1782</v>
      </c>
      <c r="G222" s="1080">
        <v>0</v>
      </c>
      <c r="H222" s="1080"/>
      <c r="I222" s="1080"/>
      <c r="J222" s="1081"/>
      <c r="K222" s="602">
        <f>L223</f>
        <v>0</v>
      </c>
      <c r="L222" s="602"/>
      <c r="M222" s="1445"/>
      <c r="N222" s="1445"/>
      <c r="O222" s="1085"/>
      <c r="P222" s="19"/>
      <c r="Q222" s="4"/>
      <c r="R222"/>
      <c r="S222"/>
      <c r="T222"/>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row>
    <row r="223" spans="1:57" hidden="1">
      <c r="A223" s="603"/>
      <c r="B223" s="3290" t="s">
        <v>365</v>
      </c>
      <c r="C223" s="603"/>
      <c r="D223" s="603" t="s">
        <v>1951</v>
      </c>
      <c r="E223" s="604" t="s">
        <v>1319</v>
      </c>
      <c r="F223" s="605"/>
      <c r="G223" s="1083"/>
      <c r="H223" s="1083">
        <v>0</v>
      </c>
      <c r="I223" s="1083"/>
      <c r="J223" s="1084"/>
      <c r="K223" s="120"/>
      <c r="L223" s="120">
        <v>0</v>
      </c>
      <c r="M223" s="120"/>
      <c r="N223" s="120"/>
      <c r="O223" s="1085"/>
      <c r="P223" s="5"/>
      <c r="Q223" s="5"/>
      <c r="R223"/>
      <c r="S223"/>
      <c r="T223"/>
      <c r="U223" s="5"/>
      <c r="V223" s="5"/>
      <c r="W223" s="5"/>
      <c r="X223" s="5"/>
      <c r="Y223" s="5"/>
      <c r="Z223" s="5"/>
      <c r="AA223" s="5"/>
      <c r="AB223" s="5"/>
      <c r="AC223" s="5"/>
      <c r="AD223" s="5"/>
      <c r="AE223" s="5"/>
      <c r="AF223" s="5"/>
      <c r="AG223" s="5"/>
      <c r="AH223" s="5"/>
      <c r="AI223" s="123"/>
      <c r="AJ223" s="123"/>
      <c r="AK223" s="123"/>
      <c r="AL223" s="123"/>
      <c r="AM223" s="593"/>
      <c r="AN223" s="124"/>
      <c r="AO223" s="594"/>
      <c r="AP223" s="384"/>
      <c r="AQ223" s="595"/>
      <c r="AR223" s="5"/>
      <c r="AS223" s="4"/>
      <c r="AT223" s="4"/>
      <c r="AU223" s="4"/>
      <c r="AV223" s="4"/>
      <c r="AW223" s="4"/>
      <c r="AX223" s="4"/>
      <c r="AY223" s="4"/>
      <c r="AZ223" s="4"/>
      <c r="BA223" s="4"/>
      <c r="BB223" s="4"/>
      <c r="BC223" s="4"/>
      <c r="BD223" s="4"/>
      <c r="BE223" s="4"/>
    </row>
    <row r="224" spans="1:57" ht="14.4" hidden="1" customHeight="1">
      <c r="A224" s="596"/>
      <c r="B224" s="3289" t="s">
        <v>365</v>
      </c>
      <c r="C224" s="612" t="s">
        <v>3247</v>
      </c>
      <c r="D224" s="596" t="s">
        <v>3245</v>
      </c>
      <c r="E224" s="597" t="s">
        <v>2963</v>
      </c>
      <c r="F224" s="598" t="s">
        <v>1782</v>
      </c>
      <c r="G224" s="1080">
        <v>3600</v>
      </c>
      <c r="H224" s="1080"/>
      <c r="I224" s="1080"/>
      <c r="J224" s="1081"/>
      <c r="K224" s="602">
        <f>L225</f>
        <v>9900</v>
      </c>
      <c r="L224" s="602"/>
      <c r="M224" s="1445"/>
      <c r="N224" s="1445"/>
      <c r="O224" s="1085"/>
      <c r="P224" s="19"/>
      <c r="Q224" s="4"/>
      <c r="R224"/>
      <c r="S224"/>
      <c r="T22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row>
    <row r="225" spans="1:57" hidden="1">
      <c r="A225" s="603"/>
      <c r="B225" s="3290" t="s">
        <v>365</v>
      </c>
      <c r="C225" s="603"/>
      <c r="D225" s="603" t="s">
        <v>3245</v>
      </c>
      <c r="E225" s="604" t="s">
        <v>2963</v>
      </c>
      <c r="F225" s="605"/>
      <c r="G225" s="1083"/>
      <c r="H225" s="1083">
        <v>3600</v>
      </c>
      <c r="I225" s="1083"/>
      <c r="J225" s="1084"/>
      <c r="K225" s="120"/>
      <c r="L225" s="120">
        <f>14400-4500</f>
        <v>9900</v>
      </c>
      <c r="M225" s="120"/>
      <c r="N225" s="120"/>
      <c r="O225" s="1085"/>
      <c r="P225" s="5"/>
      <c r="Q225" s="5"/>
      <c r="R225"/>
      <c r="S225"/>
      <c r="T225"/>
      <c r="U225" s="5"/>
      <c r="V225" s="5"/>
      <c r="W225" s="5"/>
      <c r="X225" s="5"/>
      <c r="Y225" s="5"/>
      <c r="Z225" s="5"/>
      <c r="AA225" s="5"/>
      <c r="AB225" s="5"/>
      <c r="AC225" s="5"/>
      <c r="AD225" s="5"/>
      <c r="AE225" s="5"/>
      <c r="AF225" s="5"/>
      <c r="AG225" s="5"/>
      <c r="AH225" s="5"/>
      <c r="AI225" s="123"/>
      <c r="AJ225" s="123"/>
      <c r="AK225" s="123"/>
      <c r="AL225" s="123"/>
      <c r="AM225" s="593"/>
      <c r="AN225" s="124"/>
      <c r="AO225" s="594"/>
      <c r="AP225" s="384"/>
      <c r="AQ225" s="595"/>
      <c r="AR225" s="5"/>
      <c r="AS225" s="4"/>
      <c r="AT225" s="4"/>
      <c r="AU225" s="4"/>
      <c r="AV225" s="4"/>
      <c r="AW225" s="4"/>
      <c r="AX225" s="4"/>
      <c r="AY225" s="4"/>
      <c r="AZ225" s="4"/>
      <c r="BA225" s="4"/>
      <c r="BB225" s="4"/>
      <c r="BC225" s="4"/>
      <c r="BD225" s="4"/>
      <c r="BE225" s="4"/>
    </row>
    <row r="226" spans="1:57" ht="14.4" customHeight="1">
      <c r="A226" s="596"/>
      <c r="B226" s="3289" t="s">
        <v>772</v>
      </c>
      <c r="C226" s="612" t="s">
        <v>800</v>
      </c>
      <c r="D226" s="596" t="s">
        <v>1920</v>
      </c>
      <c r="E226" s="614" t="s">
        <v>447</v>
      </c>
      <c r="F226" s="615" t="s">
        <v>1734</v>
      </c>
      <c r="G226" s="1080">
        <v>0</v>
      </c>
      <c r="H226" s="1080"/>
      <c r="I226" s="1080">
        <v>13</v>
      </c>
      <c r="J226" s="1081"/>
      <c r="K226" s="1659">
        <f>L227</f>
        <v>0</v>
      </c>
      <c r="L226" s="1659"/>
      <c r="M226" s="1947"/>
      <c r="N226" s="1445"/>
      <c r="O226" s="1085"/>
      <c r="P226" s="19"/>
      <c r="Q226" s="4"/>
      <c r="R226"/>
      <c r="S226"/>
      <c r="T226"/>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row>
    <row r="227" spans="1:57">
      <c r="A227" s="603"/>
      <c r="B227" s="3290" t="s">
        <v>772</v>
      </c>
      <c r="C227" s="603"/>
      <c r="D227" s="603" t="s">
        <v>1920</v>
      </c>
      <c r="E227" s="617" t="s">
        <v>447</v>
      </c>
      <c r="F227" s="618" t="s">
        <v>1734</v>
      </c>
      <c r="G227" s="1083"/>
      <c r="H227" s="1083">
        <v>0</v>
      </c>
      <c r="I227" s="1083"/>
      <c r="J227" s="1084"/>
      <c r="K227" s="1660"/>
      <c r="L227" s="1660">
        <v>0</v>
      </c>
      <c r="M227" s="1660"/>
      <c r="N227" s="120"/>
      <c r="O227" s="1085"/>
      <c r="P227" s="5"/>
      <c r="Q227" s="5"/>
      <c r="R227"/>
      <c r="S227"/>
      <c r="T227"/>
      <c r="U227" s="5"/>
      <c r="V227" s="5"/>
      <c r="W227" s="5"/>
      <c r="X227" s="5"/>
      <c r="Y227" s="5"/>
      <c r="Z227" s="5"/>
      <c r="AA227" s="5"/>
      <c r="AB227" s="5"/>
      <c r="AC227" s="5"/>
      <c r="AD227" s="5"/>
      <c r="AE227" s="5"/>
      <c r="AF227" s="5"/>
      <c r="AG227" s="5"/>
      <c r="AH227" s="5"/>
      <c r="AI227" s="123"/>
      <c r="AJ227" s="123"/>
      <c r="AK227" s="123"/>
      <c r="AL227" s="123"/>
      <c r="AM227" s="593"/>
      <c r="AN227" s="124"/>
      <c r="AO227" s="594"/>
      <c r="AP227" s="384"/>
      <c r="AQ227" s="595"/>
      <c r="AR227" s="5"/>
      <c r="AS227" s="4"/>
      <c r="AT227" s="4"/>
      <c r="AU227" s="4"/>
      <c r="AV227" s="4"/>
      <c r="AW227" s="4"/>
      <c r="AX227" s="4"/>
      <c r="AY227" s="4"/>
      <c r="AZ227" s="4"/>
      <c r="BA227" s="4"/>
      <c r="BB227" s="4"/>
      <c r="BC227" s="4"/>
      <c r="BD227" s="4"/>
      <c r="BE227" s="4"/>
    </row>
    <row r="228" spans="1:57" ht="21" customHeight="1">
      <c r="A228" s="596"/>
      <c r="B228" s="3289" t="s">
        <v>772</v>
      </c>
      <c r="C228" s="612" t="s">
        <v>800</v>
      </c>
      <c r="D228" s="596" t="s">
        <v>1920</v>
      </c>
      <c r="E228" s="597" t="s">
        <v>59</v>
      </c>
      <c r="F228" s="598" t="s">
        <v>1802</v>
      </c>
      <c r="G228" s="1080">
        <v>23000</v>
      </c>
      <c r="H228" s="1080"/>
      <c r="I228" s="1080">
        <v>17546</v>
      </c>
      <c r="J228" s="1081"/>
      <c r="K228" s="1659">
        <f>SUM(L229:L230)</f>
        <v>9</v>
      </c>
      <c r="L228" s="1659"/>
      <c r="M228" s="1947"/>
      <c r="N228" s="1445"/>
      <c r="O228" s="1085"/>
      <c r="P228" s="19"/>
      <c r="Q228" s="4"/>
      <c r="R228"/>
      <c r="S228"/>
      <c r="T228"/>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row>
    <row r="229" spans="1:57">
      <c r="A229" s="603"/>
      <c r="B229" s="3290" t="s">
        <v>772</v>
      </c>
      <c r="C229" s="603"/>
      <c r="D229" s="603" t="s">
        <v>1920</v>
      </c>
      <c r="E229" s="604" t="s">
        <v>59</v>
      </c>
      <c r="F229" s="605"/>
      <c r="G229" s="1083"/>
      <c r="H229" s="1083">
        <v>23000</v>
      </c>
      <c r="I229" s="1083"/>
      <c r="J229" s="1084"/>
      <c r="K229" s="1660"/>
      <c r="L229" s="1660">
        <v>23000</v>
      </c>
      <c r="M229" s="1660"/>
      <c r="N229" s="120"/>
      <c r="O229" s="1085"/>
      <c r="P229" s="5"/>
      <c r="Q229" s="5"/>
      <c r="R229"/>
      <c r="S229"/>
      <c r="T229"/>
      <c r="U229" s="5"/>
      <c r="V229" s="5"/>
      <c r="W229" s="5"/>
      <c r="X229" s="5"/>
      <c r="Y229" s="5"/>
      <c r="Z229" s="5"/>
      <c r="AA229" s="5"/>
      <c r="AB229" s="5"/>
      <c r="AC229" s="5"/>
      <c r="AD229" s="5"/>
      <c r="AE229" s="5"/>
      <c r="AF229" s="5"/>
      <c r="AG229" s="5"/>
      <c r="AH229" s="5"/>
      <c r="AI229" s="123"/>
      <c r="AJ229" s="123"/>
      <c r="AK229" s="123"/>
      <c r="AL229" s="123"/>
      <c r="AM229" s="593"/>
      <c r="AN229" s="124"/>
      <c r="AO229" s="594"/>
      <c r="AP229" s="384"/>
      <c r="AQ229" s="595"/>
      <c r="AR229" s="5"/>
      <c r="AS229" s="4"/>
      <c r="AT229" s="4"/>
      <c r="AU229" s="4"/>
      <c r="AV229" s="4"/>
      <c r="AW229" s="4"/>
      <c r="AX229" s="4"/>
      <c r="AY229" s="4"/>
      <c r="AZ229" s="4"/>
      <c r="BA229" s="4"/>
      <c r="BB229" s="4"/>
      <c r="BC229" s="4"/>
      <c r="BD229" s="4"/>
      <c r="BE229" s="4"/>
    </row>
    <row r="230" spans="1:57" ht="20.399999999999999" customHeight="1">
      <c r="A230" s="603"/>
      <c r="B230" s="3290" t="s">
        <v>772</v>
      </c>
      <c r="C230" s="603"/>
      <c r="D230" s="603" t="s">
        <v>1920</v>
      </c>
      <c r="E230" s="604" t="s">
        <v>59</v>
      </c>
      <c r="F230" s="605" t="s">
        <v>5320</v>
      </c>
      <c r="G230" s="1083"/>
      <c r="H230" s="1083"/>
      <c r="I230" s="1083"/>
      <c r="J230" s="1084"/>
      <c r="K230" s="1660"/>
      <c r="L230" s="3264">
        <f>-22991</f>
        <v>-22991</v>
      </c>
      <c r="M230" s="1660"/>
      <c r="N230" s="120"/>
      <c r="O230" s="1085"/>
      <c r="P230" s="5"/>
      <c r="Q230" s="5"/>
      <c r="R230"/>
      <c r="S230"/>
      <c r="T230"/>
      <c r="U230" s="5"/>
      <c r="V230" s="5"/>
      <c r="W230" s="5"/>
      <c r="X230" s="5"/>
      <c r="Y230" s="5"/>
      <c r="Z230" s="5"/>
      <c r="AA230" s="5"/>
      <c r="AB230" s="5"/>
      <c r="AC230" s="5"/>
      <c r="AD230" s="5"/>
      <c r="AE230" s="5"/>
      <c r="AF230" s="5"/>
      <c r="AG230" s="5"/>
      <c r="AH230" s="5"/>
      <c r="AI230" s="123"/>
      <c r="AJ230" s="123"/>
      <c r="AK230" s="123"/>
      <c r="AL230" s="123"/>
      <c r="AM230" s="593"/>
      <c r="AN230" s="124"/>
      <c r="AO230" s="594"/>
      <c r="AP230" s="384"/>
      <c r="AQ230" s="595"/>
      <c r="AR230" s="5"/>
      <c r="AS230" s="4"/>
      <c r="AT230" s="4"/>
      <c r="AU230" s="4"/>
      <c r="AV230" s="4"/>
      <c r="AW230" s="4"/>
      <c r="AX230" s="4"/>
      <c r="AY230" s="4"/>
      <c r="AZ230" s="4"/>
      <c r="BA230" s="4"/>
      <c r="BB230" s="4"/>
      <c r="BC230" s="4"/>
      <c r="BD230" s="4"/>
      <c r="BE230" s="4"/>
    </row>
    <row r="231" spans="1:57" ht="14.4" customHeight="1">
      <c r="A231" s="596"/>
      <c r="B231" s="3289" t="s">
        <v>772</v>
      </c>
      <c r="C231" s="612" t="s">
        <v>800</v>
      </c>
      <c r="D231" s="596" t="s">
        <v>1920</v>
      </c>
      <c r="E231" s="597" t="s">
        <v>64</v>
      </c>
      <c r="F231" s="598" t="s">
        <v>1741</v>
      </c>
      <c r="G231" s="1080">
        <v>7500</v>
      </c>
      <c r="H231" s="1080"/>
      <c r="I231" s="1080">
        <v>6944.99</v>
      </c>
      <c r="J231" s="1081"/>
      <c r="K231" s="1659">
        <f>L232</f>
        <v>7500</v>
      </c>
      <c r="L231" s="1659"/>
      <c r="M231" s="1947"/>
      <c r="N231" s="1445"/>
      <c r="O231" s="1085"/>
      <c r="P231" s="19"/>
      <c r="Q231" s="4"/>
      <c r="R231"/>
      <c r="S231"/>
      <c r="T231"/>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row>
    <row r="232" spans="1:57">
      <c r="A232" s="603"/>
      <c r="B232" s="3290" t="s">
        <v>772</v>
      </c>
      <c r="C232" s="603"/>
      <c r="D232" s="603" t="s">
        <v>1920</v>
      </c>
      <c r="E232" s="604" t="s">
        <v>64</v>
      </c>
      <c r="F232" s="605"/>
      <c r="G232" s="1083"/>
      <c r="H232" s="1083">
        <v>7500</v>
      </c>
      <c r="I232" s="1083"/>
      <c r="J232" s="1084"/>
      <c r="K232" s="1660"/>
      <c r="L232" s="1660">
        <v>7500</v>
      </c>
      <c r="M232" s="1660">
        <f>L232/121*21</f>
        <v>1301.6528925619834</v>
      </c>
      <c r="N232" s="120"/>
      <c r="O232" s="1085"/>
      <c r="P232" s="5"/>
      <c r="Q232" s="5"/>
      <c r="R232"/>
      <c r="S232"/>
      <c r="T232"/>
      <c r="U232" s="5"/>
      <c r="V232" s="5"/>
      <c r="W232" s="5"/>
      <c r="X232" s="5"/>
      <c r="Y232" s="5"/>
      <c r="Z232" s="5"/>
      <c r="AA232" s="5"/>
      <c r="AB232" s="5"/>
      <c r="AC232" s="5"/>
      <c r="AD232" s="5"/>
      <c r="AE232" s="5"/>
      <c r="AF232" s="5"/>
      <c r="AG232" s="5"/>
      <c r="AH232" s="5"/>
      <c r="AI232" s="123"/>
      <c r="AJ232" s="123"/>
      <c r="AK232" s="123"/>
      <c r="AL232" s="123"/>
      <c r="AM232" s="593"/>
      <c r="AN232" s="124"/>
      <c r="AO232" s="594"/>
      <c r="AP232" s="384"/>
      <c r="AQ232" s="595"/>
      <c r="AR232" s="5"/>
      <c r="AS232" s="4"/>
      <c r="AT232" s="4"/>
      <c r="AU232" s="4"/>
      <c r="AV232" s="4"/>
      <c r="AW232" s="4"/>
      <c r="AX232" s="4"/>
      <c r="AY232" s="4"/>
      <c r="AZ232" s="4"/>
      <c r="BA232" s="4"/>
      <c r="BB232" s="4"/>
      <c r="BC232" s="4"/>
      <c r="BD232" s="4"/>
      <c r="BE232" s="4"/>
    </row>
    <row r="233" spans="1:57" ht="14.4" customHeight="1">
      <c r="A233" s="596"/>
      <c r="B233" s="3289" t="s">
        <v>772</v>
      </c>
      <c r="C233" s="612" t="s">
        <v>800</v>
      </c>
      <c r="D233" s="596" t="s">
        <v>1920</v>
      </c>
      <c r="E233" s="597" t="s">
        <v>1764</v>
      </c>
      <c r="F233" s="598" t="s">
        <v>1765</v>
      </c>
      <c r="G233" s="1080">
        <v>0</v>
      </c>
      <c r="H233" s="1080"/>
      <c r="I233" s="1080">
        <v>0</v>
      </c>
      <c r="J233" s="1081"/>
      <c r="K233" s="1659">
        <f>L234</f>
        <v>0</v>
      </c>
      <c r="L233" s="1659"/>
      <c r="M233" s="1947"/>
      <c r="N233" s="1445"/>
      <c r="O233" s="1085"/>
      <c r="P233" s="19"/>
      <c r="Q233" s="4"/>
      <c r="R233"/>
      <c r="S233"/>
      <c r="T233"/>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row>
    <row r="234" spans="1:57">
      <c r="A234" s="603"/>
      <c r="B234" s="3290" t="s">
        <v>772</v>
      </c>
      <c r="C234" s="603"/>
      <c r="D234" s="603" t="s">
        <v>1920</v>
      </c>
      <c r="E234" s="604" t="s">
        <v>1764</v>
      </c>
      <c r="F234" s="605" t="s">
        <v>2838</v>
      </c>
      <c r="G234" s="1083"/>
      <c r="H234" s="1083"/>
      <c r="I234" s="1083"/>
      <c r="J234" s="1084"/>
      <c r="K234" s="1660"/>
      <c r="L234" s="1660"/>
      <c r="M234" s="1660"/>
      <c r="N234" s="120"/>
      <c r="O234" s="1085"/>
      <c r="P234" s="5"/>
      <c r="Q234" s="5"/>
      <c r="R234"/>
      <c r="S234"/>
      <c r="T234"/>
      <c r="U234" s="5"/>
      <c r="V234" s="5"/>
      <c r="W234" s="5"/>
      <c r="X234" s="5"/>
      <c r="Y234" s="5"/>
      <c r="Z234" s="5"/>
      <c r="AA234" s="5"/>
      <c r="AB234" s="5"/>
      <c r="AC234" s="5"/>
      <c r="AD234" s="5"/>
      <c r="AE234" s="5"/>
      <c r="AF234" s="5"/>
      <c r="AG234" s="5"/>
      <c r="AH234" s="5"/>
      <c r="AI234" s="123"/>
      <c r="AJ234" s="123"/>
      <c r="AK234" s="123"/>
      <c r="AL234" s="123"/>
      <c r="AM234" s="593"/>
      <c r="AN234" s="124"/>
      <c r="AO234" s="594"/>
      <c r="AP234" s="384"/>
      <c r="AQ234" s="595"/>
      <c r="AR234" s="5"/>
      <c r="AS234" s="4"/>
      <c r="AT234" s="4"/>
      <c r="AU234" s="4"/>
      <c r="AV234" s="4"/>
      <c r="AW234" s="4"/>
      <c r="AX234" s="4"/>
      <c r="AY234" s="4"/>
      <c r="AZ234" s="4"/>
      <c r="BA234" s="4"/>
      <c r="BB234" s="4"/>
      <c r="BC234" s="4"/>
      <c r="BD234" s="4"/>
      <c r="BE234" s="4"/>
    </row>
    <row r="235" spans="1:57" ht="14.4" hidden="1" customHeight="1">
      <c r="A235" s="596"/>
      <c r="B235" s="3289" t="s">
        <v>326</v>
      </c>
      <c r="C235" s="612" t="s">
        <v>784</v>
      </c>
      <c r="D235" s="596" t="s">
        <v>1921</v>
      </c>
      <c r="E235" s="597" t="s">
        <v>43</v>
      </c>
      <c r="F235" s="598" t="s">
        <v>1804</v>
      </c>
      <c r="G235" s="1088">
        <v>198072</v>
      </c>
      <c r="H235" s="1088"/>
      <c r="I235" s="1088">
        <v>132048</v>
      </c>
      <c r="J235" s="1089"/>
      <c r="K235" s="602">
        <f>L236</f>
        <v>192779</v>
      </c>
      <c r="L235" s="602"/>
      <c r="M235" s="1445"/>
      <c r="N235" s="1445"/>
      <c r="O235" s="1085"/>
      <c r="P235" s="19"/>
      <c r="Q235" s="4"/>
      <c r="R235"/>
      <c r="S235"/>
      <c r="T235"/>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row>
    <row r="236" spans="1:57" hidden="1">
      <c r="A236" s="603"/>
      <c r="B236" s="3290" t="s">
        <v>326</v>
      </c>
      <c r="C236" s="603"/>
      <c r="D236" s="603" t="s">
        <v>1921</v>
      </c>
      <c r="E236" s="604" t="s">
        <v>43</v>
      </c>
      <c r="F236" s="605"/>
      <c r="G236" s="1090"/>
      <c r="H236" s="1090">
        <v>198072</v>
      </c>
      <c r="I236" s="1090"/>
      <c r="J236" s="1091"/>
      <c r="K236" s="120"/>
      <c r="L236" s="120">
        <v>192779</v>
      </c>
      <c r="M236" s="120"/>
      <c r="N236" s="120"/>
      <c r="O236" s="1085"/>
      <c r="P236" s="5"/>
      <c r="Q236" s="5"/>
      <c r="R236"/>
      <c r="S236"/>
      <c r="T236"/>
      <c r="U236" s="5"/>
      <c r="V236" s="5"/>
      <c r="W236" s="5"/>
      <c r="X236" s="5"/>
      <c r="Y236" s="5"/>
      <c r="Z236" s="5"/>
      <c r="AA236" s="5"/>
      <c r="AB236" s="5"/>
      <c r="AC236" s="5"/>
      <c r="AD236" s="5"/>
      <c r="AE236" s="5"/>
      <c r="AF236" s="5"/>
      <c r="AG236" s="5"/>
      <c r="AH236" s="5"/>
      <c r="AI236" s="123"/>
      <c r="AJ236" s="123"/>
      <c r="AK236" s="123"/>
      <c r="AL236" s="123"/>
      <c r="AM236" s="593"/>
      <c r="AN236" s="124"/>
      <c r="AO236" s="594"/>
      <c r="AP236" s="384"/>
      <c r="AQ236" s="595"/>
      <c r="AR236" s="5"/>
      <c r="AS236" s="4"/>
      <c r="AT236" s="4"/>
      <c r="AU236" s="4"/>
      <c r="AV236" s="4"/>
      <c r="AW236" s="4"/>
      <c r="AX236" s="4"/>
      <c r="AY236" s="4"/>
      <c r="AZ236" s="4"/>
      <c r="BA236" s="4"/>
      <c r="BB236" s="4"/>
      <c r="BC236" s="4"/>
      <c r="BD236" s="4"/>
      <c r="BE236" s="4"/>
    </row>
    <row r="237" spans="1:57" ht="19.2" hidden="1" customHeight="1">
      <c r="A237" s="1575"/>
      <c r="B237" s="3289" t="s">
        <v>326</v>
      </c>
      <c r="C237" s="612" t="s">
        <v>784</v>
      </c>
      <c r="D237" s="596" t="s">
        <v>1921</v>
      </c>
      <c r="E237" s="597" t="s">
        <v>42</v>
      </c>
      <c r="F237" s="598" t="s">
        <v>1805</v>
      </c>
      <c r="G237" s="1088">
        <v>3703</v>
      </c>
      <c r="H237" s="1088"/>
      <c r="I237" s="1088">
        <v>0</v>
      </c>
      <c r="J237" s="1089"/>
      <c r="K237" s="602">
        <f>L238</f>
        <v>0</v>
      </c>
      <c r="L237" s="602"/>
      <c r="M237" s="1445"/>
      <c r="N237" s="1445"/>
      <c r="O237" s="1085"/>
      <c r="P237" s="5"/>
      <c r="Q237" s="5"/>
      <c r="R237"/>
      <c r="S237" s="18">
        <v>0</v>
      </c>
      <c r="T237" s="18">
        <v>0</v>
      </c>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row>
    <row r="238" spans="1:57" hidden="1">
      <c r="A238" s="1495"/>
      <c r="B238" s="3290" t="s">
        <v>326</v>
      </c>
      <c r="C238" s="603"/>
      <c r="D238" s="603" t="s">
        <v>1921</v>
      </c>
      <c r="E238" s="604" t="s">
        <v>42</v>
      </c>
      <c r="F238" s="605"/>
      <c r="G238" s="1090"/>
      <c r="H238" s="1090">
        <v>3703</v>
      </c>
      <c r="I238" s="1090"/>
      <c r="J238" s="1091"/>
      <c r="K238" s="120"/>
      <c r="L238" s="120"/>
      <c r="M238" s="120"/>
      <c r="N238" s="120"/>
      <c r="O238" s="1085"/>
      <c r="P238" s="5"/>
      <c r="Q238" s="5"/>
      <c r="R238"/>
      <c r="S238" s="18">
        <v>0</v>
      </c>
      <c r="T238" s="18">
        <v>0</v>
      </c>
      <c r="U238" s="5"/>
      <c r="V238" s="5"/>
      <c r="W238" s="5"/>
      <c r="X238" s="5"/>
      <c r="Y238" s="5"/>
      <c r="Z238" s="5"/>
      <c r="AA238" s="5"/>
      <c r="AB238" s="5"/>
      <c r="AC238" s="5"/>
      <c r="AD238" s="5"/>
      <c r="AE238" s="5"/>
      <c r="AF238" s="5"/>
      <c r="AG238" s="5"/>
      <c r="AH238" s="5"/>
      <c r="AI238" s="1495"/>
      <c r="AJ238" s="1495"/>
      <c r="AK238" s="1495"/>
      <c r="AL238" s="1495"/>
      <c r="AM238" s="1579"/>
      <c r="AN238" s="1580"/>
      <c r="AO238" s="1568"/>
      <c r="AP238" s="1581"/>
      <c r="AQ238" s="1582"/>
      <c r="AR238" s="5"/>
      <c r="AS238" s="4"/>
      <c r="AT238" s="4"/>
      <c r="AU238" s="4"/>
      <c r="AV238" s="4"/>
      <c r="AW238" s="4"/>
      <c r="AX238" s="4"/>
      <c r="AY238" s="4"/>
      <c r="AZ238" s="4"/>
      <c r="BA238" s="4"/>
      <c r="BB238" s="4"/>
      <c r="BC238" s="4"/>
      <c r="BD238" s="4"/>
      <c r="BE238" s="4"/>
    </row>
    <row r="239" spans="1:57" ht="14.4" hidden="1" customHeight="1">
      <c r="A239" s="596"/>
      <c r="B239" s="3291" t="s">
        <v>365</v>
      </c>
      <c r="C239" s="1576" t="s">
        <v>3377</v>
      </c>
      <c r="D239" s="1613" t="s">
        <v>3378</v>
      </c>
      <c r="E239" s="1577" t="s">
        <v>1319</v>
      </c>
      <c r="F239" s="1578" t="s">
        <v>1782</v>
      </c>
      <c r="G239" s="1088">
        <v>2331</v>
      </c>
      <c r="H239" s="1088"/>
      <c r="I239" s="1088">
        <v>0</v>
      </c>
      <c r="J239" s="1089"/>
      <c r="K239" s="1659">
        <f>L240</f>
        <v>231</v>
      </c>
      <c r="L239" s="1659"/>
      <c r="M239" s="120"/>
      <c r="N239" s="120"/>
      <c r="O239" s="1085"/>
      <c r="P239" s="19"/>
      <c r="Q239" s="4"/>
      <c r="R239"/>
      <c r="S239"/>
      <c r="T239"/>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row>
    <row r="240" spans="1:57" hidden="1">
      <c r="A240" s="603"/>
      <c r="B240" s="3292" t="s">
        <v>365</v>
      </c>
      <c r="C240" s="1495"/>
      <c r="D240" s="1611" t="s">
        <v>3378</v>
      </c>
      <c r="E240" s="1574" t="s">
        <v>1319</v>
      </c>
      <c r="F240" s="1496"/>
      <c r="G240" s="1090"/>
      <c r="H240" s="1090">
        <v>2331</v>
      </c>
      <c r="I240" s="1090"/>
      <c r="J240" s="1091"/>
      <c r="K240" s="1660"/>
      <c r="L240" s="1660">
        <v>231</v>
      </c>
      <c r="M240" s="120"/>
      <c r="N240" s="120"/>
      <c r="O240" s="1085"/>
      <c r="P240" s="5"/>
      <c r="Q240" s="5"/>
      <c r="R240"/>
      <c r="S240"/>
      <c r="T240"/>
      <c r="U240" s="5"/>
      <c r="V240" s="5"/>
      <c r="W240" s="5"/>
      <c r="X240" s="5"/>
      <c r="Y240" s="5"/>
      <c r="Z240" s="5"/>
      <c r="AA240" s="5"/>
      <c r="AB240" s="5"/>
      <c r="AC240" s="5"/>
      <c r="AD240" s="5"/>
      <c r="AE240" s="5"/>
      <c r="AF240" s="5"/>
      <c r="AG240" s="5"/>
      <c r="AH240" s="5"/>
      <c r="AI240" s="123"/>
      <c r="AJ240" s="123"/>
      <c r="AK240" s="123"/>
      <c r="AL240" s="123"/>
      <c r="AM240" s="593"/>
      <c r="AN240" s="124"/>
      <c r="AO240" s="594"/>
      <c r="AP240" s="384"/>
      <c r="AQ240" s="595"/>
      <c r="AR240" s="5"/>
      <c r="AS240" s="4"/>
      <c r="AT240" s="4"/>
      <c r="AU240" s="4"/>
      <c r="AV240" s="4"/>
      <c r="AW240" s="4"/>
      <c r="AX240" s="4"/>
      <c r="AY240" s="4"/>
      <c r="AZ240" s="4"/>
      <c r="BA240" s="4"/>
      <c r="BB240" s="4"/>
      <c r="BC240" s="4"/>
      <c r="BD240" s="4"/>
      <c r="BE240" s="4"/>
    </row>
    <row r="241" spans="1:57" ht="14.4" customHeight="1">
      <c r="A241" s="596"/>
      <c r="B241" s="3289" t="s">
        <v>772</v>
      </c>
      <c r="C241" s="612" t="s">
        <v>976</v>
      </c>
      <c r="D241" s="596" t="s">
        <v>1922</v>
      </c>
      <c r="E241" s="614" t="s">
        <v>447</v>
      </c>
      <c r="F241" s="615" t="s">
        <v>1734</v>
      </c>
      <c r="G241" s="1080">
        <v>0</v>
      </c>
      <c r="H241" s="1080"/>
      <c r="I241" s="1080">
        <v>10.76</v>
      </c>
      <c r="J241" s="1081"/>
      <c r="K241" s="602">
        <f>L242</f>
        <v>0</v>
      </c>
      <c r="L241" s="602"/>
      <c r="M241" s="1445"/>
      <c r="N241" s="1445"/>
      <c r="O241" s="1085"/>
      <c r="P241" s="19"/>
      <c r="Q241" s="4"/>
      <c r="R241"/>
      <c r="S241"/>
      <c r="T241"/>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row>
    <row r="242" spans="1:57">
      <c r="A242" s="603"/>
      <c r="B242" s="3290" t="s">
        <v>772</v>
      </c>
      <c r="C242" s="603"/>
      <c r="D242" s="603" t="s">
        <v>1922</v>
      </c>
      <c r="E242" s="617" t="s">
        <v>447</v>
      </c>
      <c r="F242" s="618" t="s">
        <v>1734</v>
      </c>
      <c r="G242" s="1083"/>
      <c r="H242" s="1083">
        <v>0</v>
      </c>
      <c r="I242" s="1083"/>
      <c r="J242" s="1084"/>
      <c r="K242" s="120"/>
      <c r="L242" s="120">
        <v>0</v>
      </c>
      <c r="M242" s="120"/>
      <c r="N242" s="120"/>
      <c r="O242" s="1085"/>
      <c r="P242" s="5"/>
      <c r="Q242" s="5"/>
      <c r="R242"/>
      <c r="S242"/>
      <c r="T242"/>
      <c r="U242" s="5"/>
      <c r="V242" s="5"/>
      <c r="W242" s="5"/>
      <c r="X242" s="5"/>
      <c r="Y242" s="5"/>
      <c r="Z242" s="5"/>
      <c r="AA242" s="5"/>
      <c r="AB242" s="5"/>
      <c r="AC242" s="5"/>
      <c r="AD242" s="5"/>
      <c r="AE242" s="5"/>
      <c r="AF242" s="5"/>
      <c r="AG242" s="5"/>
      <c r="AH242" s="5"/>
      <c r="AI242" s="123"/>
      <c r="AJ242" s="123"/>
      <c r="AK242" s="123"/>
      <c r="AL242" s="123"/>
      <c r="AM242" s="593"/>
      <c r="AN242" s="124"/>
      <c r="AO242" s="594"/>
      <c r="AP242" s="384"/>
      <c r="AQ242" s="595"/>
      <c r="AR242" s="5"/>
      <c r="AS242" s="4"/>
      <c r="AT242" s="4"/>
      <c r="AU242" s="4"/>
      <c r="AV242" s="4"/>
      <c r="AW242" s="4"/>
      <c r="AX242" s="4"/>
      <c r="AY242" s="4"/>
      <c r="AZ242" s="4"/>
      <c r="BA242" s="4"/>
      <c r="BB242" s="4"/>
      <c r="BC242" s="4"/>
      <c r="BD242" s="4"/>
      <c r="BE242" s="4"/>
    </row>
    <row r="243" spans="1:57" ht="14.4" customHeight="1">
      <c r="A243" s="596"/>
      <c r="B243" s="3289" t="s">
        <v>772</v>
      </c>
      <c r="C243" s="612" t="s">
        <v>976</v>
      </c>
      <c r="D243" s="596" t="s">
        <v>1922</v>
      </c>
      <c r="E243" s="597" t="s">
        <v>59</v>
      </c>
      <c r="F243" s="598" t="s">
        <v>1802</v>
      </c>
      <c r="G243" s="1080">
        <v>8000</v>
      </c>
      <c r="H243" s="1080"/>
      <c r="I243" s="1080">
        <v>7673.46</v>
      </c>
      <c r="J243" s="1081"/>
      <c r="K243" s="602">
        <f>SUM(L244:L245)</f>
        <v>258</v>
      </c>
      <c r="L243" s="602"/>
      <c r="M243" s="1445"/>
      <c r="N243" s="1445"/>
      <c r="O243" s="1085"/>
      <c r="P243" s="19"/>
      <c r="Q243" s="4"/>
      <c r="R243"/>
      <c r="S243"/>
      <c r="T243"/>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row>
    <row r="244" spans="1:57">
      <c r="A244" s="603"/>
      <c r="B244" s="3290" t="s">
        <v>772</v>
      </c>
      <c r="C244" s="603"/>
      <c r="D244" s="603" t="s">
        <v>1922</v>
      </c>
      <c r="E244" s="604" t="s">
        <v>59</v>
      </c>
      <c r="F244" s="605"/>
      <c r="G244" s="1083"/>
      <c r="H244" s="1083">
        <v>8000</v>
      </c>
      <c r="I244" s="1083"/>
      <c r="J244" s="1084"/>
      <c r="K244" s="120"/>
      <c r="L244" s="120">
        <v>8000</v>
      </c>
      <c r="M244" s="120"/>
      <c r="N244" s="120"/>
      <c r="O244" s="1085"/>
      <c r="P244" s="5"/>
      <c r="Q244" s="5"/>
      <c r="R244"/>
      <c r="S244"/>
      <c r="T244"/>
      <c r="U244" s="5"/>
      <c r="V244" s="5"/>
      <c r="W244" s="5"/>
      <c r="X244" s="5"/>
      <c r="Y244" s="5"/>
      <c r="Z244" s="5"/>
      <c r="AA244" s="5"/>
      <c r="AB244" s="5"/>
      <c r="AC244" s="5"/>
      <c r="AD244" s="5"/>
      <c r="AE244" s="5"/>
      <c r="AF244" s="5"/>
      <c r="AG244" s="5"/>
      <c r="AH244" s="5"/>
      <c r="AI244" s="123"/>
      <c r="AJ244" s="123"/>
      <c r="AK244" s="123"/>
      <c r="AL244" s="123"/>
      <c r="AM244" s="593"/>
      <c r="AN244" s="124"/>
      <c r="AO244" s="594"/>
      <c r="AP244" s="384"/>
      <c r="AQ244" s="595"/>
      <c r="AR244" s="5"/>
      <c r="AS244" s="4"/>
      <c r="AT244" s="4"/>
      <c r="AU244" s="4"/>
      <c r="AV244" s="4"/>
      <c r="AW244" s="4"/>
      <c r="AX244" s="4"/>
      <c r="AY244" s="4"/>
      <c r="AZ244" s="4"/>
      <c r="BA244" s="4"/>
      <c r="BB244" s="4"/>
      <c r="BC244" s="4"/>
      <c r="BD244" s="4"/>
      <c r="BE244" s="4"/>
    </row>
    <row r="245" spans="1:57" ht="20.399999999999999" customHeight="1">
      <c r="A245" s="603"/>
      <c r="B245" s="3290" t="s">
        <v>772</v>
      </c>
      <c r="C245" s="603"/>
      <c r="D245" s="603" t="s">
        <v>1922</v>
      </c>
      <c r="E245" s="604" t="s">
        <v>59</v>
      </c>
      <c r="F245" s="605" t="s">
        <v>5320</v>
      </c>
      <c r="G245" s="1083"/>
      <c r="H245" s="1083"/>
      <c r="I245" s="1083"/>
      <c r="J245" s="1084"/>
      <c r="K245" s="1660"/>
      <c r="L245" s="3264">
        <f>-9242+1500</f>
        <v>-7742</v>
      </c>
      <c r="M245" s="1660"/>
      <c r="N245" s="120"/>
      <c r="O245" s="1085"/>
      <c r="P245" s="5"/>
      <c r="Q245" s="5"/>
      <c r="R245"/>
      <c r="S245"/>
      <c r="T245"/>
      <c r="U245" s="5"/>
      <c r="V245" s="5"/>
      <c r="W245" s="5"/>
      <c r="X245" s="5"/>
      <c r="Y245" s="5"/>
      <c r="Z245" s="5"/>
      <c r="AA245" s="5"/>
      <c r="AB245" s="5"/>
      <c r="AC245" s="5"/>
      <c r="AD245" s="5"/>
      <c r="AE245" s="5"/>
      <c r="AF245" s="5"/>
      <c r="AG245" s="5"/>
      <c r="AH245" s="5"/>
      <c r="AI245" s="123"/>
      <c r="AJ245" s="123"/>
      <c r="AK245" s="123"/>
      <c r="AL245" s="123"/>
      <c r="AM245" s="593"/>
      <c r="AN245" s="124"/>
      <c r="AO245" s="594"/>
      <c r="AP245" s="384"/>
      <c r="AQ245" s="595"/>
      <c r="AR245" s="5"/>
      <c r="AS245" s="4"/>
      <c r="AT245" s="4"/>
      <c r="AU245" s="4"/>
      <c r="AV245" s="4"/>
      <c r="AW245" s="4"/>
      <c r="AX245" s="4"/>
      <c r="AY245" s="4"/>
      <c r="AZ245" s="4"/>
      <c r="BA245" s="4"/>
      <c r="BB245" s="4"/>
      <c r="BC245" s="4"/>
      <c r="BD245" s="4"/>
      <c r="BE245" s="4"/>
    </row>
    <row r="246" spans="1:57" ht="19.2" customHeight="1">
      <c r="A246" s="596"/>
      <c r="B246" s="3289" t="s">
        <v>772</v>
      </c>
      <c r="C246" s="612" t="s">
        <v>976</v>
      </c>
      <c r="D246" s="596" t="s">
        <v>1922</v>
      </c>
      <c r="E246" s="597" t="s">
        <v>64</v>
      </c>
      <c r="F246" s="598" t="s">
        <v>1741</v>
      </c>
      <c r="G246" s="1080">
        <v>5000</v>
      </c>
      <c r="H246" s="1080"/>
      <c r="I246" s="1080">
        <v>6895.01</v>
      </c>
      <c r="J246" s="1081"/>
      <c r="K246" s="602">
        <f>L247</f>
        <v>6000</v>
      </c>
      <c r="L246" s="602"/>
      <c r="M246" s="1445">
        <f>K246/121*21</f>
        <v>1041.3223140495868</v>
      </c>
      <c r="N246" s="1445"/>
      <c r="O246" s="1085"/>
      <c r="P246" s="19"/>
      <c r="Q246" s="4"/>
      <c r="R246"/>
      <c r="S246"/>
      <c r="T246"/>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row>
    <row r="247" spans="1:57">
      <c r="A247" s="603"/>
      <c r="B247" s="3290" t="s">
        <v>772</v>
      </c>
      <c r="C247" s="603"/>
      <c r="D247" s="603" t="s">
        <v>1922</v>
      </c>
      <c r="E247" s="604" t="s">
        <v>64</v>
      </c>
      <c r="F247" s="605"/>
      <c r="G247" s="1083"/>
      <c r="H247" s="1083">
        <v>5000</v>
      </c>
      <c r="I247" s="1083"/>
      <c r="J247" s="1084"/>
      <c r="K247" s="120"/>
      <c r="L247" s="120">
        <v>6000</v>
      </c>
      <c r="M247" s="120"/>
      <c r="N247" s="120"/>
      <c r="O247" s="1085"/>
      <c r="P247" s="5"/>
      <c r="Q247" s="5"/>
      <c r="R247"/>
      <c r="S247"/>
      <c r="T247"/>
      <c r="U247" s="5"/>
      <c r="V247" s="5"/>
      <c r="W247" s="5"/>
      <c r="X247" s="5"/>
      <c r="Y247" s="5"/>
      <c r="Z247" s="5"/>
      <c r="AA247" s="5"/>
      <c r="AB247" s="5"/>
      <c r="AC247" s="5"/>
      <c r="AD247" s="5"/>
      <c r="AE247" s="5"/>
      <c r="AF247" s="5"/>
      <c r="AG247" s="5"/>
      <c r="AH247" s="5"/>
      <c r="AI247" s="123"/>
      <c r="AJ247" s="123"/>
      <c r="AK247" s="123"/>
      <c r="AL247" s="123"/>
      <c r="AM247" s="593"/>
      <c r="AN247" s="124"/>
      <c r="AO247" s="594"/>
      <c r="AP247" s="384"/>
      <c r="AQ247" s="595"/>
      <c r="AR247" s="5"/>
      <c r="AS247" s="4"/>
      <c r="AT247" s="4"/>
      <c r="AU247" s="4"/>
      <c r="AV247" s="4"/>
      <c r="AW247" s="4"/>
      <c r="AX247" s="4"/>
      <c r="AY247" s="4"/>
      <c r="AZ247" s="4"/>
      <c r="BA247" s="4"/>
      <c r="BB247" s="4"/>
      <c r="BC247" s="4"/>
      <c r="BD247" s="4"/>
      <c r="BE247" s="4"/>
    </row>
    <row r="248" spans="1:57" ht="14.4" customHeight="1">
      <c r="A248" s="596"/>
      <c r="B248" s="3289" t="s">
        <v>772</v>
      </c>
      <c r="C248" s="612" t="s">
        <v>976</v>
      </c>
      <c r="D248" s="596" t="s">
        <v>1922</v>
      </c>
      <c r="E248" s="597" t="s">
        <v>1764</v>
      </c>
      <c r="F248" s="598" t="s">
        <v>1765</v>
      </c>
      <c r="G248" s="1080">
        <v>0</v>
      </c>
      <c r="H248" s="1080"/>
      <c r="I248" s="1080">
        <v>0</v>
      </c>
      <c r="J248" s="1081"/>
      <c r="K248" s="1404">
        <f>L249</f>
        <v>0</v>
      </c>
      <c r="L248" s="613"/>
      <c r="M248" s="1445"/>
      <c r="N248" s="1445"/>
      <c r="O248" s="1085"/>
      <c r="P248" s="19"/>
      <c r="Q248" s="4"/>
      <c r="R248"/>
      <c r="S248"/>
      <c r="T248"/>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row>
    <row r="249" spans="1:57">
      <c r="A249" s="603"/>
      <c r="B249" s="3290" t="s">
        <v>772</v>
      </c>
      <c r="C249" s="603"/>
      <c r="D249" s="603" t="s">
        <v>1922</v>
      </c>
      <c r="E249" s="604" t="s">
        <v>1764</v>
      </c>
      <c r="F249" s="605"/>
      <c r="G249" s="1083"/>
      <c r="H249" s="1083"/>
      <c r="I249" s="1083"/>
      <c r="J249" s="1084"/>
      <c r="K249" s="1094"/>
      <c r="L249" s="1501"/>
      <c r="M249" s="120"/>
      <c r="N249" s="120"/>
      <c r="O249" s="1085"/>
      <c r="P249" s="5"/>
      <c r="Q249" s="5"/>
      <c r="R249"/>
      <c r="S249"/>
      <c r="T249"/>
      <c r="U249" s="5"/>
      <c r="V249" s="5"/>
      <c r="W249" s="5"/>
      <c r="X249" s="5"/>
      <c r="Y249" s="5"/>
      <c r="Z249" s="5"/>
      <c r="AA249" s="5"/>
      <c r="AB249" s="5"/>
      <c r="AC249" s="5"/>
      <c r="AD249" s="5"/>
      <c r="AE249" s="5"/>
      <c r="AF249" s="5"/>
      <c r="AG249" s="5"/>
      <c r="AH249" s="5"/>
      <c r="AI249" s="123"/>
      <c r="AJ249" s="123"/>
      <c r="AK249" s="123"/>
      <c r="AL249" s="123"/>
      <c r="AM249" s="593"/>
      <c r="AN249" s="124"/>
      <c r="AO249" s="594"/>
      <c r="AP249" s="384"/>
      <c r="AQ249" s="595"/>
      <c r="AR249" s="5"/>
      <c r="AS249" s="4"/>
      <c r="AT249" s="4"/>
      <c r="AU249" s="4"/>
      <c r="AV249" s="4"/>
      <c r="AW249" s="4"/>
      <c r="AX249" s="4"/>
      <c r="AY249" s="4"/>
      <c r="AZ249" s="4"/>
      <c r="BA249" s="4"/>
      <c r="BB249" s="4"/>
      <c r="BC249" s="4"/>
      <c r="BD249" s="4"/>
      <c r="BE249" s="4"/>
    </row>
    <row r="250" spans="1:57" ht="14.4" hidden="1" customHeight="1">
      <c r="A250" s="596"/>
      <c r="B250" s="3289" t="s">
        <v>326</v>
      </c>
      <c r="C250" s="612" t="s">
        <v>796</v>
      </c>
      <c r="D250" s="596" t="s">
        <v>1923</v>
      </c>
      <c r="E250" s="597" t="s">
        <v>43</v>
      </c>
      <c r="F250" s="598" t="s">
        <v>1804</v>
      </c>
      <c r="G250" s="1088">
        <v>262534</v>
      </c>
      <c r="H250" s="1088"/>
      <c r="I250" s="1088">
        <v>175022.3</v>
      </c>
      <c r="J250" s="1089"/>
      <c r="K250" s="602">
        <f>L251</f>
        <v>210367</v>
      </c>
      <c r="L250" s="602"/>
      <c r="M250" s="1445"/>
      <c r="N250" s="1445"/>
      <c r="O250" s="1085"/>
      <c r="P250" s="19"/>
      <c r="Q250" s="4"/>
      <c r="R250"/>
      <c r="S250"/>
      <c r="T250"/>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row>
    <row r="251" spans="1:57" hidden="1">
      <c r="A251" s="603"/>
      <c r="B251" s="3290" t="s">
        <v>326</v>
      </c>
      <c r="C251" s="603"/>
      <c r="D251" s="603" t="s">
        <v>1923</v>
      </c>
      <c r="E251" s="604" t="s">
        <v>43</v>
      </c>
      <c r="F251" s="605"/>
      <c r="G251" s="1090"/>
      <c r="H251" s="1090">
        <v>262534</v>
      </c>
      <c r="I251" s="1090"/>
      <c r="J251" s="1091"/>
      <c r="K251" s="120"/>
      <c r="L251" s="120">
        <v>210367</v>
      </c>
      <c r="M251" s="120"/>
      <c r="N251" s="120"/>
      <c r="O251" s="1085"/>
      <c r="P251" s="5"/>
      <c r="Q251" s="5"/>
      <c r="R251"/>
      <c r="S251"/>
      <c r="T251"/>
      <c r="U251" s="5"/>
      <c r="V251" s="5"/>
      <c r="W251" s="5"/>
      <c r="X251" s="5"/>
      <c r="Y251" s="5"/>
      <c r="Z251" s="5"/>
      <c r="AA251" s="5"/>
      <c r="AB251" s="5"/>
      <c r="AC251" s="5"/>
      <c r="AD251" s="5"/>
      <c r="AE251" s="5"/>
      <c r="AF251" s="5"/>
      <c r="AG251" s="5"/>
      <c r="AH251" s="5"/>
      <c r="AI251" s="123"/>
      <c r="AJ251" s="123"/>
      <c r="AK251" s="123"/>
      <c r="AL251" s="123"/>
      <c r="AM251" s="593"/>
      <c r="AN251" s="124"/>
      <c r="AO251" s="594"/>
      <c r="AP251" s="384"/>
      <c r="AQ251" s="595"/>
      <c r="AR251" s="5"/>
      <c r="AS251" s="4"/>
      <c r="AT251" s="4"/>
      <c r="AU251" s="4"/>
      <c r="AV251" s="4"/>
      <c r="AW251" s="4"/>
      <c r="AX251" s="4"/>
      <c r="AY251" s="4"/>
      <c r="AZ251" s="4"/>
      <c r="BA251" s="4"/>
      <c r="BB251" s="4"/>
      <c r="BC251" s="4"/>
      <c r="BD251" s="4"/>
      <c r="BE251" s="4"/>
    </row>
    <row r="252" spans="1:57" ht="14.4" hidden="1" customHeight="1">
      <c r="A252" s="1575"/>
      <c r="B252" s="3289" t="s">
        <v>326</v>
      </c>
      <c r="C252" s="612" t="s">
        <v>796</v>
      </c>
      <c r="D252" s="596" t="s">
        <v>1923</v>
      </c>
      <c r="E252" s="597" t="s">
        <v>42</v>
      </c>
      <c r="F252" s="598" t="s">
        <v>1805</v>
      </c>
      <c r="G252" s="1088">
        <v>4903</v>
      </c>
      <c r="H252" s="1088"/>
      <c r="I252" s="1088"/>
      <c r="J252" s="1089"/>
      <c r="K252" s="602">
        <f>L253</f>
        <v>0</v>
      </c>
      <c r="L252" s="602"/>
      <c r="M252" s="1445"/>
      <c r="N252" s="1445"/>
      <c r="O252" s="1085"/>
      <c r="P252" s="19"/>
      <c r="Q252" s="4"/>
      <c r="R252"/>
      <c r="S252"/>
      <c r="T252"/>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row>
    <row r="253" spans="1:57" hidden="1">
      <c r="A253" s="1495"/>
      <c r="B253" s="3290" t="s">
        <v>326</v>
      </c>
      <c r="C253" s="603"/>
      <c r="D253" s="603" t="s">
        <v>1923</v>
      </c>
      <c r="E253" s="604" t="s">
        <v>42</v>
      </c>
      <c r="F253" s="605"/>
      <c r="G253" s="1090"/>
      <c r="H253" s="1090">
        <v>4903</v>
      </c>
      <c r="I253" s="1090"/>
      <c r="J253" s="1091"/>
      <c r="K253" s="120"/>
      <c r="L253" s="120"/>
      <c r="M253" s="120"/>
      <c r="N253" s="120"/>
      <c r="O253" s="1085"/>
      <c r="P253" s="5"/>
      <c r="Q253" s="5"/>
      <c r="R253"/>
      <c r="S253"/>
      <c r="T253"/>
      <c r="U253" s="5"/>
      <c r="V253" s="5"/>
      <c r="W253" s="5"/>
      <c r="X253" s="5"/>
      <c r="Y253" s="5"/>
      <c r="Z253" s="5"/>
      <c r="AA253" s="5"/>
      <c r="AB253" s="5"/>
      <c r="AC253" s="5"/>
      <c r="AD253" s="5"/>
      <c r="AE253" s="5"/>
      <c r="AF253" s="5"/>
      <c r="AG253" s="5"/>
      <c r="AH253" s="5"/>
      <c r="AI253" s="123"/>
      <c r="AJ253" s="123"/>
      <c r="AK253" s="123"/>
      <c r="AL253" s="123"/>
      <c r="AM253" s="593"/>
      <c r="AN253" s="124"/>
      <c r="AO253" s="594"/>
      <c r="AP253" s="384"/>
      <c r="AQ253" s="595"/>
      <c r="AR253" s="5"/>
      <c r="AS253" s="4"/>
      <c r="AT253" s="4"/>
      <c r="AU253" s="4"/>
      <c r="AV253" s="4"/>
      <c r="AW253" s="4"/>
      <c r="AX253" s="4"/>
      <c r="AY253" s="4"/>
      <c r="AZ253" s="4"/>
      <c r="BA253" s="4"/>
      <c r="BB253" s="4"/>
      <c r="BC253" s="4"/>
      <c r="BD253" s="4"/>
      <c r="BE253" s="4"/>
    </row>
    <row r="254" spans="1:57" hidden="1">
      <c r="A254" s="596"/>
      <c r="B254" s="3291" t="s">
        <v>365</v>
      </c>
      <c r="C254" s="1576" t="s">
        <v>3382</v>
      </c>
      <c r="D254" s="1613" t="s">
        <v>3383</v>
      </c>
      <c r="E254" s="1577" t="s">
        <v>1319</v>
      </c>
      <c r="F254" s="1578" t="s">
        <v>1782</v>
      </c>
      <c r="G254" s="1088">
        <v>3086</v>
      </c>
      <c r="H254" s="1088"/>
      <c r="I254" s="1088">
        <v>0</v>
      </c>
      <c r="J254" s="1089"/>
      <c r="K254" s="1659">
        <f>L255</f>
        <v>306</v>
      </c>
      <c r="L254" s="1659"/>
      <c r="M254" s="120"/>
      <c r="N254" s="120"/>
      <c r="O254" s="1085"/>
      <c r="P254" s="19"/>
      <c r="Q254" s="4"/>
      <c r="R254"/>
      <c r="S254"/>
      <c r="T25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row>
    <row r="255" spans="1:57" hidden="1">
      <c r="A255" s="603"/>
      <c r="B255" s="3292" t="s">
        <v>365</v>
      </c>
      <c r="C255" s="1495"/>
      <c r="D255" s="1611" t="s">
        <v>3383</v>
      </c>
      <c r="E255" s="1574" t="s">
        <v>1319</v>
      </c>
      <c r="F255" s="1496"/>
      <c r="G255" s="1090"/>
      <c r="H255" s="1090">
        <v>3086</v>
      </c>
      <c r="I255" s="1090"/>
      <c r="J255" s="1091"/>
      <c r="K255" s="1660"/>
      <c r="L255" s="1660">
        <v>306</v>
      </c>
      <c r="M255" s="120"/>
      <c r="N255" s="120"/>
      <c r="O255" s="1085"/>
      <c r="P255" s="5"/>
      <c r="Q255" s="5"/>
      <c r="R255"/>
      <c r="S255"/>
      <c r="T255"/>
      <c r="U255" s="5"/>
      <c r="V255" s="5"/>
      <c r="W255" s="5"/>
      <c r="X255" s="5"/>
      <c r="Y255" s="5"/>
      <c r="Z255" s="5"/>
      <c r="AA255" s="5"/>
      <c r="AB255" s="5"/>
      <c r="AC255" s="5"/>
      <c r="AD255" s="5"/>
      <c r="AE255" s="5"/>
      <c r="AF255" s="5"/>
      <c r="AG255" s="5"/>
      <c r="AH255" s="5"/>
      <c r="AI255" s="123"/>
      <c r="AJ255" s="123"/>
      <c r="AK255" s="123"/>
      <c r="AL255" s="123"/>
      <c r="AM255" s="593"/>
      <c r="AN255" s="124"/>
      <c r="AO255" s="594"/>
      <c r="AP255" s="384"/>
      <c r="AQ255" s="595"/>
      <c r="AR255" s="5"/>
      <c r="AS255" s="4"/>
      <c r="AT255" s="4"/>
      <c r="AU255" s="4"/>
      <c r="AV255" s="4"/>
      <c r="AW255" s="4"/>
      <c r="AX255" s="4"/>
      <c r="AY255" s="4"/>
      <c r="AZ255" s="4"/>
      <c r="BA255" s="4"/>
      <c r="BB255" s="4"/>
      <c r="BC255" s="4"/>
      <c r="BD255" s="4"/>
      <c r="BE255" s="4"/>
    </row>
    <row r="256" spans="1:57" hidden="1">
      <c r="A256" s="596"/>
      <c r="B256" s="3289" t="s">
        <v>365</v>
      </c>
      <c r="C256" s="612" t="s">
        <v>1712</v>
      </c>
      <c r="D256" s="596" t="s">
        <v>2888</v>
      </c>
      <c r="E256" s="597" t="s">
        <v>1319</v>
      </c>
      <c r="F256" s="598"/>
      <c r="G256" s="1404">
        <v>2500000</v>
      </c>
      <c r="H256" s="602"/>
      <c r="I256" s="1080">
        <v>1000000</v>
      </c>
      <c r="J256" s="1081"/>
      <c r="K256" s="602">
        <f>L257</f>
        <v>1403713.71</v>
      </c>
      <c r="L256" s="602"/>
      <c r="M256" s="1445"/>
      <c r="N256" s="1445"/>
      <c r="O256" s="1085"/>
      <c r="P256" s="19"/>
      <c r="Q256" s="4"/>
      <c r="R256"/>
      <c r="S256"/>
      <c r="T256"/>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row>
    <row r="257" spans="1:57" ht="20.399999999999999" hidden="1">
      <c r="A257" s="603"/>
      <c r="B257" s="3290" t="s">
        <v>365</v>
      </c>
      <c r="C257" s="603"/>
      <c r="D257" s="603" t="s">
        <v>2888</v>
      </c>
      <c r="E257" s="604" t="s">
        <v>1319</v>
      </c>
      <c r="F257" s="605" t="s">
        <v>2952</v>
      </c>
      <c r="G257" s="1094"/>
      <c r="H257" s="120">
        <v>2500000</v>
      </c>
      <c r="I257" s="1083"/>
      <c r="J257" s="1084"/>
      <c r="K257" s="120"/>
      <c r="L257" s="120">
        <v>1403713.71</v>
      </c>
      <c r="M257" s="120"/>
      <c r="N257" s="120"/>
      <c r="O257" s="1085"/>
      <c r="P257" s="5"/>
      <c r="Q257" s="5"/>
      <c r="R257"/>
      <c r="S257"/>
      <c r="T257"/>
      <c r="U257" s="5"/>
      <c r="V257" s="5"/>
      <c r="W257" s="5"/>
      <c r="X257" s="5"/>
      <c r="Y257" s="5"/>
      <c r="Z257" s="5"/>
      <c r="AA257" s="5"/>
      <c r="AB257" s="5"/>
      <c r="AC257" s="5"/>
      <c r="AD257" s="5"/>
      <c r="AE257" s="5"/>
      <c r="AF257" s="5"/>
      <c r="AG257" s="5"/>
      <c r="AH257" s="5"/>
      <c r="AI257" s="123"/>
      <c r="AJ257" s="123"/>
      <c r="AK257" s="123"/>
      <c r="AL257" s="123"/>
      <c r="AM257" s="593"/>
      <c r="AN257" s="124"/>
      <c r="AO257" s="594"/>
      <c r="AP257" s="384"/>
      <c r="AQ257" s="595"/>
      <c r="AR257" s="5"/>
      <c r="AS257" s="4"/>
      <c r="AT257" s="4"/>
      <c r="AU257" s="4"/>
      <c r="AV257" s="4"/>
      <c r="AW257" s="4"/>
      <c r="AX257" s="4"/>
      <c r="AY257" s="4"/>
      <c r="AZ257" s="4"/>
      <c r="BA257" s="4"/>
      <c r="BB257" s="4"/>
      <c r="BC257" s="4"/>
      <c r="BD257" s="4"/>
      <c r="BE257" s="4"/>
    </row>
    <row r="258" spans="1:57" hidden="1">
      <c r="A258" s="596"/>
      <c r="B258" s="3289" t="s">
        <v>365</v>
      </c>
      <c r="C258" s="612" t="s">
        <v>5206</v>
      </c>
      <c r="D258" s="596" t="s">
        <v>5208</v>
      </c>
      <c r="E258" s="597" t="s">
        <v>1319</v>
      </c>
      <c r="F258" s="598"/>
      <c r="G258" s="1404"/>
      <c r="H258" s="602"/>
      <c r="I258" s="1080"/>
      <c r="J258" s="1081"/>
      <c r="K258" s="602">
        <f>L259</f>
        <v>529141</v>
      </c>
      <c r="L258" s="602"/>
      <c r="M258" s="1445"/>
      <c r="N258" s="1445"/>
      <c r="O258" s="1085"/>
      <c r="P258" s="19"/>
      <c r="Q258" s="4"/>
      <c r="R258"/>
      <c r="S258"/>
      <c r="T258"/>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row>
    <row r="259" spans="1:57" ht="20.399999999999999" hidden="1">
      <c r="A259" s="603"/>
      <c r="B259" s="3290" t="s">
        <v>365</v>
      </c>
      <c r="C259" s="603"/>
      <c r="D259" s="603" t="s">
        <v>5208</v>
      </c>
      <c r="E259" s="604" t="s">
        <v>1319</v>
      </c>
      <c r="F259" s="605" t="s">
        <v>4616</v>
      </c>
      <c r="G259" s="1094"/>
      <c r="H259" s="120"/>
      <c r="I259" s="1083"/>
      <c r="J259" s="1084"/>
      <c r="K259" s="120"/>
      <c r="L259" s="120">
        <v>529141</v>
      </c>
      <c r="M259" s="120"/>
      <c r="N259" s="120"/>
      <c r="O259" s="1085"/>
      <c r="P259" s="5"/>
      <c r="Q259" s="5"/>
      <c r="R259"/>
      <c r="S259"/>
      <c r="T259"/>
      <c r="U259" s="5"/>
      <c r="V259" s="5"/>
      <c r="W259" s="5"/>
      <c r="X259" s="5"/>
      <c r="Y259" s="5"/>
      <c r="Z259" s="5"/>
      <c r="AA259" s="5"/>
      <c r="AB259" s="5"/>
      <c r="AC259" s="5"/>
      <c r="AD259" s="5"/>
      <c r="AE259" s="5"/>
      <c r="AF259" s="5"/>
      <c r="AG259" s="5"/>
      <c r="AH259" s="5"/>
      <c r="AI259" s="123"/>
      <c r="AJ259" s="123"/>
      <c r="AK259" s="123"/>
      <c r="AL259" s="123"/>
      <c r="AM259" s="593"/>
      <c r="AN259" s="124"/>
      <c r="AO259" s="594"/>
      <c r="AP259" s="384"/>
      <c r="AQ259" s="595"/>
      <c r="AR259" s="5"/>
      <c r="AS259" s="4"/>
      <c r="AT259" s="4"/>
      <c r="AU259" s="4"/>
      <c r="AV259" s="4"/>
      <c r="AW259" s="4"/>
      <c r="AX259" s="4"/>
      <c r="AY259" s="4"/>
      <c r="AZ259" s="4"/>
      <c r="BA259" s="4"/>
      <c r="BB259" s="4"/>
      <c r="BC259" s="4"/>
      <c r="BD259" s="4"/>
      <c r="BE259" s="4"/>
    </row>
    <row r="260" spans="1:57">
      <c r="A260" s="596"/>
      <c r="B260" s="3289" t="s">
        <v>772</v>
      </c>
      <c r="C260" s="612" t="s">
        <v>314</v>
      </c>
      <c r="D260" s="596" t="s">
        <v>1925</v>
      </c>
      <c r="E260" s="614" t="s">
        <v>447</v>
      </c>
      <c r="F260" s="615" t="s">
        <v>1734</v>
      </c>
      <c r="G260" s="1080">
        <v>0</v>
      </c>
      <c r="H260" s="1080"/>
      <c r="I260" s="1080">
        <v>4722.6400000000003</v>
      </c>
      <c r="J260" s="1081"/>
      <c r="K260" s="602">
        <f>L261</f>
        <v>0</v>
      </c>
      <c r="L260" s="602"/>
      <c r="M260" s="1445"/>
      <c r="N260" s="1445"/>
      <c r="O260" s="1085"/>
      <c r="P260" s="19"/>
      <c r="Q260" s="4"/>
      <c r="R260"/>
      <c r="S260"/>
      <c r="T260"/>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row>
    <row r="261" spans="1:57">
      <c r="A261" s="603"/>
      <c r="B261" s="3290" t="s">
        <v>772</v>
      </c>
      <c r="C261" s="603"/>
      <c r="D261" s="603" t="s">
        <v>1925</v>
      </c>
      <c r="E261" s="617" t="s">
        <v>447</v>
      </c>
      <c r="F261" s="618" t="s">
        <v>1734</v>
      </c>
      <c r="G261" s="1083"/>
      <c r="H261" s="1083">
        <v>0</v>
      </c>
      <c r="I261" s="1083"/>
      <c r="J261" s="1084"/>
      <c r="K261" s="120"/>
      <c r="L261" s="120">
        <v>0</v>
      </c>
      <c r="M261" s="120"/>
      <c r="N261" s="120"/>
      <c r="O261" s="1085"/>
      <c r="P261" s="5"/>
      <c r="Q261" s="5"/>
      <c r="R261"/>
      <c r="S261"/>
      <c r="T261"/>
      <c r="U261" s="5"/>
      <c r="V261" s="5"/>
      <c r="W261" s="5"/>
      <c r="X261" s="5"/>
      <c r="Y261" s="5"/>
      <c r="Z261" s="5"/>
      <c r="AA261" s="5"/>
      <c r="AB261" s="5"/>
      <c r="AC261" s="5"/>
      <c r="AD261" s="5"/>
      <c r="AE261" s="5"/>
      <c r="AF261" s="5"/>
      <c r="AG261" s="5"/>
      <c r="AH261" s="5"/>
      <c r="AI261" s="123"/>
      <c r="AJ261" s="123"/>
      <c r="AK261" s="123"/>
      <c r="AL261" s="123"/>
      <c r="AM261" s="593"/>
      <c r="AN261" s="124"/>
      <c r="AO261" s="594"/>
      <c r="AP261" s="384"/>
      <c r="AQ261" s="595"/>
      <c r="AR261" s="5"/>
      <c r="AS261" s="4"/>
      <c r="AT261" s="4"/>
      <c r="AU261" s="4"/>
      <c r="AV261" s="4"/>
      <c r="AW261" s="4"/>
      <c r="AX261" s="4"/>
      <c r="AY261" s="4"/>
      <c r="AZ261" s="4"/>
      <c r="BA261" s="4"/>
      <c r="BB261" s="4"/>
      <c r="BC261" s="4"/>
      <c r="BD261" s="4"/>
      <c r="BE261" s="4"/>
    </row>
    <row r="262" spans="1:57">
      <c r="A262" s="596"/>
      <c r="B262" s="3289" t="s">
        <v>772</v>
      </c>
      <c r="C262" s="612" t="s">
        <v>314</v>
      </c>
      <c r="D262" s="596" t="s">
        <v>1925</v>
      </c>
      <c r="E262" s="597" t="s">
        <v>59</v>
      </c>
      <c r="F262" s="598" t="s">
        <v>1802</v>
      </c>
      <c r="G262" s="1080">
        <v>17000</v>
      </c>
      <c r="H262" s="1080"/>
      <c r="I262" s="1080">
        <v>12579</v>
      </c>
      <c r="J262" s="1081"/>
      <c r="K262" s="602">
        <f>SUM(L263:L264)</f>
        <v>56</v>
      </c>
      <c r="L262" s="602"/>
      <c r="M262" s="1445"/>
      <c r="N262" s="1445"/>
      <c r="O262" s="1085"/>
      <c r="P262" s="19"/>
      <c r="Q262" s="4"/>
      <c r="R262"/>
      <c r="S262"/>
      <c r="T262"/>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row>
    <row r="263" spans="1:57">
      <c r="A263" s="603"/>
      <c r="B263" s="3290" t="s">
        <v>772</v>
      </c>
      <c r="C263" s="603"/>
      <c r="D263" s="603" t="s">
        <v>1925</v>
      </c>
      <c r="E263" s="604" t="s">
        <v>59</v>
      </c>
      <c r="F263" s="605"/>
      <c r="G263" s="1083"/>
      <c r="H263" s="1083">
        <v>17000</v>
      </c>
      <c r="I263" s="1083"/>
      <c r="J263" s="1084"/>
      <c r="K263" s="120"/>
      <c r="L263" s="120">
        <v>17000</v>
      </c>
      <c r="M263" s="120"/>
      <c r="N263" s="120"/>
      <c r="O263" s="1085"/>
      <c r="P263" s="5"/>
      <c r="Q263" s="5"/>
      <c r="R263"/>
      <c r="S263"/>
      <c r="T263"/>
      <c r="U263" s="5"/>
      <c r="V263" s="5"/>
      <c r="W263" s="5"/>
      <c r="X263" s="5"/>
      <c r="Y263" s="5"/>
      <c r="Z263" s="5"/>
      <c r="AA263" s="5"/>
      <c r="AB263" s="5"/>
      <c r="AC263" s="5"/>
      <c r="AD263" s="5"/>
      <c r="AE263" s="5"/>
      <c r="AF263" s="5"/>
      <c r="AG263" s="5"/>
      <c r="AH263" s="5"/>
      <c r="AI263" s="123"/>
      <c r="AJ263" s="123"/>
      <c r="AK263" s="123"/>
      <c r="AL263" s="123"/>
      <c r="AM263" s="593"/>
      <c r="AN263" s="124"/>
      <c r="AO263" s="594"/>
      <c r="AP263" s="384"/>
      <c r="AQ263" s="595"/>
      <c r="AR263" s="5"/>
      <c r="AS263" s="4"/>
      <c r="AT263" s="4"/>
      <c r="AU263" s="4"/>
      <c r="AV263" s="4"/>
      <c r="AW263" s="4"/>
      <c r="AX263" s="4"/>
      <c r="AY263" s="4"/>
      <c r="AZ263" s="4"/>
      <c r="BA263" s="4"/>
      <c r="BB263" s="4"/>
      <c r="BC263" s="4"/>
      <c r="BD263" s="4"/>
      <c r="BE263" s="4"/>
    </row>
    <row r="264" spans="1:57" ht="20.399999999999999" customHeight="1">
      <c r="A264" s="603"/>
      <c r="B264" s="3290" t="s">
        <v>772</v>
      </c>
      <c r="C264" s="603"/>
      <c r="D264" s="603" t="s">
        <v>1925</v>
      </c>
      <c r="E264" s="604" t="s">
        <v>59</v>
      </c>
      <c r="F264" s="605" t="s">
        <v>5320</v>
      </c>
      <c r="G264" s="1083"/>
      <c r="H264" s="1083"/>
      <c r="I264" s="1083"/>
      <c r="J264" s="1084"/>
      <c r="K264" s="1660"/>
      <c r="L264" s="3264">
        <v>-16944</v>
      </c>
      <c r="M264" s="1660"/>
      <c r="N264" s="120"/>
      <c r="O264" s="1085"/>
      <c r="P264" s="5"/>
      <c r="Q264" s="5"/>
      <c r="R264"/>
      <c r="S264"/>
      <c r="T264"/>
      <c r="U264" s="5"/>
      <c r="V264" s="5"/>
      <c r="W264" s="5"/>
      <c r="X264" s="5"/>
      <c r="Y264" s="5"/>
      <c r="Z264" s="5"/>
      <c r="AA264" s="5"/>
      <c r="AB264" s="5"/>
      <c r="AC264" s="5"/>
      <c r="AD264" s="5"/>
      <c r="AE264" s="5"/>
      <c r="AF264" s="5"/>
      <c r="AG264" s="5"/>
      <c r="AH264" s="5"/>
      <c r="AI264" s="123"/>
      <c r="AJ264" s="123"/>
      <c r="AK264" s="123"/>
      <c r="AL264" s="123"/>
      <c r="AM264" s="593"/>
      <c r="AN264" s="124"/>
      <c r="AO264" s="594"/>
      <c r="AP264" s="384"/>
      <c r="AQ264" s="595"/>
      <c r="AR264" s="5"/>
      <c r="AS264" s="4"/>
      <c r="AT264" s="4"/>
      <c r="AU264" s="4"/>
      <c r="AV264" s="4"/>
      <c r="AW264" s="4"/>
      <c r="AX264" s="4"/>
      <c r="AY264" s="4"/>
      <c r="AZ264" s="4"/>
      <c r="BA264" s="4"/>
      <c r="BB264" s="4"/>
      <c r="BC264" s="4"/>
      <c r="BD264" s="4"/>
      <c r="BE264" s="4"/>
    </row>
    <row r="265" spans="1:57">
      <c r="A265" s="596"/>
      <c r="B265" s="3289" t="s">
        <v>772</v>
      </c>
      <c r="C265" s="612" t="s">
        <v>314</v>
      </c>
      <c r="D265" s="596" t="s">
        <v>1925</v>
      </c>
      <c r="E265" s="597" t="s">
        <v>64</v>
      </c>
      <c r="F265" s="598" t="s">
        <v>1741</v>
      </c>
      <c r="G265" s="1080">
        <v>5000</v>
      </c>
      <c r="H265" s="1080"/>
      <c r="I265" s="1080">
        <v>7054.33</v>
      </c>
      <c r="J265" s="1081"/>
      <c r="K265" s="602">
        <f>L266</f>
        <v>7000</v>
      </c>
      <c r="L265" s="602"/>
      <c r="M265" s="1445"/>
      <c r="N265" s="1445">
        <f>K265/121*21</f>
        <v>1214.8760330578511</v>
      </c>
      <c r="O265" s="1085"/>
      <c r="P265" s="19"/>
      <c r="Q265" s="4"/>
      <c r="R265"/>
      <c r="S265"/>
      <c r="T265"/>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row>
    <row r="266" spans="1:57">
      <c r="A266" s="603"/>
      <c r="B266" s="3290" t="s">
        <v>772</v>
      </c>
      <c r="C266" s="603"/>
      <c r="D266" s="603" t="s">
        <v>1925</v>
      </c>
      <c r="E266" s="604" t="s">
        <v>64</v>
      </c>
      <c r="F266" s="605"/>
      <c r="G266" s="1083"/>
      <c r="H266" s="1083">
        <v>5000</v>
      </c>
      <c r="I266" s="1083"/>
      <c r="J266" s="1084"/>
      <c r="K266" s="120"/>
      <c r="L266" s="120">
        <v>7000</v>
      </c>
      <c r="M266" s="120"/>
      <c r="N266" s="120"/>
      <c r="O266" s="1085"/>
      <c r="P266" s="5"/>
      <c r="Q266" s="5"/>
      <c r="R266"/>
      <c r="S266"/>
      <c r="T266"/>
      <c r="U266" s="5"/>
      <c r="V266" s="5"/>
      <c r="W266" s="5"/>
      <c r="X266" s="5"/>
      <c r="Y266" s="5"/>
      <c r="Z266" s="5"/>
      <c r="AA266" s="5"/>
      <c r="AB266" s="5"/>
      <c r="AC266" s="5"/>
      <c r="AD266" s="5"/>
      <c r="AE266" s="5"/>
      <c r="AF266" s="5"/>
      <c r="AG266" s="5"/>
      <c r="AH266" s="5"/>
      <c r="AI266" s="123"/>
      <c r="AJ266" s="123"/>
      <c r="AK266" s="123"/>
      <c r="AL266" s="123"/>
      <c r="AM266" s="593"/>
      <c r="AN266" s="124"/>
      <c r="AO266" s="594"/>
      <c r="AP266" s="384"/>
      <c r="AQ266" s="595"/>
      <c r="AR266" s="5"/>
      <c r="AS266" s="4"/>
      <c r="AT266" s="4"/>
      <c r="AU266" s="4"/>
      <c r="AV266" s="4"/>
      <c r="AW266" s="4"/>
      <c r="AX266" s="4"/>
      <c r="AY266" s="4"/>
      <c r="AZ266" s="4"/>
      <c r="BA266" s="4"/>
      <c r="BB266" s="4"/>
      <c r="BC266" s="4"/>
      <c r="BD266" s="4"/>
      <c r="BE266" s="4"/>
    </row>
    <row r="267" spans="1:57" ht="20.399999999999999">
      <c r="A267" s="596"/>
      <c r="B267" s="3289" t="s">
        <v>772</v>
      </c>
      <c r="C267" s="612" t="s">
        <v>314</v>
      </c>
      <c r="D267" s="596" t="s">
        <v>1925</v>
      </c>
      <c r="E267" s="597" t="s">
        <v>1794</v>
      </c>
      <c r="F267" s="598" t="s">
        <v>1795</v>
      </c>
      <c r="G267" s="1080">
        <v>0</v>
      </c>
      <c r="H267" s="1080"/>
      <c r="I267" s="1080">
        <v>790.9</v>
      </c>
      <c r="J267" s="1081"/>
      <c r="K267" s="602">
        <f>L268</f>
        <v>0</v>
      </c>
      <c r="L267" s="602"/>
      <c r="M267" s="1445"/>
      <c r="N267" s="1445"/>
      <c r="O267" s="1085"/>
      <c r="P267" s="19"/>
      <c r="Q267" s="4"/>
      <c r="R267"/>
      <c r="S267"/>
      <c r="T267"/>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row>
    <row r="268" spans="1:57">
      <c r="A268" s="603"/>
      <c r="B268" s="3290" t="s">
        <v>772</v>
      </c>
      <c r="C268" s="603"/>
      <c r="D268" s="603" t="s">
        <v>1925</v>
      </c>
      <c r="E268" s="604" t="s">
        <v>1794</v>
      </c>
      <c r="F268" s="605" t="s">
        <v>1806</v>
      </c>
      <c r="G268" s="1083"/>
      <c r="H268" s="1083">
        <v>0</v>
      </c>
      <c r="I268" s="1083"/>
      <c r="J268" s="1084"/>
      <c r="K268" s="120"/>
      <c r="L268" s="120">
        <v>0</v>
      </c>
      <c r="M268" s="120"/>
      <c r="N268" s="120"/>
      <c r="O268" s="1085"/>
      <c r="P268" s="5"/>
      <c r="Q268" s="5"/>
      <c r="R268"/>
      <c r="S268"/>
      <c r="T268"/>
      <c r="U268" s="5"/>
      <c r="V268" s="5"/>
      <c r="W268" s="5"/>
      <c r="X268" s="5"/>
      <c r="Y268" s="5"/>
      <c r="Z268" s="5"/>
      <c r="AA268" s="5"/>
      <c r="AB268" s="5"/>
      <c r="AC268" s="5"/>
      <c r="AD268" s="5"/>
      <c r="AE268" s="5"/>
      <c r="AF268" s="5"/>
      <c r="AG268" s="5"/>
      <c r="AH268" s="5"/>
      <c r="AI268" s="123"/>
      <c r="AJ268" s="123"/>
      <c r="AK268" s="123"/>
      <c r="AL268" s="123"/>
      <c r="AM268" s="593"/>
      <c r="AN268" s="124"/>
      <c r="AO268" s="594"/>
      <c r="AP268" s="384"/>
      <c r="AQ268" s="595"/>
      <c r="AR268" s="5"/>
      <c r="AS268" s="4"/>
      <c r="AT268" s="4"/>
      <c r="AU268" s="4"/>
      <c r="AV268" s="4"/>
      <c r="AW268" s="4"/>
      <c r="AX268" s="4"/>
      <c r="AY268" s="4"/>
      <c r="AZ268" s="4"/>
      <c r="BA268" s="4"/>
      <c r="BB268" s="4"/>
      <c r="BC268" s="4"/>
      <c r="BD268" s="4"/>
      <c r="BE268" s="4"/>
    </row>
    <row r="269" spans="1:57" hidden="1">
      <c r="A269" s="596"/>
      <c r="B269" s="3289" t="s">
        <v>326</v>
      </c>
      <c r="C269" s="612" t="s">
        <v>639</v>
      </c>
      <c r="D269" s="596" t="s">
        <v>1926</v>
      </c>
      <c r="E269" s="597" t="s">
        <v>43</v>
      </c>
      <c r="F269" s="598" t="s">
        <v>1804</v>
      </c>
      <c r="G269" s="1088">
        <v>360643</v>
      </c>
      <c r="H269" s="1088"/>
      <c r="I269" s="1088">
        <v>240428.6</v>
      </c>
      <c r="J269" s="1089"/>
      <c r="K269" s="602">
        <f>L270</f>
        <v>381878</v>
      </c>
      <c r="L269" s="602"/>
      <c r="M269" s="1445"/>
      <c r="N269" s="1445"/>
      <c r="O269" s="1085"/>
      <c r="P269" s="19"/>
      <c r="Q269" s="4"/>
      <c r="R269"/>
      <c r="S269"/>
      <c r="T269"/>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row>
    <row r="270" spans="1:57" hidden="1">
      <c r="A270" s="603"/>
      <c r="B270" s="3290" t="s">
        <v>326</v>
      </c>
      <c r="C270" s="603"/>
      <c r="D270" s="603" t="s">
        <v>1926</v>
      </c>
      <c r="E270" s="604" t="s">
        <v>43</v>
      </c>
      <c r="F270" s="605"/>
      <c r="G270" s="1090"/>
      <c r="H270" s="1090">
        <v>360643</v>
      </c>
      <c r="I270" s="1090"/>
      <c r="J270" s="1091"/>
      <c r="K270" s="120"/>
      <c r="L270" s="120">
        <v>381878</v>
      </c>
      <c r="M270" s="120"/>
      <c r="N270" s="120"/>
      <c r="O270" s="1085"/>
      <c r="P270" s="5"/>
      <c r="Q270" s="5"/>
      <c r="R270"/>
      <c r="S270"/>
      <c r="T270"/>
      <c r="U270" s="5"/>
      <c r="V270" s="5"/>
      <c r="W270" s="5"/>
      <c r="X270" s="5"/>
      <c r="Y270" s="5"/>
      <c r="Z270" s="5"/>
      <c r="AA270" s="5"/>
      <c r="AB270" s="5"/>
      <c r="AC270" s="5"/>
      <c r="AD270" s="5"/>
      <c r="AE270" s="5"/>
      <c r="AF270" s="5"/>
      <c r="AG270" s="5"/>
      <c r="AH270" s="5"/>
      <c r="AI270" s="123"/>
      <c r="AJ270" s="123"/>
      <c r="AK270" s="123"/>
      <c r="AL270" s="123"/>
      <c r="AM270" s="593"/>
      <c r="AN270" s="124"/>
      <c r="AO270" s="594"/>
      <c r="AP270" s="384"/>
      <c r="AQ270" s="595"/>
      <c r="AR270" s="5"/>
      <c r="AS270" s="4"/>
      <c r="AT270" s="4"/>
      <c r="AU270" s="4"/>
      <c r="AV270" s="4"/>
      <c r="AW270" s="4"/>
      <c r="AX270" s="4"/>
      <c r="AY270" s="4"/>
      <c r="AZ270" s="4"/>
      <c r="BA270" s="4"/>
      <c r="BB270" s="4"/>
      <c r="BC270" s="4"/>
      <c r="BD270" s="4"/>
      <c r="BE270" s="4"/>
    </row>
    <row r="271" spans="1:57" ht="14.4" hidden="1" customHeight="1">
      <c r="A271" s="1575"/>
      <c r="B271" s="3289" t="s">
        <v>326</v>
      </c>
      <c r="C271" s="612" t="s">
        <v>639</v>
      </c>
      <c r="D271" s="596" t="s">
        <v>1926</v>
      </c>
      <c r="E271" s="597" t="s">
        <v>42</v>
      </c>
      <c r="F271" s="598" t="s">
        <v>1805</v>
      </c>
      <c r="G271" s="1088">
        <v>6809</v>
      </c>
      <c r="H271" s="1088"/>
      <c r="I271" s="1088"/>
      <c r="J271" s="1089"/>
      <c r="K271" s="602">
        <f>L272</f>
        <v>0</v>
      </c>
      <c r="L271" s="602"/>
      <c r="M271" s="1445"/>
      <c r="N271" s="1445"/>
      <c r="O271" s="1085"/>
      <c r="P271" s="19"/>
      <c r="Q271" s="4"/>
      <c r="R271"/>
      <c r="S271"/>
      <c r="T271"/>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row>
    <row r="272" spans="1:57" hidden="1">
      <c r="A272" s="1495"/>
      <c r="B272" s="3290" t="s">
        <v>326</v>
      </c>
      <c r="C272" s="603"/>
      <c r="D272" s="603" t="s">
        <v>1926</v>
      </c>
      <c r="E272" s="604" t="s">
        <v>42</v>
      </c>
      <c r="F272" s="605"/>
      <c r="G272" s="1090"/>
      <c r="H272" s="1090">
        <v>6809</v>
      </c>
      <c r="I272" s="1090"/>
      <c r="J272" s="1091"/>
      <c r="K272" s="120"/>
      <c r="L272" s="120"/>
      <c r="M272" s="120"/>
      <c r="N272" s="120"/>
      <c r="O272" s="1085"/>
      <c r="P272" s="5"/>
      <c r="Q272" s="5"/>
      <c r="R272"/>
      <c r="S272"/>
      <c r="T272"/>
      <c r="U272" s="5"/>
      <c r="V272" s="5"/>
      <c r="W272" s="5"/>
      <c r="X272" s="5"/>
      <c r="Y272" s="5"/>
      <c r="Z272" s="5"/>
      <c r="AA272" s="5"/>
      <c r="AB272" s="5"/>
      <c r="AC272" s="5"/>
      <c r="AD272" s="5"/>
      <c r="AE272" s="5"/>
      <c r="AF272" s="5"/>
      <c r="AG272" s="5"/>
      <c r="AH272" s="5"/>
      <c r="AI272" s="123"/>
      <c r="AJ272" s="123"/>
      <c r="AK272" s="123"/>
      <c r="AL272" s="123"/>
      <c r="AM272" s="593"/>
      <c r="AN272" s="124"/>
      <c r="AO272" s="594"/>
      <c r="AP272" s="384"/>
      <c r="AQ272" s="595"/>
      <c r="AR272" s="5"/>
      <c r="AS272" s="4"/>
      <c r="AT272" s="4"/>
      <c r="AU272" s="4"/>
      <c r="AV272" s="4"/>
      <c r="AW272" s="4"/>
      <c r="AX272" s="4"/>
      <c r="AY272" s="4"/>
      <c r="AZ272" s="4"/>
      <c r="BA272" s="4"/>
      <c r="BB272" s="4"/>
      <c r="BC272" s="4"/>
      <c r="BD272" s="4"/>
      <c r="BE272" s="4"/>
    </row>
    <row r="273" spans="1:57" ht="14.4" hidden="1" customHeight="1">
      <c r="A273" s="596"/>
      <c r="B273" s="3291" t="s">
        <v>365</v>
      </c>
      <c r="C273" s="1576" t="s">
        <v>1274</v>
      </c>
      <c r="D273" s="1613" t="s">
        <v>3379</v>
      </c>
      <c r="E273" s="1577" t="s">
        <v>1319</v>
      </c>
      <c r="F273" s="1578" t="s">
        <v>1782</v>
      </c>
      <c r="G273" s="1088">
        <v>4307</v>
      </c>
      <c r="H273" s="1088"/>
      <c r="I273" s="1088">
        <v>0</v>
      </c>
      <c r="J273" s="1089"/>
      <c r="K273" s="1659">
        <f>L274</f>
        <v>427</v>
      </c>
      <c r="L273" s="1659"/>
      <c r="M273" s="1445"/>
      <c r="N273" s="1445"/>
      <c r="O273" s="1082"/>
      <c r="P273" s="19"/>
      <c r="Q273" s="4"/>
      <c r="R273"/>
      <c r="S273"/>
      <c r="T273"/>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row>
    <row r="274" spans="1:57" hidden="1">
      <c r="A274" s="603"/>
      <c r="B274" s="3292" t="s">
        <v>365</v>
      </c>
      <c r="C274" s="1495"/>
      <c r="D274" s="1611" t="s">
        <v>3379</v>
      </c>
      <c r="E274" s="1574" t="s">
        <v>1319</v>
      </c>
      <c r="F274" s="1496"/>
      <c r="G274" s="1090"/>
      <c r="H274" s="1090">
        <v>4307</v>
      </c>
      <c r="I274" s="1090"/>
      <c r="J274" s="1091"/>
      <c r="K274" s="1660"/>
      <c r="L274" s="1660">
        <v>427</v>
      </c>
      <c r="M274" s="120"/>
      <c r="N274" s="120"/>
      <c r="O274" s="1082"/>
      <c r="P274" s="5"/>
      <c r="Q274" s="5"/>
      <c r="R274"/>
      <c r="S274"/>
      <c r="T274"/>
      <c r="U274" s="5"/>
      <c r="V274" s="5"/>
      <c r="W274" s="5"/>
      <c r="X274" s="5"/>
      <c r="Y274" s="5"/>
      <c r="Z274" s="5"/>
      <c r="AA274" s="5"/>
      <c r="AB274" s="5"/>
      <c r="AC274" s="5"/>
      <c r="AD274" s="5"/>
      <c r="AE274" s="5"/>
      <c r="AF274" s="5"/>
      <c r="AG274" s="5"/>
      <c r="AH274" s="5"/>
      <c r="AI274" s="123"/>
      <c r="AJ274" s="123"/>
      <c r="AK274" s="123"/>
      <c r="AL274" s="123"/>
      <c r="AM274" s="593"/>
      <c r="AN274" s="124"/>
      <c r="AO274" s="594"/>
      <c r="AP274" s="384"/>
      <c r="AQ274" s="595"/>
      <c r="AR274" s="5"/>
      <c r="AS274" s="4"/>
      <c r="AT274" s="4"/>
      <c r="AU274" s="4"/>
      <c r="AV274" s="4"/>
      <c r="AW274" s="4"/>
      <c r="AX274" s="4"/>
      <c r="AY274" s="4"/>
      <c r="AZ274" s="4"/>
      <c r="BA274" s="4"/>
      <c r="BB274" s="4"/>
      <c r="BC274" s="4"/>
      <c r="BD274" s="4"/>
      <c r="BE274" s="4"/>
    </row>
    <row r="275" spans="1:57" ht="14.4" customHeight="1">
      <c r="A275" s="596"/>
      <c r="B275" s="3289" t="s">
        <v>772</v>
      </c>
      <c r="C275" s="612" t="s">
        <v>1030</v>
      </c>
      <c r="D275" s="596" t="s">
        <v>1927</v>
      </c>
      <c r="E275" s="614" t="s">
        <v>447</v>
      </c>
      <c r="F275" s="615" t="s">
        <v>1734</v>
      </c>
      <c r="G275" s="1080">
        <v>0</v>
      </c>
      <c r="H275" s="1080"/>
      <c r="I275" s="1080">
        <v>0.79</v>
      </c>
      <c r="J275" s="1081"/>
      <c r="K275" s="602">
        <f>L276</f>
        <v>0</v>
      </c>
      <c r="L275" s="613"/>
      <c r="M275" s="1445"/>
      <c r="N275" s="1445"/>
      <c r="O275" s="1082"/>
      <c r="P275" s="19"/>
      <c r="Q275" s="4"/>
      <c r="R275"/>
      <c r="S275"/>
      <c r="T275"/>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row>
    <row r="276" spans="1:57">
      <c r="A276" s="603"/>
      <c r="B276" s="3290" t="s">
        <v>772</v>
      </c>
      <c r="C276" s="603"/>
      <c r="D276" s="603" t="s">
        <v>1927</v>
      </c>
      <c r="E276" s="617" t="s">
        <v>447</v>
      </c>
      <c r="F276" s="618" t="s">
        <v>1734</v>
      </c>
      <c r="G276" s="1083"/>
      <c r="H276" s="1083">
        <v>0</v>
      </c>
      <c r="I276" s="1083"/>
      <c r="J276" s="1084"/>
      <c r="K276" s="120"/>
      <c r="L276" s="1501">
        <v>0</v>
      </c>
      <c r="M276" s="120"/>
      <c r="N276" s="120"/>
      <c r="O276" s="1082"/>
      <c r="P276" s="5"/>
      <c r="Q276" s="5"/>
      <c r="R276"/>
      <c r="S276"/>
      <c r="T276"/>
      <c r="U276" s="5"/>
      <c r="V276" s="5"/>
      <c r="W276" s="5"/>
      <c r="X276" s="5"/>
      <c r="Y276" s="5"/>
      <c r="Z276" s="5"/>
      <c r="AA276" s="5"/>
      <c r="AB276" s="5"/>
      <c r="AC276" s="5"/>
      <c r="AD276" s="5"/>
      <c r="AE276" s="5"/>
      <c r="AF276" s="5"/>
      <c r="AG276" s="5"/>
      <c r="AH276" s="5"/>
      <c r="AI276" s="123"/>
      <c r="AJ276" s="123"/>
      <c r="AK276" s="123"/>
      <c r="AL276" s="123"/>
      <c r="AM276" s="593"/>
      <c r="AN276" s="124"/>
      <c r="AO276" s="594"/>
      <c r="AP276" s="384"/>
      <c r="AQ276" s="595"/>
      <c r="AR276" s="5"/>
      <c r="AS276" s="4"/>
      <c r="AT276" s="4"/>
      <c r="AU276" s="4"/>
      <c r="AV276" s="4"/>
      <c r="AW276" s="4"/>
      <c r="AX276" s="4"/>
      <c r="AY276" s="4"/>
      <c r="AZ276" s="4"/>
      <c r="BA276" s="4"/>
      <c r="BB276" s="4"/>
      <c r="BC276" s="4"/>
      <c r="BD276" s="4"/>
      <c r="BE276" s="4"/>
    </row>
    <row r="277" spans="1:57">
      <c r="A277" s="596"/>
      <c r="B277" s="3289" t="s">
        <v>772</v>
      </c>
      <c r="C277" s="612" t="s">
        <v>1030</v>
      </c>
      <c r="D277" s="596" t="s">
        <v>1927</v>
      </c>
      <c r="E277" s="597" t="s">
        <v>59</v>
      </c>
      <c r="F277" s="598" t="s">
        <v>1802</v>
      </c>
      <c r="G277" s="1080">
        <v>13000</v>
      </c>
      <c r="H277" s="1080"/>
      <c r="I277" s="1080">
        <v>8907</v>
      </c>
      <c r="J277" s="1081"/>
      <c r="K277" s="602">
        <f>SUM(L278:L279)</f>
        <v>1373</v>
      </c>
      <c r="L277" s="602"/>
      <c r="M277" s="1445"/>
      <c r="N277" s="1445"/>
      <c r="O277" s="1085"/>
      <c r="P277" s="19"/>
      <c r="Q277" s="4"/>
      <c r="R277"/>
      <c r="S277"/>
      <c r="T277"/>
      <c r="U277" s="5"/>
      <c r="V277" s="5"/>
      <c r="W277" s="5"/>
      <c r="X277" s="5"/>
      <c r="Y277" s="5"/>
      <c r="Z277" s="5"/>
      <c r="AA277" s="5"/>
      <c r="AB277" s="5"/>
      <c r="AC277" s="5"/>
      <c r="AD277" s="5"/>
      <c r="AE277" s="5"/>
      <c r="AF277" s="5"/>
      <c r="AG277" s="5"/>
      <c r="AH277" s="5"/>
      <c r="AI277" s="5"/>
      <c r="AJ277" s="5"/>
      <c r="AK277" s="5"/>
      <c r="AL277" s="5"/>
      <c r="AM277" s="584"/>
      <c r="AN277" s="585"/>
      <c r="AO277" s="586"/>
      <c r="AP277" s="6"/>
      <c r="AQ277" s="587"/>
      <c r="AR277" s="5"/>
      <c r="AS277" s="4"/>
      <c r="AT277" s="4"/>
      <c r="AU277" s="4"/>
      <c r="AV277" s="4"/>
      <c r="AW277" s="4"/>
      <c r="AX277" s="4"/>
      <c r="AY277" s="4"/>
      <c r="AZ277" s="4"/>
      <c r="BA277" s="4"/>
      <c r="BB277" s="4"/>
      <c r="BC277" s="4"/>
      <c r="BD277" s="4"/>
      <c r="BE277" s="4"/>
    </row>
    <row r="278" spans="1:57" ht="14.4" customHeight="1">
      <c r="A278" s="603"/>
      <c r="B278" s="3290" t="s">
        <v>772</v>
      </c>
      <c r="C278" s="603"/>
      <c r="D278" s="603" t="s">
        <v>1927</v>
      </c>
      <c r="E278" s="604" t="s">
        <v>59</v>
      </c>
      <c r="F278" s="605"/>
      <c r="G278" s="1083"/>
      <c r="H278" s="1083">
        <v>13000</v>
      </c>
      <c r="I278" s="1083"/>
      <c r="J278" s="1084"/>
      <c r="K278" s="120"/>
      <c r="L278" s="120">
        <v>13000</v>
      </c>
      <c r="M278" s="120"/>
      <c r="N278" s="120"/>
      <c r="O278" s="1085"/>
      <c r="P278" s="5"/>
      <c r="Q278" s="5"/>
      <c r="R278"/>
      <c r="S278"/>
      <c r="T278"/>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row>
    <row r="279" spans="1:57" ht="20.399999999999999" customHeight="1">
      <c r="A279" s="603"/>
      <c r="B279" s="3290" t="s">
        <v>772</v>
      </c>
      <c r="C279" s="603"/>
      <c r="D279" s="603" t="s">
        <v>1927</v>
      </c>
      <c r="E279" s="604" t="s">
        <v>59</v>
      </c>
      <c r="F279" s="605" t="s">
        <v>5320</v>
      </c>
      <c r="G279" s="1083"/>
      <c r="H279" s="1083"/>
      <c r="I279" s="1083"/>
      <c r="J279" s="1084"/>
      <c r="K279" s="1660"/>
      <c r="L279" s="3264">
        <v>-11627</v>
      </c>
      <c r="M279" s="1660"/>
      <c r="N279" s="120"/>
      <c r="O279" s="1085"/>
      <c r="P279" s="5"/>
      <c r="Q279" s="5"/>
      <c r="R279"/>
      <c r="S279"/>
      <c r="T279"/>
      <c r="U279" s="5"/>
      <c r="V279" s="5"/>
      <c r="W279" s="5"/>
      <c r="X279" s="5"/>
      <c r="Y279" s="5"/>
      <c r="Z279" s="5"/>
      <c r="AA279" s="5"/>
      <c r="AB279" s="5"/>
      <c r="AC279" s="5"/>
      <c r="AD279" s="5"/>
      <c r="AE279" s="5"/>
      <c r="AF279" s="5"/>
      <c r="AG279" s="5"/>
      <c r="AH279" s="5"/>
      <c r="AI279" s="123"/>
      <c r="AJ279" s="123"/>
      <c r="AK279" s="123"/>
      <c r="AL279" s="123"/>
      <c r="AM279" s="593"/>
      <c r="AN279" s="124"/>
      <c r="AO279" s="594"/>
      <c r="AP279" s="384"/>
      <c r="AQ279" s="595"/>
      <c r="AR279" s="5"/>
      <c r="AS279" s="4"/>
      <c r="AT279" s="4"/>
      <c r="AU279" s="4"/>
      <c r="AV279" s="4"/>
      <c r="AW279" s="4"/>
      <c r="AX279" s="4"/>
      <c r="AY279" s="4"/>
      <c r="AZ279" s="4"/>
      <c r="BA279" s="4"/>
      <c r="BB279" s="4"/>
      <c r="BC279" s="4"/>
      <c r="BD279" s="4"/>
      <c r="BE279" s="4"/>
    </row>
    <row r="280" spans="1:57">
      <c r="A280" s="596"/>
      <c r="B280" s="3289" t="s">
        <v>772</v>
      </c>
      <c r="C280" s="612" t="s">
        <v>1030</v>
      </c>
      <c r="D280" s="596" t="s">
        <v>1927</v>
      </c>
      <c r="E280" s="597" t="s">
        <v>64</v>
      </c>
      <c r="F280" s="598" t="s">
        <v>1741</v>
      </c>
      <c r="G280" s="1080">
        <v>5000</v>
      </c>
      <c r="H280" s="1080"/>
      <c r="I280" s="1080">
        <v>5111.8500000000004</v>
      </c>
      <c r="J280" s="1081"/>
      <c r="K280" s="602">
        <f>L281</f>
        <v>5000</v>
      </c>
      <c r="L280" s="602"/>
      <c r="M280" s="1445"/>
      <c r="N280" s="1445"/>
      <c r="O280" s="1082"/>
      <c r="P280" s="19"/>
      <c r="Q280" s="4"/>
      <c r="R280"/>
      <c r="S280"/>
      <c r="T280"/>
      <c r="U280" s="5"/>
      <c r="V280" s="5"/>
      <c r="W280" s="5"/>
      <c r="X280" s="5"/>
      <c r="Y280" s="5"/>
      <c r="Z280" s="5"/>
      <c r="AA280" s="5"/>
      <c r="AB280" s="5"/>
      <c r="AC280" s="5"/>
      <c r="AD280" s="5"/>
      <c r="AE280" s="5"/>
      <c r="AF280" s="5"/>
      <c r="AG280" s="5"/>
      <c r="AH280" s="5"/>
      <c r="AI280" s="123"/>
      <c r="AJ280" s="123"/>
      <c r="AK280" s="123"/>
      <c r="AL280" s="123"/>
      <c r="AM280" s="593"/>
      <c r="AN280" s="124"/>
      <c r="AO280" s="594"/>
      <c r="AP280" s="384"/>
      <c r="AQ280" s="595"/>
      <c r="AR280" s="5"/>
      <c r="AS280" s="4"/>
      <c r="AT280" s="4"/>
      <c r="AU280" s="4"/>
      <c r="AV280" s="4"/>
      <c r="AW280" s="4"/>
      <c r="AX280" s="4"/>
      <c r="AY280" s="4"/>
      <c r="AZ280" s="4"/>
      <c r="BA280" s="4"/>
      <c r="BB280" s="4"/>
      <c r="BC280" s="4"/>
      <c r="BD280" s="4"/>
      <c r="BE280" s="4"/>
    </row>
    <row r="281" spans="1:57" ht="14.4" customHeight="1">
      <c r="A281" s="603"/>
      <c r="B281" s="3290" t="s">
        <v>772</v>
      </c>
      <c r="C281" s="603"/>
      <c r="D281" s="603" t="s">
        <v>1927</v>
      </c>
      <c r="E281" s="604" t="s">
        <v>64</v>
      </c>
      <c r="F281" s="605"/>
      <c r="G281" s="1083"/>
      <c r="H281" s="1083">
        <v>5000</v>
      </c>
      <c r="I281" s="1083"/>
      <c r="J281" s="1084"/>
      <c r="K281" s="120"/>
      <c r="L281" s="120">
        <v>5000</v>
      </c>
      <c r="M281" s="120">
        <f>L281/121*21</f>
        <v>867.76859504132233</v>
      </c>
      <c r="N281" s="120"/>
      <c r="O281" s="1082"/>
      <c r="P281" s="5"/>
      <c r="Q281" s="5"/>
      <c r="R281"/>
      <c r="S281"/>
      <c r="T281"/>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row>
    <row r="282" spans="1:57" ht="20.399999999999999">
      <c r="A282" s="596"/>
      <c r="B282" s="3289" t="s">
        <v>772</v>
      </c>
      <c r="C282" s="612" t="s">
        <v>1030</v>
      </c>
      <c r="D282" s="596" t="s">
        <v>1927</v>
      </c>
      <c r="E282" s="597" t="s">
        <v>1794</v>
      </c>
      <c r="F282" s="598" t="s">
        <v>1795</v>
      </c>
      <c r="G282" s="1080">
        <v>0</v>
      </c>
      <c r="H282" s="1080"/>
      <c r="I282" s="1080">
        <v>409</v>
      </c>
      <c r="J282" s="1081"/>
      <c r="K282" s="602">
        <f>L283</f>
        <v>0</v>
      </c>
      <c r="L282" s="602"/>
      <c r="M282" s="1445"/>
      <c r="N282" s="1445"/>
      <c r="O282" s="1082"/>
      <c r="P282" s="19"/>
      <c r="Q282" s="4"/>
      <c r="R282"/>
      <c r="S282"/>
      <c r="T282"/>
      <c r="U282" s="5"/>
      <c r="V282" s="5"/>
      <c r="W282" s="5"/>
      <c r="X282" s="5"/>
      <c r="Y282" s="5"/>
      <c r="Z282" s="5"/>
      <c r="AA282" s="5"/>
      <c r="AB282" s="5"/>
      <c r="AC282" s="5"/>
      <c r="AD282" s="5"/>
      <c r="AE282" s="5"/>
      <c r="AF282" s="5"/>
      <c r="AG282" s="5"/>
      <c r="AH282" s="5"/>
      <c r="AI282" s="123"/>
      <c r="AJ282" s="123"/>
      <c r="AK282" s="123"/>
      <c r="AL282" s="123"/>
      <c r="AM282" s="593"/>
      <c r="AN282" s="124"/>
      <c r="AO282" s="594"/>
      <c r="AP282" s="384"/>
      <c r="AQ282" s="595"/>
      <c r="AR282" s="5"/>
      <c r="AS282" s="4"/>
      <c r="AT282" s="4"/>
      <c r="AU282" s="4"/>
      <c r="AV282" s="4"/>
      <c r="AW282" s="4"/>
      <c r="AX282" s="4"/>
      <c r="AY282" s="4"/>
      <c r="AZ282" s="4"/>
      <c r="BA282" s="4"/>
      <c r="BB282" s="4"/>
      <c r="BC282" s="4"/>
      <c r="BD282" s="4"/>
      <c r="BE282" s="4"/>
    </row>
    <row r="283" spans="1:57" ht="14.4" customHeight="1">
      <c r="A283" s="603"/>
      <c r="B283" s="3290" t="s">
        <v>772</v>
      </c>
      <c r="C283" s="603"/>
      <c r="D283" s="603" t="s">
        <v>1927</v>
      </c>
      <c r="E283" s="604" t="s">
        <v>1794</v>
      </c>
      <c r="F283" s="605" t="s">
        <v>1806</v>
      </c>
      <c r="G283" s="1083"/>
      <c r="H283" s="1083">
        <v>0</v>
      </c>
      <c r="I283" s="1083"/>
      <c r="J283" s="1084"/>
      <c r="K283" s="120"/>
      <c r="L283" s="120">
        <v>0</v>
      </c>
      <c r="M283" s="120"/>
      <c r="N283" s="120"/>
      <c r="O283" s="1082"/>
      <c r="P283" s="5"/>
      <c r="Q283" s="5"/>
      <c r="R283"/>
      <c r="S283"/>
      <c r="T283"/>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row>
    <row r="284" spans="1:57">
      <c r="A284" s="596"/>
      <c r="B284" s="3289" t="s">
        <v>772</v>
      </c>
      <c r="C284" s="612" t="s">
        <v>1030</v>
      </c>
      <c r="D284" s="596" t="s">
        <v>1927</v>
      </c>
      <c r="E284" s="597" t="s">
        <v>1764</v>
      </c>
      <c r="F284" s="598" t="s">
        <v>1765</v>
      </c>
      <c r="G284" s="1080">
        <v>0</v>
      </c>
      <c r="H284" s="1080"/>
      <c r="I284" s="1080">
        <v>0</v>
      </c>
      <c r="J284" s="1081"/>
      <c r="K284" s="602">
        <f>L285</f>
        <v>0</v>
      </c>
      <c r="L284" s="602"/>
      <c r="M284" s="1445"/>
      <c r="N284" s="1445"/>
      <c r="O284" s="1082"/>
      <c r="P284" s="19"/>
      <c r="Q284" s="4"/>
      <c r="R284"/>
      <c r="S284"/>
      <c r="T284"/>
      <c r="U284" s="5"/>
      <c r="V284" s="5"/>
      <c r="W284" s="5"/>
      <c r="X284" s="5"/>
      <c r="Y284" s="5"/>
      <c r="Z284" s="5"/>
      <c r="AA284" s="5"/>
      <c r="AB284" s="5"/>
      <c r="AC284" s="5"/>
      <c r="AD284" s="5"/>
      <c r="AE284" s="5"/>
      <c r="AF284" s="5"/>
      <c r="AG284" s="5"/>
      <c r="AH284" s="5"/>
      <c r="AI284" s="123"/>
      <c r="AJ284" s="123"/>
      <c r="AK284" s="123"/>
      <c r="AL284" s="123"/>
      <c r="AM284" s="593"/>
      <c r="AN284" s="124"/>
      <c r="AO284" s="594"/>
      <c r="AP284" s="384"/>
      <c r="AQ284" s="595"/>
      <c r="AR284" s="5"/>
      <c r="AS284" s="4"/>
      <c r="AT284" s="4"/>
      <c r="AU284" s="4"/>
      <c r="AV284" s="4"/>
      <c r="AW284" s="4"/>
      <c r="AX284" s="4"/>
      <c r="AY284" s="4"/>
      <c r="AZ284" s="4"/>
      <c r="BA284" s="4"/>
      <c r="BB284" s="4"/>
      <c r="BC284" s="4"/>
      <c r="BD284" s="4"/>
      <c r="BE284" s="4"/>
    </row>
    <row r="285" spans="1:57">
      <c r="A285" s="603"/>
      <c r="B285" s="3290" t="s">
        <v>772</v>
      </c>
      <c r="C285" s="603"/>
      <c r="D285" s="603" t="s">
        <v>1927</v>
      </c>
      <c r="E285" s="604" t="s">
        <v>1764</v>
      </c>
      <c r="F285" s="605"/>
      <c r="G285" s="1083"/>
      <c r="H285" s="1083"/>
      <c r="I285" s="1083"/>
      <c r="J285" s="1084"/>
      <c r="K285" s="120"/>
      <c r="L285" s="120"/>
      <c r="M285" s="120"/>
      <c r="N285" s="120"/>
      <c r="O285" s="1082"/>
      <c r="P285" s="5"/>
      <c r="Q285" s="5"/>
      <c r="R285"/>
      <c r="S285"/>
      <c r="T285"/>
      <c r="U285" s="5"/>
      <c r="V285" s="5"/>
      <c r="W285" s="5"/>
      <c r="X285" s="5"/>
      <c r="Y285" s="5"/>
      <c r="Z285" s="5"/>
      <c r="AA285" s="5"/>
      <c r="AB285" s="5"/>
      <c r="AC285" s="5"/>
      <c r="AD285" s="5"/>
      <c r="AE285" s="5"/>
      <c r="AF285" s="5"/>
      <c r="AG285" s="5"/>
      <c r="AH285" s="5"/>
      <c r="AI285" s="123"/>
      <c r="AJ285" s="123"/>
      <c r="AK285" s="123"/>
      <c r="AL285" s="123"/>
      <c r="AM285" s="593"/>
      <c r="AN285" s="124"/>
      <c r="AO285" s="594"/>
      <c r="AP285" s="384"/>
      <c r="AQ285" s="595"/>
      <c r="AR285" s="5"/>
      <c r="AS285" s="4"/>
      <c r="AT285" s="4"/>
      <c r="AU285" s="4"/>
      <c r="AV285" s="4"/>
      <c r="AW285" s="4"/>
      <c r="AX285" s="4"/>
      <c r="AY285" s="4"/>
      <c r="AZ285" s="4"/>
      <c r="BA285" s="4"/>
      <c r="BB285" s="4"/>
      <c r="BC285" s="4"/>
      <c r="BD285" s="4"/>
      <c r="BE285" s="4"/>
    </row>
    <row r="286" spans="1:57" ht="27" hidden="1" customHeight="1">
      <c r="A286" s="596"/>
      <c r="B286" s="3289" t="s">
        <v>326</v>
      </c>
      <c r="C286" s="612" t="s">
        <v>640</v>
      </c>
      <c r="D286" s="596" t="s">
        <v>1928</v>
      </c>
      <c r="E286" s="597" t="s">
        <v>43</v>
      </c>
      <c r="F286" s="598" t="s">
        <v>1804</v>
      </c>
      <c r="G286" s="1088">
        <v>144693</v>
      </c>
      <c r="H286" s="1088"/>
      <c r="I286" s="1088">
        <v>96462.13</v>
      </c>
      <c r="J286" s="1089"/>
      <c r="K286" s="602">
        <f>L287</f>
        <v>166596</v>
      </c>
      <c r="L286" s="602"/>
      <c r="M286" s="1445"/>
      <c r="N286" s="1445"/>
      <c r="O286" s="1082"/>
      <c r="P286" s="19"/>
      <c r="Q286" s="4"/>
      <c r="R286"/>
      <c r="S286"/>
      <c r="T286"/>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row>
    <row r="287" spans="1:57" hidden="1">
      <c r="A287" s="603"/>
      <c r="B287" s="3290" t="s">
        <v>326</v>
      </c>
      <c r="C287" s="603"/>
      <c r="D287" s="603" t="s">
        <v>1928</v>
      </c>
      <c r="E287" s="604" t="s">
        <v>43</v>
      </c>
      <c r="F287" s="605"/>
      <c r="G287" s="1090"/>
      <c r="H287" s="1090">
        <v>144693</v>
      </c>
      <c r="I287" s="1090"/>
      <c r="J287" s="1091"/>
      <c r="K287" s="120"/>
      <c r="L287" s="120">
        <v>166596</v>
      </c>
      <c r="M287" s="120"/>
      <c r="N287" s="120"/>
      <c r="O287" s="1082"/>
      <c r="P287" s="5"/>
      <c r="Q287" s="5"/>
      <c r="R287"/>
      <c r="S287"/>
      <c r="T287"/>
      <c r="U287" s="5"/>
      <c r="V287" s="5"/>
      <c r="W287" s="5"/>
      <c r="X287" s="5"/>
      <c r="Y287" s="5"/>
      <c r="Z287" s="5"/>
      <c r="AA287" s="5"/>
      <c r="AB287" s="5"/>
      <c r="AC287" s="5"/>
      <c r="AD287" s="5"/>
      <c r="AE287" s="5"/>
      <c r="AF287" s="5"/>
      <c r="AG287" s="5"/>
      <c r="AH287" s="5"/>
      <c r="AI287" s="123"/>
      <c r="AJ287" s="123"/>
      <c r="AK287" s="123"/>
      <c r="AL287" s="123"/>
      <c r="AM287" s="593"/>
      <c r="AN287" s="124"/>
      <c r="AO287" s="594"/>
      <c r="AP287" s="384"/>
      <c r="AQ287" s="595"/>
      <c r="AR287" s="5"/>
      <c r="AS287" s="4"/>
      <c r="AT287" s="4"/>
      <c r="AU287" s="4"/>
      <c r="AV287" s="4"/>
      <c r="AW287" s="4"/>
      <c r="AX287" s="4"/>
      <c r="AY287" s="4"/>
      <c r="AZ287" s="4"/>
      <c r="BA287" s="4"/>
      <c r="BB287" s="4"/>
      <c r="BC287" s="4"/>
      <c r="BD287" s="4"/>
      <c r="BE287" s="4"/>
    </row>
    <row r="288" spans="1:57" ht="44.25" hidden="1" customHeight="1">
      <c r="A288" s="1575"/>
      <c r="B288" s="3289" t="s">
        <v>326</v>
      </c>
      <c r="C288" s="612" t="s">
        <v>640</v>
      </c>
      <c r="D288" s="596" t="s">
        <v>1928</v>
      </c>
      <c r="E288" s="597" t="s">
        <v>42</v>
      </c>
      <c r="F288" s="598" t="s">
        <v>1805</v>
      </c>
      <c r="G288" s="1088">
        <v>2646</v>
      </c>
      <c r="H288" s="1088"/>
      <c r="I288" s="1088">
        <v>0</v>
      </c>
      <c r="J288" s="1089"/>
      <c r="K288" s="602">
        <f>L289</f>
        <v>0</v>
      </c>
      <c r="L288" s="602"/>
      <c r="M288" s="120"/>
      <c r="N288" s="120"/>
      <c r="O288" s="1085"/>
      <c r="P288" s="19"/>
      <c r="Q288" s="4"/>
      <c r="R288"/>
      <c r="S288"/>
      <c r="T288"/>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row>
    <row r="289" spans="1:57" hidden="1">
      <c r="A289" s="1495"/>
      <c r="B289" s="3290" t="s">
        <v>326</v>
      </c>
      <c r="C289" s="603"/>
      <c r="D289" s="603" t="s">
        <v>1928</v>
      </c>
      <c r="E289" s="604" t="s">
        <v>42</v>
      </c>
      <c r="F289" s="605"/>
      <c r="G289" s="1090"/>
      <c r="H289" s="1090">
        <v>2646</v>
      </c>
      <c r="I289" s="1090"/>
      <c r="J289" s="1091"/>
      <c r="K289" s="120"/>
      <c r="L289" s="120"/>
      <c r="M289" s="120"/>
      <c r="N289" s="120"/>
      <c r="O289" s="1085"/>
      <c r="P289" s="5"/>
      <c r="Q289" s="5"/>
      <c r="R289"/>
      <c r="S289"/>
      <c r="T289"/>
      <c r="U289" s="5"/>
      <c r="V289" s="5"/>
      <c r="W289" s="5"/>
      <c r="X289" s="5"/>
      <c r="Y289" s="5"/>
      <c r="Z289" s="5"/>
      <c r="AA289" s="5"/>
      <c r="AB289" s="5"/>
      <c r="AC289" s="5"/>
      <c r="AD289" s="5"/>
      <c r="AE289" s="5"/>
      <c r="AF289" s="5"/>
      <c r="AG289" s="5"/>
      <c r="AH289" s="5"/>
      <c r="AI289" s="123"/>
      <c r="AJ289" s="123"/>
      <c r="AK289" s="123"/>
      <c r="AL289" s="123"/>
      <c r="AM289" s="593"/>
      <c r="AN289" s="124"/>
      <c r="AO289" s="594"/>
      <c r="AP289" s="384"/>
      <c r="AQ289" s="595"/>
      <c r="AR289" s="5"/>
      <c r="AS289" s="4"/>
      <c r="AT289" s="4"/>
      <c r="AU289" s="4"/>
      <c r="AV289" s="4"/>
      <c r="AW289" s="4"/>
      <c r="AX289" s="4"/>
      <c r="AY289" s="4"/>
      <c r="AZ289" s="4"/>
      <c r="BA289" s="4"/>
      <c r="BB289" s="4"/>
      <c r="BC289" s="4"/>
      <c r="BD289" s="4"/>
      <c r="BE289" s="4"/>
    </row>
    <row r="290" spans="1:57" ht="14.4" hidden="1" customHeight="1">
      <c r="A290" s="596"/>
      <c r="B290" s="3291" t="s">
        <v>365</v>
      </c>
      <c r="C290" s="1576" t="s">
        <v>3381</v>
      </c>
      <c r="D290" s="1613" t="s">
        <v>3380</v>
      </c>
      <c r="E290" s="1577" t="s">
        <v>1319</v>
      </c>
      <c r="F290" s="1578" t="s">
        <v>1782</v>
      </c>
      <c r="G290" s="1088">
        <v>0</v>
      </c>
      <c r="H290" s="1088"/>
      <c r="I290" s="1088">
        <v>0</v>
      </c>
      <c r="J290" s="1089"/>
      <c r="K290" s="1659">
        <v>1643</v>
      </c>
      <c r="L290" s="1659"/>
      <c r="M290" s="1445"/>
      <c r="N290" s="1445"/>
      <c r="O290" s="1085"/>
      <c r="P290" s="19"/>
      <c r="Q290" s="4"/>
      <c r="R290"/>
      <c r="S290"/>
      <c r="T290"/>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row>
    <row r="291" spans="1:57" hidden="1">
      <c r="A291" s="603"/>
      <c r="B291" s="3292" t="s">
        <v>365</v>
      </c>
      <c r="C291" s="1495"/>
      <c r="D291" s="1611" t="s">
        <v>3380</v>
      </c>
      <c r="E291" s="1574" t="s">
        <v>1319</v>
      </c>
      <c r="F291" s="1496"/>
      <c r="G291" s="1090"/>
      <c r="H291" s="1090">
        <v>0</v>
      </c>
      <c r="I291" s="1090"/>
      <c r="J291" s="1091"/>
      <c r="K291" s="1660"/>
      <c r="L291" s="1660">
        <v>163</v>
      </c>
      <c r="M291" s="120"/>
      <c r="N291" s="120"/>
      <c r="O291" s="1085"/>
      <c r="P291" s="5"/>
      <c r="Q291" s="5"/>
      <c r="R291"/>
      <c r="S291"/>
      <c r="T291"/>
      <c r="U291" s="5"/>
      <c r="V291" s="5"/>
      <c r="W291" s="5"/>
      <c r="X291" s="5"/>
      <c r="Y291" s="5"/>
      <c r="Z291" s="5"/>
      <c r="AA291" s="5"/>
      <c r="AB291" s="5"/>
      <c r="AC291" s="5"/>
      <c r="AD291" s="5"/>
      <c r="AE291" s="5"/>
      <c r="AF291" s="5"/>
      <c r="AG291" s="5"/>
      <c r="AH291" s="5"/>
      <c r="AI291" s="123"/>
      <c r="AJ291" s="123"/>
      <c r="AK291" s="123"/>
      <c r="AL291" s="123"/>
      <c r="AM291" s="593"/>
      <c r="AN291" s="124"/>
      <c r="AO291" s="594"/>
      <c r="AP291" s="384"/>
      <c r="AQ291" s="595"/>
      <c r="AR291" s="5"/>
      <c r="AS291" s="4"/>
      <c r="AT291" s="4"/>
      <c r="AU291" s="4"/>
      <c r="AV291" s="4"/>
      <c r="AW291" s="4"/>
      <c r="AX291" s="4"/>
      <c r="AY291" s="4"/>
      <c r="AZ291" s="4"/>
      <c r="BA291" s="4"/>
      <c r="BB291" s="4"/>
      <c r="BC291" s="4"/>
      <c r="BD291" s="4"/>
      <c r="BE291" s="4"/>
    </row>
    <row r="292" spans="1:57" ht="14.4" hidden="1" customHeight="1">
      <c r="A292" s="1263"/>
      <c r="B292" s="3289" t="s">
        <v>365</v>
      </c>
      <c r="C292" s="612" t="s">
        <v>362</v>
      </c>
      <c r="D292" s="1651" t="s">
        <v>1929</v>
      </c>
      <c r="E292" s="597" t="s">
        <v>45</v>
      </c>
      <c r="F292" s="598" t="s">
        <v>1762</v>
      </c>
      <c r="G292" s="1088">
        <v>12291</v>
      </c>
      <c r="H292" s="1088"/>
      <c r="I292" s="1088">
        <v>2193</v>
      </c>
      <c r="J292" s="1089"/>
      <c r="K292" s="1404">
        <f>SUM(L293:L295)</f>
        <v>12291</v>
      </c>
      <c r="L292" s="613"/>
      <c r="M292" s="1445"/>
      <c r="N292" s="1445"/>
      <c r="O292" s="1085"/>
      <c r="P292" s="19"/>
      <c r="Q292" s="4"/>
      <c r="R292"/>
      <c r="S292"/>
      <c r="T292"/>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row>
    <row r="293" spans="1:57" ht="20.399999999999999" hidden="1">
      <c r="A293" s="603"/>
      <c r="B293" s="3290" t="s">
        <v>365</v>
      </c>
      <c r="C293" s="603"/>
      <c r="D293" s="1150" t="s">
        <v>1929</v>
      </c>
      <c r="E293" s="604" t="s">
        <v>45</v>
      </c>
      <c r="F293" s="605" t="s">
        <v>3074</v>
      </c>
      <c r="G293" s="1090"/>
      <c r="H293" s="1090">
        <v>4455</v>
      </c>
      <c r="I293" s="1090"/>
      <c r="J293" s="1091"/>
      <c r="K293" s="1094"/>
      <c r="L293" s="1501">
        <v>4455</v>
      </c>
      <c r="M293" s="120"/>
      <c r="N293" s="120"/>
      <c r="O293" s="1085"/>
      <c r="P293" s="5"/>
      <c r="Q293" s="5"/>
      <c r="R293"/>
      <c r="S293"/>
      <c r="T293"/>
      <c r="U293" s="5"/>
      <c r="V293" s="5"/>
      <c r="W293" s="5"/>
      <c r="X293" s="5"/>
      <c r="Y293" s="5"/>
      <c r="Z293" s="5"/>
      <c r="AA293" s="5"/>
      <c r="AB293" s="5"/>
      <c r="AC293" s="5"/>
      <c r="AD293" s="5"/>
      <c r="AE293" s="5"/>
      <c r="AF293" s="5"/>
      <c r="AG293" s="5"/>
      <c r="AH293" s="5"/>
      <c r="AI293" s="123"/>
      <c r="AJ293" s="123"/>
      <c r="AK293" s="123"/>
      <c r="AL293" s="123"/>
      <c r="AM293" s="593"/>
      <c r="AN293" s="124"/>
      <c r="AO293" s="594"/>
      <c r="AP293" s="384"/>
      <c r="AQ293" s="595"/>
      <c r="AR293" s="5"/>
      <c r="AS293" s="4"/>
      <c r="AT293" s="4"/>
      <c r="AU293" s="4"/>
      <c r="AV293" s="4"/>
      <c r="AW293" s="4"/>
      <c r="AX293" s="4"/>
      <c r="AY293" s="4"/>
      <c r="AZ293" s="4"/>
      <c r="BA293" s="4"/>
      <c r="BB293" s="4"/>
      <c r="BC293" s="4"/>
      <c r="BD293" s="4"/>
      <c r="BE293" s="4"/>
    </row>
    <row r="294" spans="1:57" ht="21.75" hidden="1" customHeight="1">
      <c r="A294" s="596"/>
      <c r="B294" s="3290" t="s">
        <v>365</v>
      </c>
      <c r="C294" s="603"/>
      <c r="D294" s="1150" t="s">
        <v>1929</v>
      </c>
      <c r="E294" s="604" t="s">
        <v>45</v>
      </c>
      <c r="F294" s="605" t="s">
        <v>3156</v>
      </c>
      <c r="G294" s="1090"/>
      <c r="H294" s="1090">
        <v>5643</v>
      </c>
      <c r="I294" s="1090"/>
      <c r="J294" s="1091"/>
      <c r="K294" s="1094"/>
      <c r="L294" s="1501">
        <v>5643</v>
      </c>
      <c r="M294" s="1445"/>
      <c r="N294" s="1445"/>
      <c r="O294" s="1085"/>
      <c r="P294" s="19"/>
      <c r="Q294" s="4"/>
      <c r="R294"/>
      <c r="S294"/>
      <c r="T29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row>
    <row r="295" spans="1:57" ht="30.6" hidden="1">
      <c r="A295" s="603"/>
      <c r="B295" s="3290" t="s">
        <v>365</v>
      </c>
      <c r="C295" s="603"/>
      <c r="D295" s="1150" t="s">
        <v>1929</v>
      </c>
      <c r="E295" s="604" t="s">
        <v>45</v>
      </c>
      <c r="F295" s="605" t="s">
        <v>3222</v>
      </c>
      <c r="G295" s="1090"/>
      <c r="H295" s="1090">
        <v>2193</v>
      </c>
      <c r="I295" s="1090">
        <v>2193</v>
      </c>
      <c r="J295" s="1091"/>
      <c r="K295" s="1094"/>
      <c r="L295" s="1501">
        <v>2193</v>
      </c>
      <c r="M295" s="120"/>
      <c r="N295" s="120"/>
      <c r="O295" s="1085"/>
      <c r="P295" s="5"/>
      <c r="Q295" s="5"/>
      <c r="R295"/>
      <c r="S295"/>
      <c r="T295"/>
      <c r="U295" s="5"/>
      <c r="V295" s="5"/>
      <c r="W295" s="5"/>
      <c r="X295" s="5"/>
      <c r="Y295" s="5"/>
      <c r="Z295" s="5"/>
      <c r="AA295" s="5"/>
      <c r="AB295" s="5"/>
      <c r="AC295" s="5"/>
      <c r="AD295" s="5"/>
      <c r="AE295" s="5"/>
      <c r="AF295" s="5"/>
      <c r="AG295" s="5"/>
      <c r="AH295" s="5"/>
      <c r="AI295" s="123"/>
      <c r="AJ295" s="123"/>
      <c r="AK295" s="123"/>
      <c r="AL295" s="123"/>
      <c r="AM295" s="593"/>
      <c r="AN295" s="124"/>
      <c r="AO295" s="594"/>
      <c r="AP295" s="384"/>
      <c r="AQ295" s="595"/>
      <c r="AR295" s="5"/>
      <c r="AS295" s="4"/>
      <c r="AT295" s="4"/>
      <c r="AU295" s="4"/>
      <c r="AV295" s="4"/>
      <c r="AW295" s="4"/>
      <c r="AX295" s="4"/>
      <c r="AY295" s="4"/>
      <c r="AZ295" s="4"/>
      <c r="BA295" s="4"/>
      <c r="BB295" s="4"/>
      <c r="BC295" s="4"/>
      <c r="BD295" s="4"/>
      <c r="BE295" s="4"/>
    </row>
    <row r="296" spans="1:57" ht="21.75" hidden="1" customHeight="1">
      <c r="A296" s="596"/>
      <c r="B296" s="3289" t="s">
        <v>365</v>
      </c>
      <c r="C296" s="612" t="s">
        <v>362</v>
      </c>
      <c r="D296" s="1651" t="s">
        <v>1929</v>
      </c>
      <c r="E296" s="597" t="s">
        <v>1816</v>
      </c>
      <c r="F296" s="598" t="s">
        <v>2655</v>
      </c>
      <c r="G296" s="1080">
        <v>0</v>
      </c>
      <c r="H296" s="1080"/>
      <c r="I296" s="1080">
        <v>0</v>
      </c>
      <c r="J296" s="1081"/>
      <c r="K296" s="1404">
        <f>L297</f>
        <v>0</v>
      </c>
      <c r="L296" s="613"/>
      <c r="M296" s="1445"/>
      <c r="N296" s="1445"/>
      <c r="O296" s="1087"/>
      <c r="P296" s="19"/>
      <c r="Q296" s="4"/>
      <c r="R296"/>
      <c r="S296"/>
      <c r="T296"/>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row>
    <row r="297" spans="1:57" ht="30.6" hidden="1">
      <c r="A297" s="603"/>
      <c r="B297" s="3290" t="s">
        <v>365</v>
      </c>
      <c r="C297" s="603"/>
      <c r="D297" s="1150" t="s">
        <v>1929</v>
      </c>
      <c r="E297" s="604" t="s">
        <v>1816</v>
      </c>
      <c r="F297" s="605" t="s">
        <v>1807</v>
      </c>
      <c r="G297" s="1083"/>
      <c r="H297" s="1083"/>
      <c r="I297" s="1083"/>
      <c r="J297" s="1084"/>
      <c r="K297" s="1094"/>
      <c r="L297" s="1501"/>
      <c r="M297" s="120"/>
      <c r="N297" s="120"/>
      <c r="O297" s="1087"/>
      <c r="P297" s="5"/>
      <c r="Q297" s="5"/>
      <c r="R297"/>
      <c r="S297"/>
      <c r="T297"/>
      <c r="U297" s="5"/>
      <c r="V297" s="5"/>
      <c r="W297" s="5"/>
      <c r="X297" s="5"/>
      <c r="Y297" s="5"/>
      <c r="Z297" s="5"/>
      <c r="AA297" s="5"/>
      <c r="AB297" s="5"/>
      <c r="AC297" s="5"/>
      <c r="AD297" s="5"/>
      <c r="AE297" s="5"/>
      <c r="AF297" s="5"/>
      <c r="AG297" s="5"/>
      <c r="AH297" s="5"/>
      <c r="AI297" s="123"/>
      <c r="AJ297" s="123"/>
      <c r="AK297" s="123"/>
      <c r="AL297" s="123"/>
      <c r="AM297" s="593"/>
      <c r="AN297" s="124"/>
      <c r="AO297" s="594"/>
      <c r="AP297" s="384"/>
      <c r="AQ297" s="595"/>
      <c r="AR297" s="5"/>
      <c r="AS297" s="4"/>
      <c r="AT297" s="4"/>
      <c r="AU297" s="4"/>
      <c r="AV297" s="4"/>
      <c r="AW297" s="4"/>
      <c r="AX297" s="4"/>
      <c r="AY297" s="4"/>
      <c r="AZ297" s="4"/>
      <c r="BA297" s="4"/>
      <c r="BB297" s="4"/>
      <c r="BC297" s="4"/>
      <c r="BD297" s="4"/>
      <c r="BE297" s="4"/>
    </row>
    <row r="298" spans="1:57" ht="21.75" hidden="1" customHeight="1">
      <c r="A298" s="596"/>
      <c r="B298" s="3289" t="s">
        <v>365</v>
      </c>
      <c r="C298" s="612" t="s">
        <v>362</v>
      </c>
      <c r="D298" s="1651" t="s">
        <v>1929</v>
      </c>
      <c r="E298" s="597" t="s">
        <v>2847</v>
      </c>
      <c r="F298" s="598" t="s">
        <v>1781</v>
      </c>
      <c r="G298" s="1080">
        <v>1500</v>
      </c>
      <c r="H298" s="1080"/>
      <c r="I298" s="1080">
        <v>0</v>
      </c>
      <c r="J298" s="1081"/>
      <c r="K298" s="602">
        <f>L299</f>
        <v>1500</v>
      </c>
      <c r="L298" s="613"/>
      <c r="M298" s="1445"/>
      <c r="N298" s="1445"/>
      <c r="O298" s="1085"/>
      <c r="P298" s="19"/>
      <c r="Q298" s="5"/>
      <c r="R298"/>
      <c r="S298"/>
      <c r="T298"/>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row>
    <row r="299" spans="1:57" ht="21.75" hidden="1" customHeight="1">
      <c r="A299" s="603"/>
      <c r="B299" s="3290" t="s">
        <v>365</v>
      </c>
      <c r="C299" s="603"/>
      <c r="D299" s="1150" t="s">
        <v>1929</v>
      </c>
      <c r="E299" s="604" t="s">
        <v>2847</v>
      </c>
      <c r="F299" s="605" t="s">
        <v>2975</v>
      </c>
      <c r="G299" s="1083"/>
      <c r="H299" s="1083">
        <v>1500</v>
      </c>
      <c r="I299" s="1083"/>
      <c r="J299" s="1084"/>
      <c r="K299" s="1094"/>
      <c r="L299" s="1501">
        <v>1500</v>
      </c>
      <c r="M299" s="120"/>
      <c r="N299" s="120"/>
      <c r="O299" s="1085"/>
      <c r="P299" s="5"/>
      <c r="Q299" s="4"/>
      <c r="R299"/>
      <c r="S299"/>
      <c r="T299"/>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row>
    <row r="300" spans="1:57">
      <c r="A300" s="596"/>
      <c r="B300" s="3289" t="s">
        <v>772</v>
      </c>
      <c r="C300" s="612" t="s">
        <v>362</v>
      </c>
      <c r="D300" s="612" t="s">
        <v>1929</v>
      </c>
      <c r="E300" s="597" t="s">
        <v>1764</v>
      </c>
      <c r="F300" s="598" t="s">
        <v>1765</v>
      </c>
      <c r="G300" s="1080">
        <v>1600</v>
      </c>
      <c r="H300" s="1080"/>
      <c r="I300" s="1080">
        <v>4707</v>
      </c>
      <c r="J300" s="1081"/>
      <c r="K300" s="602">
        <f>L301</f>
        <v>4500</v>
      </c>
      <c r="L300" s="602"/>
      <c r="M300" s="1445"/>
      <c r="N300" s="1445"/>
      <c r="O300" s="1085"/>
      <c r="P300" s="19"/>
      <c r="Q300" s="5"/>
      <c r="R300"/>
      <c r="S300"/>
      <c r="T300"/>
      <c r="U300" s="5"/>
      <c r="V300" s="5"/>
      <c r="W300" s="5"/>
      <c r="X300" s="5"/>
      <c r="Y300" s="5"/>
      <c r="Z300" s="5"/>
      <c r="AA300" s="5"/>
      <c r="AB300" s="5"/>
      <c r="AC300" s="5"/>
      <c r="AD300" s="5"/>
      <c r="AE300" s="5"/>
      <c r="AF300" s="5"/>
      <c r="AG300" s="5"/>
      <c r="AH300" s="5"/>
      <c r="AI300" s="123"/>
      <c r="AJ300" s="123"/>
      <c r="AK300" s="123"/>
      <c r="AL300" s="123"/>
      <c r="AM300" s="593"/>
      <c r="AN300" s="124"/>
      <c r="AO300" s="594"/>
      <c r="AP300" s="384"/>
      <c r="AQ300" s="595"/>
      <c r="AR300" s="5"/>
      <c r="AS300" s="4"/>
      <c r="AT300" s="4"/>
      <c r="AU300" s="4"/>
      <c r="AV300" s="4"/>
      <c r="AW300" s="4"/>
      <c r="AX300" s="4"/>
      <c r="AY300" s="4"/>
      <c r="AZ300" s="4"/>
      <c r="BA300" s="4"/>
      <c r="BB300" s="4"/>
      <c r="BC300" s="4"/>
      <c r="BD300" s="4"/>
      <c r="BE300" s="4"/>
    </row>
    <row r="301" spans="1:57" ht="21.75" customHeight="1">
      <c r="A301" s="603"/>
      <c r="B301" s="3290" t="s">
        <v>772</v>
      </c>
      <c r="C301" s="603"/>
      <c r="D301" s="603" t="s">
        <v>1929</v>
      </c>
      <c r="E301" s="604" t="s">
        <v>1764</v>
      </c>
      <c r="F301" s="605" t="s">
        <v>1808</v>
      </c>
      <c r="G301" s="1083"/>
      <c r="H301" s="1083">
        <v>1600</v>
      </c>
      <c r="I301" s="1083"/>
      <c r="J301" s="1084"/>
      <c r="K301" s="120"/>
      <c r="L301" s="120">
        <v>4500</v>
      </c>
      <c r="M301" s="120"/>
      <c r="N301" s="120"/>
      <c r="O301" s="1085"/>
      <c r="P301" s="5"/>
      <c r="Q301" s="4"/>
      <c r="R301"/>
      <c r="S301"/>
      <c r="T301"/>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row>
    <row r="302" spans="1:57" hidden="1">
      <c r="A302" s="596"/>
      <c r="B302" s="3289" t="s">
        <v>326</v>
      </c>
      <c r="C302" s="612" t="s">
        <v>1638</v>
      </c>
      <c r="D302" s="1658" t="s">
        <v>1930</v>
      </c>
      <c r="E302" s="597" t="s">
        <v>589</v>
      </c>
      <c r="F302" s="598" t="s">
        <v>1809</v>
      </c>
      <c r="G302" s="1088">
        <v>23532</v>
      </c>
      <c r="H302" s="1088"/>
      <c r="I302" s="1088">
        <v>23710.48</v>
      </c>
      <c r="J302" s="1089"/>
      <c r="K302" s="1659">
        <f>L303</f>
        <v>30420</v>
      </c>
      <c r="L302" s="1659"/>
      <c r="M302" s="1947"/>
      <c r="N302" s="1947"/>
      <c r="O302" s="1085"/>
      <c r="P302" s="19"/>
      <c r="Q302" s="5"/>
      <c r="R302"/>
      <c r="S302"/>
      <c r="T302"/>
      <c r="U302" s="5"/>
      <c r="V302" s="5"/>
      <c r="W302" s="5"/>
      <c r="X302" s="5"/>
      <c r="Y302" s="5"/>
      <c r="Z302" s="5"/>
      <c r="AA302" s="5"/>
      <c r="AB302" s="5"/>
      <c r="AC302" s="5"/>
      <c r="AD302" s="5"/>
      <c r="AE302" s="5"/>
      <c r="AF302" s="5"/>
      <c r="AG302" s="5"/>
      <c r="AH302" s="5"/>
      <c r="AI302" s="123"/>
      <c r="AJ302" s="123"/>
      <c r="AK302" s="123"/>
      <c r="AL302" s="123"/>
      <c r="AM302" s="593"/>
      <c r="AN302" s="124"/>
      <c r="AO302" s="594"/>
      <c r="AP302" s="384"/>
      <c r="AQ302" s="595"/>
      <c r="AR302" s="5"/>
      <c r="AS302" s="4"/>
      <c r="AT302" s="4"/>
      <c r="AU302" s="4"/>
      <c r="AV302" s="4"/>
      <c r="AW302" s="4"/>
      <c r="AX302" s="4"/>
      <c r="AY302" s="4"/>
      <c r="AZ302" s="4"/>
      <c r="BA302" s="4"/>
      <c r="BB302" s="4"/>
      <c r="BC302" s="4"/>
      <c r="BD302" s="4"/>
      <c r="BE302" s="4"/>
    </row>
    <row r="303" spans="1:57" ht="14.4" hidden="1" customHeight="1">
      <c r="A303" s="603"/>
      <c r="B303" s="3290" t="s">
        <v>326</v>
      </c>
      <c r="C303" s="603"/>
      <c r="D303" s="616" t="s">
        <v>1930</v>
      </c>
      <c r="E303" s="604" t="s">
        <v>589</v>
      </c>
      <c r="F303" s="605"/>
      <c r="G303" s="1090"/>
      <c r="H303" s="1090">
        <v>23532</v>
      </c>
      <c r="I303" s="1090"/>
      <c r="J303" s="1091"/>
      <c r="K303" s="1660"/>
      <c r="L303" s="1660">
        <v>30420</v>
      </c>
      <c r="M303" s="1660"/>
      <c r="N303" s="1660"/>
      <c r="O303" s="1085"/>
      <c r="P303" s="5"/>
      <c r="Q303" s="4"/>
      <c r="R303"/>
      <c r="S303"/>
      <c r="T303"/>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row>
    <row r="304" spans="1:57" ht="20.399999999999999" hidden="1">
      <c r="A304" s="596"/>
      <c r="B304" s="3289" t="s">
        <v>365</v>
      </c>
      <c r="C304" s="612" t="s">
        <v>801</v>
      </c>
      <c r="D304" s="612" t="s">
        <v>2990</v>
      </c>
      <c r="E304" s="597" t="s">
        <v>1319</v>
      </c>
      <c r="F304" s="598" t="s">
        <v>2991</v>
      </c>
      <c r="G304" s="1080">
        <v>30428</v>
      </c>
      <c r="H304" s="1080"/>
      <c r="I304" s="1080">
        <v>10142.27</v>
      </c>
      <c r="J304" s="1081"/>
      <c r="K304" s="602">
        <f>L305</f>
        <v>714</v>
      </c>
      <c r="L304" s="602"/>
      <c r="M304" s="120"/>
      <c r="N304" s="120"/>
      <c r="O304" s="1082"/>
      <c r="P304" s="19"/>
      <c r="Q304" s="5"/>
      <c r="R304"/>
      <c r="S304"/>
      <c r="T304"/>
      <c r="U304" s="5"/>
      <c r="V304" s="5"/>
      <c r="W304" s="5"/>
      <c r="X304" s="5"/>
      <c r="Y304" s="5"/>
      <c r="Z304" s="5"/>
      <c r="AA304" s="5"/>
      <c r="AB304" s="5"/>
      <c r="AC304" s="5"/>
      <c r="AD304" s="5"/>
      <c r="AE304" s="5"/>
      <c r="AF304" s="5"/>
      <c r="AG304" s="5"/>
      <c r="AH304" s="5"/>
      <c r="AI304" s="123"/>
      <c r="AJ304" s="123"/>
      <c r="AK304" s="123"/>
      <c r="AL304" s="123"/>
      <c r="AM304" s="593"/>
      <c r="AN304" s="124"/>
      <c r="AO304" s="594"/>
      <c r="AP304" s="384"/>
      <c r="AQ304" s="595"/>
      <c r="AR304" s="5"/>
      <c r="AS304" s="4"/>
      <c r="AT304" s="4"/>
      <c r="AU304" s="4"/>
      <c r="AV304" s="4"/>
      <c r="AW304" s="4"/>
      <c r="AX304" s="4"/>
      <c r="AY304" s="4"/>
      <c r="AZ304" s="4"/>
      <c r="BA304" s="4"/>
      <c r="BB304" s="4"/>
      <c r="BC304" s="4"/>
      <c r="BD304" s="4"/>
      <c r="BE304" s="4"/>
    </row>
    <row r="305" spans="1:57" ht="20.399999999999999" hidden="1">
      <c r="A305" s="603"/>
      <c r="B305" s="3290" t="s">
        <v>365</v>
      </c>
      <c r="C305" s="603"/>
      <c r="D305" s="603" t="s">
        <v>2990</v>
      </c>
      <c r="E305" s="604" t="s">
        <v>1319</v>
      </c>
      <c r="F305" s="605" t="s">
        <v>2989</v>
      </c>
      <c r="G305" s="1083"/>
      <c r="H305" s="1083">
        <v>30428</v>
      </c>
      <c r="I305" s="1083"/>
      <c r="J305" s="1084"/>
      <c r="K305" s="120"/>
      <c r="L305" s="120">
        <v>714</v>
      </c>
      <c r="M305" s="1445"/>
      <c r="N305" s="1445"/>
      <c r="O305" s="1082"/>
      <c r="P305" s="5"/>
      <c r="Q305" s="4"/>
      <c r="R305"/>
      <c r="S305"/>
      <c r="T305"/>
      <c r="U305" s="5"/>
      <c r="V305" s="5"/>
      <c r="W305" s="5"/>
      <c r="X305" s="5"/>
      <c r="Y305" s="5"/>
      <c r="Z305" s="5"/>
      <c r="AA305" s="5"/>
      <c r="AB305" s="5"/>
      <c r="AC305" s="5"/>
      <c r="AD305" s="5"/>
      <c r="AE305" s="5"/>
      <c r="AF305" s="5"/>
      <c r="AG305" s="5"/>
      <c r="AH305" s="5"/>
      <c r="AI305" s="5"/>
      <c r="AJ305" s="5"/>
      <c r="AK305" s="5"/>
      <c r="AL305" s="5"/>
      <c r="AM305" s="584"/>
      <c r="AN305" s="585"/>
      <c r="AO305" s="586"/>
      <c r="AP305" s="6"/>
      <c r="AQ305" s="587"/>
      <c r="AR305" s="5"/>
      <c r="AS305" s="4"/>
      <c r="AT305" s="4"/>
      <c r="AU305" s="4"/>
      <c r="AV305" s="4"/>
      <c r="AW305" s="4"/>
      <c r="AX305" s="4"/>
      <c r="AY305" s="4"/>
      <c r="AZ305" s="4"/>
      <c r="BA305" s="4"/>
      <c r="BB305" s="4"/>
      <c r="BC305" s="4"/>
      <c r="BD305" s="4"/>
      <c r="BE305" s="4"/>
    </row>
    <row r="306" spans="1:57" ht="22.5" hidden="1" customHeight="1">
      <c r="A306" s="596"/>
      <c r="B306" s="3289" t="s">
        <v>365</v>
      </c>
      <c r="C306" s="612" t="s">
        <v>3146</v>
      </c>
      <c r="D306" s="1651" t="s">
        <v>3121</v>
      </c>
      <c r="E306" s="597" t="s">
        <v>1319</v>
      </c>
      <c r="F306" s="598" t="s">
        <v>1782</v>
      </c>
      <c r="G306" s="1080">
        <v>50419</v>
      </c>
      <c r="H306" s="1080"/>
      <c r="I306" s="1080">
        <v>44617.69</v>
      </c>
      <c r="J306" s="1081"/>
      <c r="K306" s="1659">
        <f>SUM(L307:L308)</f>
        <v>60717</v>
      </c>
      <c r="L306" s="1659"/>
      <c r="M306" s="120"/>
      <c r="N306" s="120"/>
      <c r="O306" s="1082"/>
      <c r="P306" s="19"/>
      <c r="Q306" s="5"/>
      <c r="R306" s="1173"/>
      <c r="S306" s="1180"/>
      <c r="T306" s="1180"/>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row>
    <row r="307" spans="1:57" ht="40.799999999999997" hidden="1">
      <c r="A307" s="603"/>
      <c r="B307" s="3290" t="s">
        <v>365</v>
      </c>
      <c r="C307" s="603"/>
      <c r="D307" s="1150" t="s">
        <v>3121</v>
      </c>
      <c r="E307" s="604" t="s">
        <v>1319</v>
      </c>
      <c r="F307" s="605" t="s">
        <v>3150</v>
      </c>
      <c r="G307" s="1083"/>
      <c r="H307" s="1083">
        <v>35581</v>
      </c>
      <c r="I307" s="1083"/>
      <c r="J307" s="1084"/>
      <c r="K307" s="1660"/>
      <c r="L307" s="1660"/>
      <c r="M307" s="1445"/>
      <c r="N307" s="1445"/>
      <c r="O307" s="1082"/>
      <c r="P307" s="19"/>
      <c r="Q307" s="5"/>
      <c r="R307" s="52"/>
      <c r="S307" s="1085"/>
      <c r="T307" s="1085"/>
      <c r="U307" s="5"/>
      <c r="V307" s="5"/>
      <c r="W307" s="5"/>
      <c r="X307" s="5"/>
      <c r="Y307" s="5"/>
      <c r="Z307" s="5"/>
      <c r="AA307" s="5"/>
      <c r="AB307" s="5"/>
      <c r="AC307" s="5"/>
      <c r="AD307" s="5"/>
      <c r="AE307" s="5"/>
      <c r="AF307" s="5"/>
      <c r="AG307" s="5"/>
      <c r="AH307" s="5"/>
      <c r="AI307" s="123"/>
      <c r="AJ307" s="123"/>
      <c r="AK307" s="123"/>
      <c r="AL307" s="123"/>
      <c r="AM307" s="593"/>
      <c r="AN307" s="124"/>
      <c r="AO307" s="594"/>
      <c r="AP307" s="384"/>
      <c r="AQ307" s="595"/>
      <c r="AR307" s="5"/>
      <c r="AS307" s="4"/>
      <c r="AT307" s="4"/>
      <c r="AU307" s="4"/>
      <c r="AV307" s="4"/>
      <c r="AW307" s="4"/>
      <c r="AX307" s="4"/>
      <c r="AY307" s="4"/>
      <c r="AZ307" s="4"/>
      <c r="BA307" s="4"/>
      <c r="BB307" s="4"/>
      <c r="BC307" s="4"/>
      <c r="BD307" s="4"/>
      <c r="BE307" s="4"/>
    </row>
    <row r="308" spans="1:57" ht="23.25" hidden="1" customHeight="1">
      <c r="A308" s="603"/>
      <c r="B308" s="3290" t="s">
        <v>365</v>
      </c>
      <c r="C308" s="603"/>
      <c r="D308" s="1150" t="s">
        <v>3121</v>
      </c>
      <c r="E308" s="604" t="s">
        <v>1319</v>
      </c>
      <c r="F308" s="605" t="s">
        <v>3197</v>
      </c>
      <c r="G308" s="1083"/>
      <c r="H308" s="1083">
        <v>14838</v>
      </c>
      <c r="I308" s="1083"/>
      <c r="J308" s="1084"/>
      <c r="K308" s="1660"/>
      <c r="L308" s="1660">
        <v>60717</v>
      </c>
      <c r="M308" s="120"/>
      <c r="N308" s="120"/>
      <c r="O308" s="1082"/>
      <c r="P308" s="5"/>
      <c r="Q308" s="4"/>
      <c r="R308" s="1173"/>
      <c r="S308" s="1180"/>
      <c r="T308" s="1180"/>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row>
    <row r="309" spans="1:57" ht="23.25" hidden="1" customHeight="1">
      <c r="A309" s="596"/>
      <c r="B309" s="3289" t="s">
        <v>365</v>
      </c>
      <c r="C309" s="612" t="s">
        <v>3147</v>
      </c>
      <c r="D309" s="612" t="s">
        <v>3123</v>
      </c>
      <c r="E309" s="597" t="s">
        <v>45</v>
      </c>
      <c r="F309" s="598" t="s">
        <v>3148</v>
      </c>
      <c r="G309" s="1080">
        <v>8781</v>
      </c>
      <c r="H309" s="1080"/>
      <c r="I309" s="1080">
        <v>8780.9599999999991</v>
      </c>
      <c r="J309" s="1081"/>
      <c r="K309" s="602">
        <f>L310</f>
        <v>0</v>
      </c>
      <c r="L309" s="602"/>
      <c r="M309" s="1445"/>
      <c r="N309" s="1445"/>
      <c r="O309" s="1082"/>
      <c r="P309" s="5"/>
      <c r="Q309" s="4"/>
      <c r="R309" s="1173"/>
      <c r="S309" s="1180"/>
      <c r="T309" s="1180"/>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row>
    <row r="310" spans="1:57" ht="23.25" hidden="1" customHeight="1">
      <c r="A310" s="603"/>
      <c r="B310" s="3290" t="s">
        <v>365</v>
      </c>
      <c r="C310" s="603"/>
      <c r="D310" s="603" t="s">
        <v>3123</v>
      </c>
      <c r="E310" s="604" t="s">
        <v>45</v>
      </c>
      <c r="F310" s="605" t="s">
        <v>3149</v>
      </c>
      <c r="G310" s="1083"/>
      <c r="H310" s="1083">
        <v>8781</v>
      </c>
      <c r="I310" s="1083"/>
      <c r="J310" s="1084"/>
      <c r="K310" s="120"/>
      <c r="L310" s="120"/>
      <c r="M310" s="120"/>
      <c r="N310" s="120"/>
      <c r="O310" s="1082"/>
      <c r="P310" s="5"/>
      <c r="Q310" s="4"/>
      <c r="R310" s="1173"/>
      <c r="S310" s="1180"/>
      <c r="T310" s="1180"/>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row>
    <row r="311" spans="1:57" hidden="1">
      <c r="A311" s="596"/>
      <c r="B311" s="3289" t="s">
        <v>365</v>
      </c>
      <c r="C311" s="612" t="s">
        <v>3151</v>
      </c>
      <c r="D311" s="612" t="s">
        <v>3152</v>
      </c>
      <c r="E311" s="597" t="s">
        <v>1319</v>
      </c>
      <c r="F311" s="598" t="s">
        <v>3153</v>
      </c>
      <c r="G311" s="1080">
        <v>38003</v>
      </c>
      <c r="H311" s="1080"/>
      <c r="I311" s="1080"/>
      <c r="J311" s="1081"/>
      <c r="K311" s="602">
        <f>L312</f>
        <v>41749</v>
      </c>
      <c r="L311" s="602"/>
      <c r="M311" s="1445"/>
      <c r="N311" s="1445"/>
      <c r="O311" s="1082"/>
      <c r="P311" s="19"/>
      <c r="Q311" s="5"/>
      <c r="R311" s="52"/>
      <c r="S311" s="1085"/>
      <c r="T311" s="1085"/>
      <c r="U311" s="5"/>
      <c r="V311" s="5"/>
      <c r="W311" s="5"/>
      <c r="X311" s="5"/>
      <c r="Y311" s="5"/>
      <c r="Z311" s="5"/>
      <c r="AA311" s="5"/>
      <c r="AB311" s="5"/>
      <c r="AC311" s="5"/>
      <c r="AD311" s="5"/>
      <c r="AE311" s="5"/>
      <c r="AF311" s="5"/>
      <c r="AG311" s="5"/>
      <c r="AH311" s="5"/>
      <c r="AI311" s="123"/>
      <c r="AJ311" s="123"/>
      <c r="AK311" s="123"/>
      <c r="AL311" s="123"/>
      <c r="AM311" s="593"/>
      <c r="AN311" s="124"/>
      <c r="AO311" s="594"/>
      <c r="AP311" s="384"/>
      <c r="AQ311" s="595"/>
      <c r="AR311" s="5"/>
      <c r="AS311" s="4"/>
      <c r="AT311" s="4"/>
      <c r="AU311" s="4"/>
      <c r="AV311" s="4"/>
      <c r="AW311" s="4"/>
      <c r="AX311" s="4"/>
      <c r="AY311" s="4"/>
      <c r="AZ311" s="4"/>
      <c r="BA311" s="4"/>
      <c r="BB311" s="4"/>
      <c r="BC311" s="4"/>
      <c r="BD311" s="4"/>
      <c r="BE311" s="4"/>
    </row>
    <row r="312" spans="1:57" ht="14.4" hidden="1" customHeight="1">
      <c r="A312" s="603"/>
      <c r="B312" s="3290" t="s">
        <v>365</v>
      </c>
      <c r="C312" s="603"/>
      <c r="D312" s="603" t="s">
        <v>3152</v>
      </c>
      <c r="E312" s="604" t="s">
        <v>1319</v>
      </c>
      <c r="F312" s="605" t="s">
        <v>3154</v>
      </c>
      <c r="G312" s="1083"/>
      <c r="H312" s="1083">
        <v>38003</v>
      </c>
      <c r="I312" s="1083"/>
      <c r="J312" s="1084"/>
      <c r="K312" s="120"/>
      <c r="L312" s="120">
        <f>8485+10194+10515+12555</f>
        <v>41749</v>
      </c>
      <c r="M312" s="120"/>
      <c r="N312" s="120"/>
      <c r="O312" s="1082"/>
      <c r="P312" s="5"/>
      <c r="Q312" s="4"/>
      <c r="R312" s="1173"/>
      <c r="S312" s="1180"/>
      <c r="T312" s="1180"/>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row>
    <row r="313" spans="1:57" ht="40.799999999999997" hidden="1">
      <c r="A313" s="596"/>
      <c r="B313" s="3289" t="s">
        <v>365</v>
      </c>
      <c r="C313" s="612" t="s">
        <v>3260</v>
      </c>
      <c r="D313" s="612" t="s">
        <v>3261</v>
      </c>
      <c r="E313" s="597" t="s">
        <v>2963</v>
      </c>
      <c r="F313" s="598" t="s">
        <v>1781</v>
      </c>
      <c r="G313" s="1080">
        <v>0</v>
      </c>
      <c r="H313" s="1080"/>
      <c r="I313" s="1080">
        <v>6749.8</v>
      </c>
      <c r="J313" s="1081"/>
      <c r="K313" s="602">
        <f>L314</f>
        <v>20249.41</v>
      </c>
      <c r="L313" s="602"/>
      <c r="M313" s="1445"/>
      <c r="N313" s="1445"/>
      <c r="O313" s="1082"/>
      <c r="P313" s="19"/>
      <c r="Q313" s="5"/>
      <c r="R313" s="52"/>
      <c r="S313" s="1085"/>
      <c r="T313" s="1085"/>
      <c r="U313" s="5"/>
      <c r="V313" s="5"/>
      <c r="W313" s="5"/>
      <c r="X313" s="5"/>
      <c r="Y313" s="5"/>
      <c r="Z313" s="5"/>
      <c r="AA313" s="5"/>
      <c r="AB313" s="5"/>
      <c r="AC313" s="5"/>
      <c r="AD313" s="5"/>
      <c r="AE313" s="5"/>
      <c r="AF313" s="5"/>
      <c r="AG313" s="5"/>
      <c r="AH313" s="5"/>
      <c r="AI313" s="123"/>
      <c r="AJ313" s="123"/>
      <c r="AK313" s="123"/>
      <c r="AL313" s="123"/>
      <c r="AM313" s="593"/>
      <c r="AN313" s="124"/>
      <c r="AO313" s="594"/>
      <c r="AP313" s="384"/>
      <c r="AQ313" s="595"/>
      <c r="AR313" s="5"/>
      <c r="AS313" s="4"/>
      <c r="AT313" s="4"/>
      <c r="AU313" s="4"/>
      <c r="AV313" s="4"/>
      <c r="AW313" s="4"/>
      <c r="AX313" s="4"/>
      <c r="AY313" s="4"/>
      <c r="AZ313" s="4"/>
      <c r="BA313" s="4"/>
      <c r="BB313" s="4"/>
      <c r="BC313" s="4"/>
      <c r="BD313" s="4"/>
      <c r="BE313" s="4"/>
    </row>
    <row r="314" spans="1:57" ht="17.25" hidden="1" customHeight="1">
      <c r="A314" s="603"/>
      <c r="B314" s="3290" t="s">
        <v>365</v>
      </c>
      <c r="C314" s="603"/>
      <c r="D314" s="603" t="s">
        <v>3261</v>
      </c>
      <c r="E314" s="604" t="s">
        <v>2963</v>
      </c>
      <c r="F314" s="605" t="s">
        <v>5205</v>
      </c>
      <c r="G314" s="1083"/>
      <c r="H314" s="1083">
        <v>0</v>
      </c>
      <c r="I314" s="1083"/>
      <c r="J314" s="1084"/>
      <c r="K314" s="120"/>
      <c r="L314" s="120">
        <v>20249.41</v>
      </c>
      <c r="M314" s="120"/>
      <c r="N314" s="120"/>
      <c r="O314" s="1082"/>
      <c r="P314" s="5"/>
      <c r="Q314" s="5"/>
      <c r="R314" s="1173"/>
      <c r="S314" s="1180"/>
      <c r="T314" s="1180"/>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row>
    <row r="315" spans="1:57">
      <c r="A315" s="596"/>
      <c r="B315" s="3289" t="s">
        <v>772</v>
      </c>
      <c r="C315" s="612" t="s">
        <v>2936</v>
      </c>
      <c r="D315" s="596" t="s">
        <v>1932</v>
      </c>
      <c r="E315" s="597" t="s">
        <v>52</v>
      </c>
      <c r="F315" s="598" t="s">
        <v>1740</v>
      </c>
      <c r="G315" s="1080">
        <v>350000</v>
      </c>
      <c r="H315" s="1080"/>
      <c r="I315" s="1080">
        <v>246119.54</v>
      </c>
      <c r="J315" s="1081"/>
      <c r="K315" s="602">
        <f>L316</f>
        <v>355000</v>
      </c>
      <c r="L315" s="602"/>
      <c r="M315" s="1445"/>
      <c r="N315" s="1445"/>
      <c r="O315" s="1082"/>
      <c r="P315" s="19"/>
      <c r="Q315" s="5"/>
      <c r="R315" s="52"/>
      <c r="S315" s="1085"/>
      <c r="T315" s="1085"/>
      <c r="U315" s="5"/>
      <c r="V315" s="5"/>
      <c r="W315" s="5"/>
      <c r="X315" s="5"/>
      <c r="Y315" s="5"/>
      <c r="Z315" s="5"/>
      <c r="AA315" s="5"/>
      <c r="AB315" s="5"/>
      <c r="AC315" s="5"/>
      <c r="AD315" s="5"/>
      <c r="AE315" s="5"/>
      <c r="AF315" s="5"/>
      <c r="AG315" s="5"/>
      <c r="AH315" s="5"/>
      <c r="AI315" s="123"/>
      <c r="AJ315" s="123"/>
      <c r="AK315" s="123"/>
      <c r="AL315" s="123"/>
      <c r="AM315" s="593"/>
      <c r="AN315" s="124"/>
      <c r="AO315" s="594"/>
      <c r="AP315" s="384"/>
      <c r="AQ315" s="595"/>
      <c r="AR315" s="5"/>
      <c r="AS315" s="4"/>
      <c r="AT315" s="4"/>
      <c r="AU315" s="4"/>
      <c r="AV315" s="4"/>
      <c r="AW315" s="4"/>
      <c r="AX315" s="4"/>
      <c r="AY315" s="4"/>
      <c r="AZ315" s="4"/>
      <c r="BA315" s="4"/>
      <c r="BB315" s="4"/>
      <c r="BC315" s="4"/>
      <c r="BD315" s="4"/>
      <c r="BE315" s="4"/>
    </row>
    <row r="316" spans="1:57" ht="30" customHeight="1">
      <c r="A316" s="603"/>
      <c r="B316" s="3290" t="s">
        <v>772</v>
      </c>
      <c r="C316" s="603"/>
      <c r="D316" s="603" t="s">
        <v>1932</v>
      </c>
      <c r="E316" s="604" t="s">
        <v>52</v>
      </c>
      <c r="F316" s="605" t="s">
        <v>1740</v>
      </c>
      <c r="G316" s="1083"/>
      <c r="H316" s="1083">
        <v>350000</v>
      </c>
      <c r="I316" s="1083"/>
      <c r="J316" s="1084"/>
      <c r="K316" s="120"/>
      <c r="L316" s="120">
        <v>355000</v>
      </c>
      <c r="M316" s="120"/>
      <c r="N316" s="120"/>
      <c r="O316" s="1082"/>
      <c r="P316" s="5"/>
      <c r="Q316" s="5"/>
      <c r="R316" s="1173"/>
      <c r="S316" s="1180"/>
      <c r="T316" s="1180"/>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row>
    <row r="317" spans="1:57">
      <c r="A317" s="596"/>
      <c r="B317" s="3289" t="s">
        <v>772</v>
      </c>
      <c r="C317" s="612" t="s">
        <v>315</v>
      </c>
      <c r="D317" s="612" t="s">
        <v>420</v>
      </c>
      <c r="E317" s="597" t="s">
        <v>64</v>
      </c>
      <c r="F317" s="598" t="s">
        <v>1741</v>
      </c>
      <c r="G317" s="1080">
        <v>7000</v>
      </c>
      <c r="H317" s="1080"/>
      <c r="I317" s="1080">
        <v>7256.25</v>
      </c>
      <c r="J317" s="1081"/>
      <c r="K317" s="602">
        <f>L318</f>
        <v>7000</v>
      </c>
      <c r="L317" s="602"/>
      <c r="M317" s="1445">
        <f>K317/121*21</f>
        <v>1214.8760330578511</v>
      </c>
      <c r="N317" s="1445"/>
      <c r="O317" s="1082"/>
      <c r="P317" s="19"/>
      <c r="Q317" s="4"/>
      <c r="R317" s="52"/>
      <c r="S317" s="1085"/>
      <c r="T317" s="1085"/>
      <c r="U317" s="5"/>
      <c r="V317" s="5"/>
      <c r="W317" s="5"/>
      <c r="X317" s="5"/>
      <c r="Y317" s="5"/>
      <c r="Z317" s="5"/>
      <c r="AA317" s="5"/>
      <c r="AB317" s="5"/>
      <c r="AC317" s="5"/>
      <c r="AD317" s="5"/>
      <c r="AE317" s="5"/>
      <c r="AF317" s="5"/>
      <c r="AG317" s="5"/>
      <c r="AH317" s="5"/>
      <c r="AI317" s="123"/>
      <c r="AJ317" s="123"/>
      <c r="AK317" s="123"/>
      <c r="AL317" s="123"/>
      <c r="AM317" s="593"/>
      <c r="AN317" s="124"/>
      <c r="AO317" s="594"/>
      <c r="AP317" s="384"/>
      <c r="AQ317" s="595"/>
      <c r="AR317" s="5"/>
      <c r="AS317" s="4"/>
      <c r="AT317" s="4"/>
      <c r="AU317" s="4"/>
      <c r="AV317" s="4"/>
      <c r="AW317" s="4"/>
      <c r="AX317" s="4"/>
      <c r="AY317" s="4"/>
      <c r="AZ317" s="4"/>
      <c r="BA317" s="4"/>
      <c r="BB317" s="4"/>
      <c r="BC317" s="4"/>
      <c r="BD317" s="4"/>
      <c r="BE317" s="4"/>
    </row>
    <row r="318" spans="1:57">
      <c r="A318" s="603"/>
      <c r="B318" s="3290" t="s">
        <v>772</v>
      </c>
      <c r="C318" s="603"/>
      <c r="D318" s="603" t="s">
        <v>420</v>
      </c>
      <c r="E318" s="604" t="s">
        <v>64</v>
      </c>
      <c r="F318" s="605"/>
      <c r="G318" s="1083"/>
      <c r="H318" s="1083">
        <v>7000</v>
      </c>
      <c r="I318" s="1083"/>
      <c r="J318" s="1084"/>
      <c r="K318" s="120"/>
      <c r="L318" s="120">
        <v>7000</v>
      </c>
      <c r="M318" s="120"/>
      <c r="N318" s="120"/>
      <c r="O318" s="1082"/>
      <c r="P318" s="5"/>
      <c r="Q318" s="5"/>
      <c r="R318" s="52"/>
      <c r="S318" s="1085"/>
      <c r="T318" s="1085"/>
      <c r="U318" s="5"/>
      <c r="V318" s="5"/>
      <c r="W318" s="5"/>
      <c r="X318" s="5"/>
      <c r="Y318" s="5"/>
      <c r="Z318" s="5"/>
      <c r="AA318" s="5"/>
      <c r="AB318" s="5"/>
      <c r="AC318" s="5"/>
      <c r="AD318" s="5"/>
      <c r="AE318" s="5"/>
      <c r="AF318" s="5"/>
      <c r="AG318" s="5"/>
      <c r="AH318" s="5"/>
      <c r="AI318" s="123"/>
      <c r="AJ318" s="123"/>
      <c r="AK318" s="123"/>
      <c r="AL318" s="123"/>
      <c r="AM318" s="593"/>
      <c r="AN318" s="124"/>
      <c r="AO318" s="594"/>
      <c r="AP318" s="384"/>
      <c r="AQ318" s="595"/>
      <c r="AR318" s="5"/>
      <c r="AS318" s="4"/>
      <c r="AT318" s="4"/>
      <c r="AU318" s="4"/>
      <c r="AV318" s="4"/>
      <c r="AW318" s="4"/>
      <c r="AX318" s="4"/>
      <c r="AY318" s="4"/>
      <c r="AZ318" s="4"/>
      <c r="BA318" s="4"/>
      <c r="BB318" s="4"/>
      <c r="BC318" s="4"/>
      <c r="BD318" s="4"/>
      <c r="BE318" s="4"/>
    </row>
    <row r="319" spans="1:57">
      <c r="A319" s="596"/>
      <c r="B319" s="3289" t="s">
        <v>772</v>
      </c>
      <c r="C319" s="612" t="s">
        <v>315</v>
      </c>
      <c r="D319" s="612" t="s">
        <v>420</v>
      </c>
      <c r="E319" s="597" t="s">
        <v>1764</v>
      </c>
      <c r="F319" s="598" t="s">
        <v>1765</v>
      </c>
      <c r="G319" s="611">
        <v>0</v>
      </c>
      <c r="H319" s="611"/>
      <c r="I319" s="600">
        <v>34.5</v>
      </c>
      <c r="J319" s="601"/>
      <c r="K319" s="602">
        <f>L320</f>
        <v>35</v>
      </c>
      <c r="L319" s="602"/>
      <c r="M319" s="1445"/>
      <c r="N319" s="1445"/>
      <c r="O319" s="1082"/>
      <c r="P319" s="19"/>
      <c r="Q319" s="4"/>
      <c r="R319" s="52"/>
      <c r="S319" s="1085"/>
      <c r="T319" s="1085"/>
      <c r="U319" s="5"/>
      <c r="V319" s="5"/>
      <c r="W319" s="5"/>
      <c r="X319" s="5"/>
      <c r="Y319" s="5"/>
      <c r="Z319" s="5"/>
      <c r="AA319" s="5"/>
      <c r="AB319" s="5"/>
      <c r="AC319" s="5"/>
      <c r="AD319" s="5"/>
      <c r="AE319" s="5"/>
      <c r="AF319" s="5"/>
      <c r="AG319" s="5"/>
      <c r="AH319" s="5"/>
      <c r="AI319" s="1495"/>
      <c r="AJ319" s="1495"/>
      <c r="AK319" s="1495"/>
      <c r="AL319" s="1495"/>
      <c r="AM319" s="1579"/>
      <c r="AN319" s="1580"/>
      <c r="AO319" s="1568"/>
      <c r="AP319" s="1581"/>
      <c r="AQ319" s="1582"/>
      <c r="AR319" s="5"/>
      <c r="AS319" s="4"/>
      <c r="AT319" s="4"/>
      <c r="AU319" s="4"/>
      <c r="AV319" s="4"/>
      <c r="AW319" s="4"/>
      <c r="AX319" s="4"/>
      <c r="AY319" s="4"/>
      <c r="AZ319" s="4"/>
      <c r="BA319" s="4"/>
      <c r="BB319" s="4"/>
      <c r="BC319" s="4"/>
      <c r="BD319" s="4"/>
      <c r="BE319" s="4"/>
    </row>
    <row r="320" spans="1:57" ht="14.4" customHeight="1">
      <c r="A320" s="603"/>
      <c r="B320" s="3290" t="s">
        <v>772</v>
      </c>
      <c r="C320" s="603"/>
      <c r="D320" s="603" t="s">
        <v>420</v>
      </c>
      <c r="E320" s="604" t="s">
        <v>1764</v>
      </c>
      <c r="F320" s="605" t="s">
        <v>2656</v>
      </c>
      <c r="G320" s="583"/>
      <c r="H320" s="583">
        <v>0</v>
      </c>
      <c r="I320" s="121">
        <v>0</v>
      </c>
      <c r="J320" s="122"/>
      <c r="K320" s="120"/>
      <c r="L320" s="120">
        <v>35</v>
      </c>
      <c r="M320" s="120"/>
      <c r="N320" s="120"/>
      <c r="O320" s="1082"/>
      <c r="P320" s="5"/>
      <c r="Q320" s="5"/>
      <c r="R320" s="1173"/>
      <c r="S320" s="1180"/>
      <c r="T320" s="1180"/>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row>
    <row r="321" spans="1:57" hidden="1">
      <c r="A321" s="596"/>
      <c r="B321" s="3289" t="s">
        <v>365</v>
      </c>
      <c r="C321" s="612" t="s">
        <v>660</v>
      </c>
      <c r="D321" s="612" t="s">
        <v>1935</v>
      </c>
      <c r="E321" s="597" t="s">
        <v>1810</v>
      </c>
      <c r="F321" s="598" t="s">
        <v>1811</v>
      </c>
      <c r="G321" s="1088">
        <v>37535</v>
      </c>
      <c r="H321" s="1088"/>
      <c r="I321" s="1088">
        <v>17145.78</v>
      </c>
      <c r="J321" s="1089"/>
      <c r="K321" s="602">
        <f>L322</f>
        <v>42000</v>
      </c>
      <c r="L321" s="602"/>
      <c r="M321" s="1445"/>
      <c r="N321" s="1445"/>
      <c r="O321" s="1085"/>
      <c r="P321" s="19"/>
      <c r="Q321" s="4"/>
      <c r="R321" s="52"/>
      <c r="S321" s="1085"/>
      <c r="T321" s="1085"/>
      <c r="U321" s="5"/>
      <c r="V321" s="5"/>
      <c r="W321" s="5"/>
      <c r="X321" s="5"/>
      <c r="Y321" s="5"/>
      <c r="Z321" s="5"/>
      <c r="AA321" s="5"/>
      <c r="AB321" s="5"/>
      <c r="AC321" s="5"/>
      <c r="AD321" s="5"/>
      <c r="AE321" s="5"/>
      <c r="AF321" s="5"/>
      <c r="AG321" s="5"/>
      <c r="AH321" s="5"/>
      <c r="AI321" s="1495"/>
      <c r="AJ321" s="1495"/>
      <c r="AK321" s="1495"/>
      <c r="AL321" s="1495"/>
      <c r="AM321" s="1579"/>
      <c r="AN321" s="1580"/>
      <c r="AO321" s="1568"/>
      <c r="AP321" s="1581"/>
      <c r="AQ321" s="1582"/>
      <c r="AR321" s="5"/>
      <c r="AS321" s="4"/>
      <c r="AT321" s="4"/>
      <c r="AU321" s="4"/>
      <c r="AV321" s="4"/>
      <c r="AW321" s="4"/>
      <c r="AX321" s="4"/>
      <c r="AY321" s="4"/>
      <c r="AZ321" s="4"/>
      <c r="BA321" s="4"/>
      <c r="BB321" s="4"/>
      <c r="BC321" s="4"/>
      <c r="BD321" s="4"/>
      <c r="BE321" s="4"/>
    </row>
    <row r="322" spans="1:57" ht="14.4" hidden="1" customHeight="1">
      <c r="A322" s="603"/>
      <c r="B322" s="3290" t="s">
        <v>365</v>
      </c>
      <c r="C322" s="603"/>
      <c r="D322" s="603" t="s">
        <v>1935</v>
      </c>
      <c r="E322" s="604" t="s">
        <v>1810</v>
      </c>
      <c r="F322" s="605"/>
      <c r="G322" s="1090"/>
      <c r="H322" s="1090">
        <v>37535</v>
      </c>
      <c r="I322" s="1090">
        <v>0</v>
      </c>
      <c r="J322" s="1091"/>
      <c r="K322" s="120"/>
      <c r="L322" s="120">
        <v>42000</v>
      </c>
      <c r="M322" s="120"/>
      <c r="N322" s="120"/>
      <c r="O322" s="1085"/>
      <c r="P322" s="5"/>
      <c r="Q322" s="5"/>
      <c r="R322" s="1173"/>
      <c r="S322" s="1180"/>
      <c r="T322" s="1180"/>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row>
    <row r="323" spans="1:57" ht="14.4" hidden="1" customHeight="1">
      <c r="A323" s="596"/>
      <c r="B323" s="3289" t="s">
        <v>326</v>
      </c>
      <c r="C323" s="612" t="s">
        <v>1812</v>
      </c>
      <c r="D323" s="596" t="s">
        <v>1937</v>
      </c>
      <c r="E323" s="597" t="s">
        <v>43</v>
      </c>
      <c r="F323" s="598" t="s">
        <v>1804</v>
      </c>
      <c r="G323" s="1088">
        <v>99926</v>
      </c>
      <c r="H323" s="1088"/>
      <c r="I323" s="1088">
        <v>66617.97</v>
      </c>
      <c r="J323" s="1089"/>
      <c r="K323" s="602">
        <f>L324</f>
        <v>45627</v>
      </c>
      <c r="L323" s="602"/>
      <c r="M323" s="1445"/>
      <c r="N323" s="1445"/>
      <c r="O323" s="1085"/>
      <c r="P323" s="19"/>
      <c r="Q323" s="4"/>
      <c r="R323" s="1173"/>
      <c r="S323" s="1180"/>
      <c r="T323" s="1180"/>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row>
    <row r="324" spans="1:57" hidden="1">
      <c r="A324" s="603"/>
      <c r="B324" s="3290" t="s">
        <v>326</v>
      </c>
      <c r="C324" s="603"/>
      <c r="D324" s="603" t="s">
        <v>1937</v>
      </c>
      <c r="E324" s="604" t="s">
        <v>43</v>
      </c>
      <c r="F324" s="605"/>
      <c r="G324" s="1090"/>
      <c r="H324" s="1090">
        <v>99926</v>
      </c>
      <c r="I324" s="1090"/>
      <c r="J324" s="1091"/>
      <c r="K324" s="120"/>
      <c r="L324" s="120">
        <v>45627</v>
      </c>
      <c r="M324" s="120"/>
      <c r="N324" s="120"/>
      <c r="O324" s="1085"/>
      <c r="P324" s="5"/>
      <c r="Q324" s="5"/>
      <c r="R324" s="52"/>
      <c r="S324" s="1085"/>
      <c r="T324" s="1085"/>
      <c r="U324" s="5"/>
      <c r="V324" s="5"/>
      <c r="W324" s="5"/>
      <c r="X324" s="5"/>
      <c r="Y324" s="5"/>
      <c r="Z324" s="5"/>
      <c r="AA324" s="5"/>
      <c r="AB324" s="5"/>
      <c r="AC324" s="5"/>
      <c r="AD324" s="5"/>
      <c r="AE324" s="5"/>
      <c r="AF324" s="5"/>
      <c r="AG324" s="5"/>
      <c r="AH324" s="5"/>
      <c r="AI324" s="123"/>
      <c r="AJ324" s="123"/>
      <c r="AK324" s="123"/>
      <c r="AL324" s="123"/>
      <c r="AM324" s="593"/>
      <c r="AN324" s="124"/>
      <c r="AO324" s="594"/>
      <c r="AP324" s="384"/>
      <c r="AQ324" s="595"/>
      <c r="AR324" s="5"/>
      <c r="AS324" s="4"/>
      <c r="AT324" s="4"/>
      <c r="AU324" s="4"/>
      <c r="AV324" s="4"/>
      <c r="AW324" s="4"/>
      <c r="AX324" s="4"/>
      <c r="AY324" s="4"/>
      <c r="AZ324" s="4"/>
      <c r="BA324" s="4"/>
      <c r="BB324" s="4"/>
      <c r="BC324" s="4"/>
      <c r="BD324" s="4"/>
      <c r="BE324" s="4"/>
    </row>
    <row r="325" spans="1:57" ht="14.4" hidden="1" customHeight="1">
      <c r="A325" s="1575"/>
      <c r="B325" s="3289" t="s">
        <v>326</v>
      </c>
      <c r="C325" s="612" t="s">
        <v>1812</v>
      </c>
      <c r="D325" s="596" t="s">
        <v>1937</v>
      </c>
      <c r="E325" s="597" t="s">
        <v>42</v>
      </c>
      <c r="F325" s="598" t="s">
        <v>1805</v>
      </c>
      <c r="G325" s="1088">
        <v>1940</v>
      </c>
      <c r="H325" s="1088"/>
      <c r="I325" s="1088"/>
      <c r="J325" s="1089"/>
      <c r="K325" s="602">
        <f>L326</f>
        <v>0</v>
      </c>
      <c r="L325" s="602"/>
      <c r="M325" s="1445"/>
      <c r="N325" s="1445"/>
      <c r="O325" s="1085"/>
      <c r="P325" s="19"/>
      <c r="Q325" s="4"/>
      <c r="R325" s="1173"/>
      <c r="S325" s="1180"/>
      <c r="T325" s="1180"/>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row>
    <row r="326" spans="1:57" hidden="1">
      <c r="A326" s="1495"/>
      <c r="B326" s="3290" t="s">
        <v>326</v>
      </c>
      <c r="C326" s="603"/>
      <c r="D326" s="603" t="s">
        <v>1937</v>
      </c>
      <c r="E326" s="604" t="s">
        <v>42</v>
      </c>
      <c r="F326" s="605"/>
      <c r="G326" s="1090"/>
      <c r="H326" s="1090">
        <v>1940</v>
      </c>
      <c r="I326" s="1090"/>
      <c r="J326" s="1091"/>
      <c r="K326" s="120"/>
      <c r="L326" s="120"/>
      <c r="M326" s="120"/>
      <c r="N326" s="120"/>
      <c r="O326" s="1085"/>
      <c r="P326" s="5"/>
      <c r="Q326" s="5"/>
      <c r="R326" s="52"/>
      <c r="S326" s="1085"/>
      <c r="T326" s="1085"/>
      <c r="U326" s="5"/>
      <c r="V326" s="5"/>
      <c r="W326" s="5"/>
      <c r="X326" s="5"/>
      <c r="Y326" s="5"/>
      <c r="Z326" s="5"/>
      <c r="AA326" s="5"/>
      <c r="AB326" s="5"/>
      <c r="AC326" s="5"/>
      <c r="AD326" s="5"/>
      <c r="AE326" s="5"/>
      <c r="AF326" s="5"/>
      <c r="AG326" s="5"/>
      <c r="AH326" s="5"/>
      <c r="AI326" s="123"/>
      <c r="AJ326" s="123"/>
      <c r="AK326" s="123"/>
      <c r="AL326" s="123"/>
      <c r="AM326" s="593"/>
      <c r="AN326" s="124"/>
      <c r="AO326" s="594"/>
      <c r="AP326" s="384"/>
      <c r="AQ326" s="595"/>
      <c r="AR326" s="5"/>
      <c r="AS326" s="4"/>
      <c r="AT326" s="4"/>
      <c r="AU326" s="4"/>
      <c r="AV326" s="4"/>
      <c r="AW326" s="4"/>
      <c r="AX326" s="4"/>
      <c r="AY326" s="4"/>
      <c r="AZ326" s="4"/>
      <c r="BA326" s="4"/>
      <c r="BB326" s="4"/>
      <c r="BC326" s="4"/>
      <c r="BD326" s="4"/>
      <c r="BE326" s="4"/>
    </row>
    <row r="327" spans="1:57" ht="14.4" hidden="1" customHeight="1">
      <c r="A327" s="1575"/>
      <c r="B327" s="3291" t="s">
        <v>365</v>
      </c>
      <c r="C327" s="1576" t="s">
        <v>3374</v>
      </c>
      <c r="D327" s="1613" t="s">
        <v>3373</v>
      </c>
      <c r="E327" s="1577" t="s">
        <v>1319</v>
      </c>
      <c r="F327" s="1578" t="s">
        <v>1782</v>
      </c>
      <c r="G327" s="1088">
        <v>1221</v>
      </c>
      <c r="H327" s="1088"/>
      <c r="I327" s="1088">
        <v>0</v>
      </c>
      <c r="J327" s="1089"/>
      <c r="K327" s="1659">
        <f>L328</f>
        <v>121</v>
      </c>
      <c r="L327" s="1659"/>
      <c r="M327" s="120"/>
      <c r="N327" s="120"/>
      <c r="O327" s="1085"/>
      <c r="P327" s="19"/>
      <c r="Q327" s="4"/>
      <c r="R327" s="1173"/>
      <c r="S327" s="1180"/>
      <c r="T327" s="1180"/>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row>
    <row r="328" spans="1:57" hidden="1">
      <c r="A328" s="1495"/>
      <c r="B328" s="3292" t="s">
        <v>365</v>
      </c>
      <c r="C328" s="1495"/>
      <c r="D328" s="1611" t="s">
        <v>3373</v>
      </c>
      <c r="E328" s="1574" t="s">
        <v>1319</v>
      </c>
      <c r="F328" s="1496"/>
      <c r="G328" s="1090"/>
      <c r="H328" s="1090">
        <v>1221</v>
      </c>
      <c r="I328" s="1090"/>
      <c r="J328" s="1091"/>
      <c r="K328" s="1660"/>
      <c r="L328" s="1660">
        <v>121</v>
      </c>
      <c r="M328" s="1445"/>
      <c r="N328" s="1445"/>
      <c r="O328" s="1085"/>
      <c r="P328" s="5"/>
      <c r="Q328" s="5"/>
      <c r="R328" s="52"/>
      <c r="S328" s="1085"/>
      <c r="T328" s="1085"/>
      <c r="U328" s="5"/>
      <c r="V328" s="5"/>
      <c r="W328" s="5"/>
      <c r="X328" s="5"/>
      <c r="Y328" s="5"/>
      <c r="Z328" s="5"/>
      <c r="AA328" s="5"/>
      <c r="AB328" s="5"/>
      <c r="AC328" s="5"/>
      <c r="AD328" s="5"/>
      <c r="AE328" s="5"/>
      <c r="AF328" s="5"/>
      <c r="AG328" s="5"/>
      <c r="AH328" s="5"/>
      <c r="AI328" s="123"/>
      <c r="AJ328" s="123"/>
      <c r="AK328" s="123"/>
      <c r="AL328" s="123"/>
      <c r="AM328" s="593"/>
      <c r="AN328" s="124"/>
      <c r="AO328" s="594"/>
      <c r="AP328" s="384"/>
      <c r="AQ328" s="595"/>
      <c r="AR328" s="5"/>
      <c r="AS328" s="4"/>
      <c r="AT328" s="4"/>
      <c r="AU328" s="4"/>
      <c r="AV328" s="4"/>
      <c r="AW328" s="4"/>
      <c r="AX328" s="4"/>
      <c r="AY328" s="4"/>
      <c r="AZ328" s="4"/>
      <c r="BA328" s="4"/>
      <c r="BB328" s="4"/>
      <c r="BC328" s="4"/>
      <c r="BD328" s="4"/>
      <c r="BE328" s="4"/>
    </row>
    <row r="329" spans="1:57" ht="14.4" hidden="1" customHeight="1">
      <c r="A329" s="596"/>
      <c r="B329" s="3291" t="s">
        <v>365</v>
      </c>
      <c r="C329" s="1576" t="s">
        <v>3371</v>
      </c>
      <c r="D329" s="1613" t="s">
        <v>3372</v>
      </c>
      <c r="E329" s="1577" t="s">
        <v>1319</v>
      </c>
      <c r="F329" s="1578" t="s">
        <v>1782</v>
      </c>
      <c r="G329" s="1088">
        <v>45754</v>
      </c>
      <c r="H329" s="1088"/>
      <c r="I329" s="1088">
        <v>0</v>
      </c>
      <c r="J329" s="1089"/>
      <c r="K329" s="1659">
        <f>L330</f>
        <v>4534</v>
      </c>
      <c r="L329" s="1659"/>
      <c r="M329" s="120"/>
      <c r="N329" s="120"/>
      <c r="O329" s="1085"/>
      <c r="P329" s="5"/>
      <c r="Q329" s="4"/>
      <c r="R329" s="1173"/>
      <c r="S329" s="1180"/>
      <c r="T329" s="1180"/>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row>
    <row r="330" spans="1:57" hidden="1">
      <c r="A330" s="603"/>
      <c r="B330" s="3292" t="s">
        <v>365</v>
      </c>
      <c r="C330" s="1495"/>
      <c r="D330" s="1611" t="s">
        <v>3372</v>
      </c>
      <c r="E330" s="1574" t="s">
        <v>1319</v>
      </c>
      <c r="F330" s="1496"/>
      <c r="G330" s="1090"/>
      <c r="H330" s="1090">
        <v>45754</v>
      </c>
      <c r="I330" s="1090"/>
      <c r="J330" s="1091"/>
      <c r="K330" s="1660"/>
      <c r="L330" s="1660">
        <v>4534</v>
      </c>
      <c r="M330" s="1445"/>
      <c r="N330" s="1445"/>
      <c r="O330" s="1085"/>
      <c r="P330" s="19"/>
      <c r="Q330" s="5"/>
      <c r="R330" s="52"/>
      <c r="S330" s="1085"/>
      <c r="T330" s="1085"/>
      <c r="U330" s="5"/>
      <c r="V330" s="5"/>
      <c r="W330" s="5"/>
      <c r="X330" s="5"/>
      <c r="Y330" s="5"/>
      <c r="Z330" s="5"/>
      <c r="AA330" s="5"/>
      <c r="AB330" s="5"/>
      <c r="AC330" s="5"/>
      <c r="AD330" s="5"/>
      <c r="AE330" s="5"/>
      <c r="AF330" s="5"/>
      <c r="AG330" s="5"/>
      <c r="AH330" s="5"/>
      <c r="AI330" s="123"/>
      <c r="AJ330" s="123"/>
      <c r="AK330" s="123"/>
      <c r="AL330" s="123"/>
      <c r="AM330" s="593"/>
      <c r="AN330" s="124"/>
      <c r="AO330" s="594"/>
      <c r="AP330" s="384"/>
      <c r="AQ330" s="595"/>
      <c r="AR330" s="5"/>
      <c r="AS330" s="4"/>
      <c r="AT330" s="4"/>
      <c r="AU330" s="4"/>
      <c r="AV330" s="4"/>
      <c r="AW330" s="4"/>
      <c r="AX330" s="4"/>
      <c r="AY330" s="4"/>
      <c r="AZ330" s="4"/>
      <c r="BA330" s="4"/>
      <c r="BB330" s="4"/>
      <c r="BC330" s="4"/>
      <c r="BD330" s="4"/>
      <c r="BE330" s="4"/>
    </row>
    <row r="331" spans="1:57" ht="14.4" hidden="1" customHeight="1">
      <c r="A331" s="603"/>
      <c r="B331" s="3289" t="s">
        <v>326</v>
      </c>
      <c r="C331" s="612" t="s">
        <v>749</v>
      </c>
      <c r="D331" s="596" t="s">
        <v>1938</v>
      </c>
      <c r="E331" s="597" t="s">
        <v>44</v>
      </c>
      <c r="F331" s="598" t="s">
        <v>1813</v>
      </c>
      <c r="G331" s="1080">
        <v>4181087</v>
      </c>
      <c r="H331" s="1080"/>
      <c r="I331" s="1080">
        <v>2787390.7</v>
      </c>
      <c r="J331" s="1081"/>
      <c r="K331" s="602">
        <f>SUM(L332:L333)</f>
        <v>4483422</v>
      </c>
      <c r="L331" s="602"/>
      <c r="M331" s="120"/>
      <c r="N331" s="120"/>
      <c r="O331" s="1085"/>
      <c r="P331" s="5"/>
      <c r="Q331" s="4"/>
      <c r="R331" s="1173"/>
      <c r="S331" s="1180"/>
      <c r="T331" s="1180"/>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row>
    <row r="332" spans="1:57" hidden="1">
      <c r="A332" s="596"/>
      <c r="B332" s="3290" t="s">
        <v>326</v>
      </c>
      <c r="C332" s="603"/>
      <c r="D332" s="603" t="s">
        <v>1938</v>
      </c>
      <c r="E332" s="604" t="s">
        <v>44</v>
      </c>
      <c r="F332" s="605" t="s">
        <v>748</v>
      </c>
      <c r="G332" s="1083"/>
      <c r="H332" s="1083">
        <v>4170168</v>
      </c>
      <c r="I332" s="1083"/>
      <c r="J332" s="1084"/>
      <c r="K332" s="120"/>
      <c r="L332" s="120">
        <v>4475976</v>
      </c>
      <c r="M332" s="1445"/>
      <c r="N332" s="1445"/>
      <c r="O332" s="1085"/>
      <c r="P332" s="19"/>
      <c r="Q332" s="5"/>
      <c r="R332" s="52"/>
      <c r="S332" s="1085"/>
      <c r="T332" s="1085"/>
      <c r="U332" s="5"/>
      <c r="V332" s="5"/>
      <c r="W332" s="5"/>
      <c r="X332" s="5"/>
      <c r="Y332" s="5"/>
      <c r="Z332" s="5"/>
      <c r="AA332" s="5"/>
      <c r="AB332" s="5"/>
      <c r="AC332" s="5"/>
      <c r="AD332" s="5"/>
      <c r="AE332" s="5"/>
      <c r="AF332" s="5"/>
      <c r="AG332" s="5"/>
      <c r="AH332" s="5"/>
      <c r="AI332" s="123"/>
      <c r="AJ332" s="123"/>
      <c r="AK332" s="123"/>
      <c r="AL332" s="123"/>
      <c r="AM332" s="593"/>
      <c r="AN332" s="124"/>
      <c r="AO332" s="594"/>
      <c r="AP332" s="384"/>
      <c r="AQ332" s="595"/>
      <c r="AR332" s="5"/>
      <c r="AS332" s="4"/>
      <c r="AT332" s="4"/>
      <c r="AU332" s="4"/>
      <c r="AV332" s="4"/>
      <c r="AW332" s="4"/>
      <c r="AX332" s="4"/>
      <c r="AY332" s="4"/>
      <c r="AZ332" s="4"/>
      <c r="BA332" s="4"/>
      <c r="BB332" s="4"/>
      <c r="BC332" s="4"/>
      <c r="BD332" s="4"/>
      <c r="BE332" s="4"/>
    </row>
    <row r="333" spans="1:57" hidden="1">
      <c r="A333" s="603"/>
      <c r="B333" s="3290" t="s">
        <v>326</v>
      </c>
      <c r="C333" s="603"/>
      <c r="D333" s="603" t="s">
        <v>1938</v>
      </c>
      <c r="E333" s="604" t="s">
        <v>44</v>
      </c>
      <c r="F333" s="605" t="s">
        <v>2876</v>
      </c>
      <c r="G333" s="1083"/>
      <c r="H333" s="1083">
        <v>10919</v>
      </c>
      <c r="I333" s="1083"/>
      <c r="J333" s="1084"/>
      <c r="K333" s="120"/>
      <c r="L333" s="120">
        <v>7446</v>
      </c>
      <c r="M333" s="120"/>
      <c r="N333" s="120"/>
      <c r="O333" s="1085"/>
      <c r="P333" s="19"/>
      <c r="Q333" s="5"/>
      <c r="R333" s="52"/>
      <c r="S333" s="1085"/>
      <c r="T333" s="1085"/>
      <c r="U333" s="5"/>
      <c r="V333" s="5"/>
      <c r="W333" s="5"/>
      <c r="X333" s="5"/>
      <c r="Y333" s="5"/>
      <c r="Z333" s="5"/>
      <c r="AA333" s="5"/>
      <c r="AB333" s="5"/>
      <c r="AC333" s="5"/>
      <c r="AD333" s="5"/>
      <c r="AE333" s="5"/>
      <c r="AF333" s="5"/>
      <c r="AG333" s="5"/>
      <c r="AH333" s="5"/>
      <c r="AI333" s="5"/>
      <c r="AJ333" s="5"/>
      <c r="AK333" s="5"/>
      <c r="AL333" s="5"/>
      <c r="AM333" s="584"/>
      <c r="AN333" s="585"/>
      <c r="AO333" s="586"/>
      <c r="AP333" s="6"/>
      <c r="AQ333" s="587"/>
      <c r="AR333" s="5"/>
      <c r="AS333" s="4"/>
      <c r="AT333" s="4"/>
      <c r="AU333" s="4"/>
      <c r="AV333" s="4"/>
      <c r="AW333" s="4"/>
      <c r="AX333" s="4"/>
      <c r="AY333" s="4"/>
      <c r="AZ333" s="4"/>
      <c r="BA333" s="4"/>
      <c r="BB333" s="4"/>
      <c r="BC333" s="4"/>
      <c r="BD333" s="4"/>
      <c r="BE333" s="4"/>
    </row>
    <row r="334" spans="1:57" hidden="1">
      <c r="A334" s="596"/>
      <c r="B334" s="3289" t="s">
        <v>326</v>
      </c>
      <c r="C334" s="612" t="s">
        <v>749</v>
      </c>
      <c r="D334" s="1946" t="s">
        <v>1938</v>
      </c>
      <c r="E334" s="614" t="s">
        <v>42</v>
      </c>
      <c r="F334" s="615" t="s">
        <v>1805</v>
      </c>
      <c r="G334" s="1659">
        <v>72988</v>
      </c>
      <c r="H334" s="1659"/>
      <c r="I334" s="1659">
        <v>121179.72</v>
      </c>
      <c r="J334" s="3025"/>
      <c r="K334" s="1659">
        <f>L335</f>
        <v>0</v>
      </c>
      <c r="L334" s="1659"/>
      <c r="M334" s="120"/>
      <c r="N334" s="120"/>
      <c r="O334" s="1085"/>
      <c r="P334" s="19"/>
      <c r="Q334" s="5"/>
      <c r="R334" s="52"/>
      <c r="S334" s="1085"/>
      <c r="T334" s="1085"/>
      <c r="U334" s="5"/>
      <c r="V334" s="5"/>
      <c r="W334" s="5"/>
      <c r="X334" s="5"/>
      <c r="Y334" s="5"/>
      <c r="Z334" s="5"/>
      <c r="AA334" s="5"/>
      <c r="AB334" s="5"/>
      <c r="AC334" s="5"/>
      <c r="AD334" s="5"/>
      <c r="AE334" s="5"/>
      <c r="AF334" s="5"/>
      <c r="AG334" s="5"/>
      <c r="AH334" s="5"/>
      <c r="AI334" s="5"/>
      <c r="AJ334" s="5"/>
      <c r="AK334" s="5"/>
      <c r="AL334" s="5"/>
      <c r="AM334" s="584"/>
      <c r="AN334" s="585"/>
      <c r="AO334" s="586"/>
      <c r="AP334" s="6"/>
      <c r="AQ334" s="587"/>
      <c r="AR334" s="5"/>
      <c r="AS334" s="4"/>
      <c r="AT334" s="4"/>
      <c r="AU334" s="4"/>
      <c r="AV334" s="4"/>
      <c r="AW334" s="4"/>
      <c r="AX334" s="4"/>
      <c r="AY334" s="4"/>
      <c r="AZ334" s="4"/>
      <c r="BA334" s="4"/>
      <c r="BB334" s="4"/>
      <c r="BC334" s="4"/>
      <c r="BD334" s="4"/>
      <c r="BE334" s="4"/>
    </row>
    <row r="335" spans="1:57" ht="51" hidden="1" customHeight="1">
      <c r="A335" s="603"/>
      <c r="B335" s="3290" t="s">
        <v>326</v>
      </c>
      <c r="C335" s="603"/>
      <c r="D335" s="616" t="s">
        <v>1938</v>
      </c>
      <c r="E335" s="617" t="s">
        <v>42</v>
      </c>
      <c r="F335" s="618"/>
      <c r="G335" s="1660"/>
      <c r="H335" s="1660">
        <v>72988</v>
      </c>
      <c r="I335" s="1660"/>
      <c r="J335" s="3026"/>
      <c r="K335" s="1660"/>
      <c r="L335" s="1660">
        <v>0</v>
      </c>
      <c r="M335" s="1445"/>
      <c r="N335" s="1445"/>
      <c r="O335" s="1085"/>
      <c r="P335" s="5"/>
      <c r="Q335" s="5"/>
      <c r="R335" s="1173"/>
      <c r="S335" s="1180"/>
      <c r="T335" s="1180"/>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row>
    <row r="336" spans="1:57" ht="17.25" hidden="1" customHeight="1">
      <c r="A336" s="596"/>
      <c r="B336" s="3289" t="s">
        <v>326</v>
      </c>
      <c r="C336" s="612" t="s">
        <v>749</v>
      </c>
      <c r="D336" s="596" t="s">
        <v>1938</v>
      </c>
      <c r="E336" s="597" t="s">
        <v>1814</v>
      </c>
      <c r="F336" s="598" t="s">
        <v>1815</v>
      </c>
      <c r="G336" s="1080">
        <v>194514</v>
      </c>
      <c r="H336" s="1080"/>
      <c r="I336" s="1080">
        <v>134801.25</v>
      </c>
      <c r="J336" s="1081"/>
      <c r="K336" s="602">
        <f>L337</f>
        <v>236949</v>
      </c>
      <c r="L336" s="602"/>
      <c r="M336" s="120"/>
      <c r="N336" s="120"/>
      <c r="O336" s="1085"/>
      <c r="P336" s="5"/>
      <c r="Q336" s="4"/>
      <c r="R336" s="52"/>
      <c r="S336" s="1085"/>
      <c r="T336" s="1085"/>
      <c r="U336" s="5"/>
      <c r="V336" s="5"/>
      <c r="W336" s="5"/>
      <c r="X336" s="5"/>
      <c r="Y336" s="5"/>
      <c r="Z336" s="5"/>
      <c r="AA336" s="5"/>
      <c r="AB336" s="5"/>
      <c r="AC336" s="5"/>
      <c r="AD336" s="5"/>
      <c r="AE336" s="5"/>
      <c r="AF336" s="5"/>
      <c r="AG336" s="5"/>
      <c r="AH336" s="5"/>
      <c r="AI336" s="123"/>
      <c r="AJ336" s="123"/>
      <c r="AK336" s="123"/>
      <c r="AL336" s="123"/>
      <c r="AM336" s="593"/>
      <c r="AN336" s="124"/>
      <c r="AO336" s="594"/>
      <c r="AP336" s="384"/>
      <c r="AQ336" s="595"/>
      <c r="AR336" s="5"/>
      <c r="AS336" s="4"/>
      <c r="AT336" s="4"/>
      <c r="AU336" s="4"/>
      <c r="AV336" s="4"/>
      <c r="AW336" s="4"/>
      <c r="AX336" s="4"/>
      <c r="AY336" s="4"/>
      <c r="AZ336" s="4"/>
      <c r="BA336" s="4"/>
      <c r="BB336" s="4"/>
      <c r="BC336" s="4"/>
      <c r="BD336" s="4"/>
      <c r="BE336" s="4"/>
    </row>
    <row r="337" spans="1:57" ht="14.4" hidden="1" customHeight="1">
      <c r="A337" s="603"/>
      <c r="B337" s="3290" t="s">
        <v>326</v>
      </c>
      <c r="C337" s="603"/>
      <c r="D337" s="603" t="s">
        <v>1938</v>
      </c>
      <c r="E337" s="604" t="s">
        <v>1814</v>
      </c>
      <c r="F337" s="605"/>
      <c r="G337" s="1083"/>
      <c r="H337" s="1083">
        <v>194514</v>
      </c>
      <c r="I337" s="1083"/>
      <c r="J337" s="1084"/>
      <c r="K337" s="120"/>
      <c r="L337" s="120">
        <f>134427+102522</f>
        <v>236949</v>
      </c>
      <c r="M337" s="120"/>
      <c r="N337" s="120"/>
      <c r="O337" s="1085"/>
      <c r="P337" s="19"/>
      <c r="Q337" s="5"/>
      <c r="R337" s="1173"/>
      <c r="S337" s="1180"/>
      <c r="T337" s="1180"/>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row>
    <row r="338" spans="1:57" hidden="1">
      <c r="A338" s="603"/>
      <c r="B338" s="3289" t="s">
        <v>326</v>
      </c>
      <c r="C338" s="612" t="s">
        <v>1847</v>
      </c>
      <c r="D338" s="596" t="s">
        <v>1939</v>
      </c>
      <c r="E338" s="597" t="s">
        <v>44</v>
      </c>
      <c r="F338" s="598" t="s">
        <v>1813</v>
      </c>
      <c r="G338" s="1080">
        <v>390703</v>
      </c>
      <c r="H338" s="1080"/>
      <c r="I338" s="1080">
        <v>260468.77</v>
      </c>
      <c r="J338" s="1081"/>
      <c r="K338" s="602">
        <f>SUM(L339:L342)</f>
        <v>418235</v>
      </c>
      <c r="L338" s="602"/>
      <c r="M338" s="120"/>
      <c r="N338" s="120"/>
      <c r="O338" s="1085"/>
      <c r="P338" s="5"/>
      <c r="Q338" s="4"/>
      <c r="R338" s="52"/>
      <c r="S338" s="1085"/>
      <c r="T338" s="1085"/>
      <c r="U338" s="5"/>
      <c r="V338" s="5"/>
      <c r="W338" s="5"/>
      <c r="X338" s="5"/>
      <c r="Y338" s="5"/>
      <c r="Z338" s="5"/>
      <c r="AA338" s="5"/>
      <c r="AB338" s="5"/>
      <c r="AC338" s="5"/>
      <c r="AD338" s="5"/>
      <c r="AE338" s="5"/>
      <c r="AF338" s="5"/>
      <c r="AG338" s="5"/>
      <c r="AH338" s="5"/>
      <c r="AI338" s="123"/>
      <c r="AJ338" s="123"/>
      <c r="AK338" s="123"/>
      <c r="AL338" s="123"/>
      <c r="AM338" s="593"/>
      <c r="AN338" s="124"/>
      <c r="AO338" s="594"/>
      <c r="AP338" s="384"/>
      <c r="AQ338" s="595"/>
      <c r="AR338" s="5"/>
      <c r="AS338" s="4"/>
      <c r="AT338" s="4"/>
      <c r="AU338" s="4"/>
      <c r="AV338" s="4"/>
      <c r="AW338" s="4"/>
      <c r="AX338" s="4"/>
      <c r="AY338" s="4"/>
      <c r="AZ338" s="4"/>
      <c r="BA338" s="4"/>
      <c r="BB338" s="4"/>
      <c r="BC338" s="4"/>
      <c r="BD338" s="4"/>
      <c r="BE338" s="4"/>
    </row>
    <row r="339" spans="1:57" ht="14.4" hidden="1" customHeight="1">
      <c r="A339" s="1495"/>
      <c r="B339" s="3290" t="s">
        <v>326</v>
      </c>
      <c r="C339" s="603"/>
      <c r="D339" s="603" t="s">
        <v>1939</v>
      </c>
      <c r="E339" s="604" t="s">
        <v>44</v>
      </c>
      <c r="F339" s="605" t="s">
        <v>2881</v>
      </c>
      <c r="G339" s="1083"/>
      <c r="H339" s="1083">
        <v>205677</v>
      </c>
      <c r="I339" s="1083"/>
      <c r="J339" s="1084"/>
      <c r="K339" s="120"/>
      <c r="L339" s="120">
        <v>285496</v>
      </c>
      <c r="M339" s="1445"/>
      <c r="N339" s="1445"/>
      <c r="O339" s="1085"/>
      <c r="P339" s="19"/>
      <c r="Q339" s="5"/>
      <c r="R339" s="1173"/>
      <c r="S339" s="1180"/>
      <c r="T339" s="1180"/>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row>
    <row r="340" spans="1:57" hidden="1">
      <c r="A340" s="1495"/>
      <c r="B340" s="3290" t="s">
        <v>326</v>
      </c>
      <c r="C340" s="603"/>
      <c r="D340" s="603" t="s">
        <v>1939</v>
      </c>
      <c r="E340" s="604" t="s">
        <v>44</v>
      </c>
      <c r="F340" s="605" t="s">
        <v>2882</v>
      </c>
      <c r="G340" s="1083"/>
      <c r="H340" s="1083">
        <v>115112</v>
      </c>
      <c r="I340" s="1083"/>
      <c r="J340" s="1084"/>
      <c r="K340" s="120"/>
      <c r="L340" s="120">
        <v>132739</v>
      </c>
      <c r="M340" s="120"/>
      <c r="N340" s="120"/>
      <c r="O340" s="1085"/>
      <c r="P340" s="5"/>
      <c r="Q340" s="4"/>
      <c r="R340" s="52"/>
      <c r="S340" s="1085"/>
      <c r="T340" s="1085"/>
      <c r="U340" s="5"/>
      <c r="V340" s="5"/>
      <c r="W340" s="5"/>
      <c r="X340" s="5"/>
      <c r="Y340" s="5"/>
      <c r="Z340" s="5"/>
      <c r="AA340" s="5"/>
      <c r="AB340" s="5"/>
      <c r="AC340" s="5"/>
      <c r="AD340" s="5"/>
      <c r="AE340" s="5"/>
      <c r="AF340" s="5"/>
      <c r="AG340" s="5"/>
      <c r="AH340" s="5"/>
      <c r="AI340" s="123"/>
      <c r="AJ340" s="123"/>
      <c r="AK340" s="123"/>
      <c r="AL340" s="123"/>
      <c r="AM340" s="593"/>
      <c r="AN340" s="124"/>
      <c r="AO340" s="594"/>
      <c r="AP340" s="384"/>
      <c r="AQ340" s="595"/>
      <c r="AR340" s="5"/>
      <c r="AS340" s="4"/>
      <c r="AT340" s="4"/>
      <c r="AU340" s="4"/>
      <c r="AV340" s="4"/>
      <c r="AW340" s="4"/>
      <c r="AX340" s="4"/>
      <c r="AY340" s="4"/>
      <c r="AZ340" s="4"/>
      <c r="BA340" s="4"/>
      <c r="BB340" s="4"/>
      <c r="BC340" s="4"/>
      <c r="BD340" s="4"/>
      <c r="BE340" s="4"/>
    </row>
    <row r="341" spans="1:57" ht="14.4" hidden="1" customHeight="1">
      <c r="A341" s="596"/>
      <c r="B341" s="3290" t="s">
        <v>326</v>
      </c>
      <c r="C341" s="603"/>
      <c r="D341" s="603" t="s">
        <v>1939</v>
      </c>
      <c r="E341" s="604" t="s">
        <v>44</v>
      </c>
      <c r="F341" s="1496" t="s">
        <v>3356</v>
      </c>
      <c r="G341" s="1083"/>
      <c r="H341" s="1083">
        <v>59839</v>
      </c>
      <c r="I341" s="1083"/>
      <c r="J341" s="1084"/>
      <c r="K341" s="120"/>
      <c r="L341" s="120"/>
      <c r="M341" s="1445"/>
      <c r="N341" s="1445"/>
      <c r="O341" s="1082"/>
      <c r="P341" s="19"/>
      <c r="Q341" s="5"/>
      <c r="R341" s="1173"/>
      <c r="S341" s="1180"/>
      <c r="T341" s="1180"/>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row>
    <row r="342" spans="1:57" ht="20.399999999999999" hidden="1">
      <c r="A342" s="603"/>
      <c r="B342" s="3290" t="s">
        <v>326</v>
      </c>
      <c r="C342" s="603"/>
      <c r="D342" s="603" t="s">
        <v>1939</v>
      </c>
      <c r="E342" s="604" t="s">
        <v>44</v>
      </c>
      <c r="F342" s="1496" t="s">
        <v>3357</v>
      </c>
      <c r="G342" s="1083"/>
      <c r="H342" s="1083">
        <v>10075</v>
      </c>
      <c r="I342" s="1083"/>
      <c r="J342" s="1084"/>
      <c r="K342" s="120"/>
      <c r="L342" s="120"/>
      <c r="M342" s="120"/>
      <c r="N342" s="120"/>
      <c r="O342" s="1082"/>
      <c r="P342" s="5"/>
      <c r="Q342" s="5"/>
      <c r="R342" s="52"/>
      <c r="S342" s="1085"/>
      <c r="T342" s="1085"/>
      <c r="U342" s="5"/>
      <c r="V342" s="5"/>
      <c r="W342" s="5"/>
      <c r="X342" s="5"/>
      <c r="Y342" s="5"/>
      <c r="Z342" s="5"/>
      <c r="AA342" s="5"/>
      <c r="AB342" s="5"/>
      <c r="AC342" s="5"/>
      <c r="AD342" s="5"/>
      <c r="AE342" s="5"/>
      <c r="AF342" s="5"/>
      <c r="AG342" s="5"/>
      <c r="AH342" s="5"/>
      <c r="AI342" s="123"/>
      <c r="AJ342" s="123"/>
      <c r="AK342" s="123"/>
      <c r="AL342" s="123"/>
      <c r="AM342" s="593"/>
      <c r="AN342" s="124"/>
      <c r="AO342" s="594"/>
      <c r="AP342" s="384"/>
      <c r="AQ342" s="595"/>
      <c r="AR342" s="5"/>
      <c r="AS342" s="4"/>
      <c r="AT342" s="4"/>
      <c r="AU342" s="4"/>
      <c r="AV342" s="4"/>
      <c r="AW342" s="4"/>
      <c r="AX342" s="4"/>
      <c r="AY342" s="4"/>
      <c r="AZ342" s="4"/>
      <c r="BA342" s="4"/>
      <c r="BB342" s="4"/>
      <c r="BC342" s="4"/>
      <c r="BD342" s="4"/>
      <c r="BE342" s="4"/>
    </row>
    <row r="343" spans="1:57" ht="14.4" hidden="1" customHeight="1">
      <c r="A343" s="596"/>
      <c r="B343" s="3289" t="s">
        <v>365</v>
      </c>
      <c r="C343" s="612" t="s">
        <v>750</v>
      </c>
      <c r="D343" s="596" t="s">
        <v>1940</v>
      </c>
      <c r="E343" s="597" t="s">
        <v>2847</v>
      </c>
      <c r="F343" s="598" t="s">
        <v>2848</v>
      </c>
      <c r="G343" s="1080">
        <v>34052</v>
      </c>
      <c r="H343" s="1080"/>
      <c r="I343" s="1080">
        <v>73181.600000000006</v>
      </c>
      <c r="J343" s="1081"/>
      <c r="K343" s="602">
        <f>L344</f>
        <v>0</v>
      </c>
      <c r="L343" s="602"/>
      <c r="M343" s="1445"/>
      <c r="N343" s="1445"/>
      <c r="O343" s="1085"/>
      <c r="P343" s="19"/>
      <c r="Q343" s="4"/>
      <c r="R343" s="1173"/>
      <c r="S343" s="1180"/>
      <c r="T343" s="1180"/>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row>
    <row r="344" spans="1:57" hidden="1">
      <c r="A344" s="603"/>
      <c r="B344" s="3290" t="s">
        <v>365</v>
      </c>
      <c r="C344" s="603"/>
      <c r="D344" s="603" t="s">
        <v>1940</v>
      </c>
      <c r="E344" s="604" t="s">
        <v>2847</v>
      </c>
      <c r="F344" s="605" t="s">
        <v>1817</v>
      </c>
      <c r="G344" s="1083"/>
      <c r="H344" s="1083">
        <v>34052</v>
      </c>
      <c r="I344" s="1083"/>
      <c r="J344" s="1084"/>
      <c r="K344" s="120"/>
      <c r="L344" s="120">
        <v>0</v>
      </c>
      <c r="M344" s="120"/>
      <c r="N344" s="120"/>
      <c r="O344" s="1085"/>
      <c r="P344" s="5"/>
      <c r="Q344" s="5"/>
      <c r="R344" s="52"/>
      <c r="S344" s="1085"/>
      <c r="T344" s="1085"/>
      <c r="U344" s="5"/>
      <c r="V344" s="5"/>
      <c r="W344" s="5"/>
      <c r="X344" s="5"/>
      <c r="Y344" s="5"/>
      <c r="Z344" s="5"/>
      <c r="AA344" s="5"/>
      <c r="AB344" s="5"/>
      <c r="AC344" s="5"/>
      <c r="AD344" s="5"/>
      <c r="AE344" s="5"/>
      <c r="AF344" s="5"/>
      <c r="AG344" s="5"/>
      <c r="AH344" s="5"/>
      <c r="AI344" s="123"/>
      <c r="AJ344" s="123"/>
      <c r="AK344" s="123"/>
      <c r="AL344" s="123"/>
      <c r="AM344" s="593"/>
      <c r="AN344" s="124"/>
      <c r="AO344" s="594"/>
      <c r="AP344" s="384"/>
      <c r="AQ344" s="595"/>
      <c r="AR344" s="5"/>
      <c r="AS344" s="4"/>
      <c r="AT344" s="4"/>
      <c r="AU344" s="4"/>
      <c r="AV344" s="4"/>
      <c r="AW344" s="4"/>
      <c r="AX344" s="4"/>
      <c r="AY344" s="4"/>
      <c r="AZ344" s="4"/>
      <c r="BA344" s="4"/>
      <c r="BB344" s="4"/>
      <c r="BC344" s="4"/>
      <c r="BD344" s="4"/>
      <c r="BE344" s="4"/>
    </row>
    <row r="345" spans="1:57" ht="14.4" customHeight="1">
      <c r="A345" s="596"/>
      <c r="B345" s="3289" t="s">
        <v>772</v>
      </c>
      <c r="C345" s="612" t="s">
        <v>316</v>
      </c>
      <c r="D345" s="596" t="s">
        <v>1941</v>
      </c>
      <c r="E345" s="614" t="s">
        <v>447</v>
      </c>
      <c r="F345" s="615" t="s">
        <v>1734</v>
      </c>
      <c r="G345" s="1080">
        <v>0</v>
      </c>
      <c r="H345" s="1080"/>
      <c r="I345" s="1080">
        <v>262</v>
      </c>
      <c r="J345" s="1081"/>
      <c r="K345" s="602">
        <f>L346</f>
        <v>0</v>
      </c>
      <c r="L345" s="602"/>
      <c r="M345" s="1445"/>
      <c r="N345" s="1445"/>
      <c r="O345" s="1085"/>
      <c r="P345" s="19"/>
      <c r="Q345" s="4"/>
      <c r="R345" s="1173"/>
      <c r="S345" s="1180"/>
      <c r="T345" s="1180"/>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row>
    <row r="346" spans="1:57">
      <c r="A346" s="603"/>
      <c r="B346" s="3290" t="s">
        <v>772</v>
      </c>
      <c r="C346" s="603"/>
      <c r="D346" s="603" t="s">
        <v>1941</v>
      </c>
      <c r="E346" s="617" t="s">
        <v>447</v>
      </c>
      <c r="F346" s="618" t="s">
        <v>1734</v>
      </c>
      <c r="G346" s="1083"/>
      <c r="H346" s="1083">
        <v>0</v>
      </c>
      <c r="I346" s="1083"/>
      <c r="J346" s="1084"/>
      <c r="K346" s="120"/>
      <c r="L346" s="120">
        <v>0</v>
      </c>
      <c r="M346" s="120"/>
      <c r="N346" s="120"/>
      <c r="O346" s="1085"/>
      <c r="P346" s="5"/>
      <c r="Q346" s="5"/>
      <c r="R346" s="52"/>
      <c r="S346" s="1085"/>
      <c r="T346" s="1085"/>
      <c r="U346" s="5"/>
      <c r="V346" s="5"/>
      <c r="W346" s="5"/>
      <c r="X346" s="5"/>
      <c r="Y346" s="5"/>
      <c r="Z346" s="5"/>
      <c r="AA346" s="5"/>
      <c r="AB346" s="5"/>
      <c r="AC346" s="5"/>
      <c r="AD346" s="5"/>
      <c r="AE346" s="5"/>
      <c r="AF346" s="5"/>
      <c r="AG346" s="5"/>
      <c r="AH346" s="5"/>
      <c r="AI346" s="123"/>
      <c r="AJ346" s="123"/>
      <c r="AK346" s="123"/>
      <c r="AL346" s="123"/>
      <c r="AM346" s="593"/>
      <c r="AN346" s="124"/>
      <c r="AO346" s="594"/>
      <c r="AP346" s="384"/>
      <c r="AQ346" s="595"/>
      <c r="AR346" s="5"/>
      <c r="AS346" s="4"/>
      <c r="AT346" s="4"/>
      <c r="AU346" s="4"/>
      <c r="AV346" s="4"/>
      <c r="AW346" s="4"/>
      <c r="AX346" s="4"/>
      <c r="AY346" s="4"/>
      <c r="AZ346" s="4"/>
      <c r="BA346" s="4"/>
      <c r="BB346" s="4"/>
      <c r="BC346" s="4"/>
      <c r="BD346" s="4"/>
      <c r="BE346" s="4"/>
    </row>
    <row r="347" spans="1:57" s="624" customFormat="1" hidden="1">
      <c r="A347" s="596"/>
      <c r="B347" s="3289" t="s">
        <v>365</v>
      </c>
      <c r="C347" s="612" t="s">
        <v>316</v>
      </c>
      <c r="D347" s="596" t="s">
        <v>1941</v>
      </c>
      <c r="E347" s="597" t="s">
        <v>45</v>
      </c>
      <c r="F347" s="598" t="s">
        <v>1762</v>
      </c>
      <c r="G347" s="611">
        <v>0</v>
      </c>
      <c r="H347" s="611"/>
      <c r="I347" s="600"/>
      <c r="J347" s="601"/>
      <c r="K347" s="602">
        <f>L348</f>
        <v>0</v>
      </c>
      <c r="L347" s="602"/>
      <c r="M347" s="1445"/>
      <c r="N347" s="1445"/>
      <c r="O347" s="1085"/>
      <c r="P347" s="19"/>
      <c r="Q347" s="4"/>
      <c r="R347" s="1177"/>
      <c r="S347" s="1180"/>
      <c r="T347" s="1180"/>
      <c r="U347" s="623"/>
      <c r="V347" s="623"/>
      <c r="W347" s="623"/>
      <c r="X347" s="623"/>
      <c r="Y347" s="623"/>
      <c r="Z347" s="623"/>
      <c r="AA347" s="623"/>
      <c r="AB347" s="623"/>
      <c r="AC347" s="623"/>
      <c r="AD347" s="623"/>
      <c r="AE347" s="623"/>
      <c r="AF347" s="623"/>
      <c r="AG347" s="623"/>
      <c r="AH347" s="623"/>
      <c r="AI347" s="623"/>
      <c r="AJ347" s="623"/>
      <c r="AK347" s="623"/>
      <c r="AL347" s="623"/>
      <c r="AM347" s="623"/>
      <c r="AN347" s="623"/>
      <c r="AO347" s="623"/>
      <c r="AP347" s="623"/>
      <c r="AQ347" s="623"/>
      <c r="AR347" s="623"/>
      <c r="AS347" s="623"/>
      <c r="AT347" s="623"/>
      <c r="AU347" s="623"/>
      <c r="AV347" s="623"/>
      <c r="AW347" s="623"/>
      <c r="AX347" s="623"/>
      <c r="AY347" s="623"/>
      <c r="AZ347" s="623"/>
      <c r="BA347" s="623"/>
      <c r="BB347" s="623"/>
      <c r="BC347" s="623"/>
      <c r="BD347" s="623"/>
      <c r="BE347" s="623"/>
    </row>
    <row r="348" spans="1:57" s="624" customFormat="1" ht="20.399999999999999" hidden="1">
      <c r="A348" s="603"/>
      <c r="B348" s="3290" t="s">
        <v>365</v>
      </c>
      <c r="C348" s="603"/>
      <c r="D348" s="603" t="s">
        <v>1941</v>
      </c>
      <c r="E348" s="604" t="s">
        <v>45</v>
      </c>
      <c r="F348" s="605" t="s">
        <v>1818</v>
      </c>
      <c r="G348" s="583"/>
      <c r="H348" s="583"/>
      <c r="I348" s="121"/>
      <c r="J348" s="122"/>
      <c r="K348" s="120"/>
      <c r="L348" s="120"/>
      <c r="M348" s="120"/>
      <c r="N348" s="120"/>
      <c r="O348" s="1085"/>
      <c r="P348" s="5"/>
      <c r="Q348" s="5"/>
      <c r="R348" s="1178"/>
      <c r="S348" s="1085"/>
      <c r="T348" s="1085"/>
      <c r="U348" s="628"/>
      <c r="V348" s="628"/>
      <c r="W348" s="628"/>
      <c r="X348" s="628"/>
      <c r="Y348" s="628"/>
      <c r="Z348" s="628"/>
      <c r="AA348" s="628"/>
      <c r="AB348" s="628"/>
      <c r="AC348" s="628"/>
      <c r="AD348" s="628"/>
      <c r="AE348" s="628"/>
      <c r="AF348" s="628"/>
      <c r="AG348" s="628"/>
      <c r="AH348" s="628"/>
      <c r="AI348" s="625"/>
      <c r="AJ348" s="625"/>
      <c r="AK348" s="625"/>
      <c r="AL348" s="625"/>
      <c r="AM348" s="629"/>
      <c r="AN348" s="630"/>
      <c r="AO348" s="631"/>
      <c r="AP348" s="632"/>
      <c r="AQ348" s="633"/>
      <c r="AR348" s="628"/>
      <c r="AS348" s="623"/>
      <c r="AT348" s="623"/>
      <c r="AU348" s="623"/>
      <c r="AV348" s="623"/>
      <c r="AW348" s="623"/>
      <c r="AX348" s="623"/>
      <c r="AY348" s="623"/>
      <c r="AZ348" s="623"/>
      <c r="BA348" s="623"/>
      <c r="BB348" s="623"/>
      <c r="BC348" s="623"/>
      <c r="BD348" s="623"/>
      <c r="BE348" s="623"/>
    </row>
    <row r="349" spans="1:57" s="624" customFormat="1">
      <c r="A349" s="596"/>
      <c r="B349" s="3289" t="s">
        <v>772</v>
      </c>
      <c r="C349" s="612" t="s">
        <v>316</v>
      </c>
      <c r="D349" s="596" t="s">
        <v>1941</v>
      </c>
      <c r="E349" s="597" t="s">
        <v>61</v>
      </c>
      <c r="F349" s="598" t="s">
        <v>1803</v>
      </c>
      <c r="G349" s="1080">
        <v>98000</v>
      </c>
      <c r="H349" s="1080"/>
      <c r="I349" s="1080">
        <v>79583</v>
      </c>
      <c r="J349" s="1081"/>
      <c r="K349" s="602">
        <f>L350</f>
        <v>100000</v>
      </c>
      <c r="L349" s="602"/>
      <c r="M349" s="1445"/>
      <c r="N349" s="1445"/>
      <c r="O349" s="1085"/>
      <c r="P349" s="19"/>
      <c r="Q349" s="4"/>
      <c r="R349" s="1178"/>
      <c r="S349" s="1085"/>
      <c r="T349" s="1085"/>
      <c r="U349" s="628"/>
      <c r="V349" s="628"/>
      <c r="W349" s="628"/>
      <c r="X349" s="628"/>
      <c r="Y349" s="628"/>
      <c r="Z349" s="628"/>
      <c r="AA349" s="628"/>
      <c r="AB349" s="628"/>
      <c r="AC349" s="628"/>
      <c r="AD349" s="628"/>
      <c r="AE349" s="628"/>
      <c r="AF349" s="628"/>
      <c r="AG349" s="628"/>
      <c r="AH349" s="628"/>
      <c r="AI349" s="628"/>
      <c r="AJ349" s="628"/>
      <c r="AK349" s="628"/>
      <c r="AL349" s="628"/>
      <c r="AM349" s="634"/>
      <c r="AN349" s="635"/>
      <c r="AO349" s="636"/>
      <c r="AP349" s="637"/>
      <c r="AQ349" s="638"/>
      <c r="AR349" s="628"/>
      <c r="AS349" s="623"/>
      <c r="AT349" s="623"/>
      <c r="AU349" s="623"/>
      <c r="AV349" s="623"/>
      <c r="AW349" s="623"/>
      <c r="AX349" s="623"/>
      <c r="AY349" s="623"/>
      <c r="AZ349" s="623"/>
      <c r="BA349" s="623"/>
      <c r="BB349" s="623"/>
      <c r="BC349" s="623"/>
      <c r="BD349" s="623"/>
      <c r="BE349" s="623"/>
    </row>
    <row r="350" spans="1:57" s="624" customFormat="1">
      <c r="A350" s="603"/>
      <c r="B350" s="3290" t="s">
        <v>772</v>
      </c>
      <c r="C350" s="603"/>
      <c r="D350" s="603" t="s">
        <v>1941</v>
      </c>
      <c r="E350" s="604" t="s">
        <v>61</v>
      </c>
      <c r="F350" s="605" t="s">
        <v>1803</v>
      </c>
      <c r="G350" s="1083"/>
      <c r="H350" s="1083">
        <v>98000</v>
      </c>
      <c r="I350" s="1083"/>
      <c r="J350" s="1084"/>
      <c r="K350" s="120"/>
      <c r="L350" s="120">
        <v>100000</v>
      </c>
      <c r="M350" s="120"/>
      <c r="N350" s="120"/>
      <c r="O350" s="1085"/>
      <c r="P350" s="5"/>
      <c r="Q350" s="5"/>
      <c r="R350" s="1178"/>
      <c r="S350" s="1085"/>
      <c r="T350" s="1085"/>
      <c r="U350" s="628"/>
      <c r="V350" s="628"/>
      <c r="W350" s="628"/>
      <c r="X350" s="628"/>
      <c r="Y350" s="628"/>
      <c r="Z350" s="628"/>
      <c r="AA350" s="628"/>
      <c r="AB350" s="628"/>
      <c r="AC350" s="628"/>
      <c r="AD350" s="628"/>
      <c r="AE350" s="628"/>
      <c r="AF350" s="628"/>
      <c r="AG350" s="628"/>
      <c r="AH350" s="628"/>
      <c r="AI350" s="625"/>
      <c r="AJ350" s="625"/>
      <c r="AK350" s="625"/>
      <c r="AL350" s="625"/>
      <c r="AM350" s="629"/>
      <c r="AN350" s="630"/>
      <c r="AO350" s="631"/>
      <c r="AP350" s="632"/>
      <c r="AQ350" s="633"/>
      <c r="AR350" s="628"/>
      <c r="AS350" s="623"/>
      <c r="AT350" s="623"/>
      <c r="AU350" s="623"/>
      <c r="AV350" s="623"/>
      <c r="AW350" s="623"/>
      <c r="AX350" s="623"/>
      <c r="AY350" s="623"/>
      <c r="AZ350" s="623"/>
      <c r="BA350" s="623"/>
      <c r="BB350" s="623"/>
      <c r="BC350" s="623"/>
      <c r="BD350" s="623"/>
      <c r="BE350" s="623"/>
    </row>
    <row r="351" spans="1:57" s="624" customFormat="1">
      <c r="A351" s="596"/>
      <c r="B351" s="3289" t="s">
        <v>772</v>
      </c>
      <c r="C351" s="612" t="s">
        <v>316</v>
      </c>
      <c r="D351" s="596" t="s">
        <v>1941</v>
      </c>
      <c r="E351" s="597" t="s">
        <v>64</v>
      </c>
      <c r="F351" s="598" t="s">
        <v>1741</v>
      </c>
      <c r="G351" s="1080">
        <v>1850.3</v>
      </c>
      <c r="H351" s="1080"/>
      <c r="I351" s="1080">
        <v>1811.37</v>
      </c>
      <c r="J351" s="1081"/>
      <c r="K351" s="602">
        <f>L352</f>
        <v>1850.3</v>
      </c>
      <c r="L351" s="602"/>
      <c r="M351" s="120">
        <f>K351/121*21</f>
        <v>321.12644628099173</v>
      </c>
      <c r="N351" s="120"/>
      <c r="O351" s="1085"/>
      <c r="P351" s="19"/>
      <c r="Q351" s="4"/>
      <c r="R351" s="1178"/>
      <c r="S351" s="1085"/>
      <c r="T351" s="1085"/>
      <c r="U351" s="628"/>
      <c r="V351" s="628"/>
      <c r="W351" s="628"/>
      <c r="X351" s="628"/>
      <c r="Y351" s="628"/>
      <c r="Z351" s="628"/>
      <c r="AA351" s="628"/>
      <c r="AB351" s="628"/>
      <c r="AC351" s="628"/>
      <c r="AD351" s="628"/>
      <c r="AE351" s="628"/>
      <c r="AF351" s="628"/>
      <c r="AG351" s="628"/>
      <c r="AH351" s="628"/>
      <c r="AI351" s="625"/>
      <c r="AJ351" s="625"/>
      <c r="AK351" s="625"/>
      <c r="AL351" s="625"/>
      <c r="AM351" s="629"/>
      <c r="AN351" s="630"/>
      <c r="AO351" s="631"/>
      <c r="AP351" s="632"/>
      <c r="AQ351" s="633"/>
      <c r="AR351" s="628"/>
      <c r="AS351" s="623"/>
      <c r="AT351" s="623"/>
      <c r="AU351" s="623"/>
      <c r="AV351" s="623"/>
      <c r="AW351" s="623"/>
      <c r="AX351" s="623"/>
      <c r="AY351" s="623"/>
      <c r="AZ351" s="623"/>
      <c r="BA351" s="623"/>
      <c r="BB351" s="623"/>
      <c r="BC351" s="623"/>
      <c r="BD351" s="623"/>
      <c r="BE351" s="623"/>
    </row>
    <row r="352" spans="1:57" s="624" customFormat="1" ht="30.6">
      <c r="A352" s="603"/>
      <c r="B352" s="3290" t="s">
        <v>772</v>
      </c>
      <c r="C352" s="603"/>
      <c r="D352" s="603" t="s">
        <v>1941</v>
      </c>
      <c r="E352" s="604" t="s">
        <v>64</v>
      </c>
      <c r="F352" s="605" t="s">
        <v>2657</v>
      </c>
      <c r="G352" s="1083"/>
      <c r="H352" s="1083">
        <v>1850.3</v>
      </c>
      <c r="I352" s="1083"/>
      <c r="J352" s="1084"/>
      <c r="K352" s="120"/>
      <c r="L352" s="120">
        <f>170*1.21*9-1</f>
        <v>1850.3</v>
      </c>
      <c r="M352" s="1445"/>
      <c r="N352" s="1445"/>
      <c r="O352" s="1085"/>
      <c r="P352" s="5"/>
      <c r="Q352" s="5"/>
      <c r="R352" s="1178"/>
      <c r="S352" s="1085"/>
      <c r="T352" s="1085"/>
      <c r="U352" s="628"/>
      <c r="V352" s="628"/>
      <c r="W352" s="628"/>
      <c r="X352" s="628"/>
      <c r="Y352" s="628"/>
      <c r="Z352" s="628"/>
      <c r="AA352" s="628"/>
      <c r="AB352" s="628"/>
      <c r="AC352" s="628"/>
      <c r="AD352" s="628"/>
      <c r="AE352" s="628"/>
      <c r="AF352" s="628"/>
      <c r="AG352" s="628"/>
      <c r="AH352" s="628"/>
      <c r="AI352" s="625"/>
      <c r="AJ352" s="625"/>
      <c r="AK352" s="625"/>
      <c r="AL352" s="625"/>
      <c r="AM352" s="629"/>
      <c r="AN352" s="630"/>
      <c r="AO352" s="631"/>
      <c r="AP352" s="632"/>
      <c r="AQ352" s="633"/>
      <c r="AR352" s="628"/>
      <c r="AS352" s="623"/>
      <c r="AT352" s="623"/>
      <c r="AU352" s="623"/>
      <c r="AV352" s="623"/>
      <c r="AW352" s="623"/>
      <c r="AX352" s="623"/>
      <c r="AY352" s="623"/>
      <c r="AZ352" s="623"/>
      <c r="BA352" s="623"/>
      <c r="BB352" s="623"/>
      <c r="BC352" s="623"/>
      <c r="BD352" s="623"/>
      <c r="BE352" s="623"/>
    </row>
    <row r="353" spans="1:57" s="624" customFormat="1">
      <c r="A353" s="596"/>
      <c r="B353" s="3289" t="s">
        <v>772</v>
      </c>
      <c r="C353" s="612" t="s">
        <v>316</v>
      </c>
      <c r="D353" s="596" t="s">
        <v>1941</v>
      </c>
      <c r="E353" s="597" t="s">
        <v>1764</v>
      </c>
      <c r="F353" s="598" t="s">
        <v>1765</v>
      </c>
      <c r="G353" s="1080">
        <v>1250</v>
      </c>
      <c r="H353" s="1080"/>
      <c r="I353" s="1080">
        <v>2650</v>
      </c>
      <c r="J353" s="1081"/>
      <c r="K353" s="602">
        <f>L354</f>
        <v>2500</v>
      </c>
      <c r="L353" s="602"/>
      <c r="M353" s="120"/>
      <c r="N353" s="120"/>
      <c r="O353" s="1093"/>
      <c r="P353" s="5"/>
      <c r="Q353" s="4"/>
      <c r="R353" s="1178"/>
      <c r="S353" s="1085"/>
      <c r="T353" s="1085"/>
      <c r="U353" s="628"/>
      <c r="V353" s="628"/>
      <c r="W353" s="628"/>
      <c r="X353" s="628"/>
      <c r="Y353" s="628"/>
      <c r="Z353" s="628"/>
      <c r="AA353" s="628"/>
      <c r="AB353" s="628"/>
      <c r="AC353" s="628"/>
      <c r="AD353" s="628"/>
      <c r="AE353" s="628"/>
      <c r="AF353" s="628"/>
      <c r="AG353" s="628"/>
      <c r="AH353" s="628"/>
      <c r="AI353" s="625"/>
      <c r="AJ353" s="625"/>
      <c r="AK353" s="625"/>
      <c r="AL353" s="625"/>
      <c r="AM353" s="629"/>
      <c r="AN353" s="630"/>
      <c r="AO353" s="631"/>
      <c r="AP353" s="632"/>
      <c r="AQ353" s="633"/>
      <c r="AR353" s="628"/>
      <c r="AS353" s="623"/>
      <c r="AT353" s="623"/>
      <c r="AU353" s="623"/>
      <c r="AV353" s="623"/>
      <c r="AW353" s="623"/>
      <c r="AX353" s="623"/>
      <c r="AY353" s="623"/>
      <c r="AZ353" s="623"/>
      <c r="BA353" s="623"/>
      <c r="BB353" s="623"/>
      <c r="BC353" s="623"/>
      <c r="BD353" s="623"/>
      <c r="BE353" s="623"/>
    </row>
    <row r="354" spans="1:57" s="624" customFormat="1">
      <c r="A354" s="603"/>
      <c r="B354" s="3290" t="s">
        <v>772</v>
      </c>
      <c r="C354" s="603"/>
      <c r="D354" s="603" t="s">
        <v>1941</v>
      </c>
      <c r="E354" s="604" t="s">
        <v>1764</v>
      </c>
      <c r="F354" s="605" t="s">
        <v>2658</v>
      </c>
      <c r="G354" s="1083"/>
      <c r="H354" s="1083">
        <v>1250</v>
      </c>
      <c r="I354" s="1083"/>
      <c r="J354" s="1084"/>
      <c r="K354" s="120"/>
      <c r="L354" s="120">
        <v>2500</v>
      </c>
      <c r="M354" s="1445"/>
      <c r="N354" s="1445"/>
      <c r="O354" s="1093"/>
      <c r="P354" s="19"/>
      <c r="Q354" s="5"/>
      <c r="R354" s="1178"/>
      <c r="S354" s="1085"/>
      <c r="T354" s="1085"/>
      <c r="U354" s="628"/>
      <c r="V354" s="628"/>
      <c r="W354" s="628"/>
      <c r="X354" s="628"/>
      <c r="Y354" s="628"/>
      <c r="Z354" s="628"/>
      <c r="AA354" s="628"/>
      <c r="AB354" s="628"/>
      <c r="AC354" s="628"/>
      <c r="AD354" s="628"/>
      <c r="AE354" s="628"/>
      <c r="AF354" s="628"/>
      <c r="AG354" s="628"/>
      <c r="AH354" s="628"/>
      <c r="AI354" s="625"/>
      <c r="AJ354" s="625"/>
      <c r="AK354" s="625"/>
      <c r="AL354" s="625"/>
      <c r="AM354" s="629"/>
      <c r="AN354" s="630"/>
      <c r="AO354" s="631"/>
      <c r="AP354" s="632"/>
      <c r="AQ354" s="633"/>
      <c r="AR354" s="628"/>
      <c r="AS354" s="623"/>
      <c r="AT354" s="623"/>
      <c r="AU354" s="623"/>
      <c r="AV354" s="623"/>
      <c r="AW354" s="623"/>
      <c r="AX354" s="623"/>
      <c r="AY354" s="623"/>
      <c r="AZ354" s="623"/>
      <c r="BA354" s="623"/>
      <c r="BB354" s="623"/>
      <c r="BC354" s="623"/>
      <c r="BD354" s="623"/>
      <c r="BE354" s="623"/>
    </row>
    <row r="355" spans="1:57" s="624" customFormat="1" hidden="1">
      <c r="A355" s="603"/>
      <c r="B355" s="3289" t="s">
        <v>326</v>
      </c>
      <c r="C355" s="612" t="s">
        <v>1819</v>
      </c>
      <c r="D355" s="596" t="s">
        <v>1953</v>
      </c>
      <c r="E355" s="597" t="s">
        <v>40</v>
      </c>
      <c r="F355" s="598" t="s">
        <v>1820</v>
      </c>
      <c r="G355" s="1088">
        <v>833236</v>
      </c>
      <c r="H355" s="1088"/>
      <c r="I355" s="1088">
        <v>550412</v>
      </c>
      <c r="J355" s="1089"/>
      <c r="K355" s="602">
        <f>SUM(L356:L357)</f>
        <v>792241</v>
      </c>
      <c r="L355" s="602"/>
      <c r="M355" s="120"/>
      <c r="N355" s="120"/>
      <c r="O355" s="1085"/>
      <c r="P355" s="5"/>
      <c r="Q355" s="4"/>
      <c r="R355" s="1177"/>
      <c r="S355" s="1180"/>
      <c r="T355" s="1180"/>
      <c r="U355" s="623"/>
      <c r="V355" s="623"/>
      <c r="W355" s="623"/>
      <c r="X355" s="623"/>
      <c r="Y355" s="623"/>
      <c r="Z355" s="623"/>
      <c r="AA355" s="623"/>
      <c r="AB355" s="623"/>
      <c r="AC355" s="623"/>
      <c r="AD355" s="623"/>
      <c r="AE355" s="623"/>
      <c r="AF355" s="623"/>
      <c r="AG355" s="623"/>
      <c r="AH355" s="623"/>
      <c r="AI355" s="623"/>
      <c r="AJ355" s="623"/>
      <c r="AK355" s="623"/>
      <c r="AL355" s="623"/>
      <c r="AM355" s="623"/>
      <c r="AN355" s="623"/>
      <c r="AO355" s="623"/>
      <c r="AP355" s="623"/>
      <c r="AQ355" s="623"/>
      <c r="AR355" s="623"/>
      <c r="AS355" s="623"/>
      <c r="AT355" s="623"/>
      <c r="AU355" s="623"/>
      <c r="AV355" s="623"/>
      <c r="AW355" s="623"/>
      <c r="AX355" s="623"/>
      <c r="AY355" s="623"/>
      <c r="AZ355" s="623"/>
      <c r="BA355" s="623"/>
      <c r="BB355" s="623"/>
      <c r="BC355" s="623"/>
      <c r="BD355" s="623"/>
      <c r="BE355" s="623"/>
    </row>
    <row r="356" spans="1:57" s="624" customFormat="1" hidden="1">
      <c r="A356" s="596"/>
      <c r="B356" s="3290" t="s">
        <v>326</v>
      </c>
      <c r="C356" s="603"/>
      <c r="D356" s="603" t="s">
        <v>1953</v>
      </c>
      <c r="E356" s="604" t="s">
        <v>40</v>
      </c>
      <c r="F356" s="605" t="s">
        <v>1820</v>
      </c>
      <c r="G356" s="1090"/>
      <c r="H356" s="1090">
        <v>718764</v>
      </c>
      <c r="I356" s="1090"/>
      <c r="J356" s="1091"/>
      <c r="K356" s="120"/>
      <c r="L356" s="120">
        <v>792241</v>
      </c>
      <c r="M356" s="1445"/>
      <c r="N356" s="1445"/>
      <c r="O356" s="1085"/>
      <c r="P356" s="19"/>
      <c r="Q356" s="5"/>
      <c r="R356" s="1178"/>
      <c r="S356" s="1085"/>
      <c r="T356" s="1085"/>
      <c r="U356" s="628"/>
      <c r="V356" s="628"/>
      <c r="W356" s="628"/>
      <c r="X356" s="628"/>
      <c r="Y356" s="628"/>
      <c r="Z356" s="628"/>
      <c r="AA356" s="628"/>
      <c r="AB356" s="628"/>
      <c r="AC356" s="628"/>
      <c r="AD356" s="628"/>
      <c r="AE356" s="628"/>
      <c r="AF356" s="628"/>
      <c r="AG356" s="628"/>
      <c r="AH356" s="628"/>
      <c r="AI356" s="639"/>
      <c r="AJ356" s="639"/>
      <c r="AK356" s="639"/>
      <c r="AL356" s="639"/>
      <c r="AM356" s="640"/>
      <c r="AN356" s="641"/>
      <c r="AO356" s="642"/>
      <c r="AP356" s="643"/>
      <c r="AQ356" s="633"/>
      <c r="AR356" s="628"/>
      <c r="AS356" s="623"/>
      <c r="AT356" s="623"/>
      <c r="AU356" s="623"/>
      <c r="AV356" s="623"/>
      <c r="AW356" s="623"/>
      <c r="AX356" s="623"/>
      <c r="AY356" s="623"/>
      <c r="AZ356" s="623"/>
      <c r="BA356" s="623"/>
      <c r="BB356" s="623"/>
      <c r="BC356" s="623"/>
      <c r="BD356" s="623"/>
      <c r="BE356" s="623"/>
    </row>
    <row r="357" spans="1:57" s="624" customFormat="1" hidden="1">
      <c r="A357" s="603"/>
      <c r="B357" s="3290" t="s">
        <v>326</v>
      </c>
      <c r="C357" s="603"/>
      <c r="D357" s="603" t="s">
        <v>1953</v>
      </c>
      <c r="E357" s="604" t="s">
        <v>40</v>
      </c>
      <c r="F357" s="605" t="s">
        <v>3430</v>
      </c>
      <c r="G357" s="583"/>
      <c r="H357" s="583">
        <v>114472</v>
      </c>
      <c r="I357" s="121"/>
      <c r="J357" s="122"/>
      <c r="K357" s="120"/>
      <c r="L357" s="120"/>
      <c r="M357" s="120"/>
      <c r="N357" s="120"/>
      <c r="O357" s="1085"/>
      <c r="P357" s="5"/>
      <c r="Q357" s="4"/>
      <c r="R357" s="1177"/>
      <c r="S357" s="1180"/>
      <c r="T357" s="1180"/>
      <c r="U357" s="623"/>
      <c r="V357" s="623"/>
      <c r="W357" s="623"/>
      <c r="X357" s="623"/>
      <c r="Y357" s="623"/>
      <c r="Z357" s="623"/>
      <c r="AA357" s="623"/>
      <c r="AB357" s="623"/>
      <c r="AC357" s="623"/>
      <c r="AD357" s="623"/>
      <c r="AE357" s="623"/>
      <c r="AF357" s="623"/>
      <c r="AG357" s="623"/>
      <c r="AH357" s="623"/>
      <c r="AI357" s="623"/>
      <c r="AJ357" s="623"/>
      <c r="AK357" s="623"/>
      <c r="AL357" s="623"/>
      <c r="AM357" s="623"/>
      <c r="AN357" s="623"/>
      <c r="AO357" s="623"/>
      <c r="AP357" s="623"/>
      <c r="AQ357" s="623"/>
      <c r="AR357" s="623"/>
      <c r="AS357" s="623"/>
      <c r="AT357" s="623"/>
      <c r="AU357" s="623"/>
      <c r="AV357" s="623"/>
      <c r="AW357" s="623"/>
      <c r="AX357" s="623"/>
      <c r="AY357" s="623"/>
      <c r="AZ357" s="623"/>
      <c r="BA357" s="623"/>
      <c r="BB357" s="623"/>
      <c r="BC357" s="623"/>
      <c r="BD357" s="623"/>
      <c r="BE357" s="623"/>
    </row>
    <row r="358" spans="1:57" s="624" customFormat="1">
      <c r="A358" s="596"/>
      <c r="B358" s="3289" t="s">
        <v>772</v>
      </c>
      <c r="C358" s="612" t="s">
        <v>317</v>
      </c>
      <c r="D358" s="596" t="s">
        <v>1954</v>
      </c>
      <c r="E358" s="597" t="s">
        <v>447</v>
      </c>
      <c r="F358" s="598" t="s">
        <v>1734</v>
      </c>
      <c r="G358" s="1080">
        <v>0</v>
      </c>
      <c r="H358" s="1080"/>
      <c r="I358" s="1080">
        <v>214</v>
      </c>
      <c r="J358" s="1081"/>
      <c r="K358" s="602">
        <f>L359</f>
        <v>0</v>
      </c>
      <c r="L358" s="602"/>
      <c r="M358" s="1445"/>
      <c r="N358" s="1445"/>
      <c r="O358" s="1085"/>
      <c r="P358" s="19"/>
      <c r="Q358" s="5"/>
      <c r="R358" s="1178"/>
      <c r="S358" s="1085"/>
      <c r="T358" s="1085"/>
      <c r="U358" s="628"/>
      <c r="V358" s="628"/>
      <c r="W358" s="628"/>
      <c r="X358" s="628"/>
      <c r="Y358" s="628"/>
      <c r="Z358" s="628"/>
      <c r="AA358" s="628"/>
      <c r="AB358" s="628"/>
      <c r="AC358" s="628"/>
      <c r="AD358" s="628"/>
      <c r="AE358" s="628"/>
      <c r="AF358" s="628"/>
      <c r="AG358" s="628"/>
      <c r="AH358" s="628"/>
      <c r="AI358" s="639"/>
      <c r="AJ358" s="639"/>
      <c r="AK358" s="639"/>
      <c r="AL358" s="639"/>
      <c r="AM358" s="640"/>
      <c r="AN358" s="641"/>
      <c r="AO358" s="642"/>
      <c r="AP358" s="643"/>
      <c r="AQ358" s="633"/>
      <c r="AR358" s="628"/>
      <c r="AS358" s="623"/>
      <c r="AT358" s="623"/>
      <c r="AU358" s="623"/>
      <c r="AV358" s="623"/>
      <c r="AW358" s="623"/>
      <c r="AX358" s="623"/>
      <c r="AY358" s="623"/>
      <c r="AZ358" s="623"/>
      <c r="BA358" s="623"/>
      <c r="BB358" s="623"/>
      <c r="BC358" s="623"/>
      <c r="BD358" s="623"/>
      <c r="BE358" s="623"/>
    </row>
    <row r="359" spans="1:57" s="624" customFormat="1">
      <c r="A359" s="603"/>
      <c r="B359" s="3290" t="s">
        <v>772</v>
      </c>
      <c r="C359" s="603"/>
      <c r="D359" s="603" t="s">
        <v>1954</v>
      </c>
      <c r="E359" s="604" t="s">
        <v>447</v>
      </c>
      <c r="F359" s="605"/>
      <c r="G359" s="583"/>
      <c r="H359" s="583"/>
      <c r="I359" s="121"/>
      <c r="J359" s="122"/>
      <c r="K359" s="120"/>
      <c r="L359" s="120"/>
      <c r="M359" s="120"/>
      <c r="N359" s="120"/>
      <c r="O359" s="1085"/>
      <c r="P359" s="5"/>
      <c r="Q359" s="4"/>
      <c r="R359" s="1177"/>
      <c r="S359" s="1180"/>
      <c r="T359" s="1180"/>
      <c r="U359" s="623"/>
      <c r="V359" s="623"/>
      <c r="W359" s="623"/>
      <c r="X359" s="623"/>
      <c r="Y359" s="623"/>
      <c r="Z359" s="623"/>
      <c r="AA359" s="623"/>
      <c r="AB359" s="623"/>
      <c r="AC359" s="623"/>
      <c r="AD359" s="623"/>
      <c r="AE359" s="623"/>
      <c r="AF359" s="623"/>
      <c r="AG359" s="623"/>
      <c r="AH359" s="623"/>
      <c r="AI359" s="623"/>
      <c r="AJ359" s="623"/>
      <c r="AK359" s="623"/>
      <c r="AL359" s="623"/>
      <c r="AM359" s="623"/>
      <c r="AN359" s="623"/>
      <c r="AO359" s="623"/>
      <c r="AP359" s="623"/>
      <c r="AQ359" s="623"/>
      <c r="AR359" s="623"/>
      <c r="AS359" s="623"/>
      <c r="AT359" s="623"/>
      <c r="AU359" s="623"/>
      <c r="AV359" s="623"/>
      <c r="AW359" s="623"/>
      <c r="AX359" s="623"/>
      <c r="AY359" s="623"/>
      <c r="AZ359" s="623"/>
      <c r="BA359" s="623"/>
      <c r="BB359" s="623"/>
      <c r="BC359" s="623"/>
      <c r="BD359" s="623"/>
      <c r="BE359" s="623"/>
    </row>
    <row r="360" spans="1:57" s="624" customFormat="1">
      <c r="A360" s="596"/>
      <c r="B360" s="3289" t="s">
        <v>772</v>
      </c>
      <c r="C360" s="612" t="s">
        <v>317</v>
      </c>
      <c r="D360" s="596" t="s">
        <v>1954</v>
      </c>
      <c r="E360" s="597" t="s">
        <v>61</v>
      </c>
      <c r="F360" s="598" t="s">
        <v>1803</v>
      </c>
      <c r="G360" s="1080">
        <v>60800</v>
      </c>
      <c r="H360" s="1080"/>
      <c r="I360" s="1080">
        <v>45830</v>
      </c>
      <c r="J360" s="1081"/>
      <c r="K360" s="602">
        <f>L361</f>
        <v>62800</v>
      </c>
      <c r="L360" s="602"/>
      <c r="M360" s="1445"/>
      <c r="N360" s="1445"/>
      <c r="O360" s="1085"/>
      <c r="P360" s="19"/>
      <c r="Q360" s="5"/>
      <c r="R360" s="1178"/>
      <c r="S360" s="1085"/>
      <c r="T360" s="1085"/>
      <c r="U360" s="628"/>
      <c r="V360" s="628"/>
      <c r="W360" s="628"/>
      <c r="X360" s="628"/>
      <c r="Y360" s="628"/>
      <c r="Z360" s="628"/>
      <c r="AA360" s="628"/>
      <c r="AB360" s="628"/>
      <c r="AC360" s="628"/>
      <c r="AD360" s="628"/>
      <c r="AE360" s="628"/>
      <c r="AF360" s="628"/>
      <c r="AG360" s="628"/>
      <c r="AH360" s="628"/>
      <c r="AI360" s="639"/>
      <c r="AJ360" s="639"/>
      <c r="AK360" s="639"/>
      <c r="AL360" s="639"/>
      <c r="AM360" s="640"/>
      <c r="AN360" s="641"/>
      <c r="AO360" s="642"/>
      <c r="AP360" s="643"/>
      <c r="AQ360" s="633"/>
      <c r="AR360" s="628"/>
      <c r="AS360" s="623"/>
      <c r="AT360" s="623"/>
      <c r="AU360" s="623"/>
      <c r="AV360" s="623"/>
      <c r="AW360" s="623"/>
      <c r="AX360" s="623"/>
      <c r="AY360" s="623"/>
      <c r="AZ360" s="623"/>
      <c r="BA360" s="623"/>
      <c r="BB360" s="623"/>
      <c r="BC360" s="623"/>
      <c r="BD360" s="623"/>
      <c r="BE360" s="623"/>
    </row>
    <row r="361" spans="1:57" s="624" customFormat="1">
      <c r="A361" s="603"/>
      <c r="B361" s="3290" t="s">
        <v>772</v>
      </c>
      <c r="C361" s="603"/>
      <c r="D361" s="603" t="s">
        <v>1954</v>
      </c>
      <c r="E361" s="604" t="s">
        <v>61</v>
      </c>
      <c r="F361" s="605"/>
      <c r="G361" s="1083"/>
      <c r="H361" s="1083">
        <v>60800</v>
      </c>
      <c r="I361" s="1083"/>
      <c r="J361" s="1084"/>
      <c r="K361" s="120"/>
      <c r="L361" s="120">
        <v>62800</v>
      </c>
      <c r="M361" s="120"/>
      <c r="N361" s="120"/>
      <c r="O361" s="1085"/>
      <c r="P361" s="5"/>
      <c r="Q361" s="4"/>
      <c r="R361" s="1177"/>
      <c r="S361" s="1180"/>
      <c r="T361" s="1180"/>
      <c r="U361" s="623"/>
      <c r="V361" s="623"/>
      <c r="W361" s="623"/>
      <c r="X361" s="623"/>
      <c r="Y361" s="623"/>
      <c r="Z361" s="623"/>
      <c r="AA361" s="623"/>
      <c r="AB361" s="623"/>
      <c r="AC361" s="623"/>
      <c r="AD361" s="623"/>
      <c r="AE361" s="623"/>
      <c r="AF361" s="623"/>
      <c r="AG361" s="623"/>
      <c r="AH361" s="623"/>
      <c r="AI361" s="623"/>
      <c r="AJ361" s="623"/>
      <c r="AK361" s="623"/>
      <c r="AL361" s="623"/>
      <c r="AM361" s="623"/>
      <c r="AN361" s="623"/>
      <c r="AO361" s="623"/>
      <c r="AP361" s="623"/>
      <c r="AQ361" s="623"/>
      <c r="AR361" s="623"/>
      <c r="AS361" s="623"/>
      <c r="AT361" s="623"/>
      <c r="AU361" s="623"/>
      <c r="AV361" s="623"/>
      <c r="AW361" s="623"/>
      <c r="AX361" s="623"/>
      <c r="AY361" s="623"/>
      <c r="AZ361" s="623"/>
      <c r="BA361" s="623"/>
      <c r="BB361" s="623"/>
      <c r="BC361" s="623"/>
      <c r="BD361" s="623"/>
      <c r="BE361" s="623"/>
    </row>
    <row r="362" spans="1:57" s="624" customFormat="1">
      <c r="A362" s="596"/>
      <c r="B362" s="3289" t="s">
        <v>772</v>
      </c>
      <c r="C362" s="612" t="s">
        <v>317</v>
      </c>
      <c r="D362" s="596" t="s">
        <v>1954</v>
      </c>
      <c r="E362" s="597" t="s">
        <v>1796</v>
      </c>
      <c r="F362" s="598" t="s">
        <v>1797</v>
      </c>
      <c r="G362" s="1080">
        <v>3500</v>
      </c>
      <c r="H362" s="1080"/>
      <c r="I362" s="1080">
        <v>2075</v>
      </c>
      <c r="J362" s="1081"/>
      <c r="K362" s="602">
        <f>L363</f>
        <v>3500</v>
      </c>
      <c r="L362" s="602"/>
      <c r="M362" s="120"/>
      <c r="N362" s="120"/>
      <c r="O362" s="1093"/>
      <c r="P362" s="5"/>
      <c r="Q362" s="5"/>
      <c r="R362" s="1178"/>
      <c r="S362" s="1085"/>
      <c r="T362" s="1085"/>
      <c r="U362" s="628"/>
      <c r="V362" s="628"/>
      <c r="W362" s="628"/>
      <c r="X362" s="628"/>
      <c r="Y362" s="628"/>
      <c r="Z362" s="628"/>
      <c r="AA362" s="628"/>
      <c r="AB362" s="628"/>
      <c r="AC362" s="628"/>
      <c r="AD362" s="628"/>
      <c r="AE362" s="628"/>
      <c r="AF362" s="628"/>
      <c r="AG362" s="628"/>
      <c r="AH362" s="628"/>
      <c r="AI362" s="639"/>
      <c r="AJ362" s="639"/>
      <c r="AK362" s="639"/>
      <c r="AL362" s="639"/>
      <c r="AM362" s="640"/>
      <c r="AN362" s="641"/>
      <c r="AO362" s="642"/>
      <c r="AP362" s="643"/>
      <c r="AQ362" s="633"/>
      <c r="AR362" s="628"/>
      <c r="AS362" s="623"/>
      <c r="AT362" s="623"/>
      <c r="AU362" s="623"/>
      <c r="AV362" s="623"/>
      <c r="AW362" s="623"/>
      <c r="AX362" s="623"/>
      <c r="AY362" s="623"/>
      <c r="AZ362" s="623"/>
      <c r="BA362" s="623"/>
      <c r="BB362" s="623"/>
      <c r="BC362" s="623"/>
      <c r="BD362" s="623"/>
      <c r="BE362" s="623"/>
    </row>
    <row r="363" spans="1:57" s="624" customFormat="1">
      <c r="A363" s="603"/>
      <c r="B363" s="3290" t="s">
        <v>772</v>
      </c>
      <c r="C363" s="603"/>
      <c r="D363" s="603" t="s">
        <v>1954</v>
      </c>
      <c r="E363" s="604" t="s">
        <v>1796</v>
      </c>
      <c r="F363" s="605"/>
      <c r="G363" s="1083"/>
      <c r="H363" s="1083">
        <v>3500</v>
      </c>
      <c r="I363" s="1083"/>
      <c r="J363" s="1084"/>
      <c r="K363" s="120"/>
      <c r="L363" s="120">
        <v>3500</v>
      </c>
      <c r="M363" s="1445"/>
      <c r="N363" s="1445"/>
      <c r="O363" s="1093"/>
      <c r="P363" s="5"/>
      <c r="Q363" s="5"/>
      <c r="R363" s="1178"/>
      <c r="S363" s="1085"/>
      <c r="T363" s="1085"/>
      <c r="U363" s="628"/>
      <c r="V363" s="628"/>
      <c r="W363" s="628"/>
      <c r="X363" s="628"/>
      <c r="Y363" s="628"/>
      <c r="Z363" s="628"/>
      <c r="AA363" s="628"/>
      <c r="AB363" s="628"/>
      <c r="AC363" s="628"/>
      <c r="AD363" s="628"/>
      <c r="AE363" s="628"/>
      <c r="AF363" s="628"/>
      <c r="AG363" s="628"/>
      <c r="AH363" s="628"/>
      <c r="AI363" s="628"/>
      <c r="AJ363" s="628"/>
      <c r="AK363" s="628"/>
      <c r="AL363" s="628"/>
      <c r="AM363" s="634"/>
      <c r="AN363" s="635"/>
      <c r="AO363" s="636"/>
      <c r="AP363" s="637"/>
      <c r="AQ363" s="638"/>
      <c r="AR363" s="628"/>
      <c r="AS363" s="623"/>
      <c r="AT363" s="623"/>
      <c r="AU363" s="623"/>
      <c r="AV363" s="623"/>
      <c r="AW363" s="623"/>
      <c r="AX363" s="623"/>
      <c r="AY363" s="623"/>
      <c r="AZ363" s="623"/>
      <c r="BA363" s="623"/>
      <c r="BB363" s="623"/>
      <c r="BC363" s="623"/>
      <c r="BD363" s="623"/>
      <c r="BE363" s="623"/>
    </row>
    <row r="364" spans="1:57" s="624" customFormat="1">
      <c r="A364" s="596"/>
      <c r="B364" s="3289" t="s">
        <v>772</v>
      </c>
      <c r="C364" s="612" t="s">
        <v>317</v>
      </c>
      <c r="D364" s="596" t="s">
        <v>1954</v>
      </c>
      <c r="E364" s="597" t="s">
        <v>1764</v>
      </c>
      <c r="F364" s="598" t="s">
        <v>1765</v>
      </c>
      <c r="G364" s="1080">
        <v>0</v>
      </c>
      <c r="H364" s="1080"/>
      <c r="I364" s="1080">
        <v>7710.9</v>
      </c>
      <c r="J364" s="1081"/>
      <c r="K364" s="602">
        <f>L365</f>
        <v>7000</v>
      </c>
      <c r="L364" s="602"/>
      <c r="M364" s="120"/>
      <c r="N364" s="120"/>
      <c r="O364" s="1093"/>
      <c r="P364" s="19"/>
      <c r="Q364" s="4"/>
      <c r="R364" s="1177"/>
      <c r="S364" s="1180"/>
      <c r="T364" s="1180"/>
      <c r="U364" s="623"/>
      <c r="V364" s="623"/>
      <c r="W364" s="623"/>
      <c r="X364" s="623"/>
      <c r="Y364" s="623"/>
      <c r="Z364" s="623"/>
      <c r="AA364" s="623"/>
      <c r="AB364" s="623"/>
      <c r="AC364" s="623"/>
      <c r="AD364" s="623"/>
      <c r="AE364" s="623"/>
      <c r="AF364" s="623"/>
      <c r="AG364" s="623"/>
      <c r="AH364" s="623"/>
      <c r="AI364" s="623"/>
      <c r="AJ364" s="623"/>
      <c r="AK364" s="623"/>
      <c r="AL364" s="623"/>
      <c r="AM364" s="623"/>
      <c r="AN364" s="623"/>
      <c r="AO364" s="623"/>
      <c r="AP364" s="623"/>
      <c r="AQ364" s="623"/>
      <c r="AR364" s="623"/>
      <c r="AS364" s="623"/>
      <c r="AT364" s="623"/>
      <c r="AU364" s="623"/>
      <c r="AV364" s="623"/>
      <c r="AW364" s="623"/>
      <c r="AX364" s="623"/>
      <c r="AY364" s="623"/>
      <c r="AZ364" s="623"/>
      <c r="BA364" s="623"/>
      <c r="BB364" s="623"/>
      <c r="BC364" s="623"/>
      <c r="BD364" s="623"/>
      <c r="BE364" s="623"/>
    </row>
    <row r="365" spans="1:57" s="624" customFormat="1">
      <c r="A365" s="603"/>
      <c r="B365" s="3290" t="s">
        <v>772</v>
      </c>
      <c r="C365" s="603"/>
      <c r="D365" s="603" t="s">
        <v>1954</v>
      </c>
      <c r="E365" s="604" t="s">
        <v>1764</v>
      </c>
      <c r="F365" s="605" t="s">
        <v>3298</v>
      </c>
      <c r="G365" s="1083"/>
      <c r="H365" s="1083"/>
      <c r="I365" s="1083"/>
      <c r="J365" s="1084"/>
      <c r="K365" s="120"/>
      <c r="L365" s="120">
        <v>7000</v>
      </c>
      <c r="M365" s="1445"/>
      <c r="N365" s="1445"/>
      <c r="O365" s="1093"/>
      <c r="P365" s="5"/>
      <c r="Q365" s="5"/>
      <c r="R365" s="1178"/>
      <c r="S365" s="1085"/>
      <c r="T365" s="1085"/>
      <c r="U365" s="628"/>
      <c r="V365" s="628"/>
      <c r="W365" s="628"/>
      <c r="X365" s="628"/>
      <c r="Y365" s="628"/>
      <c r="Z365" s="628"/>
      <c r="AA365" s="628"/>
      <c r="AB365" s="628"/>
      <c r="AC365" s="628"/>
      <c r="AD365" s="628"/>
      <c r="AE365" s="628"/>
      <c r="AF365" s="628"/>
      <c r="AG365" s="628"/>
      <c r="AH365" s="628"/>
      <c r="AI365" s="639"/>
      <c r="AJ365" s="639"/>
      <c r="AK365" s="639"/>
      <c r="AL365" s="639"/>
      <c r="AM365" s="640"/>
      <c r="AN365" s="641"/>
      <c r="AO365" s="642"/>
      <c r="AP365" s="643"/>
      <c r="AQ365" s="633"/>
      <c r="AR365" s="628"/>
      <c r="AS365" s="623"/>
      <c r="AT365" s="623"/>
      <c r="AU365" s="623"/>
      <c r="AV365" s="623"/>
      <c r="AW365" s="623"/>
      <c r="AX365" s="623"/>
      <c r="AY365" s="623"/>
      <c r="AZ365" s="623"/>
      <c r="BA365" s="623"/>
      <c r="BB365" s="623"/>
      <c r="BC365" s="623"/>
      <c r="BD365" s="623"/>
      <c r="BE365" s="623"/>
    </row>
    <row r="366" spans="1:57" s="624" customFormat="1" hidden="1">
      <c r="A366" s="603"/>
      <c r="B366" s="3289" t="s">
        <v>326</v>
      </c>
      <c r="C366" s="612" t="s">
        <v>1029</v>
      </c>
      <c r="D366" s="1652" t="s">
        <v>1955</v>
      </c>
      <c r="E366" s="597" t="s">
        <v>41</v>
      </c>
      <c r="F366" s="598" t="s">
        <v>1821</v>
      </c>
      <c r="G366" s="1088">
        <v>313180</v>
      </c>
      <c r="H366" s="1088"/>
      <c r="I366" s="1088">
        <v>254400</v>
      </c>
      <c r="J366" s="1089"/>
      <c r="K366" s="1404">
        <f>SUBTOTAL(9,L367:L368)</f>
        <v>0</v>
      </c>
      <c r="L366" s="613"/>
      <c r="M366" s="120"/>
      <c r="N366" s="120"/>
      <c r="O366" s="1085"/>
      <c r="P366" s="19"/>
      <c r="Q366" s="4"/>
      <c r="R366" s="1177"/>
      <c r="S366" s="1180"/>
      <c r="T366" s="1180"/>
      <c r="U366" s="623"/>
      <c r="V366" s="623"/>
      <c r="W366" s="623"/>
      <c r="X366" s="623"/>
      <c r="Y366" s="623"/>
      <c r="Z366" s="623"/>
      <c r="AA366" s="623"/>
      <c r="AB366" s="623"/>
      <c r="AC366" s="623"/>
      <c r="AD366" s="623"/>
      <c r="AE366" s="623"/>
      <c r="AF366" s="623"/>
      <c r="AG366" s="623"/>
      <c r="AH366" s="623"/>
      <c r="AI366" s="623"/>
      <c r="AJ366" s="623"/>
      <c r="AK366" s="623"/>
      <c r="AL366" s="623"/>
      <c r="AM366" s="623"/>
      <c r="AN366" s="623"/>
      <c r="AO366" s="623"/>
      <c r="AP366" s="623"/>
      <c r="AQ366" s="623"/>
      <c r="AR366" s="623"/>
      <c r="AS366" s="623"/>
      <c r="AT366" s="623"/>
      <c r="AU366" s="623"/>
      <c r="AV366" s="623"/>
      <c r="AW366" s="623"/>
      <c r="AX366" s="623"/>
      <c r="AY366" s="623"/>
      <c r="AZ366" s="623"/>
      <c r="BA366" s="623"/>
      <c r="BB366" s="623"/>
      <c r="BC366" s="623"/>
      <c r="BD366" s="623"/>
      <c r="BE366" s="623"/>
    </row>
    <row r="367" spans="1:57" s="624" customFormat="1" hidden="1">
      <c r="A367" s="596"/>
      <c r="B367" s="3290" t="s">
        <v>326</v>
      </c>
      <c r="C367" s="603"/>
      <c r="D367" s="1150" t="s">
        <v>1955</v>
      </c>
      <c r="E367" s="604" t="s">
        <v>41</v>
      </c>
      <c r="F367" s="605"/>
      <c r="G367" s="1090"/>
      <c r="H367" s="1090">
        <v>313180</v>
      </c>
      <c r="I367" s="1090"/>
      <c r="J367" s="1091"/>
      <c r="K367" s="1094"/>
      <c r="L367" s="1501">
        <v>313180</v>
      </c>
      <c r="M367" s="120"/>
      <c r="N367" s="120"/>
      <c r="O367" s="1093"/>
      <c r="P367" s="5"/>
      <c r="Q367" s="5"/>
      <c r="R367" s="1178"/>
      <c r="S367" s="1085"/>
      <c r="T367" s="1085"/>
      <c r="U367" s="628"/>
      <c r="V367" s="628"/>
      <c r="W367" s="628"/>
      <c r="X367" s="628"/>
      <c r="Y367" s="628"/>
      <c r="Z367" s="628"/>
      <c r="AA367" s="628"/>
      <c r="AB367" s="628"/>
      <c r="AC367" s="628"/>
      <c r="AD367" s="628"/>
      <c r="AE367" s="628"/>
      <c r="AF367" s="628"/>
      <c r="AG367" s="628"/>
      <c r="AH367" s="628"/>
      <c r="AI367" s="639"/>
      <c r="AJ367" s="639"/>
      <c r="AK367" s="639"/>
      <c r="AL367" s="639"/>
      <c r="AM367" s="640"/>
      <c r="AN367" s="641"/>
      <c r="AO367" s="642"/>
      <c r="AP367" s="643"/>
      <c r="AQ367" s="633"/>
      <c r="AR367" s="628"/>
      <c r="AS367" s="623"/>
      <c r="AT367" s="623"/>
      <c r="AU367" s="623"/>
      <c r="AV367" s="623"/>
      <c r="AW367" s="623"/>
      <c r="AX367" s="623"/>
      <c r="AY367" s="623"/>
      <c r="AZ367" s="623"/>
      <c r="BA367" s="623"/>
      <c r="BB367" s="623"/>
      <c r="BC367" s="623"/>
      <c r="BD367" s="623"/>
      <c r="BE367" s="623"/>
    </row>
    <row r="368" spans="1:57" s="624" customFormat="1" hidden="1">
      <c r="A368" s="603"/>
      <c r="B368" s="3290" t="s">
        <v>326</v>
      </c>
      <c r="C368" s="603"/>
      <c r="D368" s="1150" t="s">
        <v>1955</v>
      </c>
      <c r="E368" s="604" t="s">
        <v>41</v>
      </c>
      <c r="F368" s="605"/>
      <c r="G368" s="1090"/>
      <c r="H368" s="1090"/>
      <c r="I368" s="1090"/>
      <c r="J368" s="1091"/>
      <c r="K368" s="1094"/>
      <c r="L368" s="1501"/>
      <c r="M368" s="1445"/>
      <c r="N368" s="1445"/>
      <c r="O368" s="1085"/>
      <c r="P368" s="19"/>
      <c r="Q368" s="4"/>
      <c r="R368" s="1177"/>
      <c r="S368" s="1180"/>
      <c r="T368" s="1180"/>
      <c r="U368" s="623"/>
      <c r="V368" s="623"/>
      <c r="W368" s="623"/>
      <c r="X368" s="623"/>
      <c r="Y368" s="623"/>
      <c r="Z368" s="623"/>
      <c r="AA368" s="623"/>
      <c r="AB368" s="623"/>
      <c r="AC368" s="623"/>
      <c r="AD368" s="623"/>
      <c r="AE368" s="623"/>
      <c r="AF368" s="623"/>
      <c r="AG368" s="623"/>
      <c r="AH368" s="623"/>
      <c r="AI368" s="623"/>
      <c r="AJ368" s="623"/>
      <c r="AK368" s="623"/>
      <c r="AL368" s="623"/>
      <c r="AM368" s="623"/>
      <c r="AN368" s="623"/>
      <c r="AO368" s="623"/>
      <c r="AP368" s="623"/>
      <c r="AQ368" s="623"/>
      <c r="AR368" s="623"/>
      <c r="AS368" s="623"/>
      <c r="AT368" s="623"/>
      <c r="AU368" s="623"/>
      <c r="AV368" s="623"/>
      <c r="AW368" s="623"/>
      <c r="AX368" s="623"/>
      <c r="AY368" s="623"/>
      <c r="AZ368" s="623"/>
      <c r="BA368" s="623"/>
      <c r="BB368" s="623"/>
      <c r="BC368" s="623"/>
      <c r="BD368" s="623"/>
      <c r="BE368" s="623"/>
    </row>
    <row r="369" spans="1:57" s="624" customFormat="1" hidden="1">
      <c r="A369" s="1495"/>
      <c r="B369" s="3289" t="s">
        <v>326</v>
      </c>
      <c r="C369" s="612" t="s">
        <v>318</v>
      </c>
      <c r="D369" s="596" t="s">
        <v>1956</v>
      </c>
      <c r="E369" s="597" t="s">
        <v>44</v>
      </c>
      <c r="F369" s="598" t="s">
        <v>1822</v>
      </c>
      <c r="G369" s="1080">
        <v>9912</v>
      </c>
      <c r="H369" s="1080"/>
      <c r="I369" s="1080">
        <v>6607.94</v>
      </c>
      <c r="J369" s="1081"/>
      <c r="K369" s="602">
        <f>SUM(L370:L371)</f>
        <v>16870</v>
      </c>
      <c r="L369" s="602"/>
      <c r="M369" s="120"/>
      <c r="N369" s="120"/>
      <c r="O369" s="1085"/>
      <c r="P369" s="5"/>
      <c r="Q369" s="5"/>
      <c r="R369" s="1178"/>
      <c r="S369" s="1085"/>
      <c r="T369" s="1085"/>
      <c r="U369" s="628"/>
      <c r="V369" s="628"/>
      <c r="W369" s="628"/>
      <c r="X369" s="628"/>
      <c r="Y369" s="628"/>
      <c r="Z369" s="628"/>
      <c r="AA369" s="628"/>
      <c r="AB369" s="628"/>
      <c r="AC369" s="628"/>
      <c r="AD369" s="628"/>
      <c r="AE369" s="628"/>
      <c r="AF369" s="628"/>
      <c r="AG369" s="628"/>
      <c r="AH369" s="628"/>
      <c r="AI369" s="639"/>
      <c r="AJ369" s="639"/>
      <c r="AK369" s="639"/>
      <c r="AL369" s="639"/>
      <c r="AM369" s="640"/>
      <c r="AN369" s="641"/>
      <c r="AO369" s="642"/>
      <c r="AP369" s="643"/>
      <c r="AQ369" s="633"/>
      <c r="AR369" s="628"/>
      <c r="AS369" s="623"/>
      <c r="AT369" s="623"/>
      <c r="AU369" s="623"/>
      <c r="AV369" s="623"/>
      <c r="AW369" s="623"/>
      <c r="AX369" s="623"/>
      <c r="AY369" s="623"/>
      <c r="AZ369" s="623"/>
      <c r="BA369" s="623"/>
      <c r="BB369" s="623"/>
      <c r="BC369" s="623"/>
      <c r="BD369" s="623"/>
      <c r="BE369" s="623"/>
    </row>
    <row r="370" spans="1:57" s="624" customFormat="1" hidden="1">
      <c r="A370" s="596"/>
      <c r="B370" s="3290" t="s">
        <v>326</v>
      </c>
      <c r="C370" s="603"/>
      <c r="D370" s="603" t="s">
        <v>1956</v>
      </c>
      <c r="E370" s="604" t="s">
        <v>44</v>
      </c>
      <c r="F370" s="605" t="s">
        <v>1823</v>
      </c>
      <c r="G370" s="1083"/>
      <c r="H370" s="1083">
        <v>17485</v>
      </c>
      <c r="I370" s="1083"/>
      <c r="J370" s="1084"/>
      <c r="K370" s="120"/>
      <c r="L370" s="120">
        <v>16870</v>
      </c>
      <c r="M370" s="1445"/>
      <c r="N370" s="1445"/>
      <c r="O370" s="1085"/>
      <c r="P370" s="19"/>
      <c r="Q370" s="623"/>
      <c r="R370" s="1177"/>
      <c r="S370" s="1180"/>
      <c r="T370" s="1180"/>
      <c r="U370" s="623"/>
      <c r="V370" s="623"/>
      <c r="W370" s="623"/>
      <c r="X370" s="623"/>
      <c r="Y370" s="623"/>
      <c r="Z370" s="623"/>
      <c r="AA370" s="623"/>
      <c r="AB370" s="623"/>
      <c r="AC370" s="623"/>
      <c r="AD370" s="623"/>
      <c r="AE370" s="623"/>
      <c r="AF370" s="623"/>
      <c r="AG370" s="623"/>
      <c r="AH370" s="623"/>
      <c r="AI370" s="623"/>
      <c r="AJ370" s="623"/>
      <c r="AK370" s="623"/>
      <c r="AL370" s="623"/>
      <c r="AM370" s="623"/>
      <c r="AN370" s="623"/>
      <c r="AO370" s="623"/>
      <c r="AP370" s="623"/>
      <c r="AQ370" s="623"/>
      <c r="AR370" s="623"/>
      <c r="AS370" s="623"/>
      <c r="AT370" s="623"/>
      <c r="AU370" s="623"/>
      <c r="AV370" s="623"/>
      <c r="AW370" s="623"/>
      <c r="AX370" s="623"/>
      <c r="AY370" s="623"/>
      <c r="AZ370" s="623"/>
      <c r="BA370" s="623"/>
      <c r="BB370" s="623"/>
      <c r="BC370" s="623"/>
      <c r="BD370" s="623"/>
      <c r="BE370" s="623"/>
    </row>
    <row r="371" spans="1:57" s="624" customFormat="1" ht="20.399999999999999" hidden="1">
      <c r="A371" s="603"/>
      <c r="B371" s="3290" t="s">
        <v>326</v>
      </c>
      <c r="C371" s="603"/>
      <c r="D371" s="603" t="s">
        <v>1956</v>
      </c>
      <c r="E371" s="604" t="s">
        <v>44</v>
      </c>
      <c r="F371" s="1496" t="s">
        <v>3356</v>
      </c>
      <c r="G371" s="1083"/>
      <c r="H371" s="1083">
        <v>-7573</v>
      </c>
      <c r="I371" s="1083"/>
      <c r="J371" s="1084"/>
      <c r="K371" s="120"/>
      <c r="L371" s="120"/>
      <c r="M371" s="120"/>
      <c r="N371" s="120"/>
      <c r="O371" s="1085"/>
      <c r="P371" s="5"/>
      <c r="Q371" s="628"/>
      <c r="R371" s="1178"/>
      <c r="S371" s="1085"/>
      <c r="T371" s="1085"/>
      <c r="U371" s="628"/>
      <c r="V371" s="628"/>
      <c r="W371" s="628"/>
      <c r="X371" s="628"/>
      <c r="Y371" s="628"/>
      <c r="Z371" s="628"/>
      <c r="AA371" s="628"/>
      <c r="AB371" s="628"/>
      <c r="AC371" s="628"/>
      <c r="AD371" s="628"/>
      <c r="AE371" s="628"/>
      <c r="AF371" s="628"/>
      <c r="AG371" s="628"/>
      <c r="AH371" s="628"/>
      <c r="AI371" s="639"/>
      <c r="AJ371" s="639"/>
      <c r="AK371" s="639"/>
      <c r="AL371" s="639"/>
      <c r="AM371" s="640"/>
      <c r="AN371" s="641"/>
      <c r="AO371" s="642"/>
      <c r="AP371" s="643"/>
      <c r="AQ371" s="633"/>
      <c r="AR371" s="628"/>
      <c r="AS371" s="623"/>
      <c r="AT371" s="623"/>
      <c r="AU371" s="623"/>
      <c r="AV371" s="623"/>
      <c r="AW371" s="623"/>
      <c r="AX371" s="623"/>
      <c r="AY371" s="623"/>
      <c r="AZ371" s="623"/>
      <c r="BA371" s="623"/>
      <c r="BB371" s="623"/>
      <c r="BC371" s="623"/>
      <c r="BD371" s="623"/>
      <c r="BE371" s="623"/>
    </row>
    <row r="372" spans="1:57" s="624" customFormat="1" hidden="1">
      <c r="A372" s="596"/>
      <c r="B372" s="3289" t="s">
        <v>326</v>
      </c>
      <c r="C372" s="612" t="s">
        <v>318</v>
      </c>
      <c r="D372" s="596" t="s">
        <v>1956</v>
      </c>
      <c r="E372" s="597" t="s">
        <v>1824</v>
      </c>
      <c r="F372" s="598" t="s">
        <v>1825</v>
      </c>
      <c r="G372" s="1080">
        <v>53437</v>
      </c>
      <c r="H372" s="1080"/>
      <c r="I372" s="1080">
        <v>26365.43</v>
      </c>
      <c r="J372" s="1081"/>
      <c r="K372" s="602">
        <f>L373</f>
        <v>47702</v>
      </c>
      <c r="L372" s="602"/>
      <c r="M372" s="1445"/>
      <c r="N372" s="1445"/>
      <c r="O372" s="1085"/>
      <c r="P372" s="19"/>
      <c r="Q372" s="628"/>
      <c r="R372" s="1177"/>
      <c r="S372" s="1180"/>
      <c r="T372" s="1180"/>
      <c r="U372" s="623"/>
      <c r="V372" s="623"/>
      <c r="W372" s="623"/>
      <c r="X372" s="623"/>
      <c r="Y372" s="623"/>
      <c r="Z372" s="623"/>
      <c r="AA372" s="623"/>
      <c r="AB372" s="623"/>
      <c r="AC372" s="623"/>
      <c r="AD372" s="623"/>
      <c r="AE372" s="623"/>
      <c r="AF372" s="623"/>
      <c r="AG372" s="623"/>
      <c r="AH372" s="623"/>
      <c r="AI372" s="623"/>
      <c r="AJ372" s="623"/>
      <c r="AK372" s="623"/>
      <c r="AL372" s="623"/>
      <c r="AM372" s="623"/>
      <c r="AN372" s="623"/>
      <c r="AO372" s="623"/>
      <c r="AP372" s="623"/>
      <c r="AQ372" s="623"/>
      <c r="AR372" s="623"/>
      <c r="AS372" s="623"/>
      <c r="AT372" s="623"/>
      <c r="AU372" s="623"/>
      <c r="AV372" s="623"/>
      <c r="AW372" s="623"/>
      <c r="AX372" s="623"/>
      <c r="AY372" s="623"/>
      <c r="AZ372" s="623"/>
      <c r="BA372" s="623"/>
      <c r="BB372" s="623"/>
      <c r="BC372" s="623"/>
      <c r="BD372" s="623"/>
      <c r="BE372" s="623"/>
    </row>
    <row r="373" spans="1:57" s="624" customFormat="1" hidden="1">
      <c r="A373" s="603"/>
      <c r="B373" s="3290" t="s">
        <v>326</v>
      </c>
      <c r="C373" s="603"/>
      <c r="D373" s="603" t="s">
        <v>1956</v>
      </c>
      <c r="E373" s="604" t="s">
        <v>1824</v>
      </c>
      <c r="F373" s="605"/>
      <c r="G373" s="1083"/>
      <c r="H373" s="1083">
        <v>53437</v>
      </c>
      <c r="I373" s="1083"/>
      <c r="J373" s="1084"/>
      <c r="K373" s="120"/>
      <c r="L373" s="120">
        <f>27062+20640</f>
        <v>47702</v>
      </c>
      <c r="M373" s="120"/>
      <c r="N373" s="120"/>
      <c r="O373" s="1085"/>
      <c r="P373" s="5"/>
      <c r="Q373" s="628"/>
      <c r="R373" s="1177"/>
      <c r="S373" s="1180"/>
      <c r="T373" s="1180"/>
      <c r="U373" s="623"/>
      <c r="V373" s="623"/>
      <c r="W373" s="623"/>
      <c r="X373" s="623"/>
      <c r="Y373" s="623"/>
      <c r="Z373" s="623"/>
      <c r="AA373" s="623"/>
      <c r="AB373" s="623"/>
      <c r="AC373" s="623"/>
      <c r="AD373" s="623"/>
      <c r="AE373" s="623"/>
      <c r="AF373" s="623"/>
      <c r="AG373" s="623"/>
      <c r="AH373" s="623"/>
      <c r="AI373" s="623"/>
      <c r="AJ373" s="623"/>
      <c r="AK373" s="623"/>
      <c r="AL373" s="623"/>
      <c r="AM373" s="623"/>
      <c r="AN373" s="623"/>
      <c r="AO373" s="623"/>
      <c r="AP373" s="623"/>
      <c r="AQ373" s="623"/>
      <c r="AR373" s="623"/>
      <c r="AS373" s="623"/>
      <c r="AT373" s="623"/>
      <c r="AU373" s="623"/>
      <c r="AV373" s="623"/>
      <c r="AW373" s="623"/>
      <c r="AX373" s="623"/>
      <c r="AY373" s="623"/>
      <c r="AZ373" s="623"/>
      <c r="BA373" s="623"/>
      <c r="BB373" s="623"/>
      <c r="BC373" s="623"/>
      <c r="BD373" s="623"/>
      <c r="BE373" s="623"/>
    </row>
    <row r="374" spans="1:57" s="624" customFormat="1">
      <c r="A374" s="596"/>
      <c r="B374" s="3289" t="s">
        <v>772</v>
      </c>
      <c r="C374" s="612" t="s">
        <v>445</v>
      </c>
      <c r="D374" s="596" t="s">
        <v>1957</v>
      </c>
      <c r="E374" s="597" t="s">
        <v>64</v>
      </c>
      <c r="F374" s="598" t="s">
        <v>1741</v>
      </c>
      <c r="G374" s="1080">
        <v>40000</v>
      </c>
      <c r="H374" s="1080"/>
      <c r="I374" s="1080">
        <v>52554.28</v>
      </c>
      <c r="J374" s="1081"/>
      <c r="K374" s="602">
        <f>L375</f>
        <v>50000</v>
      </c>
      <c r="L374" s="602"/>
      <c r="M374" s="1445"/>
      <c r="N374" s="1445"/>
      <c r="O374" s="1085"/>
      <c r="P374" s="19"/>
      <c r="Q374" s="628"/>
      <c r="R374" s="1178"/>
      <c r="S374" s="1085"/>
      <c r="T374" s="1085"/>
      <c r="U374" s="628"/>
      <c r="V374" s="628"/>
      <c r="W374" s="628"/>
      <c r="X374" s="628"/>
      <c r="Y374" s="628"/>
      <c r="Z374" s="628"/>
      <c r="AA374" s="628"/>
      <c r="AB374" s="628"/>
      <c r="AC374" s="628"/>
      <c r="AD374" s="628"/>
      <c r="AE374" s="628"/>
      <c r="AF374" s="628"/>
      <c r="AG374" s="628"/>
      <c r="AH374" s="628"/>
      <c r="AI374" s="639"/>
      <c r="AJ374" s="639"/>
      <c r="AK374" s="639"/>
      <c r="AL374" s="639"/>
      <c r="AM374" s="640"/>
      <c r="AN374" s="641"/>
      <c r="AO374" s="642"/>
      <c r="AP374" s="643"/>
      <c r="AQ374" s="633"/>
      <c r="AR374" s="628"/>
      <c r="AS374" s="623"/>
      <c r="AT374" s="623"/>
      <c r="AU374" s="623"/>
      <c r="AV374" s="623"/>
      <c r="AW374" s="623"/>
      <c r="AX374" s="623"/>
      <c r="AY374" s="623"/>
      <c r="AZ374" s="623"/>
      <c r="BA374" s="623"/>
      <c r="BB374" s="623"/>
      <c r="BC374" s="623"/>
      <c r="BD374" s="623"/>
      <c r="BE374" s="623"/>
    </row>
    <row r="375" spans="1:57">
      <c r="A375" s="603"/>
      <c r="B375" s="3290" t="s">
        <v>772</v>
      </c>
      <c r="C375" s="603"/>
      <c r="D375" s="603" t="s">
        <v>1957</v>
      </c>
      <c r="E375" s="604" t="s">
        <v>64</v>
      </c>
      <c r="F375" s="605"/>
      <c r="G375" s="1083"/>
      <c r="H375" s="1083">
        <v>40000</v>
      </c>
      <c r="I375" s="1083"/>
      <c r="J375" s="1084"/>
      <c r="K375" s="120"/>
      <c r="L375" s="120">
        <v>50000</v>
      </c>
      <c r="M375" s="120">
        <f>L375/121*21</f>
        <v>8677.6859504132226</v>
      </c>
      <c r="N375" s="120"/>
      <c r="O375" s="1085"/>
      <c r="P375" s="5"/>
      <c r="Q375" s="628"/>
    </row>
    <row r="376" spans="1:57">
      <c r="A376" s="596"/>
      <c r="B376" s="3289" t="s">
        <v>772</v>
      </c>
      <c r="C376" s="612" t="s">
        <v>797</v>
      </c>
      <c r="D376" s="596" t="s">
        <v>1958</v>
      </c>
      <c r="E376" s="597" t="s">
        <v>64</v>
      </c>
      <c r="F376" s="598" t="s">
        <v>1741</v>
      </c>
      <c r="G376" s="1080">
        <v>15000</v>
      </c>
      <c r="H376" s="1080"/>
      <c r="I376" s="1080">
        <v>21513.040000000001</v>
      </c>
      <c r="J376" s="1081"/>
      <c r="K376" s="602">
        <f>L377</f>
        <v>20000</v>
      </c>
      <c r="L376" s="602"/>
      <c r="M376" s="1445"/>
      <c r="N376" s="1445"/>
      <c r="O376" s="1085"/>
      <c r="P376" s="19"/>
      <c r="Q376" s="628"/>
    </row>
    <row r="377" spans="1:57">
      <c r="A377" s="603"/>
      <c r="B377" s="3290" t="s">
        <v>772</v>
      </c>
      <c r="C377" s="603"/>
      <c r="D377" s="603" t="s">
        <v>1958</v>
      </c>
      <c r="E377" s="604" t="s">
        <v>64</v>
      </c>
      <c r="F377" s="605"/>
      <c r="G377" s="1083"/>
      <c r="H377" s="1083">
        <v>15000</v>
      </c>
      <c r="I377" s="1083"/>
      <c r="J377" s="1084"/>
      <c r="K377" s="120"/>
      <c r="L377" s="120">
        <v>20000</v>
      </c>
      <c r="M377" s="120">
        <f>L377/121*21</f>
        <v>3471.0743801652893</v>
      </c>
      <c r="N377" s="120"/>
      <c r="O377" s="1085"/>
      <c r="P377" s="5"/>
      <c r="Q377" s="628"/>
    </row>
    <row r="378" spans="1:57" hidden="1">
      <c r="A378" s="596"/>
      <c r="B378" s="3289" t="s">
        <v>2634</v>
      </c>
      <c r="C378" s="612" t="s">
        <v>797</v>
      </c>
      <c r="D378" s="1652" t="s">
        <v>1958</v>
      </c>
      <c r="E378" s="597" t="s">
        <v>2659</v>
      </c>
      <c r="F378" s="598" t="s">
        <v>2660</v>
      </c>
      <c r="G378" s="1080">
        <v>0</v>
      </c>
      <c r="H378" s="1080"/>
      <c r="I378" s="1080">
        <v>1490</v>
      </c>
      <c r="J378" s="1081"/>
      <c r="K378" s="1404">
        <f>L379</f>
        <v>0</v>
      </c>
      <c r="L378" s="613"/>
      <c r="M378" s="1445"/>
      <c r="N378" s="1445"/>
      <c r="O378" s="1085"/>
      <c r="P378" s="19"/>
      <c r="Q378" s="623"/>
    </row>
    <row r="379" spans="1:57" hidden="1">
      <c r="A379" s="603"/>
      <c r="B379" s="3290" t="s">
        <v>2634</v>
      </c>
      <c r="C379" s="603"/>
      <c r="D379" s="1150" t="s">
        <v>1958</v>
      </c>
      <c r="E379" s="604" t="s">
        <v>2659</v>
      </c>
      <c r="F379" s="605" t="s">
        <v>2660</v>
      </c>
      <c r="G379" s="1083"/>
      <c r="H379" s="1083">
        <v>0</v>
      </c>
      <c r="I379" s="1083"/>
      <c r="J379" s="1084"/>
      <c r="K379" s="1094"/>
      <c r="L379" s="1501">
        <v>0</v>
      </c>
      <c r="M379" s="120"/>
      <c r="N379" s="120"/>
      <c r="O379" s="1085"/>
      <c r="P379" s="5"/>
      <c r="Q379" s="628"/>
    </row>
    <row r="380" spans="1:57" hidden="1">
      <c r="A380" s="596"/>
      <c r="B380" s="3289" t="s">
        <v>326</v>
      </c>
      <c r="C380" s="612" t="s">
        <v>798</v>
      </c>
      <c r="D380" s="1946" t="s">
        <v>1959</v>
      </c>
      <c r="E380" s="597" t="s">
        <v>44</v>
      </c>
      <c r="F380" s="598" t="s">
        <v>1813</v>
      </c>
      <c r="G380" s="1080">
        <v>1361559</v>
      </c>
      <c r="H380" s="1080"/>
      <c r="I380" s="1080">
        <v>907706.05</v>
      </c>
      <c r="J380" s="1081"/>
      <c r="K380" s="1659">
        <f>L381</f>
        <v>1688787</v>
      </c>
      <c r="L380" s="1659"/>
      <c r="M380" s="1445"/>
      <c r="N380" s="1445"/>
      <c r="O380" s="1085"/>
      <c r="P380" s="5"/>
      <c r="Q380" s="628"/>
    </row>
    <row r="381" spans="1:57" hidden="1">
      <c r="A381" s="603"/>
      <c r="B381" s="3290" t="s">
        <v>326</v>
      </c>
      <c r="C381" s="603"/>
      <c r="D381" s="616" t="s">
        <v>1959</v>
      </c>
      <c r="E381" s="604" t="s">
        <v>44</v>
      </c>
      <c r="F381" s="605"/>
      <c r="G381" s="1083"/>
      <c r="H381" s="1083">
        <v>1361559</v>
      </c>
      <c r="I381" s="1083"/>
      <c r="J381" s="1084"/>
      <c r="K381" s="1660"/>
      <c r="L381" s="1660">
        <v>1688787</v>
      </c>
      <c r="M381" s="120"/>
      <c r="N381" s="120"/>
      <c r="O381" s="1085"/>
      <c r="P381" s="19"/>
      <c r="Q381" s="623"/>
    </row>
    <row r="382" spans="1:57" hidden="1">
      <c r="A382" s="596"/>
      <c r="B382" s="3289" t="s">
        <v>326</v>
      </c>
      <c r="C382" s="612" t="s">
        <v>798</v>
      </c>
      <c r="D382" s="1946" t="s">
        <v>1959</v>
      </c>
      <c r="E382" s="597" t="s">
        <v>42</v>
      </c>
      <c r="F382" s="598" t="s">
        <v>1805</v>
      </c>
      <c r="G382" s="1088">
        <v>24553</v>
      </c>
      <c r="H382" s="1088"/>
      <c r="I382" s="1088">
        <v>0</v>
      </c>
      <c r="J382" s="1089"/>
      <c r="K382" s="1659">
        <f>L383</f>
        <v>0</v>
      </c>
      <c r="L382" s="1659"/>
      <c r="M382" s="1445"/>
      <c r="N382" s="1445"/>
      <c r="O382" s="1085"/>
      <c r="P382" s="5"/>
      <c r="Q382" s="628"/>
    </row>
    <row r="383" spans="1:57" hidden="1">
      <c r="A383" s="603"/>
      <c r="B383" s="3290" t="s">
        <v>326</v>
      </c>
      <c r="C383" s="603"/>
      <c r="D383" s="616" t="s">
        <v>1959</v>
      </c>
      <c r="E383" s="604" t="s">
        <v>42</v>
      </c>
      <c r="F383" s="605"/>
      <c r="G383" s="1090"/>
      <c r="H383" s="1090">
        <v>24553</v>
      </c>
      <c r="I383" s="1090"/>
      <c r="J383" s="1091"/>
      <c r="K383" s="1660"/>
      <c r="L383" s="1660"/>
      <c r="M383" s="120"/>
      <c r="N383" s="120"/>
      <c r="O383" s="1085"/>
      <c r="P383" s="19"/>
      <c r="Q383" s="623"/>
    </row>
    <row r="384" spans="1:57" hidden="1">
      <c r="A384" s="596"/>
      <c r="B384" s="3289" t="s">
        <v>326</v>
      </c>
      <c r="C384" s="612" t="s">
        <v>798</v>
      </c>
      <c r="D384" s="596" t="s">
        <v>1959</v>
      </c>
      <c r="E384" s="597" t="s">
        <v>1814</v>
      </c>
      <c r="F384" s="598" t="s">
        <v>1815</v>
      </c>
      <c r="G384" s="1080">
        <v>93741</v>
      </c>
      <c r="H384" s="1080"/>
      <c r="I384" s="1080">
        <v>50563.21</v>
      </c>
      <c r="J384" s="1081"/>
      <c r="K384" s="602">
        <f>L385</f>
        <v>104143</v>
      </c>
      <c r="L384" s="602"/>
      <c r="M384" s="120"/>
      <c r="N384" s="120"/>
      <c r="O384" s="1085"/>
      <c r="P384" s="5"/>
      <c r="Q384" s="628"/>
    </row>
    <row r="385" spans="1:57" hidden="1">
      <c r="A385" s="603"/>
      <c r="B385" s="3290" t="s">
        <v>326</v>
      </c>
      <c r="C385" s="603"/>
      <c r="D385" s="603" t="s">
        <v>1959</v>
      </c>
      <c r="E385" s="604" t="s">
        <v>1814</v>
      </c>
      <c r="F385" s="605"/>
      <c r="G385" s="1083"/>
      <c r="H385" s="1083">
        <v>93741</v>
      </c>
      <c r="I385" s="1083"/>
      <c r="J385" s="1084"/>
      <c r="K385" s="120"/>
      <c r="L385" s="120">
        <f>57337+46806</f>
        <v>104143</v>
      </c>
      <c r="M385" s="1445"/>
      <c r="N385" s="1445"/>
      <c r="O385" s="1085"/>
      <c r="P385" s="19"/>
      <c r="Q385" s="623"/>
    </row>
    <row r="386" spans="1:57" hidden="1">
      <c r="A386" s="1495"/>
      <c r="B386" s="3289" t="s">
        <v>326</v>
      </c>
      <c r="C386" s="612" t="s">
        <v>1848</v>
      </c>
      <c r="D386" s="596" t="s">
        <v>1960</v>
      </c>
      <c r="E386" s="597" t="s">
        <v>44</v>
      </c>
      <c r="F386" s="598" t="s">
        <v>1813</v>
      </c>
      <c r="G386" s="1080">
        <v>128547</v>
      </c>
      <c r="H386" s="1080"/>
      <c r="I386" s="1080">
        <v>85698.54</v>
      </c>
      <c r="J386" s="1081"/>
      <c r="K386" s="602">
        <f>SUM(L387:L388)</f>
        <v>137762</v>
      </c>
      <c r="L386" s="602"/>
      <c r="M386" s="120"/>
      <c r="N386" s="120"/>
      <c r="O386" s="1085"/>
      <c r="P386" s="5"/>
      <c r="Q386" s="628"/>
    </row>
    <row r="387" spans="1:57" hidden="1">
      <c r="A387" s="596"/>
      <c r="B387" s="3290" t="s">
        <v>326</v>
      </c>
      <c r="C387" s="603"/>
      <c r="D387" s="603" t="s">
        <v>1960</v>
      </c>
      <c r="E387" s="604" t="s">
        <v>44</v>
      </c>
      <c r="F387" s="605"/>
      <c r="G387" s="1083"/>
      <c r="H387" s="1083">
        <v>175128</v>
      </c>
      <c r="I387" s="1083"/>
      <c r="J387" s="1084"/>
      <c r="K387" s="120"/>
      <c r="L387" s="120">
        <v>137762</v>
      </c>
      <c r="M387" s="1445"/>
      <c r="N387" s="1445"/>
      <c r="O387" s="1085"/>
      <c r="P387" s="19"/>
      <c r="Q387" s="4"/>
      <c r="R387" s="52"/>
      <c r="S387" s="1085"/>
      <c r="T387" s="1085"/>
      <c r="U387" s="5"/>
      <c r="V387" s="5"/>
      <c r="W387" s="5"/>
      <c r="X387" s="5"/>
      <c r="Y387" s="5"/>
      <c r="Z387" s="5"/>
      <c r="AA387" s="5"/>
      <c r="AB387" s="5"/>
      <c r="AC387" s="5"/>
      <c r="AD387" s="5"/>
      <c r="AE387" s="5"/>
      <c r="AF387" s="5"/>
      <c r="AG387" s="5"/>
      <c r="AH387" s="5"/>
      <c r="AI387" s="1495"/>
      <c r="AJ387" s="1495"/>
      <c r="AK387" s="1495"/>
      <c r="AL387" s="1495"/>
      <c r="AM387" s="1579"/>
      <c r="AN387" s="1580"/>
      <c r="AO387" s="1568"/>
      <c r="AP387" s="1581"/>
      <c r="AQ387" s="1582"/>
      <c r="AR387" s="5"/>
      <c r="AS387" s="4"/>
      <c r="AT387" s="4"/>
      <c r="AU387" s="4"/>
      <c r="AV387" s="4"/>
      <c r="AW387" s="4"/>
      <c r="AX387" s="4"/>
      <c r="AY387" s="4"/>
      <c r="AZ387" s="4"/>
      <c r="BA387" s="4"/>
      <c r="BB387" s="4"/>
      <c r="BC387" s="4"/>
      <c r="BD387" s="4"/>
      <c r="BE387" s="4"/>
    </row>
    <row r="388" spans="1:57" ht="14.4" hidden="1" customHeight="1">
      <c r="A388" s="603"/>
      <c r="B388" s="3290" t="s">
        <v>326</v>
      </c>
      <c r="C388" s="603"/>
      <c r="D388" s="603" t="s">
        <v>1960</v>
      </c>
      <c r="E388" s="604" t="s">
        <v>44</v>
      </c>
      <c r="F388" s="1496" t="s">
        <v>3356</v>
      </c>
      <c r="G388" s="1083"/>
      <c r="H388" s="1083">
        <v>-46581</v>
      </c>
      <c r="I388" s="1083"/>
      <c r="J388" s="1084"/>
      <c r="K388" s="120"/>
      <c r="L388" s="120"/>
      <c r="M388" s="120"/>
      <c r="N388" s="120"/>
      <c r="O388" s="1085"/>
      <c r="P388" s="5"/>
      <c r="Q388" s="5"/>
      <c r="R388" s="1173"/>
      <c r="S388" s="1180"/>
      <c r="T388" s="1180"/>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row>
    <row r="389" spans="1:57" hidden="1">
      <c r="A389" s="596"/>
      <c r="B389" s="3289" t="s">
        <v>365</v>
      </c>
      <c r="C389" s="612" t="s">
        <v>799</v>
      </c>
      <c r="D389" s="596" t="s">
        <v>1961</v>
      </c>
      <c r="E389" s="597" t="s">
        <v>1810</v>
      </c>
      <c r="F389" s="598" t="s">
        <v>1811</v>
      </c>
      <c r="G389" s="602">
        <v>11142</v>
      </c>
      <c r="H389" s="602"/>
      <c r="I389" s="602">
        <v>6911.72</v>
      </c>
      <c r="J389" s="601"/>
      <c r="K389" s="602">
        <f>L390</f>
        <v>15980</v>
      </c>
      <c r="L389" s="602"/>
      <c r="M389" s="1445"/>
      <c r="N389" s="1445"/>
      <c r="O389" s="1085"/>
      <c r="P389" s="19"/>
      <c r="Q389" s="623"/>
    </row>
    <row r="390" spans="1:57" hidden="1">
      <c r="A390" s="603"/>
      <c r="B390" s="3290" t="s">
        <v>365</v>
      </c>
      <c r="C390" s="603"/>
      <c r="D390" s="603" t="s">
        <v>1961</v>
      </c>
      <c r="E390" s="604" t="s">
        <v>1810</v>
      </c>
      <c r="F390" s="1133"/>
      <c r="G390" s="120"/>
      <c r="H390" s="120">
        <v>11142</v>
      </c>
      <c r="I390" s="120"/>
      <c r="J390" s="1396"/>
      <c r="K390" s="120"/>
      <c r="L390" s="120">
        <v>15980</v>
      </c>
      <c r="M390" s="120"/>
      <c r="N390" s="120"/>
      <c r="O390" s="1085"/>
      <c r="P390" s="5"/>
      <c r="Q390" s="628"/>
    </row>
    <row r="391" spans="1:57" s="16" customFormat="1" ht="51" hidden="1">
      <c r="A391" s="1495"/>
      <c r="B391" s="3289" t="s">
        <v>365</v>
      </c>
      <c r="C391" s="612" t="s">
        <v>1031</v>
      </c>
      <c r="D391" s="596" t="s">
        <v>1962</v>
      </c>
      <c r="E391" s="597" t="s">
        <v>2847</v>
      </c>
      <c r="F391" s="598" t="s">
        <v>2848</v>
      </c>
      <c r="G391" s="1080">
        <v>35554</v>
      </c>
      <c r="H391" s="1080"/>
      <c r="I391" s="1080">
        <v>35553.599999999999</v>
      </c>
      <c r="J391" s="1081"/>
      <c r="K391" s="602">
        <f>SUM(L392:L393)</f>
        <v>13204</v>
      </c>
      <c r="L391" s="602"/>
      <c r="M391" s="1445"/>
      <c r="N391" s="1445"/>
      <c r="O391" s="1082"/>
      <c r="P391" s="5"/>
      <c r="Q391" s="5"/>
      <c r="R391" s="263"/>
      <c r="S391" s="135"/>
      <c r="T391" s="135"/>
    </row>
    <row r="392" spans="1:57" hidden="1">
      <c r="A392" s="596"/>
      <c r="B392" s="3290" t="s">
        <v>365</v>
      </c>
      <c r="C392" s="603"/>
      <c r="D392" s="603" t="s">
        <v>1962</v>
      </c>
      <c r="E392" s="604" t="s">
        <v>2847</v>
      </c>
      <c r="F392" s="605" t="s">
        <v>1817</v>
      </c>
      <c r="G392" s="1083"/>
      <c r="H392" s="1083">
        <v>16800</v>
      </c>
      <c r="I392" s="1083"/>
      <c r="J392" s="1084"/>
      <c r="K392" s="120"/>
      <c r="L392" s="120">
        <v>13204</v>
      </c>
      <c r="M392" s="120"/>
      <c r="N392" s="120"/>
      <c r="O392" s="1085"/>
      <c r="P392" s="19"/>
      <c r="Q392" s="623"/>
    </row>
    <row r="393" spans="1:57" ht="20.399999999999999" hidden="1">
      <c r="A393" s="603"/>
      <c r="B393" s="3292" t="s">
        <v>365</v>
      </c>
      <c r="C393" s="1495"/>
      <c r="D393" s="1495" t="s">
        <v>1962</v>
      </c>
      <c r="E393" s="1574" t="s">
        <v>2847</v>
      </c>
      <c r="F393" s="1496" t="s">
        <v>3438</v>
      </c>
      <c r="G393" s="1083"/>
      <c r="H393" s="1083">
        <v>18754</v>
      </c>
      <c r="I393" s="1083"/>
      <c r="J393" s="1084"/>
      <c r="K393" s="120"/>
      <c r="L393" s="120"/>
      <c r="M393" s="120"/>
      <c r="N393" s="120"/>
      <c r="O393" s="1085"/>
      <c r="P393" s="5"/>
      <c r="Q393" s="628"/>
    </row>
    <row r="394" spans="1:57" s="16" customFormat="1" ht="51" hidden="1">
      <c r="A394" s="1495"/>
      <c r="B394" s="3289" t="s">
        <v>365</v>
      </c>
      <c r="C394" s="612" t="s">
        <v>1553</v>
      </c>
      <c r="D394" s="596" t="s">
        <v>1963</v>
      </c>
      <c r="E394" s="597" t="s">
        <v>2847</v>
      </c>
      <c r="F394" s="598" t="s">
        <v>2848</v>
      </c>
      <c r="G394" s="1080">
        <v>26400</v>
      </c>
      <c r="H394" s="1080"/>
      <c r="I394" s="1080">
        <v>26400</v>
      </c>
      <c r="J394" s="1081"/>
      <c r="K394" s="602">
        <f>SUM(L395:L396)</f>
        <v>4268</v>
      </c>
      <c r="L394" s="602"/>
      <c r="M394" s="1445"/>
      <c r="N394" s="1445"/>
      <c r="O394" s="1082"/>
      <c r="P394" s="628"/>
      <c r="Q394"/>
      <c r="R394" s="263"/>
      <c r="S394" s="135"/>
      <c r="T394" s="135"/>
    </row>
    <row r="395" spans="1:57" hidden="1">
      <c r="A395" s="1575"/>
      <c r="B395" s="3290" t="s">
        <v>365</v>
      </c>
      <c r="C395" s="603"/>
      <c r="D395" s="603" t="s">
        <v>1963</v>
      </c>
      <c r="E395" s="604" t="s">
        <v>2847</v>
      </c>
      <c r="F395" s="605" t="s">
        <v>1826</v>
      </c>
      <c r="G395" s="1083"/>
      <c r="H395" s="1083">
        <v>8460</v>
      </c>
      <c r="I395" s="1083"/>
      <c r="J395" s="1084"/>
      <c r="K395" s="120"/>
      <c r="L395" s="120">
        <v>4268</v>
      </c>
      <c r="M395" s="120"/>
      <c r="N395" s="120"/>
      <c r="O395" s="1085"/>
      <c r="P395" s="5"/>
      <c r="Q395" s="628"/>
    </row>
    <row r="396" spans="1:57" hidden="1">
      <c r="A396" s="1495"/>
      <c r="B396" s="3292" t="s">
        <v>365</v>
      </c>
      <c r="C396" s="1495"/>
      <c r="D396" s="1495" t="s">
        <v>1963</v>
      </c>
      <c r="E396" s="1574" t="s">
        <v>2847</v>
      </c>
      <c r="F396" s="1496" t="s">
        <v>3444</v>
      </c>
      <c r="G396" s="1083"/>
      <c r="H396" s="1083">
        <v>17940</v>
      </c>
      <c r="I396" s="1083"/>
      <c r="J396" s="1084"/>
      <c r="K396" s="120"/>
      <c r="L396" s="120"/>
      <c r="M396" s="120"/>
      <c r="N396" s="120"/>
      <c r="O396" s="1085"/>
      <c r="P396" s="622"/>
      <c r="Q396" s="628"/>
    </row>
    <row r="397" spans="1:57" hidden="1">
      <c r="A397" s="596"/>
      <c r="B397" s="3291" t="s">
        <v>365</v>
      </c>
      <c r="C397" s="1576" t="s">
        <v>3375</v>
      </c>
      <c r="D397" s="1613" t="s">
        <v>3376</v>
      </c>
      <c r="E397" s="1577" t="s">
        <v>1319</v>
      </c>
      <c r="F397" s="1578" t="s">
        <v>1782</v>
      </c>
      <c r="G397" s="1088">
        <v>15473</v>
      </c>
      <c r="H397" s="1088"/>
      <c r="I397" s="1088">
        <v>0</v>
      </c>
      <c r="J397" s="1089"/>
      <c r="K397" s="1659">
        <f>L398</f>
        <v>1533</v>
      </c>
      <c r="L397" s="1659"/>
      <c r="M397" s="120"/>
      <c r="N397" s="120"/>
      <c r="O397" s="1085"/>
      <c r="P397" s="622"/>
      <c r="Q397" s="628"/>
    </row>
    <row r="398" spans="1:57" hidden="1">
      <c r="A398" s="603"/>
      <c r="B398" s="3292" t="s">
        <v>365</v>
      </c>
      <c r="C398" s="1495"/>
      <c r="D398" s="1611" t="s">
        <v>3376</v>
      </c>
      <c r="E398" s="1574" t="s">
        <v>1319</v>
      </c>
      <c r="F398" s="1496"/>
      <c r="G398" s="1090"/>
      <c r="H398" s="1090">
        <v>15473</v>
      </c>
      <c r="I398" s="1090"/>
      <c r="J398" s="1091"/>
      <c r="K398" s="1660"/>
      <c r="L398" s="1660">
        <v>1533</v>
      </c>
      <c r="M398" s="120"/>
      <c r="N398" s="120"/>
      <c r="O398" s="1082"/>
      <c r="P398" s="628"/>
    </row>
    <row r="399" spans="1:57" hidden="1">
      <c r="A399" s="619"/>
      <c r="B399" s="3289" t="s">
        <v>365</v>
      </c>
      <c r="C399" s="612" t="s">
        <v>2934</v>
      </c>
      <c r="D399" s="596" t="s">
        <v>2935</v>
      </c>
      <c r="E399" s="597" t="s">
        <v>45</v>
      </c>
      <c r="F399" s="598" t="s">
        <v>1762</v>
      </c>
      <c r="G399" s="1080">
        <v>16359</v>
      </c>
      <c r="H399" s="1080"/>
      <c r="I399" s="1080">
        <v>16713</v>
      </c>
      <c r="J399" s="1081"/>
      <c r="K399" s="602">
        <f>L400</f>
        <v>0</v>
      </c>
      <c r="L399" s="602"/>
      <c r="M399" s="120"/>
      <c r="N399" s="120"/>
      <c r="O399" s="1082"/>
      <c r="P399" s="622"/>
      <c r="Q399" s="628"/>
    </row>
    <row r="400" spans="1:57" ht="20.399999999999999" hidden="1">
      <c r="A400" s="625"/>
      <c r="B400" s="3290" t="s">
        <v>365</v>
      </c>
      <c r="C400" s="603"/>
      <c r="D400" s="603" t="s">
        <v>2935</v>
      </c>
      <c r="E400" s="604" t="s">
        <v>45</v>
      </c>
      <c r="F400" s="605" t="s">
        <v>3111</v>
      </c>
      <c r="G400" s="1083"/>
      <c r="H400" s="1083">
        <v>16359</v>
      </c>
      <c r="I400" s="1083"/>
      <c r="J400" s="1084"/>
      <c r="K400" s="120"/>
      <c r="L400" s="120"/>
      <c r="M400" s="120"/>
      <c r="N400" s="120"/>
      <c r="O400" s="1082"/>
      <c r="P400" s="628"/>
    </row>
    <row r="401" spans="1:20" hidden="1">
      <c r="A401" s="1498"/>
      <c r="B401" s="3293" t="s">
        <v>326</v>
      </c>
      <c r="C401" s="619">
        <v>1010</v>
      </c>
      <c r="D401" s="2261" t="s">
        <v>430</v>
      </c>
      <c r="E401" s="620" t="s">
        <v>45</v>
      </c>
      <c r="F401" s="621" t="s">
        <v>1829</v>
      </c>
      <c r="G401" s="1080">
        <f>74100-18000-1600</f>
        <v>54500</v>
      </c>
      <c r="H401" s="1080"/>
      <c r="I401" s="600">
        <f>80612-27241</f>
        <v>53371</v>
      </c>
      <c r="J401" s="601"/>
      <c r="K401" s="602">
        <f>SUM(L402:L407)</f>
        <v>65170</v>
      </c>
      <c r="L401" s="602"/>
      <c r="M401" s="120"/>
      <c r="N401" s="120"/>
      <c r="O401" s="1082"/>
      <c r="P401" s="628"/>
    </row>
    <row r="402" spans="1:20" hidden="1">
      <c r="A402" s="1498"/>
      <c r="B402" s="3294" t="s">
        <v>326</v>
      </c>
      <c r="C402" s="625"/>
      <c r="D402" s="625" t="s">
        <v>430</v>
      </c>
      <c r="E402" s="626" t="s">
        <v>45</v>
      </c>
      <c r="F402" s="1499" t="s">
        <v>3358</v>
      </c>
      <c r="G402" s="1083"/>
      <c r="H402" s="1083"/>
      <c r="I402" s="1083">
        <v>2237</v>
      </c>
      <c r="J402" s="122"/>
      <c r="K402" s="120"/>
      <c r="L402" s="120">
        <f>2300-2300</f>
        <v>0</v>
      </c>
      <c r="M402" s="120">
        <v>2300</v>
      </c>
      <c r="N402" s="120" t="s">
        <v>4719</v>
      </c>
      <c r="O402" s="1082"/>
      <c r="P402" s="628"/>
    </row>
    <row r="403" spans="1:20" s="16" customFormat="1" hidden="1">
      <c r="A403" s="625"/>
      <c r="B403" s="3294" t="s">
        <v>326</v>
      </c>
      <c r="C403" s="625"/>
      <c r="D403" s="625" t="s">
        <v>430</v>
      </c>
      <c r="E403" s="626" t="s">
        <v>45</v>
      </c>
      <c r="F403" s="627" t="s">
        <v>4258</v>
      </c>
      <c r="G403" s="1083"/>
      <c r="H403" s="1083"/>
      <c r="I403" s="1083">
        <v>1460</v>
      </c>
      <c r="J403" s="122"/>
      <c r="K403" s="120"/>
      <c r="L403" s="120">
        <f>1460-1460</f>
        <v>0</v>
      </c>
      <c r="M403" s="120">
        <v>1460</v>
      </c>
      <c r="N403" s="120"/>
      <c r="O403" s="1082"/>
      <c r="P403" s="628"/>
      <c r="Q403"/>
      <c r="R403" s="263"/>
      <c r="S403" s="135"/>
      <c r="T403" s="135"/>
    </row>
    <row r="404" spans="1:20" ht="20.399999999999999" hidden="1">
      <c r="A404" s="625"/>
      <c r="B404" s="3294" t="s">
        <v>326</v>
      </c>
      <c r="C404" s="625"/>
      <c r="D404" s="625" t="s">
        <v>430</v>
      </c>
      <c r="E404" s="626" t="s">
        <v>45</v>
      </c>
      <c r="F404" s="1499" t="s">
        <v>5181</v>
      </c>
      <c r="G404" s="1083"/>
      <c r="H404" s="1083"/>
      <c r="I404" s="1083">
        <v>14170.4</v>
      </c>
      <c r="J404" s="122"/>
      <c r="K404" s="120"/>
      <c r="L404" s="3023">
        <v>14170</v>
      </c>
      <c r="M404" s="1445" t="s">
        <v>4720</v>
      </c>
      <c r="N404" s="1445"/>
      <c r="O404" s="1082"/>
      <c r="P404" s="628"/>
    </row>
    <row r="405" spans="1:20" s="16" customFormat="1" hidden="1">
      <c r="A405" s="625"/>
      <c r="B405" s="3294" t="s">
        <v>326</v>
      </c>
      <c r="C405" s="625"/>
      <c r="D405" s="625" t="s">
        <v>430</v>
      </c>
      <c r="E405" s="626" t="s">
        <v>45</v>
      </c>
      <c r="F405" s="627" t="s">
        <v>5180</v>
      </c>
      <c r="G405" s="1083"/>
      <c r="H405" s="1083">
        <v>30000</v>
      </c>
      <c r="I405" s="1083">
        <v>33989</v>
      </c>
      <c r="J405" s="122"/>
      <c r="K405" s="120"/>
      <c r="L405" s="3023">
        <f>30000</f>
        <v>30000</v>
      </c>
      <c r="M405" s="120"/>
      <c r="N405" s="120"/>
      <c r="O405" s="1082"/>
      <c r="P405" s="628"/>
      <c r="Q405"/>
      <c r="R405" s="263"/>
      <c r="S405" s="135"/>
      <c r="T405" s="135"/>
    </row>
    <row r="406" spans="1:20" hidden="1">
      <c r="A406" s="625"/>
      <c r="B406" s="3294" t="s">
        <v>326</v>
      </c>
      <c r="C406" s="625"/>
      <c r="D406" s="625" t="s">
        <v>430</v>
      </c>
      <c r="E406" s="626" t="s">
        <v>45</v>
      </c>
      <c r="F406" s="627" t="s">
        <v>1831</v>
      </c>
      <c r="G406" s="1083"/>
      <c r="H406" s="1083">
        <v>8100</v>
      </c>
      <c r="I406" s="1083"/>
      <c r="J406" s="122"/>
      <c r="K406" s="120"/>
      <c r="L406" s="3023">
        <v>3000</v>
      </c>
      <c r="M406" s="120"/>
      <c r="N406" s="120"/>
      <c r="O406" s="1082"/>
      <c r="P406" s="628"/>
    </row>
    <row r="407" spans="1:20" ht="20.399999999999999" hidden="1">
      <c r="A407" s="619"/>
      <c r="B407" s="3294" t="s">
        <v>326</v>
      </c>
      <c r="C407" s="625"/>
      <c r="D407" s="625" t="s">
        <v>430</v>
      </c>
      <c r="E407" s="626" t="s">
        <v>45</v>
      </c>
      <c r="F407" s="627" t="s">
        <v>2813</v>
      </c>
      <c r="G407" s="1083"/>
      <c r="H407" s="1083">
        <v>18000</v>
      </c>
      <c r="I407" s="1083"/>
      <c r="J407" s="122"/>
      <c r="K407" s="120"/>
      <c r="L407" s="3023">
        <v>18000</v>
      </c>
      <c r="M407" s="1445"/>
      <c r="N407" s="1445"/>
      <c r="O407" s="1082"/>
      <c r="P407" s="622"/>
    </row>
    <row r="408" spans="1:20" hidden="1">
      <c r="A408" s="619"/>
      <c r="B408" s="3293" t="s">
        <v>326</v>
      </c>
      <c r="C408" s="619">
        <v>1010</v>
      </c>
      <c r="D408" s="2261" t="s">
        <v>430</v>
      </c>
      <c r="E408" s="620" t="s">
        <v>1319</v>
      </c>
      <c r="F408" s="621" t="s">
        <v>1782</v>
      </c>
      <c r="G408" s="1080">
        <v>3000</v>
      </c>
      <c r="H408" s="1080"/>
      <c r="I408" s="1080">
        <v>2062.58</v>
      </c>
      <c r="J408" s="1081"/>
      <c r="K408" s="602">
        <f>L409</f>
        <v>3000</v>
      </c>
      <c r="L408" s="602"/>
      <c r="M408" s="1445"/>
      <c r="N408" s="1445"/>
      <c r="O408" s="1082"/>
      <c r="P408" s="628"/>
    </row>
    <row r="409" spans="1:20" ht="20.399999999999999" hidden="1">
      <c r="A409" s="625"/>
      <c r="B409" s="3294" t="s">
        <v>326</v>
      </c>
      <c r="C409" s="625"/>
      <c r="D409" s="625" t="s">
        <v>430</v>
      </c>
      <c r="E409" s="626" t="s">
        <v>1319</v>
      </c>
      <c r="F409" s="627" t="s">
        <v>1832</v>
      </c>
      <c r="G409" s="1083"/>
      <c r="H409" s="1083">
        <v>3000</v>
      </c>
      <c r="I409" s="1083"/>
      <c r="J409" s="1084"/>
      <c r="K409" s="120"/>
      <c r="L409" s="3023">
        <v>3000</v>
      </c>
      <c r="M409" s="120"/>
      <c r="N409" s="120"/>
      <c r="O409" s="1082"/>
      <c r="P409" s="628"/>
      <c r="Q409" s="16"/>
    </row>
    <row r="410" spans="1:20">
      <c r="A410" s="619"/>
      <c r="B410" s="3293" t="s">
        <v>772</v>
      </c>
      <c r="C410" s="619">
        <v>1010</v>
      </c>
      <c r="D410" s="2261" t="s">
        <v>430</v>
      </c>
      <c r="E410" s="620" t="s">
        <v>1764</v>
      </c>
      <c r="F410" s="621" t="s">
        <v>1833</v>
      </c>
      <c r="G410" s="1080">
        <v>9000</v>
      </c>
      <c r="H410" s="1080"/>
      <c r="I410" s="1080">
        <v>6031</v>
      </c>
      <c r="J410" s="1081"/>
      <c r="K410" s="602">
        <f>L411</f>
        <v>9000</v>
      </c>
      <c r="L410" s="602"/>
      <c r="M410" s="1445"/>
      <c r="N410" s="1445"/>
      <c r="O410" s="1082"/>
      <c r="P410" s="628"/>
    </row>
    <row r="411" spans="1:20">
      <c r="A411" s="625"/>
      <c r="B411" s="3294" t="s">
        <v>772</v>
      </c>
      <c r="C411" s="625"/>
      <c r="D411" s="625" t="s">
        <v>430</v>
      </c>
      <c r="E411" s="626" t="s">
        <v>1764</v>
      </c>
      <c r="F411" s="627" t="s">
        <v>2661</v>
      </c>
      <c r="G411" s="1083"/>
      <c r="H411" s="1083">
        <v>9000</v>
      </c>
      <c r="I411" s="1083"/>
      <c r="J411" s="1084"/>
      <c r="K411" s="120"/>
      <c r="L411" s="120">
        <v>9000</v>
      </c>
      <c r="M411" s="120"/>
      <c r="N411" s="120"/>
      <c r="O411" s="1082"/>
      <c r="P411" s="628"/>
      <c r="Q411" s="16"/>
    </row>
    <row r="412" spans="1:20" hidden="1">
      <c r="A412" s="619"/>
      <c r="B412" s="3293" t="s">
        <v>326</v>
      </c>
      <c r="C412" s="619">
        <v>1010.1</v>
      </c>
      <c r="D412" s="2261" t="s">
        <v>3317</v>
      </c>
      <c r="E412" s="620" t="s">
        <v>45</v>
      </c>
      <c r="F412" s="621" t="s">
        <v>1829</v>
      </c>
      <c r="G412" s="602">
        <v>18000</v>
      </c>
      <c r="H412" s="602"/>
      <c r="I412" s="602">
        <v>27241</v>
      </c>
      <c r="J412" s="601"/>
      <c r="K412" s="602">
        <f>SUM(L413)</f>
        <v>51372</v>
      </c>
      <c r="L412" s="602"/>
      <c r="M412" s="1501"/>
      <c r="N412" s="120"/>
      <c r="O412" s="1082"/>
      <c r="P412" s="628"/>
    </row>
    <row r="413" spans="1:20" hidden="1">
      <c r="A413" s="625"/>
      <c r="B413" s="3294" t="s">
        <v>326</v>
      </c>
      <c r="C413" s="625"/>
      <c r="D413" s="625" t="s">
        <v>3317</v>
      </c>
      <c r="E413" s="626" t="s">
        <v>45</v>
      </c>
      <c r="F413" s="2276" t="s">
        <v>4352</v>
      </c>
      <c r="G413" s="120"/>
      <c r="H413" s="120">
        <v>18000</v>
      </c>
      <c r="I413" s="120"/>
      <c r="J413" s="1396"/>
      <c r="K413" s="120"/>
      <c r="L413" s="120">
        <v>51372</v>
      </c>
      <c r="M413" s="1501"/>
      <c r="N413" s="120"/>
      <c r="O413" s="1082"/>
      <c r="P413" s="628"/>
    </row>
    <row r="414" spans="1:20" hidden="1">
      <c r="A414" s="619"/>
      <c r="B414" s="3293" t="s">
        <v>326</v>
      </c>
      <c r="C414" s="619">
        <v>1010.2</v>
      </c>
      <c r="D414" s="2261" t="s">
        <v>4366</v>
      </c>
      <c r="E414" s="620" t="s">
        <v>45</v>
      </c>
      <c r="F414" s="621" t="s">
        <v>1829</v>
      </c>
      <c r="G414" s="602">
        <v>1600</v>
      </c>
      <c r="H414" s="602"/>
      <c r="I414" s="602"/>
      <c r="J414" s="601"/>
      <c r="K414" s="602">
        <f>SUM(L415)</f>
        <v>6618</v>
      </c>
      <c r="L414" s="602"/>
      <c r="M414" s="1501" t="s">
        <v>5182</v>
      </c>
      <c r="N414" s="120"/>
      <c r="O414" s="1082"/>
      <c r="P414" s="628"/>
    </row>
    <row r="415" spans="1:20" hidden="1">
      <c r="A415" s="625"/>
      <c r="B415" s="3294" t="s">
        <v>326</v>
      </c>
      <c r="C415" s="625"/>
      <c r="D415" s="625" t="s">
        <v>430</v>
      </c>
      <c r="E415" s="626" t="s">
        <v>45</v>
      </c>
      <c r="F415" s="627" t="s">
        <v>1830</v>
      </c>
      <c r="G415" s="1083"/>
      <c r="H415" s="1083"/>
      <c r="I415" s="1083">
        <v>1516</v>
      </c>
      <c r="J415" s="122"/>
      <c r="K415" s="120"/>
      <c r="L415" s="120">
        <v>6618</v>
      </c>
      <c r="M415" s="3024" t="s">
        <v>5182</v>
      </c>
      <c r="N415" s="1445"/>
      <c r="O415" s="1082"/>
      <c r="P415" s="622"/>
    </row>
    <row r="416" spans="1:20" hidden="1">
      <c r="A416" s="619"/>
      <c r="B416" s="3293" t="s">
        <v>365</v>
      </c>
      <c r="C416" s="619">
        <v>1010.3</v>
      </c>
      <c r="D416" s="2261" t="s">
        <v>3021</v>
      </c>
      <c r="E416" s="620" t="s">
        <v>45</v>
      </c>
      <c r="F416" s="621" t="s">
        <v>1762</v>
      </c>
      <c r="G416" s="602">
        <v>7500</v>
      </c>
      <c r="H416" s="602"/>
      <c r="I416" s="602">
        <v>3978</v>
      </c>
      <c r="J416" s="601"/>
      <c r="K416" s="602">
        <f>L417</f>
        <v>3682</v>
      </c>
      <c r="L416" s="602"/>
      <c r="M416" s="1445"/>
      <c r="N416" s="1445"/>
      <c r="O416" s="1082"/>
      <c r="P416" s="622"/>
    </row>
    <row r="417" spans="1:16" ht="20.399999999999999" hidden="1">
      <c r="A417" s="1357"/>
      <c r="B417" s="3294" t="s">
        <v>365</v>
      </c>
      <c r="C417" s="625"/>
      <c r="D417" s="625" t="s">
        <v>3021</v>
      </c>
      <c r="E417" s="626" t="s">
        <v>45</v>
      </c>
      <c r="F417" s="2276" t="s">
        <v>3020</v>
      </c>
      <c r="G417" s="120"/>
      <c r="H417" s="120">
        <v>7500</v>
      </c>
      <c r="I417" s="120"/>
      <c r="J417" s="1396"/>
      <c r="K417" s="120"/>
      <c r="L417" s="120">
        <v>3682</v>
      </c>
      <c r="M417" s="120"/>
      <c r="N417" s="120"/>
      <c r="O417" s="1082"/>
      <c r="P417" s="628"/>
    </row>
    <row r="418" spans="1:16" hidden="1">
      <c r="A418" s="619"/>
      <c r="B418" s="3293" t="s">
        <v>326</v>
      </c>
      <c r="C418" s="619">
        <v>1011</v>
      </c>
      <c r="D418" s="2261" t="s">
        <v>1964</v>
      </c>
      <c r="E418" s="620" t="s">
        <v>589</v>
      </c>
      <c r="F418" s="621" t="s">
        <v>1809</v>
      </c>
      <c r="G418" s="602">
        <v>12607</v>
      </c>
      <c r="H418" s="602"/>
      <c r="I418" s="602"/>
      <c r="J418" s="601"/>
      <c r="K418" s="602">
        <f>L419</f>
        <v>5000</v>
      </c>
      <c r="L418" s="602"/>
      <c r="M418" s="1445"/>
      <c r="N418" s="1445"/>
      <c r="O418" s="1082"/>
      <c r="P418" s="622"/>
    </row>
    <row r="419" spans="1:16" hidden="1">
      <c r="A419" s="625"/>
      <c r="B419" s="3295" t="s">
        <v>326</v>
      </c>
      <c r="C419" s="1357"/>
      <c r="D419" s="1357"/>
      <c r="E419" s="1358" t="s">
        <v>589</v>
      </c>
      <c r="F419" s="1395" t="s">
        <v>1809</v>
      </c>
      <c r="G419" s="120"/>
      <c r="H419" s="120">
        <v>12607</v>
      </c>
      <c r="I419" s="120"/>
      <c r="J419" s="1396"/>
      <c r="K419" s="120"/>
      <c r="L419" s="120">
        <v>5000</v>
      </c>
      <c r="M419" s="120"/>
      <c r="N419" s="120"/>
      <c r="O419" s="1082"/>
      <c r="P419" s="628"/>
    </row>
    <row r="420" spans="1:16" hidden="1">
      <c r="A420" s="619"/>
      <c r="B420" s="3293" t="s">
        <v>326</v>
      </c>
      <c r="C420" s="619">
        <v>1012</v>
      </c>
      <c r="D420" s="2261" t="s">
        <v>1965</v>
      </c>
      <c r="E420" s="620" t="s">
        <v>46</v>
      </c>
      <c r="F420" s="621" t="s">
        <v>1834</v>
      </c>
      <c r="G420" s="1088">
        <v>580000</v>
      </c>
      <c r="H420" s="1088"/>
      <c r="I420" s="1088">
        <v>510076</v>
      </c>
      <c r="J420" s="1089"/>
      <c r="K420" s="602">
        <f>L421</f>
        <v>642000</v>
      </c>
      <c r="L420" s="602"/>
      <c r="M420" s="1445"/>
      <c r="N420" s="1445"/>
      <c r="O420" s="1082"/>
      <c r="P420" s="622"/>
    </row>
    <row r="421" spans="1:16" hidden="1">
      <c r="A421" s="625"/>
      <c r="B421" s="3294" t="s">
        <v>326</v>
      </c>
      <c r="C421" s="625"/>
      <c r="D421" s="625" t="s">
        <v>1965</v>
      </c>
      <c r="E421" s="626" t="s">
        <v>46</v>
      </c>
      <c r="F421" s="627" t="s">
        <v>2953</v>
      </c>
      <c r="G421" s="1090"/>
      <c r="H421" s="1090">
        <v>580000</v>
      </c>
      <c r="I421" s="1090"/>
      <c r="J421" s="1091"/>
      <c r="K421" s="120"/>
      <c r="L421" s="120">
        <v>642000</v>
      </c>
      <c r="M421" s="120"/>
      <c r="N421" s="120"/>
      <c r="O421" s="1082"/>
      <c r="P421" s="628"/>
    </row>
    <row r="422" spans="1:16" ht="20.399999999999999" hidden="1">
      <c r="A422" s="619"/>
      <c r="B422" s="3293" t="s">
        <v>365</v>
      </c>
      <c r="C422" s="619">
        <v>1013.1</v>
      </c>
      <c r="D422" s="2261" t="s">
        <v>1966</v>
      </c>
      <c r="E422" s="620" t="s">
        <v>2662</v>
      </c>
      <c r="F422" s="621" t="s">
        <v>2663</v>
      </c>
      <c r="G422" s="1080">
        <v>0</v>
      </c>
      <c r="H422" s="1080"/>
      <c r="I422" s="1080">
        <v>6686.07</v>
      </c>
      <c r="J422" s="1081"/>
      <c r="K422" s="602">
        <f>L423</f>
        <v>9799</v>
      </c>
      <c r="L422" s="602"/>
      <c r="M422" s="1445"/>
      <c r="N422" s="1445"/>
      <c r="O422" s="1082"/>
      <c r="P422" s="622"/>
    </row>
    <row r="423" spans="1:16" ht="20.399999999999999" hidden="1">
      <c r="A423" s="625"/>
      <c r="B423" s="3294" t="s">
        <v>365</v>
      </c>
      <c r="C423" s="625"/>
      <c r="D423" s="625" t="s">
        <v>1966</v>
      </c>
      <c r="E423" s="626" t="s">
        <v>2662</v>
      </c>
      <c r="F423" s="627" t="s">
        <v>2664</v>
      </c>
      <c r="G423" s="1083"/>
      <c r="H423" s="1083">
        <v>0</v>
      </c>
      <c r="I423" s="1083"/>
      <c r="J423" s="1084"/>
      <c r="K423" s="120"/>
      <c r="L423" s="120">
        <f>47219-37420</f>
        <v>9799</v>
      </c>
      <c r="M423" s="120"/>
      <c r="N423" s="120"/>
      <c r="O423" s="1082"/>
      <c r="P423" s="628"/>
    </row>
    <row r="424" spans="1:16">
      <c r="A424" s="619"/>
      <c r="B424" s="3293" t="s">
        <v>772</v>
      </c>
      <c r="C424" s="619" t="s">
        <v>1000</v>
      </c>
      <c r="D424" s="2261" t="s">
        <v>1968</v>
      </c>
      <c r="E424" s="620" t="s">
        <v>45</v>
      </c>
      <c r="F424" s="621" t="s">
        <v>1762</v>
      </c>
      <c r="G424" s="1080"/>
      <c r="H424" s="1080"/>
      <c r="I424" s="1080">
        <v>1214.07</v>
      </c>
      <c r="J424" s="1081"/>
      <c r="K424" s="602">
        <f>L425</f>
        <v>1200</v>
      </c>
      <c r="L424" s="602"/>
      <c r="M424" s="1445"/>
      <c r="N424" s="1445"/>
      <c r="O424" s="1082"/>
      <c r="P424" s="622"/>
    </row>
    <row r="425" spans="1:16" ht="20.399999999999999">
      <c r="A425" s="625"/>
      <c r="B425" s="3294" t="s">
        <v>772</v>
      </c>
      <c r="C425" s="625"/>
      <c r="D425" s="625" t="s">
        <v>1968</v>
      </c>
      <c r="E425" s="626" t="s">
        <v>45</v>
      </c>
      <c r="F425" s="627" t="s">
        <v>3359</v>
      </c>
      <c r="G425" s="1083"/>
      <c r="H425" s="1083"/>
      <c r="I425" s="1083"/>
      <c r="J425" s="1084"/>
      <c r="K425" s="120"/>
      <c r="L425" s="120">
        <v>1200</v>
      </c>
      <c r="M425" s="1501" t="s">
        <v>4718</v>
      </c>
      <c r="N425" s="120"/>
      <c r="O425" s="1082"/>
      <c r="P425" s="628"/>
    </row>
    <row r="426" spans="1:16">
      <c r="A426" s="619"/>
      <c r="B426" s="3293" t="s">
        <v>772</v>
      </c>
      <c r="C426" s="619" t="s">
        <v>1000</v>
      </c>
      <c r="D426" s="2261" t="s">
        <v>1968</v>
      </c>
      <c r="E426" s="620" t="s">
        <v>1764</v>
      </c>
      <c r="F426" s="621" t="s">
        <v>1839</v>
      </c>
      <c r="G426" s="1080">
        <v>6500</v>
      </c>
      <c r="H426" s="1080"/>
      <c r="I426" s="1080">
        <v>8031</v>
      </c>
      <c r="J426" s="1081"/>
      <c r="K426" s="602">
        <f>L427</f>
        <v>8000</v>
      </c>
      <c r="L426" s="602"/>
      <c r="M426" s="1445"/>
      <c r="N426" s="1445"/>
      <c r="O426" s="1082"/>
      <c r="P426" s="622"/>
    </row>
    <row r="427" spans="1:16">
      <c r="A427" s="625"/>
      <c r="B427" s="3294" t="s">
        <v>772</v>
      </c>
      <c r="C427" s="625"/>
      <c r="D427" s="625" t="s">
        <v>1968</v>
      </c>
      <c r="E427" s="626" t="s">
        <v>1764</v>
      </c>
      <c r="F427" s="627" t="s">
        <v>2665</v>
      </c>
      <c r="G427" s="1083"/>
      <c r="H427" s="1083">
        <v>6500</v>
      </c>
      <c r="I427" s="1083"/>
      <c r="J427" s="1084"/>
      <c r="K427" s="120"/>
      <c r="L427" s="120">
        <v>8000</v>
      </c>
      <c r="M427" s="120"/>
      <c r="N427" s="120"/>
      <c r="O427" s="1082"/>
      <c r="P427" s="628"/>
    </row>
    <row r="428" spans="1:16" hidden="1">
      <c r="A428" s="619"/>
      <c r="B428" s="3293" t="s">
        <v>365</v>
      </c>
      <c r="C428" s="619">
        <v>1014.3</v>
      </c>
      <c r="D428" s="2261" t="s">
        <v>1969</v>
      </c>
      <c r="E428" s="620" t="s">
        <v>1837</v>
      </c>
      <c r="F428" s="621" t="s">
        <v>1838</v>
      </c>
      <c r="G428" s="1080">
        <v>0</v>
      </c>
      <c r="H428" s="1080"/>
      <c r="I428" s="1080"/>
      <c r="J428" s="1081"/>
      <c r="K428" s="1404">
        <f>L429</f>
        <v>0</v>
      </c>
      <c r="L428" s="613"/>
      <c r="M428" s="1445"/>
      <c r="N428" s="1445"/>
      <c r="O428" s="1082"/>
      <c r="P428" s="622"/>
    </row>
    <row r="429" spans="1:16" hidden="1">
      <c r="A429" s="625"/>
      <c r="B429" s="3294" t="s">
        <v>365</v>
      </c>
      <c r="C429" s="625"/>
      <c r="D429" s="625" t="s">
        <v>1969</v>
      </c>
      <c r="E429" s="626" t="s">
        <v>1837</v>
      </c>
      <c r="F429" s="627" t="s">
        <v>2665</v>
      </c>
      <c r="G429" s="1083"/>
      <c r="H429" s="1083"/>
      <c r="I429" s="1083"/>
      <c r="J429" s="1084"/>
      <c r="K429" s="1094"/>
      <c r="L429" s="1501"/>
      <c r="M429" s="120"/>
      <c r="N429" s="120"/>
      <c r="O429" s="1082"/>
      <c r="P429" s="628"/>
    </row>
    <row r="430" spans="1:16">
      <c r="A430" s="619"/>
      <c r="B430" s="3293" t="s">
        <v>772</v>
      </c>
      <c r="C430" s="619">
        <v>1014.3</v>
      </c>
      <c r="D430" s="2261" t="s">
        <v>1969</v>
      </c>
      <c r="E430" s="620" t="s">
        <v>45</v>
      </c>
      <c r="F430" s="621" t="s">
        <v>1762</v>
      </c>
      <c r="G430" s="1080">
        <v>0</v>
      </c>
      <c r="H430" s="1080"/>
      <c r="I430" s="1080">
        <v>32403</v>
      </c>
      <c r="J430" s="1081"/>
      <c r="K430" s="602">
        <f>L431</f>
        <v>29700</v>
      </c>
      <c r="L430" s="602"/>
      <c r="M430" s="1445"/>
      <c r="N430" s="1445"/>
      <c r="O430" s="1082"/>
      <c r="P430" s="622"/>
    </row>
    <row r="431" spans="1:16" ht="20.399999999999999">
      <c r="A431" s="625"/>
      <c r="B431" s="3294" t="s">
        <v>772</v>
      </c>
      <c r="C431" s="625"/>
      <c r="D431" s="625" t="s">
        <v>1969</v>
      </c>
      <c r="E431" s="626" t="s">
        <v>45</v>
      </c>
      <c r="F431" s="627" t="s">
        <v>3359</v>
      </c>
      <c r="G431" s="1083"/>
      <c r="H431" s="1083">
        <v>0</v>
      </c>
      <c r="I431" s="1083"/>
      <c r="J431" s="1084"/>
      <c r="K431" s="120"/>
      <c r="L431" s="120">
        <f>33000*0.9</f>
        <v>29700</v>
      </c>
      <c r="M431" s="1501" t="s">
        <v>4718</v>
      </c>
      <c r="N431" s="120"/>
      <c r="O431" s="1082"/>
      <c r="P431" s="628"/>
    </row>
    <row r="432" spans="1:16" hidden="1">
      <c r="A432" s="619"/>
      <c r="B432" s="3293" t="s">
        <v>326</v>
      </c>
      <c r="C432" s="619">
        <v>1016</v>
      </c>
      <c r="D432" s="2261" t="s">
        <v>1970</v>
      </c>
      <c r="E432" s="620" t="s">
        <v>1840</v>
      </c>
      <c r="F432" s="621" t="s">
        <v>1841</v>
      </c>
      <c r="G432" s="1088">
        <v>70000</v>
      </c>
      <c r="H432" s="1088"/>
      <c r="I432" s="1088">
        <v>41785.22</v>
      </c>
      <c r="J432" s="1089"/>
      <c r="K432" s="602">
        <f>L433</f>
        <v>52500</v>
      </c>
      <c r="L432" s="602"/>
      <c r="M432" s="1445"/>
      <c r="N432" s="1445"/>
      <c r="O432" s="1082"/>
      <c r="P432" s="622"/>
    </row>
    <row r="433" spans="1:17" hidden="1">
      <c r="A433" s="625"/>
      <c r="B433" s="3294" t="s">
        <v>326</v>
      </c>
      <c r="C433" s="625"/>
      <c r="D433" s="625" t="s">
        <v>1970</v>
      </c>
      <c r="E433" s="626" t="s">
        <v>1840</v>
      </c>
      <c r="F433" s="627" t="s">
        <v>1841</v>
      </c>
      <c r="G433" s="1090"/>
      <c r="H433" s="1090">
        <v>70000</v>
      </c>
      <c r="I433" s="1090"/>
      <c r="J433" s="1091"/>
      <c r="K433" s="120"/>
      <c r="L433" s="120">
        <v>52500</v>
      </c>
      <c r="M433" s="120"/>
      <c r="N433" s="120"/>
      <c r="O433" s="1082"/>
      <c r="P433" s="628"/>
    </row>
    <row r="434" spans="1:17" hidden="1">
      <c r="A434" s="619"/>
      <c r="B434" s="3293" t="s">
        <v>326</v>
      </c>
      <c r="C434" s="619">
        <v>1017</v>
      </c>
      <c r="D434" s="2261" t="s">
        <v>1971</v>
      </c>
      <c r="E434" s="620" t="s">
        <v>1842</v>
      </c>
      <c r="F434" s="621" t="s">
        <v>1843</v>
      </c>
      <c r="G434" s="1088">
        <v>0</v>
      </c>
      <c r="H434" s="1088"/>
      <c r="I434" s="1088"/>
      <c r="J434" s="1089"/>
      <c r="K434" s="602">
        <f>L435</f>
        <v>0</v>
      </c>
      <c r="L434" s="602"/>
      <c r="M434" s="1240"/>
      <c r="N434" s="1240"/>
      <c r="O434" s="1082"/>
      <c r="P434" s="19"/>
      <c r="Q434" s="623"/>
    </row>
    <row r="435" spans="1:17" hidden="1">
      <c r="A435" s="625"/>
      <c r="B435" s="3294" t="s">
        <v>326</v>
      </c>
      <c r="C435" s="625"/>
      <c r="D435" s="625" t="s">
        <v>1971</v>
      </c>
      <c r="E435" s="626" t="s">
        <v>1842</v>
      </c>
      <c r="F435" s="627" t="s">
        <v>1843</v>
      </c>
      <c r="G435" s="1090"/>
      <c r="H435" s="1090"/>
      <c r="I435" s="1090"/>
      <c r="J435" s="1091"/>
      <c r="K435" s="120"/>
      <c r="L435" s="120"/>
      <c r="O435" s="1082"/>
      <c r="P435" s="5"/>
      <c r="Q435" s="623"/>
    </row>
    <row r="436" spans="1:17" hidden="1">
      <c r="A436" s="596"/>
      <c r="B436" s="3293" t="s">
        <v>365</v>
      </c>
      <c r="C436" s="619">
        <v>1018</v>
      </c>
      <c r="D436" s="2261" t="s">
        <v>1972</v>
      </c>
      <c r="E436" s="620" t="s">
        <v>447</v>
      </c>
      <c r="F436" s="621" t="s">
        <v>1734</v>
      </c>
      <c r="G436" s="1080">
        <v>0</v>
      </c>
      <c r="H436" s="1080"/>
      <c r="I436" s="1080">
        <v>1982.21</v>
      </c>
      <c r="J436" s="1081"/>
      <c r="K436" s="602">
        <f>L437</f>
        <v>0</v>
      </c>
      <c r="L436" s="602"/>
      <c r="M436" s="1240"/>
      <c r="N436" s="1240"/>
      <c r="O436" s="1082"/>
    </row>
    <row r="437" spans="1:17" hidden="1">
      <c r="A437" s="603"/>
      <c r="B437" s="3294" t="s">
        <v>365</v>
      </c>
      <c r="C437" s="625"/>
      <c r="D437" s="625" t="s">
        <v>1972</v>
      </c>
      <c r="E437" s="626" t="s">
        <v>447</v>
      </c>
      <c r="F437" s="627"/>
      <c r="G437" s="1083"/>
      <c r="H437" s="1083"/>
      <c r="I437" s="1083"/>
      <c r="J437" s="1084"/>
      <c r="K437" s="120"/>
      <c r="L437" s="120"/>
      <c r="O437" s="1082"/>
    </row>
    <row r="438" spans="1:17" ht="20.399999999999999">
      <c r="A438" s="619"/>
      <c r="B438" s="3289" t="s">
        <v>772</v>
      </c>
      <c r="C438" s="612">
        <v>1030</v>
      </c>
      <c r="D438" s="596" t="s">
        <v>1065</v>
      </c>
      <c r="E438" s="597" t="s">
        <v>1827</v>
      </c>
      <c r="F438" s="598" t="s">
        <v>1828</v>
      </c>
      <c r="G438" s="1080">
        <v>1100</v>
      </c>
      <c r="H438" s="1080"/>
      <c r="I438" s="1080">
        <v>912</v>
      </c>
      <c r="J438" s="1081"/>
      <c r="K438" s="602">
        <f>L439</f>
        <v>1100</v>
      </c>
      <c r="L438" s="602"/>
    </row>
    <row r="439" spans="1:17" ht="20.399999999999999">
      <c r="A439" s="625"/>
      <c r="B439" s="3290" t="s">
        <v>772</v>
      </c>
      <c r="C439" s="603"/>
      <c r="D439" s="603" t="s">
        <v>1065</v>
      </c>
      <c r="E439" s="604" t="s">
        <v>1827</v>
      </c>
      <c r="F439" s="605" t="s">
        <v>1828</v>
      </c>
      <c r="G439" s="1083"/>
      <c r="H439" s="1083">
        <v>1100</v>
      </c>
      <c r="I439" s="1083"/>
      <c r="J439" s="1084"/>
      <c r="K439" s="120"/>
      <c r="L439" s="120">
        <v>1100</v>
      </c>
    </row>
    <row r="440" spans="1:17">
      <c r="G440" s="295"/>
      <c r="K440" s="363">
        <f>SUM(K2:K439)</f>
        <v>66590698.203741163</v>
      </c>
      <c r="L440" s="295">
        <f>SUM(L2:L439)</f>
        <v>66902398.203741156</v>
      </c>
    </row>
    <row r="441" spans="1:17">
      <c r="K441" s="1405" t="e">
        <f>#REF!</f>
        <v>#REF!</v>
      </c>
      <c r="L441" s="14"/>
    </row>
    <row r="442" spans="1:17">
      <c r="K442" s="363" t="e">
        <f>K441-K440</f>
        <v>#REF!</v>
      </c>
      <c r="L442" s="295"/>
    </row>
    <row r="443" spans="1:17">
      <c r="I443" t="s">
        <v>2928</v>
      </c>
      <c r="K443" s="1405">
        <v>90000</v>
      </c>
    </row>
    <row r="444" spans="1:17">
      <c r="K444" s="363" t="e">
        <f>K442-K443</f>
        <v>#REF!</v>
      </c>
    </row>
    <row r="445" spans="1:17">
      <c r="M445" s="135">
        <v>62459838.177757718</v>
      </c>
      <c r="N445" s="135">
        <v>65375574.72018747</v>
      </c>
    </row>
  </sheetData>
  <autoFilter ref="A1:BF442" xr:uid="{99445C3F-59FD-4679-A48C-95B295E1E9A2}">
    <filterColumn colId="1">
      <filters blank="1">
        <filter val="Bāze"/>
      </filters>
    </filterColumn>
  </autoFilter>
  <phoneticPr fontId="83" type="noConversion"/>
  <pageMargins left="0.7" right="0.7" top="0.75" bottom="0.75" header="0.3" footer="0.3"/>
  <pageSetup paperSize="9"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tabColor rgb="FF8E267F"/>
    <pageSetUpPr fitToPage="1"/>
  </sheetPr>
  <dimension ref="A1:Y467"/>
  <sheetViews>
    <sheetView tabSelected="1" topLeftCell="A16" zoomScale="120" zoomScaleNormal="120" zoomScaleSheetLayoutView="150" workbookViewId="0">
      <selection activeCell="A278" sqref="A278"/>
    </sheetView>
  </sheetViews>
  <sheetFormatPr defaultRowHeight="11.4" outlineLevelRow="1" outlineLevelCol="1"/>
  <cols>
    <col min="1" max="1" width="2.625" style="2734" customWidth="1"/>
    <col min="2" max="2" width="3.375" style="572" hidden="1" customWidth="1" outlineLevel="1"/>
    <col min="3" max="3" width="3.75" customWidth="1" collapsed="1"/>
    <col min="4" max="5" width="1.75" customWidth="1"/>
    <col min="6" max="6" width="12" style="14" customWidth="1" outlineLevel="1"/>
    <col min="7" max="7" width="12.75" customWidth="1" outlineLevel="1"/>
    <col min="8" max="8" width="56.875" customWidth="1"/>
    <col min="9" max="9" width="14.375" customWidth="1"/>
    <col min="10" max="10" width="0.625" customWidth="1"/>
    <col min="11" max="11" width="14.875" customWidth="1"/>
    <col min="12" max="12" width="13.375" customWidth="1"/>
    <col min="13" max="13" width="12.75" style="13" customWidth="1"/>
    <col min="14" max="14" width="1" customWidth="1"/>
    <col min="15" max="15" width="12.75" style="13" customWidth="1" outlineLevel="1"/>
    <col min="16" max="16" width="72.625" style="51" customWidth="1"/>
    <col min="17" max="17" width="13.375" style="287" customWidth="1"/>
    <col min="18" max="18" width="15.375" customWidth="1"/>
    <col min="19" max="19" width="21.375" customWidth="1"/>
    <col min="20" max="20" width="13.375" customWidth="1"/>
    <col min="21" max="21" width="11" customWidth="1"/>
  </cols>
  <sheetData>
    <row r="1" spans="7:21" ht="14.4" customHeight="1">
      <c r="M1" s="341"/>
      <c r="O1" s="341"/>
      <c r="R1" s="302"/>
      <c r="S1" s="71"/>
    </row>
    <row r="2" spans="7:21" ht="24.75" customHeight="1">
      <c r="G2" s="392"/>
      <c r="H2" s="346"/>
      <c r="K2" s="1927">
        <v>2025</v>
      </c>
      <c r="L2" s="1927">
        <v>2026</v>
      </c>
      <c r="M2" s="2841" t="s">
        <v>4596</v>
      </c>
      <c r="O2" s="2840" t="s">
        <v>4597</v>
      </c>
      <c r="R2" s="482" t="s">
        <v>2692</v>
      </c>
      <c r="S2" s="1250" t="e">
        <f>#REF!+114822</f>
        <v>#REF!</v>
      </c>
      <c r="T2" s="72">
        <v>4771895.0599999996</v>
      </c>
      <c r="U2" s="18"/>
    </row>
    <row r="3" spans="7:21" ht="15.6" customHeight="1">
      <c r="G3" s="392"/>
      <c r="H3" s="16"/>
      <c r="I3" s="343" t="s">
        <v>982</v>
      </c>
      <c r="K3" s="423">
        <f>BAZE_2026!F42</f>
        <v>44225666.328235291</v>
      </c>
      <c r="L3" s="3262">
        <f>BAZE_2026!G42</f>
        <v>47212315.492941171</v>
      </c>
      <c r="M3" s="301">
        <f>L3-K3</f>
        <v>2986649.16470588</v>
      </c>
      <c r="O3" s="452">
        <f>L3/K3-1</f>
        <v>6.7532033153316018E-2</v>
      </c>
      <c r="P3" s="3263" t="s">
        <v>5324</v>
      </c>
      <c r="Q3" s="1183"/>
      <c r="R3" s="483" t="s">
        <v>1631</v>
      </c>
      <c r="S3" s="399"/>
      <c r="T3" s="72" t="s">
        <v>2832</v>
      </c>
      <c r="U3" s="18"/>
    </row>
    <row r="4" spans="7:21" ht="103.5" customHeight="1">
      <c r="G4" s="392"/>
      <c r="H4" s="16"/>
      <c r="I4" s="343" t="s">
        <v>983</v>
      </c>
      <c r="K4" s="425">
        <f>BAZE_2026!F354</f>
        <v>40662558.856587857</v>
      </c>
      <c r="L4" s="424">
        <f>BAZE_2026!G354</f>
        <v>41221258.668277726</v>
      </c>
      <c r="M4" s="301">
        <f>L4-K4</f>
        <v>558699.81168986857</v>
      </c>
      <c r="O4" s="452">
        <f>L4/K4-1</f>
        <v>1.3739907851356259E-2</v>
      </c>
      <c r="P4" s="3263" t="s">
        <v>5354</v>
      </c>
      <c r="Q4" s="1183"/>
      <c r="R4" s="482" t="s">
        <v>2693</v>
      </c>
      <c r="S4" s="1240"/>
      <c r="T4" s="72"/>
      <c r="U4" s="18"/>
    </row>
    <row r="5" spans="7:21" ht="14.4" customHeight="1">
      <c r="G5" s="392"/>
      <c r="H5" s="396"/>
      <c r="I5" s="396"/>
      <c r="K5" s="426">
        <f>K3-K4</f>
        <v>3563107.4716474339</v>
      </c>
      <c r="L5" s="426">
        <f>L3-L4</f>
        <v>5991056.8246634454</v>
      </c>
      <c r="M5" s="453">
        <f>M3-M4</f>
        <v>2427949.3530160114</v>
      </c>
      <c r="O5" s="452">
        <f>L5/K5-1</f>
        <v>0.68141344944990601</v>
      </c>
      <c r="Q5" s="1184"/>
      <c r="R5" s="1270" t="s">
        <v>2694</v>
      </c>
      <c r="S5" s="1271"/>
      <c r="T5" s="72"/>
      <c r="U5" s="18"/>
    </row>
    <row r="6" spans="7:21" ht="14.4" customHeight="1">
      <c r="G6" s="392"/>
      <c r="H6" s="263"/>
      <c r="I6" s="10"/>
      <c r="L6" s="393"/>
      <c r="P6" s="394"/>
      <c r="Q6" s="1184"/>
      <c r="R6" s="1272" t="s">
        <v>2695</v>
      </c>
      <c r="S6" s="1273">
        <f>SUM(S4:S5)</f>
        <v>0</v>
      </c>
      <c r="T6" s="72"/>
      <c r="U6" s="18"/>
    </row>
    <row r="7" spans="7:21" ht="14.4" customHeight="1">
      <c r="G7" s="392"/>
      <c r="H7" s="10"/>
      <c r="I7" s="740" t="s">
        <v>4801</v>
      </c>
      <c r="J7" s="14"/>
      <c r="K7" s="2602"/>
      <c r="L7" s="2603">
        <f>6712462.97-7279-2193</f>
        <v>6702990.9699999997</v>
      </c>
      <c r="M7" s="3308" t="s">
        <v>5310</v>
      </c>
      <c r="N7" s="14"/>
      <c r="P7" s="13"/>
      <c r="S7" s="308"/>
      <c r="U7" s="18"/>
    </row>
    <row r="8" spans="7:21" ht="14.4" customHeight="1">
      <c r="G8" s="392"/>
      <c r="H8" s="484"/>
      <c r="I8" s="484" t="s">
        <v>1265</v>
      </c>
      <c r="K8" s="259"/>
      <c r="L8" s="427">
        <f>L5+L7</f>
        <v>12694047.794663444</v>
      </c>
      <c r="T8" s="72"/>
      <c r="U8" s="18"/>
    </row>
    <row r="9" spans="7:21" ht="14.4" customHeight="1">
      <c r="G9" s="392"/>
      <c r="I9" s="10"/>
      <c r="L9" s="393"/>
      <c r="R9" s="307"/>
      <c r="S9" s="308"/>
      <c r="T9" s="72" t="s">
        <v>1706</v>
      </c>
      <c r="U9" s="18"/>
    </row>
    <row r="10" spans="7:21" ht="14.4" customHeight="1">
      <c r="G10" s="392"/>
      <c r="I10" s="343" t="s">
        <v>1672</v>
      </c>
      <c r="K10" s="3307" t="s">
        <v>5344</v>
      </c>
      <c r="L10" s="424">
        <f>BAZE_2026!G356</f>
        <v>3907497</v>
      </c>
      <c r="M10" s="287">
        <v>455488.13</v>
      </c>
      <c r="O10" s="13" t="s">
        <v>5059</v>
      </c>
      <c r="S10" s="308"/>
      <c r="T10" s="72"/>
      <c r="U10" s="18"/>
    </row>
    <row r="11" spans="7:21" ht="14.4" customHeight="1">
      <c r="G11" s="392"/>
      <c r="H11" s="397"/>
      <c r="I11" s="397"/>
      <c r="J11" s="72"/>
      <c r="K11" s="398"/>
      <c r="L11" s="427">
        <f>L8-L10</f>
        <v>8786550.7946634442</v>
      </c>
      <c r="N11" s="72"/>
      <c r="O11" s="54"/>
      <c r="S11" s="308"/>
      <c r="T11" s="72"/>
      <c r="U11" s="18"/>
    </row>
    <row r="12" spans="7:21" ht="14.4" customHeight="1">
      <c r="G12" s="392"/>
      <c r="I12" s="10"/>
      <c r="K12" s="576"/>
      <c r="L12" s="393"/>
      <c r="S12" s="308"/>
      <c r="U12" s="18"/>
    </row>
    <row r="13" spans="7:21" ht="14.4" customHeight="1">
      <c r="G13" s="392"/>
      <c r="H13" s="12"/>
      <c r="I13" s="55" t="s">
        <v>1692</v>
      </c>
      <c r="L13" s="424">
        <f>K29</f>
        <v>3320445.1859999998</v>
      </c>
      <c r="S13" s="287"/>
      <c r="T13" s="72"/>
      <c r="U13" s="18"/>
    </row>
    <row r="14" spans="7:21" ht="14.4" customHeight="1">
      <c r="G14" s="392"/>
      <c r="I14" s="55" t="s">
        <v>1643</v>
      </c>
      <c r="L14" s="424">
        <f>K30</f>
        <v>1392130.75141</v>
      </c>
      <c r="M14" s="265"/>
      <c r="O14" s="265"/>
      <c r="S14" s="303"/>
      <c r="U14" s="18"/>
    </row>
    <row r="15" spans="7:21" ht="14.4" customHeight="1">
      <c r="G15" s="392"/>
      <c r="H15" s="400"/>
      <c r="I15" s="400" t="s">
        <v>1240</v>
      </c>
      <c r="K15" s="260"/>
      <c r="L15" s="1123">
        <f>L11-L13-L14</f>
        <v>4073974.8572534444</v>
      </c>
      <c r="M15" s="2760">
        <f>L4*O15</f>
        <v>206106.29334138863</v>
      </c>
      <c r="O15" s="2761">
        <v>5.0000000000000001E-3</v>
      </c>
      <c r="S15" s="287"/>
      <c r="T15" s="72"/>
      <c r="U15" s="18"/>
    </row>
    <row r="16" spans="7:21" ht="14.4" customHeight="1">
      <c r="G16" s="392"/>
      <c r="L16" s="393"/>
      <c r="M16" s="2760" t="s">
        <v>4965</v>
      </c>
      <c r="O16" s="2760"/>
      <c r="S16" s="287"/>
      <c r="U16" s="18"/>
    </row>
    <row r="17" spans="1:21" ht="14.4" customHeight="1">
      <c r="G17" s="392"/>
      <c r="I17" s="55" t="s">
        <v>1645</v>
      </c>
      <c r="L17" s="393"/>
      <c r="P17" s="17"/>
      <c r="S17" s="287"/>
      <c r="U17" s="18"/>
    </row>
    <row r="18" spans="1:21" ht="14.4" customHeight="1">
      <c r="G18" s="392"/>
      <c r="I18" s="481" t="s">
        <v>1673</v>
      </c>
      <c r="J18" s="95"/>
      <c r="K18" s="95"/>
      <c r="L18" s="1124">
        <f>K32</f>
        <v>3923667.7333333334</v>
      </c>
      <c r="M18" s="3280" t="s">
        <v>5325</v>
      </c>
      <c r="N18" s="3281"/>
      <c r="O18" s="3280"/>
      <c r="P18" s="3282"/>
      <c r="S18" s="13"/>
      <c r="U18" s="18"/>
    </row>
    <row r="19" spans="1:21" ht="14.4" customHeight="1">
      <c r="G19" s="392"/>
      <c r="H19" s="304"/>
      <c r="I19" s="441" t="s">
        <v>1676</v>
      </c>
      <c r="J19" s="95"/>
      <c r="K19" s="95"/>
      <c r="L19" s="1125">
        <f>L15-L18</f>
        <v>150307.12392011099</v>
      </c>
      <c r="M19" s="2836"/>
      <c r="N19" s="95"/>
      <c r="O19" s="485"/>
      <c r="P19" s="17"/>
      <c r="S19" s="13"/>
      <c r="U19" s="18"/>
    </row>
    <row r="20" spans="1:21" ht="14.4" customHeight="1">
      <c r="G20" s="18"/>
      <c r="H20" s="304"/>
      <c r="I20" s="481"/>
      <c r="J20" s="95"/>
      <c r="K20" s="95"/>
      <c r="L20" s="480"/>
      <c r="M20" s="2836"/>
      <c r="N20" s="95"/>
      <c r="O20" s="265"/>
      <c r="P20" s="17"/>
      <c r="S20" s="13"/>
      <c r="U20" s="18"/>
    </row>
    <row r="21" spans="1:21" ht="14.4" customHeight="1">
      <c r="G21" s="18"/>
      <c r="H21" s="304"/>
      <c r="I21" s="481"/>
      <c r="J21" s="95"/>
      <c r="K21" s="95"/>
      <c r="L21" s="480"/>
      <c r="M21" s="2836"/>
      <c r="N21" s="95"/>
      <c r="O21" s="265"/>
      <c r="P21" s="17"/>
      <c r="S21" s="13"/>
      <c r="U21" s="18"/>
    </row>
    <row r="22" spans="1:21" ht="12" customHeight="1">
      <c r="G22" s="18"/>
      <c r="I22" s="55"/>
      <c r="L22" s="424"/>
      <c r="O22" s="265"/>
      <c r="P22" s="17"/>
      <c r="S22" s="13"/>
      <c r="U22" s="18"/>
    </row>
    <row r="23" spans="1:21" hidden="1">
      <c r="F23" s="295"/>
      <c r="I23" s="55" t="s">
        <v>1275</v>
      </c>
      <c r="L23" s="424">
        <f>K31-K32</f>
        <v>3923750.4400000004</v>
      </c>
      <c r="M23" s="17"/>
      <c r="O23" s="17"/>
      <c r="P23"/>
      <c r="Q23"/>
      <c r="R23" s="13"/>
      <c r="T23" s="18"/>
    </row>
    <row r="24" spans="1:21" hidden="1">
      <c r="G24" s="18"/>
      <c r="I24" s="55"/>
      <c r="L24" s="424"/>
      <c r="M24" s="265"/>
      <c r="O24" s="265"/>
      <c r="P24" s="17"/>
      <c r="Q24"/>
      <c r="S24" s="13"/>
      <c r="U24" s="18"/>
    </row>
    <row r="25" spans="1:21" ht="12" hidden="1">
      <c r="H25" s="401"/>
      <c r="I25" s="401" t="s">
        <v>1632</v>
      </c>
      <c r="K25" s="299"/>
      <c r="L25" s="486">
        <f>L15-L18-L23</f>
        <v>-3773443.3160798894</v>
      </c>
      <c r="Q25"/>
      <c r="S25" s="13"/>
      <c r="T25" s="72"/>
      <c r="U25" s="18"/>
    </row>
    <row r="26" spans="1:21" hidden="1">
      <c r="L26" s="13"/>
      <c r="Q26"/>
    </row>
    <row r="27" spans="1:21" hidden="1">
      <c r="L27" s="13"/>
      <c r="Q27"/>
    </row>
    <row r="28" spans="1:21" ht="12" customHeight="1" collapsed="1">
      <c r="A28" s="2735"/>
      <c r="C28" s="470"/>
      <c r="D28" s="471"/>
      <c r="E28" s="471"/>
      <c r="F28" s="1382"/>
      <c r="G28" s="471"/>
      <c r="H28" s="1126"/>
      <c r="I28" s="1247" t="s">
        <v>963</v>
      </c>
      <c r="J28" s="1248"/>
      <c r="K28" s="298" t="s">
        <v>329</v>
      </c>
      <c r="L28" s="298" t="s">
        <v>962</v>
      </c>
      <c r="M28" s="338" t="s">
        <v>712</v>
      </c>
      <c r="N28" s="1248"/>
      <c r="O28" s="51"/>
    </row>
    <row r="29" spans="1:21" ht="14.4" customHeight="1">
      <c r="A29" s="2735"/>
      <c r="C29" s="472"/>
      <c r="D29" s="8"/>
      <c r="E29" s="8"/>
      <c r="G29" s="8"/>
      <c r="H29" s="435" t="s">
        <v>1644</v>
      </c>
      <c r="I29" s="430">
        <f>SUM(K29:M29)</f>
        <v>24902312.61554262</v>
      </c>
      <c r="K29" s="334">
        <f>K121</f>
        <v>3320445.1859999998</v>
      </c>
      <c r="L29" s="334">
        <f>L121</f>
        <v>11274865.880542617</v>
      </c>
      <c r="M29" s="334">
        <f>M121</f>
        <v>10307001.549000002</v>
      </c>
      <c r="O29" s="51"/>
    </row>
    <row r="30" spans="1:21" ht="14.4" customHeight="1">
      <c r="A30" s="2735"/>
      <c r="C30" s="472"/>
      <c r="D30" s="8"/>
      <c r="E30" s="8"/>
      <c r="G30" s="8"/>
      <c r="H30" s="435" t="s">
        <v>2827</v>
      </c>
      <c r="I30" s="430">
        <f>SUM(K30:M30)</f>
        <v>1422550.75141</v>
      </c>
      <c r="K30" s="334">
        <f>K200</f>
        <v>1392130.75141</v>
      </c>
      <c r="L30" s="334">
        <f>L200</f>
        <v>30420</v>
      </c>
      <c r="M30" s="334">
        <f>M200</f>
        <v>0</v>
      </c>
      <c r="O30" s="51"/>
    </row>
    <row r="31" spans="1:21" ht="14.4" customHeight="1">
      <c r="A31" s="2735"/>
      <c r="C31" s="472"/>
      <c r="D31" s="8"/>
      <c r="E31" s="8"/>
      <c r="G31" s="8"/>
      <c r="H31" s="435" t="s">
        <v>1645</v>
      </c>
      <c r="I31" s="430">
        <f>SUM(K31:M31)</f>
        <v>10947418.173333334</v>
      </c>
      <c r="K31" s="334">
        <f>K393</f>
        <v>7847418.1733333338</v>
      </c>
      <c r="L31" s="334">
        <f>L393</f>
        <v>3100000</v>
      </c>
      <c r="M31" s="334">
        <f>M393</f>
        <v>0</v>
      </c>
      <c r="O31" s="51"/>
    </row>
    <row r="32" spans="1:21" ht="14.4" customHeight="1">
      <c r="A32" s="2735"/>
      <c r="C32" s="472"/>
      <c r="D32" s="8"/>
      <c r="E32" s="8"/>
      <c r="G32" s="8"/>
      <c r="H32" s="473" t="s">
        <v>1673</v>
      </c>
      <c r="I32" s="474">
        <f>I396</f>
        <v>7023667.7333333334</v>
      </c>
      <c r="J32" s="475"/>
      <c r="K32" s="476">
        <f t="shared" ref="K32:M33" si="0">K396</f>
        <v>3923667.7333333334</v>
      </c>
      <c r="L32" s="474">
        <f t="shared" si="0"/>
        <v>3100000</v>
      </c>
      <c r="M32" s="474">
        <f t="shared" si="0"/>
        <v>0</v>
      </c>
      <c r="N32" s="475"/>
      <c r="O32" s="51"/>
    </row>
    <row r="33" spans="1:23" ht="14.4" customHeight="1">
      <c r="A33" s="2735"/>
      <c r="C33" s="472"/>
      <c r="D33" s="8"/>
      <c r="E33" s="8"/>
      <c r="G33" s="8"/>
      <c r="H33" s="473" t="s">
        <v>2863</v>
      </c>
      <c r="I33" s="474">
        <f>I397</f>
        <v>3876887.44</v>
      </c>
      <c r="J33" s="475"/>
      <c r="K33" s="476">
        <f t="shared" si="0"/>
        <v>3876887.44</v>
      </c>
      <c r="L33" s="474">
        <f t="shared" si="0"/>
        <v>0</v>
      </c>
      <c r="M33" s="474">
        <f t="shared" si="0"/>
        <v>0</v>
      </c>
      <c r="N33" s="475"/>
      <c r="O33" s="51"/>
    </row>
    <row r="34" spans="1:23" ht="14.4" customHeight="1">
      <c r="A34" s="2735"/>
      <c r="C34" s="472"/>
      <c r="D34" s="8"/>
      <c r="E34" s="8"/>
      <c r="G34" s="8"/>
      <c r="H34" s="435" t="s">
        <v>1674</v>
      </c>
      <c r="I34" s="436">
        <f>SUM(I29:I31)</f>
        <v>37272281.540285952</v>
      </c>
      <c r="J34" s="10"/>
      <c r="K34" s="437">
        <f>SUM(K29:K31)</f>
        <v>12559994.110743333</v>
      </c>
      <c r="L34" s="437">
        <f>SUM(L29:L31)</f>
        <v>14405285.880542617</v>
      </c>
      <c r="M34" s="437">
        <f>SUM(M29:M31)</f>
        <v>10307001.549000002</v>
      </c>
      <c r="N34" s="10"/>
      <c r="O34" s="51"/>
    </row>
    <row r="35" spans="1:23" ht="14.4" customHeight="1">
      <c r="A35" s="2735"/>
      <c r="C35" s="432"/>
      <c r="D35" s="433"/>
      <c r="E35" s="433"/>
      <c r="F35" s="1383"/>
      <c r="G35" s="433"/>
      <c r="H35" s="434" t="s">
        <v>1646</v>
      </c>
      <c r="I35" s="431">
        <f>SUM(K35:M35)</f>
        <v>0</v>
      </c>
      <c r="J35" s="250"/>
      <c r="K35" s="429">
        <f>K466</f>
        <v>0</v>
      </c>
      <c r="L35" s="429">
        <f>L466</f>
        <v>0</v>
      </c>
      <c r="M35" s="429">
        <f>M466</f>
        <v>0</v>
      </c>
      <c r="N35" s="250"/>
      <c r="O35" s="51"/>
    </row>
    <row r="36" spans="1:23" ht="14.4" customHeight="1">
      <c r="H36" s="477"/>
      <c r="I36" s="478"/>
      <c r="J36" s="250"/>
      <c r="K36" s="479"/>
      <c r="L36" s="479"/>
      <c r="M36" s="479"/>
      <c r="N36" s="250"/>
      <c r="O36" s="479"/>
    </row>
    <row r="37" spans="1:23" ht="14.4" customHeight="1">
      <c r="D37" s="428"/>
      <c r="E37" s="428"/>
      <c r="F37" s="1384" t="s">
        <v>2828</v>
      </c>
      <c r="G37" s="428"/>
    </row>
    <row r="38" spans="1:23" ht="14.4" customHeight="1">
      <c r="B38" s="3553"/>
      <c r="C38" s="3538" t="s">
        <v>711</v>
      </c>
      <c r="D38" s="3538" t="s">
        <v>516</v>
      </c>
      <c r="E38" s="3538" t="s">
        <v>517</v>
      </c>
      <c r="F38" s="3538" t="s">
        <v>1261</v>
      </c>
      <c r="G38" s="3538" t="s">
        <v>1241</v>
      </c>
      <c r="H38" s="3538" t="s">
        <v>1277</v>
      </c>
      <c r="I38" s="3538" t="s">
        <v>963</v>
      </c>
      <c r="J38" s="271"/>
      <c r="K38" s="3555" t="s">
        <v>1250</v>
      </c>
      <c r="L38" s="3555"/>
      <c r="M38" s="3555"/>
      <c r="N38" s="271"/>
      <c r="O38" s="3551" t="s">
        <v>5030</v>
      </c>
    </row>
    <row r="39" spans="1:23" s="12" customFormat="1" ht="36" customHeight="1">
      <c r="A39" s="2736"/>
      <c r="B39" s="3553"/>
      <c r="C39" s="3538"/>
      <c r="D39" s="3538"/>
      <c r="E39" s="3538"/>
      <c r="F39" s="3538"/>
      <c r="G39" s="3538"/>
      <c r="H39" s="3538"/>
      <c r="I39" s="3538"/>
      <c r="J39" s="271"/>
      <c r="K39" s="270" t="s">
        <v>329</v>
      </c>
      <c r="L39" s="298" t="s">
        <v>962</v>
      </c>
      <c r="M39" s="342" t="s">
        <v>712</v>
      </c>
      <c r="N39" s="271"/>
      <c r="O39" s="3552"/>
      <c r="P39" s="51"/>
      <c r="Q39" s="287"/>
      <c r="R39"/>
      <c r="S39"/>
      <c r="T39"/>
      <c r="U39"/>
      <c r="V39"/>
      <c r="W39"/>
    </row>
    <row r="40" spans="1:23" s="12" customFormat="1" ht="15" customHeight="1">
      <c r="A40" s="2736"/>
      <c r="B40" s="263" t="s">
        <v>1666</v>
      </c>
      <c r="C40" s="1140">
        <v>1</v>
      </c>
      <c r="D40" s="277"/>
      <c r="E40" s="277"/>
      <c r="F40" s="1385" t="s">
        <v>4763</v>
      </c>
      <c r="G40" s="261" t="s">
        <v>1872</v>
      </c>
      <c r="H40" s="293" t="s">
        <v>2479</v>
      </c>
      <c r="I40" s="278">
        <f t="shared" ref="I40:I57" si="1">SUM(K40:M40)</f>
        <v>9257</v>
      </c>
      <c r="J40" s="1326"/>
      <c r="K40" s="3267">
        <v>9257</v>
      </c>
      <c r="L40" s="3047"/>
      <c r="M40" s="3060">
        <v>0</v>
      </c>
      <c r="N40" s="1326"/>
      <c r="O40" s="2846"/>
      <c r="P40" s="7" t="s">
        <v>4764</v>
      </c>
      <c r="Q40" s="1185"/>
      <c r="S40" s="280" t="s">
        <v>616</v>
      </c>
      <c r="T40" s="280"/>
      <c r="U40" s="18"/>
    </row>
    <row r="41" spans="1:23" ht="16.95" customHeight="1">
      <c r="A41" s="2737"/>
      <c r="B41" s="16"/>
      <c r="C41" s="261">
        <v>2</v>
      </c>
      <c r="D41" s="262"/>
      <c r="E41" s="262"/>
      <c r="F41" s="1389" t="s">
        <v>2730</v>
      </c>
      <c r="G41" s="261" t="s">
        <v>806</v>
      </c>
      <c r="H41" s="3213" t="s">
        <v>5243</v>
      </c>
      <c r="I41" s="3094">
        <f t="shared" si="1"/>
        <v>30000</v>
      </c>
      <c r="J41" s="1341"/>
      <c r="K41" s="3309">
        <f>50000-20000</f>
        <v>30000</v>
      </c>
      <c r="L41" s="3046"/>
      <c r="M41" s="3046"/>
      <c r="N41" s="1341"/>
      <c r="O41" s="2847"/>
      <c r="P41" s="7" t="s">
        <v>4673</v>
      </c>
      <c r="Q41"/>
    </row>
    <row r="42" spans="1:23" s="12" customFormat="1" ht="22.8">
      <c r="A42" s="2736"/>
      <c r="B42" s="263" t="s">
        <v>775</v>
      </c>
      <c r="C42" s="1140">
        <v>3</v>
      </c>
      <c r="D42" s="277"/>
      <c r="E42" s="277"/>
      <c r="F42" s="1385" t="s">
        <v>709</v>
      </c>
      <c r="G42" s="261" t="s">
        <v>709</v>
      </c>
      <c r="H42" s="293" t="s">
        <v>1253</v>
      </c>
      <c r="I42" s="278">
        <f t="shared" si="1"/>
        <v>10622</v>
      </c>
      <c r="J42" s="1326"/>
      <c r="K42" s="3045">
        <v>0</v>
      </c>
      <c r="L42" s="3045">
        <v>10622</v>
      </c>
      <c r="M42" s="3060">
        <v>0</v>
      </c>
      <c r="N42" s="1326"/>
      <c r="O42" s="2846"/>
      <c r="P42" s="7" t="s">
        <v>2748</v>
      </c>
      <c r="Q42" s="1185"/>
      <c r="S42" s="280" t="s">
        <v>616</v>
      </c>
      <c r="T42" s="280"/>
      <c r="U42" s="18"/>
    </row>
    <row r="43" spans="1:23" s="16" customFormat="1" ht="18.600000000000001" customHeight="1">
      <c r="A43" s="2740"/>
      <c r="B43" s="16" t="s">
        <v>1667</v>
      </c>
      <c r="C43" s="261">
        <v>4</v>
      </c>
      <c r="D43" s="272"/>
      <c r="E43" s="290"/>
      <c r="F43" s="2843" t="s">
        <v>5033</v>
      </c>
      <c r="G43" s="2583" t="s">
        <v>1633</v>
      </c>
      <c r="H43" s="2580" t="s">
        <v>4614</v>
      </c>
      <c r="I43" s="1328">
        <f>SUM(K43:M43)</f>
        <v>41250</v>
      </c>
      <c r="J43" s="291"/>
      <c r="K43" s="3267">
        <v>41250</v>
      </c>
      <c r="L43" s="3047">
        <v>0</v>
      </c>
      <c r="M43" s="3045"/>
      <c r="N43" s="291"/>
      <c r="O43" s="2848">
        <v>858258.45</v>
      </c>
      <c r="P43" s="7" t="s">
        <v>5084</v>
      </c>
      <c r="Q43" s="1186"/>
      <c r="R43" s="263"/>
      <c r="S43" s="263"/>
      <c r="T43" s="263"/>
      <c r="U43" s="263"/>
      <c r="V43" s="263"/>
      <c r="W43" s="263"/>
    </row>
    <row r="44" spans="1:23" ht="34.200000000000003">
      <c r="B44" s="16" t="s">
        <v>1666</v>
      </c>
      <c r="C44" s="1140">
        <v>5</v>
      </c>
      <c r="D44" s="261"/>
      <c r="E44" s="261"/>
      <c r="F44" s="1386" t="s">
        <v>310</v>
      </c>
      <c r="G44" s="261" t="s">
        <v>1633</v>
      </c>
      <c r="H44" s="279" t="s">
        <v>4531</v>
      </c>
      <c r="I44" s="1328">
        <f t="shared" si="1"/>
        <v>18000</v>
      </c>
      <c r="J44" s="291"/>
      <c r="K44" s="3267">
        <v>6000</v>
      </c>
      <c r="L44" s="3047">
        <v>12000</v>
      </c>
      <c r="M44" s="3047"/>
      <c r="N44" s="291"/>
      <c r="O44" s="2849"/>
      <c r="P44" s="1139" t="s">
        <v>2696</v>
      </c>
    </row>
    <row r="45" spans="1:23" ht="65.400000000000006" customHeight="1">
      <c r="B45" s="16" t="s">
        <v>775</v>
      </c>
      <c r="C45" s="261">
        <v>6</v>
      </c>
      <c r="D45" s="261"/>
      <c r="E45" s="261"/>
      <c r="F45" s="1386" t="s">
        <v>310</v>
      </c>
      <c r="G45" s="261" t="s">
        <v>1633</v>
      </c>
      <c r="H45" s="279" t="s">
        <v>3580</v>
      </c>
      <c r="I45" s="1328">
        <f t="shared" si="1"/>
        <v>3050</v>
      </c>
      <c r="J45" s="291"/>
      <c r="K45" s="3267">
        <f>570+2480</f>
        <v>3050</v>
      </c>
      <c r="L45" s="3047"/>
      <c r="M45" s="3047"/>
      <c r="N45" s="291"/>
      <c r="O45" s="2849"/>
      <c r="P45" s="3005" t="s">
        <v>4947</v>
      </c>
    </row>
    <row r="46" spans="1:23" ht="58.2" customHeight="1">
      <c r="B46" s="16" t="s">
        <v>775</v>
      </c>
      <c r="C46" s="1140">
        <v>7</v>
      </c>
      <c r="D46" s="261"/>
      <c r="E46" s="261"/>
      <c r="F46" s="1386" t="s">
        <v>310</v>
      </c>
      <c r="G46" s="261" t="s">
        <v>1633</v>
      </c>
      <c r="H46" s="279" t="s">
        <v>3581</v>
      </c>
      <c r="I46" s="1328">
        <f t="shared" si="1"/>
        <v>1525</v>
      </c>
      <c r="J46" s="291"/>
      <c r="K46" s="3267">
        <f>285+1240</f>
        <v>1525</v>
      </c>
      <c r="L46" s="3047"/>
      <c r="M46" s="3047"/>
      <c r="N46" s="291"/>
      <c r="O46" s="2849"/>
      <c r="P46" s="3005" t="s">
        <v>4947</v>
      </c>
    </row>
    <row r="47" spans="1:23">
      <c r="B47" s="16" t="s">
        <v>720</v>
      </c>
      <c r="C47" s="261">
        <v>8</v>
      </c>
      <c r="D47" s="261"/>
      <c r="E47" s="261"/>
      <c r="F47" s="1386" t="s">
        <v>310</v>
      </c>
      <c r="G47" s="261" t="s">
        <v>1633</v>
      </c>
      <c r="H47" s="262" t="s">
        <v>529</v>
      </c>
      <c r="I47" s="1328">
        <f t="shared" si="1"/>
        <v>1300</v>
      </c>
      <c r="J47" s="291"/>
      <c r="K47" s="3267">
        <v>300</v>
      </c>
      <c r="L47" s="3047">
        <v>1000</v>
      </c>
      <c r="M47" s="3047"/>
      <c r="N47" s="291"/>
      <c r="O47" s="2849"/>
      <c r="P47" s="1139"/>
    </row>
    <row r="48" spans="1:23" ht="14.4" customHeight="1">
      <c r="B48" s="16" t="s">
        <v>1667</v>
      </c>
      <c r="C48" s="1140">
        <v>9</v>
      </c>
      <c r="D48" s="261"/>
      <c r="E48" s="261"/>
      <c r="F48" s="1386" t="s">
        <v>310</v>
      </c>
      <c r="G48" s="2583" t="s">
        <v>1633</v>
      </c>
      <c r="H48" s="279" t="s">
        <v>3610</v>
      </c>
      <c r="I48" s="1328">
        <f t="shared" ref="I48:I50" si="2">SUM(K48:M48)</f>
        <v>4000</v>
      </c>
      <c r="J48" s="291"/>
      <c r="K48" s="3267">
        <v>4000</v>
      </c>
      <c r="L48" s="3047"/>
      <c r="M48" s="3047"/>
      <c r="N48" s="291"/>
      <c r="O48" s="2849"/>
      <c r="P48" s="1139" t="s">
        <v>3611</v>
      </c>
    </row>
    <row r="49" spans="1:23" s="16" customFormat="1" ht="23.4">
      <c r="A49" s="2738"/>
      <c r="B49" s="16" t="s">
        <v>1667</v>
      </c>
      <c r="C49" s="261">
        <v>10</v>
      </c>
      <c r="D49" s="272"/>
      <c r="E49" s="290"/>
      <c r="F49" s="1385" t="s">
        <v>1985</v>
      </c>
      <c r="G49" s="289" t="s">
        <v>1633</v>
      </c>
      <c r="H49" s="2580" t="s">
        <v>4608</v>
      </c>
      <c r="I49" s="1328">
        <f t="shared" si="2"/>
        <v>1435672.9972426188</v>
      </c>
      <c r="J49" s="291"/>
      <c r="K49" s="2907">
        <f>363090.93-M49</f>
        <v>43090.929999999993</v>
      </c>
      <c r="L49" s="3047">
        <v>1072582.0672426189</v>
      </c>
      <c r="M49" s="2907">
        <v>320000</v>
      </c>
      <c r="N49" s="291"/>
      <c r="O49" s="2849">
        <v>2847772</v>
      </c>
      <c r="P49" s="1139" t="s">
        <v>4609</v>
      </c>
      <c r="Q49" s="1186"/>
      <c r="R49" s="263"/>
      <c r="S49" s="263"/>
      <c r="T49" s="263"/>
      <c r="U49" s="263"/>
      <c r="V49" s="263"/>
      <c r="W49" s="263"/>
    </row>
    <row r="50" spans="1:23" s="16" customFormat="1" ht="20.399999999999999">
      <c r="A50" s="2738"/>
      <c r="B50" s="16" t="s">
        <v>1667</v>
      </c>
      <c r="C50" s="1140">
        <v>11</v>
      </c>
      <c r="D50" s="272"/>
      <c r="E50" s="290"/>
      <c r="F50" s="2755" t="s">
        <v>4610</v>
      </c>
      <c r="G50" s="2638" t="s">
        <v>1633</v>
      </c>
      <c r="H50" s="2639" t="s">
        <v>4611</v>
      </c>
      <c r="I50" s="2893">
        <f t="shared" si="2"/>
        <v>980225</v>
      </c>
      <c r="J50" s="291"/>
      <c r="K50" s="3047">
        <v>147033.75</v>
      </c>
      <c r="L50" s="3047">
        <v>0</v>
      </c>
      <c r="M50" s="3047">
        <v>833191.25</v>
      </c>
      <c r="N50" s="291"/>
      <c r="O50" s="2849">
        <v>1782228</v>
      </c>
      <c r="P50" s="1139" t="s">
        <v>5035</v>
      </c>
      <c r="Q50" s="1186"/>
      <c r="R50" s="263"/>
      <c r="S50" s="263"/>
      <c r="T50" s="263"/>
      <c r="U50" s="263"/>
      <c r="V50" s="263"/>
      <c r="W50" s="263"/>
    </row>
    <row r="51" spans="1:23" ht="39" customHeight="1">
      <c r="B51" s="16" t="s">
        <v>1667</v>
      </c>
      <c r="C51" s="261">
        <v>12</v>
      </c>
      <c r="D51" s="261"/>
      <c r="E51" s="261"/>
      <c r="F51" s="1385" t="s">
        <v>2673</v>
      </c>
      <c r="G51" s="261" t="s">
        <v>1633</v>
      </c>
      <c r="H51" s="279" t="s">
        <v>4599</v>
      </c>
      <c r="I51" s="1328">
        <f t="shared" si="1"/>
        <v>660558.49</v>
      </c>
      <c r="J51" s="291"/>
      <c r="K51" s="3045">
        <v>269578.48999999993</v>
      </c>
      <c r="L51" s="3047">
        <v>390980</v>
      </c>
      <c r="M51" s="3047"/>
      <c r="N51" s="291"/>
      <c r="O51" s="2849">
        <v>707692.95</v>
      </c>
      <c r="P51" s="1139"/>
    </row>
    <row r="52" spans="1:23" ht="38.4" customHeight="1">
      <c r="B52" s="16" t="s">
        <v>1667</v>
      </c>
      <c r="C52" s="1140">
        <v>13</v>
      </c>
      <c r="D52" s="261"/>
      <c r="E52" s="261"/>
      <c r="F52" s="1386" t="s">
        <v>2857</v>
      </c>
      <c r="G52" s="261" t="s">
        <v>1633</v>
      </c>
      <c r="H52" s="2580" t="s">
        <v>4605</v>
      </c>
      <c r="I52" s="1328">
        <f t="shared" ref="I52:I53" si="3">SUM(K52:M52)</f>
        <v>907436.40000000014</v>
      </c>
      <c r="J52" s="291"/>
      <c r="K52" s="3045">
        <v>28362</v>
      </c>
      <c r="L52" s="3047">
        <v>638646</v>
      </c>
      <c r="M52" s="3047">
        <v>240428.40000000014</v>
      </c>
      <c r="N52" s="291"/>
      <c r="O52" s="2849">
        <v>907436.40000000014</v>
      </c>
      <c r="P52" s="1139" t="s">
        <v>2697</v>
      </c>
    </row>
    <row r="53" spans="1:23" ht="29.4" customHeight="1">
      <c r="B53" s="16" t="s">
        <v>1667</v>
      </c>
      <c r="C53" s="261">
        <v>14</v>
      </c>
      <c r="D53" s="261"/>
      <c r="E53" s="261"/>
      <c r="F53" s="2582" t="s">
        <v>4606</v>
      </c>
      <c r="G53" s="2583" t="s">
        <v>1633</v>
      </c>
      <c r="H53" s="2580" t="s">
        <v>4607</v>
      </c>
      <c r="I53" s="1328">
        <f t="shared" si="3"/>
        <v>363945.29000000004</v>
      </c>
      <c r="J53" s="291"/>
      <c r="K53" s="3045">
        <v>80217.820000000065</v>
      </c>
      <c r="L53" s="3047">
        <v>283727.46999999997</v>
      </c>
      <c r="M53" s="3047"/>
      <c r="N53" s="291"/>
      <c r="O53" s="2849">
        <v>363945.29000000004</v>
      </c>
      <c r="P53" s="1139"/>
    </row>
    <row r="54" spans="1:23" ht="17.399999999999999" customHeight="1">
      <c r="B54" s="16" t="s">
        <v>775</v>
      </c>
      <c r="C54" s="1140">
        <v>15</v>
      </c>
      <c r="D54" s="261"/>
      <c r="E54" s="261"/>
      <c r="F54" s="2581" t="s">
        <v>2964</v>
      </c>
      <c r="G54" s="2579" t="s">
        <v>1633</v>
      </c>
      <c r="H54" s="2580" t="s">
        <v>4598</v>
      </c>
      <c r="I54" s="1328">
        <f t="shared" si="1"/>
        <v>404972</v>
      </c>
      <c r="J54" s="291"/>
      <c r="K54" s="3045">
        <f>404972-L54-M54</f>
        <v>328847</v>
      </c>
      <c r="L54" s="3047">
        <v>76125</v>
      </c>
      <c r="M54" s="3047"/>
      <c r="N54" s="291"/>
      <c r="O54" s="2849">
        <v>584127.92000000004</v>
      </c>
      <c r="P54" s="1139" t="s">
        <v>4633</v>
      </c>
    </row>
    <row r="55" spans="1:23" ht="17.399999999999999" customHeight="1">
      <c r="B55" s="16" t="s">
        <v>775</v>
      </c>
      <c r="C55" s="261">
        <v>16</v>
      </c>
      <c r="D55" s="261"/>
      <c r="E55" s="261"/>
      <c r="F55" s="2581" t="s">
        <v>3254</v>
      </c>
      <c r="G55" s="2579" t="s">
        <v>1633</v>
      </c>
      <c r="H55" s="2580" t="s">
        <v>4600</v>
      </c>
      <c r="I55" s="1328">
        <f t="shared" si="1"/>
        <v>48400.14</v>
      </c>
      <c r="J55" s="291"/>
      <c r="K55" s="3267">
        <v>22711</v>
      </c>
      <c r="L55" s="3047">
        <v>25689.14</v>
      </c>
      <c r="M55" s="3047"/>
      <c r="N55" s="291"/>
      <c r="O55" s="2850">
        <v>48400</v>
      </c>
      <c r="P55" s="1139"/>
    </row>
    <row r="56" spans="1:23" ht="24" customHeight="1">
      <c r="B56" s="16" t="s">
        <v>1667</v>
      </c>
      <c r="C56" s="1140">
        <v>17</v>
      </c>
      <c r="D56" s="261"/>
      <c r="E56" s="261"/>
      <c r="F56" s="2581" t="s">
        <v>3255</v>
      </c>
      <c r="G56" s="2579" t="s">
        <v>1633</v>
      </c>
      <c r="H56" s="2580" t="s">
        <v>4601</v>
      </c>
      <c r="I56" s="2845">
        <f t="shared" si="1"/>
        <v>0</v>
      </c>
      <c r="J56" s="291"/>
      <c r="K56" s="3045">
        <v>0</v>
      </c>
      <c r="L56" s="3047">
        <v>0</v>
      </c>
      <c r="M56" s="3047">
        <v>0</v>
      </c>
      <c r="N56" s="291"/>
      <c r="O56" s="2849">
        <v>4997.3</v>
      </c>
      <c r="P56" s="2454" t="s">
        <v>5164</v>
      </c>
    </row>
    <row r="57" spans="1:23" ht="39" customHeight="1" thickBot="1">
      <c r="B57" s="16" t="s">
        <v>775</v>
      </c>
      <c r="C57" s="261">
        <v>18</v>
      </c>
      <c r="D57" s="261"/>
      <c r="E57" s="261"/>
      <c r="F57" s="2581" t="s">
        <v>3271</v>
      </c>
      <c r="G57" s="2579" t="s">
        <v>1633</v>
      </c>
      <c r="H57" s="2580" t="s">
        <v>4602</v>
      </c>
      <c r="I57" s="2845">
        <f t="shared" si="1"/>
        <v>0</v>
      </c>
      <c r="J57" s="291"/>
      <c r="K57" s="3045">
        <v>0</v>
      </c>
      <c r="L57" s="3047">
        <v>0</v>
      </c>
      <c r="M57" s="3047">
        <v>0</v>
      </c>
      <c r="N57" s="291"/>
      <c r="O57" s="2849">
        <v>10000</v>
      </c>
      <c r="P57" s="2454" t="s">
        <v>5165</v>
      </c>
    </row>
    <row r="58" spans="1:23" s="16" customFormat="1" ht="23.4">
      <c r="A58" s="2738"/>
      <c r="B58" s="16" t="s">
        <v>1667</v>
      </c>
      <c r="C58" s="1140">
        <v>19</v>
      </c>
      <c r="D58" s="272"/>
      <c r="E58" s="2754"/>
      <c r="F58" s="2756" t="s">
        <v>1634</v>
      </c>
      <c r="G58" s="738" t="s">
        <v>1633</v>
      </c>
      <c r="H58" s="2643" t="s">
        <v>2698</v>
      </c>
      <c r="I58" s="3003">
        <f>SUM(K58:M58)</f>
        <v>788012.49</v>
      </c>
      <c r="J58" s="2644"/>
      <c r="K58" s="2906">
        <f>850912.49-L58-L59</f>
        <v>678719.49</v>
      </c>
      <c r="L58" s="2906">
        <f>172193-L59</f>
        <v>109293</v>
      </c>
      <c r="M58" s="3047">
        <v>0</v>
      </c>
      <c r="N58" s="291"/>
      <c r="O58" s="3549">
        <v>986255</v>
      </c>
      <c r="P58" s="14"/>
      <c r="Q58" s="1186"/>
      <c r="R58" s="263"/>
      <c r="S58" s="263"/>
      <c r="T58" s="263"/>
      <c r="U58" s="263"/>
      <c r="V58" s="263"/>
      <c r="W58" s="263"/>
    </row>
    <row r="59" spans="1:23" s="16" customFormat="1" ht="24" thickBot="1">
      <c r="A59" s="2738"/>
      <c r="B59" s="16" t="s">
        <v>1667</v>
      </c>
      <c r="C59" s="261">
        <v>20</v>
      </c>
      <c r="D59" s="272"/>
      <c r="E59" s="2754"/>
      <c r="F59" s="2757" t="s">
        <v>4612</v>
      </c>
      <c r="G59" s="2758" t="s">
        <v>1633</v>
      </c>
      <c r="H59" s="2759" t="s">
        <v>4613</v>
      </c>
      <c r="I59" s="3004">
        <f>SUM(K59:M59)</f>
        <v>62900</v>
      </c>
      <c r="J59" s="2732"/>
      <c r="K59" s="3045">
        <v>0</v>
      </c>
      <c r="L59" s="3047">
        <v>62900</v>
      </c>
      <c r="M59" s="3047">
        <v>0</v>
      </c>
      <c r="N59" s="291"/>
      <c r="O59" s="3549"/>
      <c r="P59" s="14"/>
      <c r="Q59" s="1186"/>
      <c r="R59" s="263"/>
      <c r="S59" s="263"/>
      <c r="T59" s="263"/>
      <c r="U59" s="263"/>
      <c r="V59" s="263"/>
      <c r="W59" s="263"/>
    </row>
    <row r="60" spans="1:23" s="16" customFormat="1" ht="22.8">
      <c r="A60" s="2738"/>
      <c r="B60" s="16" t="s">
        <v>775</v>
      </c>
      <c r="C60" s="1140">
        <v>21</v>
      </c>
      <c r="D60" s="289"/>
      <c r="E60" s="289"/>
      <c r="F60" s="1386" t="s">
        <v>1875</v>
      </c>
      <c r="G60" s="289" t="s">
        <v>1633</v>
      </c>
      <c r="H60" s="2580" t="s">
        <v>2641</v>
      </c>
      <c r="I60" s="268">
        <f>SUM(K60:M60)</f>
        <v>42495</v>
      </c>
      <c r="J60" s="291"/>
      <c r="K60" s="3045">
        <v>6000</v>
      </c>
      <c r="L60" s="3047">
        <v>36495</v>
      </c>
      <c r="M60" s="3047">
        <v>0</v>
      </c>
      <c r="N60" s="291"/>
      <c r="O60" s="2849"/>
      <c r="P60" s="1139"/>
      <c r="Q60" s="296"/>
    </row>
    <row r="61" spans="1:23" s="16" customFormat="1" ht="22.8">
      <c r="A61" s="2738"/>
      <c r="B61" s="16" t="s">
        <v>775</v>
      </c>
      <c r="C61" s="261">
        <v>22</v>
      </c>
      <c r="D61" s="290"/>
      <c r="E61" s="290"/>
      <c r="F61" s="1387" t="s">
        <v>1245</v>
      </c>
      <c r="G61" s="449" t="s">
        <v>1633</v>
      </c>
      <c r="H61" s="405" t="s">
        <v>1246</v>
      </c>
      <c r="I61" s="1335">
        <f t="shared" ref="I61:I111" si="4">SUM(K61:M61)</f>
        <v>354136.73180000001</v>
      </c>
      <c r="J61" s="291"/>
      <c r="K61" s="3045">
        <v>0</v>
      </c>
      <c r="L61" s="3047">
        <f>343733.7318+1815</f>
        <v>345548.73180000001</v>
      </c>
      <c r="M61" s="3047">
        <v>8588</v>
      </c>
      <c r="N61" s="291"/>
      <c r="O61" s="2849">
        <v>1435665.0000000002</v>
      </c>
      <c r="P61" s="2455" t="s">
        <v>4967</v>
      </c>
      <c r="Q61" s="296"/>
    </row>
    <row r="62" spans="1:23" s="16" customFormat="1" ht="13.5" customHeight="1">
      <c r="A62" s="2738"/>
      <c r="B62" s="16" t="s">
        <v>775</v>
      </c>
      <c r="C62" s="1140">
        <v>23</v>
      </c>
      <c r="D62" s="290"/>
      <c r="E62" s="290"/>
      <c r="F62" s="1386" t="s">
        <v>1005</v>
      </c>
      <c r="G62" s="289" t="s">
        <v>1633</v>
      </c>
      <c r="H62" s="279" t="s">
        <v>1248</v>
      </c>
      <c r="I62" s="1328">
        <f t="shared" si="4"/>
        <v>3920860</v>
      </c>
      <c r="J62" s="291"/>
      <c r="K62" s="3045">
        <v>0</v>
      </c>
      <c r="L62" s="3047">
        <v>3051714</v>
      </c>
      <c r="M62" s="2764">
        <v>869146</v>
      </c>
      <c r="N62" s="291"/>
      <c r="O62" s="2849">
        <v>6240591.2000000002</v>
      </c>
      <c r="P62" s="2455" t="s">
        <v>5085</v>
      </c>
      <c r="Q62" s="296"/>
    </row>
    <row r="63" spans="1:23" s="16" customFormat="1" ht="13.5" customHeight="1">
      <c r="A63" s="2738"/>
      <c r="C63" s="261">
        <v>24</v>
      </c>
      <c r="D63" s="290"/>
      <c r="E63" s="290"/>
      <c r="F63" s="1386" t="s">
        <v>1024</v>
      </c>
      <c r="G63" s="289" t="s">
        <v>1633</v>
      </c>
      <c r="H63" s="279" t="s">
        <v>4945</v>
      </c>
      <c r="I63" s="1328">
        <f t="shared" si="4"/>
        <v>191255</v>
      </c>
      <c r="J63" s="291"/>
      <c r="K63" s="3045">
        <v>191255</v>
      </c>
      <c r="L63" s="3047"/>
      <c r="M63" s="3047"/>
      <c r="N63" s="291"/>
      <c r="O63" s="2849"/>
      <c r="P63" s="2455"/>
      <c r="Q63" s="296"/>
    </row>
    <row r="64" spans="1:23" s="16" customFormat="1" ht="24.6" customHeight="1">
      <c r="A64" s="2738"/>
      <c r="B64" s="16" t="s">
        <v>1667</v>
      </c>
      <c r="C64" s="1140">
        <v>25</v>
      </c>
      <c r="D64" s="290"/>
      <c r="E64" s="290"/>
      <c r="F64" s="1386" t="s">
        <v>1986</v>
      </c>
      <c r="G64" s="289" t="s">
        <v>1633</v>
      </c>
      <c r="H64" s="279" t="s">
        <v>1987</v>
      </c>
      <c r="I64" s="1328">
        <f t="shared" si="4"/>
        <v>193241.11</v>
      </c>
      <c r="J64" s="291"/>
      <c r="K64" s="2906">
        <f>108900+84341.11</f>
        <v>193241.11</v>
      </c>
      <c r="L64" s="3047">
        <v>0</v>
      </c>
      <c r="M64" s="3047"/>
      <c r="N64" s="291"/>
      <c r="O64" s="2849">
        <v>7197942.9199999999</v>
      </c>
      <c r="P64" s="7"/>
      <c r="Q64" s="296"/>
    </row>
    <row r="65" spans="1:23" s="16" customFormat="1" ht="24.6" customHeight="1">
      <c r="A65" s="2738"/>
      <c r="B65" s="16" t="s">
        <v>775</v>
      </c>
      <c r="C65" s="261">
        <v>26</v>
      </c>
      <c r="D65" s="2662"/>
      <c r="E65" s="2637"/>
      <c r="F65" s="2843" t="s">
        <v>310</v>
      </c>
      <c r="G65" s="2583" t="s">
        <v>1633</v>
      </c>
      <c r="H65" s="2580" t="s">
        <v>4615</v>
      </c>
      <c r="I65" s="3061">
        <f t="shared" ref="I65:I71" si="5">SUM(K65:M65)</f>
        <v>987119.77750000008</v>
      </c>
      <c r="J65" s="291"/>
      <c r="K65" s="3045">
        <v>218324.99849999999</v>
      </c>
      <c r="L65" s="3047">
        <v>768794.7790000001</v>
      </c>
      <c r="M65" s="3045">
        <v>0</v>
      </c>
      <c r="N65" s="291"/>
      <c r="O65" s="2848">
        <v>1582322.1850000001</v>
      </c>
      <c r="P65" s="7"/>
      <c r="Q65" s="1186"/>
      <c r="R65" s="263"/>
      <c r="S65" s="263"/>
      <c r="T65" s="263"/>
      <c r="U65" s="263"/>
      <c r="V65" s="263"/>
      <c r="W65" s="263"/>
    </row>
    <row r="66" spans="1:23" s="16" customFormat="1" ht="26.4" customHeight="1">
      <c r="A66" s="2738"/>
      <c r="B66" s="16" t="s">
        <v>775</v>
      </c>
      <c r="C66" s="1140">
        <v>27</v>
      </c>
      <c r="D66" s="2663"/>
      <c r="E66" s="2640"/>
      <c r="F66" s="2664" t="s">
        <v>310</v>
      </c>
      <c r="G66" s="2665" t="s">
        <v>1633</v>
      </c>
      <c r="H66" s="2666" t="s">
        <v>4617</v>
      </c>
      <c r="I66" s="1335">
        <f t="shared" si="5"/>
        <v>36542</v>
      </c>
      <c r="J66" s="291"/>
      <c r="K66" s="3045">
        <f>36542-L66</f>
        <v>0</v>
      </c>
      <c r="L66" s="3047">
        <v>36542</v>
      </c>
      <c r="M66" s="3045">
        <v>0</v>
      </c>
      <c r="N66" s="291"/>
      <c r="O66" s="2848">
        <v>1617500</v>
      </c>
      <c r="P66" s="7"/>
      <c r="Q66" s="1186"/>
      <c r="R66" s="263"/>
      <c r="S66" s="263"/>
      <c r="T66" s="263"/>
      <c r="U66" s="263"/>
      <c r="V66" s="263"/>
      <c r="W66" s="263"/>
    </row>
    <row r="67" spans="1:23" s="16" customFormat="1" ht="29.25" customHeight="1">
      <c r="A67" s="2738"/>
      <c r="B67" s="16" t="s">
        <v>775</v>
      </c>
      <c r="C67" s="261">
        <v>28</v>
      </c>
      <c r="D67" s="272"/>
      <c r="E67" s="290"/>
      <c r="F67" s="2582" t="s">
        <v>310</v>
      </c>
      <c r="G67" s="2583" t="s">
        <v>1633</v>
      </c>
      <c r="H67" s="2580" t="s">
        <v>4618</v>
      </c>
      <c r="I67" s="1328">
        <f t="shared" si="5"/>
        <v>76315</v>
      </c>
      <c r="J67" s="291"/>
      <c r="K67" s="3045">
        <v>0</v>
      </c>
      <c r="L67" s="3047">
        <v>76315</v>
      </c>
      <c r="M67" s="3045">
        <v>0</v>
      </c>
      <c r="N67" s="291"/>
      <c r="O67" s="2848">
        <v>1802500</v>
      </c>
      <c r="P67" s="7"/>
      <c r="Q67" s="1186"/>
      <c r="R67" s="263"/>
      <c r="S67" s="263"/>
      <c r="T67" s="263"/>
      <c r="U67" s="263"/>
      <c r="V67" s="263"/>
      <c r="W67" s="263"/>
    </row>
    <row r="68" spans="1:23" s="16" customFormat="1" ht="29.25" customHeight="1">
      <c r="A68" s="2738"/>
      <c r="B68" s="16" t="s">
        <v>775</v>
      </c>
      <c r="C68" s="1140">
        <v>29</v>
      </c>
      <c r="D68" s="272"/>
      <c r="E68" s="290"/>
      <c r="F68" s="2582" t="s">
        <v>310</v>
      </c>
      <c r="G68" s="2583" t="s">
        <v>1633</v>
      </c>
      <c r="H68" s="2580" t="s">
        <v>4619</v>
      </c>
      <c r="I68" s="1328">
        <f t="shared" si="5"/>
        <v>44625.11</v>
      </c>
      <c r="J68" s="291"/>
      <c r="K68" s="3045">
        <v>8941</v>
      </c>
      <c r="L68" s="3047">
        <v>35684.11</v>
      </c>
      <c r="M68" s="3045">
        <v>0</v>
      </c>
      <c r="N68" s="291"/>
      <c r="O68" s="2848">
        <v>1009421</v>
      </c>
      <c r="P68" s="7"/>
      <c r="Q68" s="1186"/>
      <c r="R68" s="263"/>
      <c r="S68" s="263"/>
      <c r="T68" s="263"/>
      <c r="U68" s="263"/>
      <c r="V68" s="263"/>
      <c r="W68" s="263"/>
    </row>
    <row r="69" spans="1:23" s="16" customFormat="1" ht="29.25" customHeight="1">
      <c r="A69" s="2738"/>
      <c r="B69" s="16" t="s">
        <v>775</v>
      </c>
      <c r="C69" s="261">
        <v>30</v>
      </c>
      <c r="D69" s="272"/>
      <c r="E69" s="290"/>
      <c r="F69" s="2582" t="s">
        <v>310</v>
      </c>
      <c r="G69" s="2583" t="s">
        <v>1633</v>
      </c>
      <c r="H69" s="2580" t="s">
        <v>4620</v>
      </c>
      <c r="I69" s="1328">
        <f t="shared" si="5"/>
        <v>71219</v>
      </c>
      <c r="J69" s="291"/>
      <c r="K69" s="3045">
        <v>7500</v>
      </c>
      <c r="L69" s="3047">
        <v>63719</v>
      </c>
      <c r="M69" s="3045">
        <v>0</v>
      </c>
      <c r="N69" s="291"/>
      <c r="O69" s="2848">
        <v>939722.22200000007</v>
      </c>
      <c r="P69" s="7"/>
      <c r="Q69" s="1186"/>
      <c r="R69" s="263"/>
      <c r="S69" s="263"/>
      <c r="T69" s="263"/>
      <c r="U69" s="263"/>
      <c r="V69" s="263"/>
      <c r="W69" s="263"/>
    </row>
    <row r="70" spans="1:23" s="16" customFormat="1" ht="29.25" customHeight="1">
      <c r="A70" s="2738"/>
      <c r="B70" s="16" t="s">
        <v>775</v>
      </c>
      <c r="C70" s="1140">
        <v>31</v>
      </c>
      <c r="D70" s="272"/>
      <c r="E70" s="290"/>
      <c r="F70" s="2582" t="s">
        <v>310</v>
      </c>
      <c r="G70" s="2583" t="s">
        <v>1633</v>
      </c>
      <c r="H70" s="2580" t="s">
        <v>4621</v>
      </c>
      <c r="I70" s="1328">
        <f t="shared" si="5"/>
        <v>58080</v>
      </c>
      <c r="J70" s="291"/>
      <c r="K70" s="3045">
        <v>0</v>
      </c>
      <c r="L70" s="3047">
        <v>58080</v>
      </c>
      <c r="M70" s="3045">
        <v>0</v>
      </c>
      <c r="N70" s="291"/>
      <c r="O70" s="2848">
        <v>750000</v>
      </c>
      <c r="P70" s="7"/>
      <c r="Q70" s="1186"/>
      <c r="R70" s="263"/>
      <c r="S70" s="263"/>
      <c r="T70" s="263"/>
      <c r="U70" s="263"/>
      <c r="V70" s="263"/>
      <c r="W70" s="263"/>
    </row>
    <row r="71" spans="1:23" s="16" customFormat="1" ht="29.25" customHeight="1">
      <c r="A71" s="2738"/>
      <c r="B71" s="16" t="s">
        <v>775</v>
      </c>
      <c r="C71" s="261">
        <v>32</v>
      </c>
      <c r="D71" s="272"/>
      <c r="E71" s="290"/>
      <c r="F71" s="2582" t="s">
        <v>310</v>
      </c>
      <c r="G71" s="2583" t="s">
        <v>1633</v>
      </c>
      <c r="H71" s="2580" t="s">
        <v>4622</v>
      </c>
      <c r="I71" s="1328">
        <f t="shared" si="5"/>
        <v>39567</v>
      </c>
      <c r="J71" s="291"/>
      <c r="K71" s="3045">
        <v>0</v>
      </c>
      <c r="L71" s="3047">
        <v>39567</v>
      </c>
      <c r="M71" s="3045">
        <v>0</v>
      </c>
      <c r="N71" s="291"/>
      <c r="O71" s="2848">
        <v>1232500</v>
      </c>
      <c r="P71" s="7"/>
      <c r="Q71" s="1186"/>
      <c r="R71" s="263"/>
      <c r="S71" s="263"/>
      <c r="T71" s="263"/>
      <c r="U71" s="263"/>
      <c r="V71" s="263"/>
      <c r="W71" s="263"/>
    </row>
    <row r="72" spans="1:23" s="16" customFormat="1" ht="18.600000000000001" customHeight="1">
      <c r="A72" s="2740"/>
      <c r="C72" s="1140">
        <v>33</v>
      </c>
      <c r="D72" s="272"/>
      <c r="E72" s="290"/>
      <c r="F72" s="2582" t="s">
        <v>310</v>
      </c>
      <c r="G72" s="2583" t="s">
        <v>1633</v>
      </c>
      <c r="H72" s="2858" t="s">
        <v>4972</v>
      </c>
      <c r="I72" s="1328">
        <f t="shared" ref="I72:I73" si="6">SUM(K72:M72)</f>
        <v>115193.98999999999</v>
      </c>
      <c r="J72" s="291"/>
      <c r="K72" s="3045">
        <v>17841.489999999991</v>
      </c>
      <c r="L72" s="3047">
        <v>97352.5</v>
      </c>
      <c r="M72" s="3045"/>
      <c r="N72" s="291"/>
      <c r="O72" s="2851">
        <v>229064.71</v>
      </c>
      <c r="P72" s="7" t="s">
        <v>4973</v>
      </c>
      <c r="Q72" s="1186"/>
      <c r="R72" s="263"/>
      <c r="S72" s="263"/>
      <c r="T72" s="263"/>
      <c r="U72" s="263"/>
      <c r="V72" s="263"/>
      <c r="W72" s="263"/>
    </row>
    <row r="73" spans="1:23" s="16" customFormat="1" ht="25.5" customHeight="1">
      <c r="A73" s="2740"/>
      <c r="C73" s="1140">
        <v>35</v>
      </c>
      <c r="D73" s="272"/>
      <c r="E73" s="290"/>
      <c r="F73" s="2582" t="s">
        <v>310</v>
      </c>
      <c r="G73" s="2583" t="s">
        <v>1633</v>
      </c>
      <c r="H73" s="3215" t="s">
        <v>5083</v>
      </c>
      <c r="I73" s="2845">
        <f t="shared" si="6"/>
        <v>0</v>
      </c>
      <c r="J73" s="291"/>
      <c r="K73" s="3247">
        <f>321863-321863</f>
        <v>0</v>
      </c>
      <c r="L73" s="3047">
        <v>0</v>
      </c>
      <c r="M73" s="3045"/>
      <c r="N73" s="291"/>
      <c r="O73" s="2851">
        <v>3161117</v>
      </c>
      <c r="P73" s="7" t="s">
        <v>5244</v>
      </c>
      <c r="Q73" s="1186"/>
      <c r="R73" s="263"/>
      <c r="S73" s="263"/>
      <c r="T73" s="263"/>
      <c r="U73" s="263"/>
      <c r="V73" s="263"/>
      <c r="W73" s="263"/>
    </row>
    <row r="74" spans="1:23" s="16" customFormat="1" ht="12.6" customHeight="1">
      <c r="A74" s="2738"/>
      <c r="C74" s="261">
        <v>36</v>
      </c>
      <c r="D74" s="289"/>
      <c r="E74" s="289"/>
      <c r="F74" s="1386" t="s">
        <v>311</v>
      </c>
      <c r="G74" s="289" t="s">
        <v>1254</v>
      </c>
      <c r="H74" s="279" t="s">
        <v>2824</v>
      </c>
      <c r="I74" s="2980">
        <f t="shared" si="4"/>
        <v>10000</v>
      </c>
      <c r="J74" s="1349"/>
      <c r="K74" s="3217">
        <v>10000</v>
      </c>
      <c r="L74" s="3062"/>
      <c r="M74" s="3062"/>
      <c r="N74" s="291"/>
      <c r="O74" s="2852"/>
      <c r="P74" s="359"/>
      <c r="Q74" s="296"/>
      <c r="T74"/>
    </row>
    <row r="75" spans="1:23" s="16" customFormat="1" ht="24" customHeight="1">
      <c r="A75" s="2738"/>
      <c r="C75" s="1140">
        <v>37</v>
      </c>
      <c r="D75" s="289"/>
      <c r="E75" s="289"/>
      <c r="F75" s="2842" t="s">
        <v>4963</v>
      </c>
      <c r="G75" s="16" t="s">
        <v>1497</v>
      </c>
      <c r="H75" s="263" t="s">
        <v>5032</v>
      </c>
      <c r="I75" s="2980">
        <f t="shared" si="4"/>
        <v>2723</v>
      </c>
      <c r="J75" s="1349"/>
      <c r="K75" s="3217">
        <v>2723</v>
      </c>
      <c r="L75" s="3062"/>
      <c r="M75" s="3062"/>
      <c r="N75" s="291"/>
      <c r="O75" s="2852"/>
      <c r="P75" s="359"/>
      <c r="Q75" s="296"/>
      <c r="T75"/>
    </row>
    <row r="76" spans="1:23" ht="24" customHeight="1">
      <c r="B76" s="16" t="s">
        <v>775</v>
      </c>
      <c r="C76" s="261">
        <v>38</v>
      </c>
      <c r="D76" s="261"/>
      <c r="E76" s="261"/>
      <c r="F76" s="2582" t="s">
        <v>3247</v>
      </c>
      <c r="G76" s="2583" t="s">
        <v>1633</v>
      </c>
      <c r="H76" s="2580" t="s">
        <v>4603</v>
      </c>
      <c r="I76" s="1328">
        <f t="shared" si="4"/>
        <v>16700</v>
      </c>
      <c r="J76" s="291"/>
      <c r="K76" s="3045">
        <v>2300</v>
      </c>
      <c r="L76" s="3047">
        <v>14400</v>
      </c>
      <c r="M76" s="3047">
        <v>0</v>
      </c>
      <c r="N76" s="291"/>
      <c r="O76" s="2849">
        <v>22700</v>
      </c>
      <c r="P76" s="1139"/>
    </row>
    <row r="77" spans="1:23" s="16" customFormat="1" ht="13.2">
      <c r="A77" s="2738"/>
      <c r="B77" s="16" t="s">
        <v>1667</v>
      </c>
      <c r="C77" s="1140">
        <v>39</v>
      </c>
      <c r="D77" s="272"/>
      <c r="E77" s="290"/>
      <c r="F77" s="1385" t="s">
        <v>1712</v>
      </c>
      <c r="G77" s="289" t="s">
        <v>1633</v>
      </c>
      <c r="H77" s="279" t="s">
        <v>2699</v>
      </c>
      <c r="I77" s="1328">
        <f t="shared" si="4"/>
        <v>8910182.6090000011</v>
      </c>
      <c r="J77" s="291"/>
      <c r="K77" s="3045">
        <v>0</v>
      </c>
      <c r="L77" s="3047">
        <v>1403713.71</v>
      </c>
      <c r="M77" s="3045">
        <v>7506468.8990000011</v>
      </c>
      <c r="N77" s="291"/>
      <c r="O77" s="2848">
        <v>15154550.221799999</v>
      </c>
      <c r="P77" s="7" t="s">
        <v>1636</v>
      </c>
      <c r="Q77" s="1186"/>
      <c r="R77" s="263"/>
      <c r="S77" s="263"/>
      <c r="T77" s="263"/>
      <c r="U77" s="263"/>
      <c r="V77" s="263"/>
      <c r="W77" s="263"/>
    </row>
    <row r="78" spans="1:23" s="16" customFormat="1" ht="13.95" customHeight="1">
      <c r="A78" s="2738"/>
      <c r="B78" s="16" t="s">
        <v>1667</v>
      </c>
      <c r="C78" s="261">
        <v>40</v>
      </c>
      <c r="D78" s="272"/>
      <c r="E78" s="290"/>
      <c r="F78" s="1385" t="s">
        <v>2734</v>
      </c>
      <c r="G78" s="289" t="s">
        <v>1633</v>
      </c>
      <c r="H78" s="262" t="s">
        <v>4966</v>
      </c>
      <c r="I78" s="1328">
        <f t="shared" si="4"/>
        <v>78746.5</v>
      </c>
      <c r="J78" s="402"/>
      <c r="K78" s="3045">
        <v>78746.5</v>
      </c>
      <c r="L78" s="3047">
        <v>0</v>
      </c>
      <c r="M78" s="3045">
        <v>0</v>
      </c>
      <c r="N78" s="291"/>
      <c r="O78" s="2848"/>
      <c r="P78" s="7"/>
      <c r="Q78" s="1186"/>
      <c r="R78" s="263"/>
      <c r="S78" s="263"/>
      <c r="T78" s="263"/>
      <c r="U78" s="263"/>
      <c r="V78" s="263"/>
      <c r="W78" s="263"/>
    </row>
    <row r="79" spans="1:23" ht="12" customHeight="1" thickBot="1">
      <c r="B79" s="16" t="s">
        <v>1667</v>
      </c>
      <c r="C79" s="1140">
        <v>41</v>
      </c>
      <c r="D79" s="261"/>
      <c r="E79" s="261"/>
      <c r="F79" s="2581" t="s">
        <v>3260</v>
      </c>
      <c r="G79" s="2579" t="s">
        <v>1633</v>
      </c>
      <c r="H79" s="2580" t="s">
        <v>4604</v>
      </c>
      <c r="I79" s="1328">
        <f t="shared" si="4"/>
        <v>20933.849999999999</v>
      </c>
      <c r="J79" s="291"/>
      <c r="K79" s="3045">
        <v>684.44</v>
      </c>
      <c r="L79" s="3047">
        <v>20249.41</v>
      </c>
      <c r="M79" s="3047">
        <v>0</v>
      </c>
      <c r="N79" s="291"/>
      <c r="O79" s="2849">
        <v>31642</v>
      </c>
      <c r="P79" s="2894"/>
    </row>
    <row r="80" spans="1:23" s="16" customFormat="1" ht="25.95" customHeight="1">
      <c r="A80" s="2739"/>
      <c r="B80" s="16" t="s">
        <v>1667</v>
      </c>
      <c r="C80" s="2667">
        <v>42</v>
      </c>
      <c r="D80" s="2641"/>
      <c r="E80" s="2642"/>
      <c r="F80" s="3063" t="s">
        <v>5207</v>
      </c>
      <c r="G80" s="738" t="s">
        <v>1633</v>
      </c>
      <c r="H80" s="2643" t="s">
        <v>4616</v>
      </c>
      <c r="I80" s="3092">
        <f t="shared" si="4"/>
        <v>622519.04999999981</v>
      </c>
      <c r="J80" s="2644"/>
      <c r="K80" s="3045">
        <v>93377.857499999984</v>
      </c>
      <c r="L80" s="3047">
        <v>529141.19249999989</v>
      </c>
      <c r="M80" s="3045">
        <v>0</v>
      </c>
      <c r="N80" s="291"/>
      <c r="O80" s="2848">
        <v>1437245.8800000001</v>
      </c>
      <c r="P80" s="574"/>
      <c r="Q80" s="1186"/>
      <c r="R80" s="263"/>
      <c r="S80" s="263"/>
      <c r="T80" s="263"/>
      <c r="U80" s="263"/>
      <c r="V80" s="263"/>
      <c r="W80" s="263"/>
    </row>
    <row r="81" spans="1:23" s="16" customFormat="1" ht="25.95" customHeight="1">
      <c r="A81" s="2739"/>
      <c r="C81" s="2668">
        <v>43</v>
      </c>
      <c r="D81" s="272"/>
      <c r="E81" s="290"/>
      <c r="F81" s="2658" t="s">
        <v>2745</v>
      </c>
      <c r="G81" s="2659" t="s">
        <v>263</v>
      </c>
      <c r="H81" s="2669" t="s">
        <v>5078</v>
      </c>
      <c r="I81" s="2892">
        <f t="shared" si="4"/>
        <v>0</v>
      </c>
      <c r="J81" s="2660"/>
      <c r="K81" s="3093"/>
      <c r="L81" s="3047"/>
      <c r="M81" s="3045"/>
      <c r="N81" s="291"/>
      <c r="O81" s="2848"/>
      <c r="P81" s="2661">
        <v>14440</v>
      </c>
      <c r="Q81" s="1186"/>
      <c r="R81" s="263"/>
      <c r="S81" s="263"/>
      <c r="T81" s="263"/>
      <c r="U81" s="263"/>
      <c r="V81" s="263"/>
      <c r="W81" s="263"/>
    </row>
    <row r="82" spans="1:23" s="16" customFormat="1" ht="25.95" customHeight="1">
      <c r="A82" s="2739"/>
      <c r="C82" s="2668">
        <v>44</v>
      </c>
      <c r="D82" s="272"/>
      <c r="E82" s="290"/>
      <c r="F82" s="2658" t="s">
        <v>2745</v>
      </c>
      <c r="G82" s="2659" t="s">
        <v>263</v>
      </c>
      <c r="H82" s="2669" t="s">
        <v>5079</v>
      </c>
      <c r="I82" s="2892">
        <f t="shared" si="4"/>
        <v>0</v>
      </c>
      <c r="J82" s="2660"/>
      <c r="K82" s="3093"/>
      <c r="L82" s="3047"/>
      <c r="M82" s="3045"/>
      <c r="N82" s="291"/>
      <c r="O82" s="2848"/>
      <c r="P82" s="2661">
        <v>154729</v>
      </c>
      <c r="Q82" s="1186"/>
      <c r="R82" s="263"/>
      <c r="S82" s="263"/>
      <c r="T82" s="263"/>
      <c r="U82" s="263"/>
      <c r="V82" s="263"/>
      <c r="W82" s="263"/>
    </row>
    <row r="83" spans="1:23" s="16" customFormat="1" ht="53.25" customHeight="1">
      <c r="A83" s="2739"/>
      <c r="C83" s="2668">
        <v>45</v>
      </c>
      <c r="D83" s="272"/>
      <c r="E83" s="290"/>
      <c r="F83" s="2658" t="s">
        <v>2745</v>
      </c>
      <c r="G83" s="2659" t="s">
        <v>263</v>
      </c>
      <c r="H83" s="2669" t="s">
        <v>5080</v>
      </c>
      <c r="I83" s="2892">
        <f t="shared" si="4"/>
        <v>0</v>
      </c>
      <c r="J83" s="2660"/>
      <c r="K83" s="3093"/>
      <c r="L83" s="3047"/>
      <c r="M83" s="3045"/>
      <c r="N83" s="291"/>
      <c r="O83" s="2848"/>
      <c r="P83" s="2661">
        <v>28692</v>
      </c>
      <c r="Q83" s="1186"/>
      <c r="R83" s="263"/>
      <c r="S83" s="263"/>
      <c r="T83" s="263"/>
      <c r="U83" s="263"/>
      <c r="V83" s="263"/>
      <c r="W83" s="263"/>
    </row>
    <row r="84" spans="1:23" s="16" customFormat="1" ht="24" customHeight="1">
      <c r="A84" s="2739"/>
      <c r="C84" s="2668">
        <v>46</v>
      </c>
      <c r="D84" s="272"/>
      <c r="E84" s="290"/>
      <c r="F84" s="1386" t="s">
        <v>2745</v>
      </c>
      <c r="G84" s="289" t="s">
        <v>263</v>
      </c>
      <c r="H84" s="2669" t="s">
        <v>5082</v>
      </c>
      <c r="I84" s="268">
        <f t="shared" si="4"/>
        <v>0</v>
      </c>
      <c r="J84" s="1350"/>
      <c r="K84" s="3047"/>
      <c r="L84" s="3047"/>
      <c r="M84" s="3045"/>
      <c r="N84" s="291"/>
      <c r="O84" s="2848"/>
      <c r="P84" s="2661">
        <v>332723</v>
      </c>
      <c r="Q84" s="1186"/>
      <c r="R84" s="263"/>
      <c r="S84" s="263"/>
      <c r="T84" s="263"/>
      <c r="U84" s="263"/>
      <c r="V84" s="263"/>
      <c r="W84" s="263"/>
    </row>
    <row r="85" spans="1:23" s="16" customFormat="1" ht="36.75" customHeight="1">
      <c r="A85" s="2739"/>
      <c r="C85" s="3097">
        <v>47</v>
      </c>
      <c r="D85" s="3098"/>
      <c r="E85" s="3099"/>
      <c r="F85" s="1393" t="s">
        <v>2745</v>
      </c>
      <c r="G85" s="2733" t="s">
        <v>263</v>
      </c>
      <c r="H85" s="3100" t="s">
        <v>5081</v>
      </c>
      <c r="I85" s="571">
        <f t="shared" ref="I85" si="7">SUM(K85:M85)</f>
        <v>0</v>
      </c>
      <c r="J85" s="2911"/>
      <c r="K85" s="3101"/>
      <c r="L85" s="3101"/>
      <c r="M85" s="3102"/>
      <c r="N85" s="291"/>
      <c r="O85" s="2848"/>
      <c r="P85" s="2661">
        <v>11680</v>
      </c>
      <c r="Q85" s="1186"/>
      <c r="R85" s="263"/>
      <c r="S85" s="263"/>
      <c r="T85" s="263"/>
      <c r="U85" s="263"/>
      <c r="V85" s="263"/>
      <c r="W85" s="263"/>
    </row>
    <row r="86" spans="1:23" ht="13.5" customHeight="1">
      <c r="B86" s="16"/>
      <c r="C86" s="404">
        <v>50</v>
      </c>
      <c r="D86" s="404"/>
      <c r="E86" s="404"/>
      <c r="F86" s="1387" t="s">
        <v>2745</v>
      </c>
      <c r="G86" s="449" t="s">
        <v>263</v>
      </c>
      <c r="H86" s="405" t="s">
        <v>5076</v>
      </c>
      <c r="I86" s="3095">
        <f t="shared" si="4"/>
        <v>29040</v>
      </c>
      <c r="J86" s="1339"/>
      <c r="K86" s="3096">
        <v>29040</v>
      </c>
      <c r="L86" s="3096"/>
      <c r="M86" s="3096"/>
      <c r="N86" s="291"/>
      <c r="O86" s="2849"/>
      <c r="Q86" s="51"/>
      <c r="R86" s="51"/>
      <c r="S86" s="51"/>
      <c r="T86" s="51"/>
    </row>
    <row r="87" spans="1:23" ht="13.5" customHeight="1">
      <c r="B87" s="16"/>
      <c r="C87" s="261">
        <v>51</v>
      </c>
      <c r="D87" s="261"/>
      <c r="E87" s="261"/>
      <c r="F87" s="1386" t="s">
        <v>2745</v>
      </c>
      <c r="G87" s="289" t="s">
        <v>263</v>
      </c>
      <c r="H87" s="279" t="s">
        <v>5077</v>
      </c>
      <c r="I87" s="3077">
        <f t="shared" ref="I87:I88" si="8">SUM(K87:M87)</f>
        <v>5011</v>
      </c>
      <c r="J87" s="1350"/>
      <c r="K87" s="3047">
        <v>5011</v>
      </c>
      <c r="L87" s="3047"/>
      <c r="M87" s="3047"/>
      <c r="N87" s="291"/>
      <c r="O87" s="2849"/>
      <c r="Q87" s="51"/>
      <c r="R87" s="51"/>
      <c r="S87" s="51"/>
      <c r="T87" s="51"/>
    </row>
    <row r="88" spans="1:23">
      <c r="B88" s="16"/>
      <c r="C88" s="261">
        <v>52</v>
      </c>
      <c r="D88" s="422"/>
      <c r="E88" s="422"/>
      <c r="F88" s="2842" t="s">
        <v>317</v>
      </c>
      <c r="G88" s="16" t="s">
        <v>4676</v>
      </c>
      <c r="H88" s="263" t="s">
        <v>5052</v>
      </c>
      <c r="I88" s="3077">
        <f t="shared" si="8"/>
        <v>9996</v>
      </c>
      <c r="J88" s="291"/>
      <c r="K88" s="3047"/>
      <c r="L88" s="3047">
        <v>9996</v>
      </c>
      <c r="M88" s="3047"/>
      <c r="N88" s="291"/>
      <c r="O88" s="2849"/>
      <c r="Q88" s="51"/>
      <c r="R88" s="51"/>
      <c r="S88" s="51"/>
      <c r="T88" s="51"/>
    </row>
    <row r="89" spans="1:23" s="16" customFormat="1" ht="22.8">
      <c r="A89" s="2738"/>
      <c r="B89" s="16" t="s">
        <v>1666</v>
      </c>
      <c r="C89" s="261">
        <v>53</v>
      </c>
      <c r="D89" s="2637"/>
      <c r="E89" s="2637"/>
      <c r="F89" s="2582" t="s">
        <v>1009</v>
      </c>
      <c r="G89" s="2583" t="s">
        <v>1633</v>
      </c>
      <c r="H89" s="2580" t="s">
        <v>405</v>
      </c>
      <c r="I89" s="3078">
        <f t="shared" si="4"/>
        <v>47219.45</v>
      </c>
      <c r="J89" s="291"/>
      <c r="K89" s="3045">
        <v>0</v>
      </c>
      <c r="L89" s="3047">
        <v>47219.45</v>
      </c>
      <c r="M89" s="3047">
        <v>0</v>
      </c>
      <c r="N89" s="291"/>
      <c r="O89" s="2850">
        <v>186981</v>
      </c>
      <c r="P89" s="7"/>
      <c r="Q89" s="296"/>
    </row>
    <row r="90" spans="1:23" s="16" customFormat="1" ht="22.8">
      <c r="A90" s="2738"/>
      <c r="B90" s="16" t="s">
        <v>1667</v>
      </c>
      <c r="C90" s="261">
        <v>54</v>
      </c>
      <c r="D90" s="2640"/>
      <c r="E90" s="2640"/>
      <c r="F90" s="2871" t="s">
        <v>2700</v>
      </c>
      <c r="G90" s="404" t="s">
        <v>1633</v>
      </c>
      <c r="H90" s="2872" t="s">
        <v>2701</v>
      </c>
      <c r="I90" s="2993">
        <f t="shared" si="4"/>
        <v>0</v>
      </c>
      <c r="J90" s="358"/>
      <c r="K90" s="3045">
        <v>0</v>
      </c>
      <c r="L90" s="3065">
        <v>0</v>
      </c>
      <c r="M90" s="3065">
        <v>0</v>
      </c>
      <c r="N90" s="291"/>
      <c r="O90" s="2850">
        <v>43191.63</v>
      </c>
      <c r="P90" s="2456" t="s">
        <v>5031</v>
      </c>
      <c r="Q90" s="296"/>
    </row>
    <row r="91" spans="1:23">
      <c r="A91" s="2738"/>
      <c r="B91" s="16"/>
      <c r="C91" s="261">
        <v>55</v>
      </c>
      <c r="D91" s="261"/>
      <c r="E91" s="261"/>
      <c r="F91" s="1386" t="s">
        <v>709</v>
      </c>
      <c r="G91" s="289" t="s">
        <v>709</v>
      </c>
      <c r="H91" s="2578" t="s">
        <v>5048</v>
      </c>
      <c r="I91" s="3077">
        <f t="shared" ref="I91" si="9">SUM(K91:M91)</f>
        <v>888703</v>
      </c>
      <c r="J91" s="291"/>
      <c r="K91" s="3047"/>
      <c r="L91" s="3047">
        <v>888703</v>
      </c>
      <c r="M91" s="3066"/>
      <c r="N91" s="291"/>
      <c r="O91" s="2838"/>
      <c r="P91" s="3" t="s">
        <v>5049</v>
      </c>
    </row>
    <row r="92" spans="1:23">
      <c r="A92" s="2738"/>
      <c r="B92" s="16"/>
      <c r="C92" s="261">
        <v>56</v>
      </c>
      <c r="D92" s="261"/>
      <c r="E92" s="261"/>
      <c r="F92" s="2873" t="s">
        <v>709</v>
      </c>
      <c r="G92" s="261" t="s">
        <v>709</v>
      </c>
      <c r="H92" s="2578" t="s">
        <v>4640</v>
      </c>
      <c r="I92" s="3077">
        <f t="shared" si="4"/>
        <v>570505</v>
      </c>
      <c r="J92" s="358"/>
      <c r="K92" s="3229">
        <f>570505-M92</f>
        <v>91025</v>
      </c>
      <c r="L92" s="3065"/>
      <c r="M92" s="3270">
        <f>276030+(204530-1080)</f>
        <v>479480</v>
      </c>
      <c r="N92" s="291"/>
      <c r="O92" s="2850">
        <v>693831</v>
      </c>
      <c r="P92" s="3" t="s">
        <v>4650</v>
      </c>
    </row>
    <row r="93" spans="1:23" s="16" customFormat="1">
      <c r="A93" s="2738"/>
      <c r="C93" s="261">
        <v>57</v>
      </c>
      <c r="D93" s="261"/>
      <c r="E93" s="261"/>
      <c r="F93" s="1386" t="s">
        <v>709</v>
      </c>
      <c r="G93" s="289" t="s">
        <v>709</v>
      </c>
      <c r="H93" s="2580" t="s">
        <v>4641</v>
      </c>
      <c r="I93" s="3077">
        <f>SUM(K93:M93)</f>
        <v>4840</v>
      </c>
      <c r="J93" s="1288"/>
      <c r="K93" s="3047">
        <v>4840</v>
      </c>
      <c r="L93" s="3067"/>
      <c r="M93" s="3067"/>
      <c r="N93" s="291"/>
      <c r="O93" s="2853"/>
      <c r="P93" s="2628"/>
      <c r="T93"/>
    </row>
    <row r="94" spans="1:23" ht="12.75" customHeight="1">
      <c r="A94" s="2738"/>
      <c r="B94" s="16"/>
      <c r="C94" s="261">
        <v>58</v>
      </c>
      <c r="D94" s="261"/>
      <c r="E94" s="261"/>
      <c r="F94" s="1386" t="s">
        <v>709</v>
      </c>
      <c r="G94" s="289" t="s">
        <v>709</v>
      </c>
      <c r="H94" s="2580" t="s">
        <v>4758</v>
      </c>
      <c r="I94" s="3077">
        <f t="shared" ref="I94" si="10">SUM(K94:M94)</f>
        <v>57584</v>
      </c>
      <c r="J94" s="291"/>
      <c r="K94" s="3047">
        <v>57584</v>
      </c>
      <c r="L94" s="3047"/>
      <c r="M94" s="3067"/>
      <c r="N94" s="291"/>
      <c r="O94" s="2853"/>
      <c r="P94" s="3" t="s">
        <v>4658</v>
      </c>
    </row>
    <row r="95" spans="1:23">
      <c r="A95" s="2738"/>
      <c r="B95" s="16"/>
      <c r="C95" s="261">
        <v>59</v>
      </c>
      <c r="D95" s="261"/>
      <c r="E95" s="261"/>
      <c r="F95" s="1386" t="s">
        <v>709</v>
      </c>
      <c r="G95" s="289" t="s">
        <v>709</v>
      </c>
      <c r="H95" s="2580" t="s">
        <v>4518</v>
      </c>
      <c r="I95" s="3077">
        <f t="shared" ref="I95" si="11">SUM(K95:M95)</f>
        <v>38600</v>
      </c>
      <c r="J95" s="291"/>
      <c r="K95" s="3047">
        <v>38600</v>
      </c>
      <c r="L95" s="3047"/>
      <c r="M95" s="3066"/>
      <c r="N95" s="291"/>
      <c r="O95" s="2854"/>
      <c r="P95" s="3" t="s">
        <v>4658</v>
      </c>
    </row>
    <row r="96" spans="1:23" s="16" customFormat="1" ht="72" thickBot="1">
      <c r="A96" s="2738"/>
      <c r="C96" s="422">
        <v>60</v>
      </c>
      <c r="D96" s="2859"/>
      <c r="E96" s="2638"/>
      <c r="F96" s="2638" t="s">
        <v>709</v>
      </c>
      <c r="G96" s="2638" t="s">
        <v>4589</v>
      </c>
      <c r="H96" s="2639" t="s">
        <v>4516</v>
      </c>
      <c r="I96" s="3079">
        <f t="shared" ref="I96" si="12">SUM(K96:M96)</f>
        <v>47288</v>
      </c>
      <c r="J96" s="2990"/>
      <c r="K96" s="3218">
        <v>47288</v>
      </c>
      <c r="L96" s="3068"/>
      <c r="M96" s="3068"/>
      <c r="N96" s="291"/>
      <c r="O96" s="2991">
        <f>881784.9+155609.1</f>
        <v>1037394</v>
      </c>
      <c r="P96" s="439" t="s">
        <v>4594</v>
      </c>
      <c r="T96"/>
    </row>
    <row r="97" spans="1:17" ht="23.4">
      <c r="A97" s="2740"/>
      <c r="B97" s="16"/>
      <c r="C97" s="3533">
        <v>61</v>
      </c>
      <c r="D97" s="2995"/>
      <c r="E97" s="2995"/>
      <c r="F97" s="2996" t="s">
        <v>1001</v>
      </c>
      <c r="G97" s="2997" t="s">
        <v>4574</v>
      </c>
      <c r="H97" s="2995" t="s">
        <v>4800</v>
      </c>
      <c r="I97" s="3080">
        <f t="shared" si="4"/>
        <v>254729</v>
      </c>
      <c r="J97" s="2998"/>
      <c r="K97" s="3219"/>
      <c r="L97" s="3070">
        <f>122404+4400+(118325+7600+2000)</f>
        <v>254729</v>
      </c>
      <c r="M97" s="3069"/>
      <c r="N97" s="2644"/>
      <c r="O97" s="3535">
        <v>268728</v>
      </c>
      <c r="P97" s="51" t="s">
        <v>5069</v>
      </c>
    </row>
    <row r="98" spans="1:17" ht="24" thickBot="1">
      <c r="A98" s="2740"/>
      <c r="B98" s="16"/>
      <c r="C98" s="3534"/>
      <c r="D98" s="2999"/>
      <c r="E98" s="2999"/>
      <c r="F98" s="3000" t="s">
        <v>1001</v>
      </c>
      <c r="G98" s="3001" t="s">
        <v>4574</v>
      </c>
      <c r="H98" s="2999" t="s">
        <v>5169</v>
      </c>
      <c r="I98" s="3081">
        <f t="shared" si="4"/>
        <v>14000</v>
      </c>
      <c r="J98" s="3002"/>
      <c r="K98" s="3220"/>
      <c r="L98" s="3072">
        <v>14000</v>
      </c>
      <c r="M98" s="3071"/>
      <c r="N98" s="2732"/>
      <c r="O98" s="3536"/>
    </row>
    <row r="99" spans="1:17" ht="121.95" customHeight="1">
      <c r="A99" s="2740"/>
      <c r="B99" s="16"/>
      <c r="C99" s="404">
        <v>62</v>
      </c>
      <c r="D99" s="2450"/>
      <c r="E99" s="2450"/>
      <c r="F99" s="2451" t="s">
        <v>1001</v>
      </c>
      <c r="G99" s="2452" t="s">
        <v>4574</v>
      </c>
      <c r="H99" s="2992" t="s">
        <v>4590</v>
      </c>
      <c r="I99" s="3082">
        <f t="shared" si="4"/>
        <v>613434</v>
      </c>
      <c r="J99" s="2453"/>
      <c r="K99" s="3221">
        <f>613434-L99-M99</f>
        <v>193434</v>
      </c>
      <c r="L99" s="3076">
        <f>270000+150000</f>
        <v>420000</v>
      </c>
      <c r="M99" s="3075"/>
      <c r="N99" s="2886"/>
      <c r="O99" s="2994">
        <v>635250</v>
      </c>
      <c r="P99" s="93" t="s">
        <v>4591</v>
      </c>
    </row>
    <row r="100" spans="1:17" s="16" customFormat="1" ht="12">
      <c r="A100" s="2740"/>
      <c r="B100" s="16" t="s">
        <v>1667</v>
      </c>
      <c r="C100" s="261">
        <v>63</v>
      </c>
      <c r="D100" s="449"/>
      <c r="E100" s="449"/>
      <c r="F100" s="2664" t="s">
        <v>709</v>
      </c>
      <c r="G100" s="2665" t="s">
        <v>709</v>
      </c>
      <c r="H100" s="2666" t="s">
        <v>4623</v>
      </c>
      <c r="I100" s="3083">
        <f t="shared" si="4"/>
        <v>59199</v>
      </c>
      <c r="J100" s="291"/>
      <c r="K100" s="3045">
        <f>59199-M100</f>
        <v>9500</v>
      </c>
      <c r="L100" s="3047"/>
      <c r="M100" s="2984">
        <f>47733+1966</f>
        <v>49699</v>
      </c>
      <c r="N100" s="291"/>
      <c r="O100" s="2849">
        <v>262933.5</v>
      </c>
      <c r="P100" s="51"/>
      <c r="Q100" s="296"/>
    </row>
    <row r="101" spans="1:17" ht="21" customHeight="1">
      <c r="A101" s="2740"/>
      <c r="B101" s="16"/>
      <c r="C101" s="16"/>
      <c r="D101" s="261"/>
      <c r="E101" s="261"/>
      <c r="F101" s="289" t="s">
        <v>709</v>
      </c>
      <c r="G101" s="261" t="s">
        <v>709</v>
      </c>
      <c r="H101" s="2890" t="s">
        <v>4523</v>
      </c>
      <c r="I101" s="3109">
        <f t="shared" ref="I101:I104" si="13">SUM(K101:M101)</f>
        <v>19470</v>
      </c>
      <c r="J101" s="291"/>
      <c r="K101" s="3047">
        <f>20922-K102</f>
        <v>19470</v>
      </c>
      <c r="L101" s="3067"/>
      <c r="M101" s="3067"/>
      <c r="N101" s="291"/>
      <c r="O101" s="2837"/>
      <c r="P101" s="3" t="s">
        <v>5265</v>
      </c>
      <c r="Q101"/>
    </row>
    <row r="102" spans="1:17" ht="21" customHeight="1">
      <c r="A102" s="2740"/>
      <c r="B102" s="16"/>
      <c r="C102" s="16"/>
      <c r="D102" s="261"/>
      <c r="E102" s="261"/>
      <c r="F102" s="3304" t="s">
        <v>308</v>
      </c>
      <c r="G102" s="261" t="s">
        <v>1911</v>
      </c>
      <c r="H102" s="2890" t="s">
        <v>5263</v>
      </c>
      <c r="I102" s="3109">
        <f t="shared" si="13"/>
        <v>1452</v>
      </c>
      <c r="J102" s="291"/>
      <c r="K102" s="3047">
        <v>1452</v>
      </c>
      <c r="L102" s="3067"/>
      <c r="M102" s="3067"/>
      <c r="N102" s="291"/>
      <c r="O102" s="2837"/>
      <c r="P102" s="3" t="s">
        <v>5264</v>
      </c>
      <c r="Q102"/>
    </row>
    <row r="103" spans="1:17" ht="21" customHeight="1">
      <c r="A103" s="2740"/>
      <c r="B103" s="16"/>
      <c r="C103" s="16"/>
      <c r="D103" s="261"/>
      <c r="E103" s="261"/>
      <c r="F103" s="289" t="s">
        <v>709</v>
      </c>
      <c r="G103" s="261" t="s">
        <v>709</v>
      </c>
      <c r="H103" s="2889" t="s">
        <v>4519</v>
      </c>
      <c r="I103" s="3109">
        <f t="shared" si="13"/>
        <v>7994</v>
      </c>
      <c r="J103" s="291"/>
      <c r="K103" s="3047">
        <v>7994</v>
      </c>
      <c r="L103" s="3067"/>
      <c r="M103" s="3067"/>
      <c r="N103" s="291"/>
      <c r="O103" s="2837"/>
      <c r="P103" s="3" t="s">
        <v>5072</v>
      </c>
      <c r="Q103"/>
    </row>
    <row r="104" spans="1:17" ht="12">
      <c r="A104" s="2740"/>
      <c r="B104" s="16"/>
      <c r="C104" s="261"/>
      <c r="D104" s="261"/>
      <c r="E104" s="261"/>
      <c r="F104" s="1386" t="s">
        <v>709</v>
      </c>
      <c r="G104" s="261" t="s">
        <v>709</v>
      </c>
      <c r="H104" s="2458" t="s">
        <v>5055</v>
      </c>
      <c r="I104" s="3109">
        <f t="shared" si="13"/>
        <v>250000</v>
      </c>
      <c r="J104" s="291"/>
      <c r="K104" s="3047">
        <v>250000</v>
      </c>
      <c r="L104" s="3047"/>
      <c r="M104" s="3067"/>
      <c r="N104" s="291"/>
      <c r="O104" s="2837"/>
      <c r="P104" s="3" t="s">
        <v>4651</v>
      </c>
    </row>
    <row r="105" spans="1:17" s="16" customFormat="1" ht="23.4">
      <c r="A105" s="2740"/>
      <c r="B105" s="16" t="s">
        <v>1667</v>
      </c>
      <c r="C105" s="261">
        <v>64</v>
      </c>
      <c r="D105" s="289"/>
      <c r="E105" s="289"/>
      <c r="F105" s="2582" t="s">
        <v>3371</v>
      </c>
      <c r="G105" s="2583" t="s">
        <v>104</v>
      </c>
      <c r="H105" s="2580" t="s">
        <v>4624</v>
      </c>
      <c r="I105" s="3091">
        <f t="shared" si="4"/>
        <v>42376</v>
      </c>
      <c r="J105" s="291"/>
      <c r="K105" s="3045">
        <v>0</v>
      </c>
      <c r="L105" s="3046">
        <v>42376</v>
      </c>
      <c r="M105" s="3047">
        <v>0</v>
      </c>
      <c r="N105" s="291"/>
      <c r="O105" s="3550">
        <f>SUM(I105:I111)</f>
        <v>68285</v>
      </c>
      <c r="P105" s="51"/>
      <c r="Q105" s="296"/>
    </row>
    <row r="106" spans="1:17" s="16" customFormat="1" ht="22.8">
      <c r="A106" s="2738"/>
      <c r="B106" s="16" t="s">
        <v>1667</v>
      </c>
      <c r="C106" s="261">
        <v>65</v>
      </c>
      <c r="D106" s="289"/>
      <c r="E106" s="289"/>
      <c r="F106" s="2582" t="s">
        <v>3374</v>
      </c>
      <c r="G106" s="2583" t="s">
        <v>4629</v>
      </c>
      <c r="H106" s="2580" t="s">
        <v>4625</v>
      </c>
      <c r="I106" s="3091">
        <f t="shared" si="4"/>
        <v>1221</v>
      </c>
      <c r="J106" s="291"/>
      <c r="K106" s="3045">
        <v>0</v>
      </c>
      <c r="L106" s="3046">
        <v>1221</v>
      </c>
      <c r="M106" s="3047">
        <v>0</v>
      </c>
      <c r="N106" s="291"/>
      <c r="O106" s="3550"/>
      <c r="P106" s="129"/>
      <c r="Q106" s="296"/>
    </row>
    <row r="107" spans="1:17" s="16" customFormat="1" ht="22.8">
      <c r="A107" s="2738"/>
      <c r="B107" s="16" t="s">
        <v>775</v>
      </c>
      <c r="C107" s="261">
        <v>66</v>
      </c>
      <c r="D107" s="289"/>
      <c r="E107" s="289"/>
      <c r="F107" s="2582" t="s">
        <v>3375</v>
      </c>
      <c r="G107" s="2583" t="s">
        <v>1992</v>
      </c>
      <c r="H107" s="2580" t="s">
        <v>4626</v>
      </c>
      <c r="I107" s="3091">
        <f t="shared" si="4"/>
        <v>15473</v>
      </c>
      <c r="J107" s="291"/>
      <c r="K107" s="3045">
        <v>0</v>
      </c>
      <c r="L107" s="3046">
        <v>15473</v>
      </c>
      <c r="M107" s="3047">
        <v>0</v>
      </c>
      <c r="N107" s="291"/>
      <c r="O107" s="3550"/>
      <c r="P107" s="129"/>
      <c r="Q107" s="296"/>
    </row>
    <row r="108" spans="1:17" s="16" customFormat="1" ht="22.8">
      <c r="A108" s="2738"/>
      <c r="B108" s="16" t="s">
        <v>775</v>
      </c>
      <c r="C108" s="261">
        <v>67</v>
      </c>
      <c r="D108" s="289"/>
      <c r="E108" s="289"/>
      <c r="F108" s="2582" t="s">
        <v>3377</v>
      </c>
      <c r="G108" s="2583" t="s">
        <v>713</v>
      </c>
      <c r="H108" s="2580" t="s">
        <v>4627</v>
      </c>
      <c r="I108" s="3091">
        <f t="shared" si="4"/>
        <v>2219</v>
      </c>
      <c r="J108" s="291"/>
      <c r="K108" s="3045">
        <v>0</v>
      </c>
      <c r="L108" s="3047">
        <v>2219</v>
      </c>
      <c r="M108" s="3047">
        <v>0</v>
      </c>
      <c r="N108" s="291"/>
      <c r="O108" s="3550"/>
      <c r="P108" s="129"/>
      <c r="Q108" s="296"/>
    </row>
    <row r="109" spans="1:17" s="16" customFormat="1" ht="22.8">
      <c r="A109" s="2738"/>
      <c r="B109" s="16" t="s">
        <v>1667</v>
      </c>
      <c r="C109" s="261">
        <v>68</v>
      </c>
      <c r="D109" s="289"/>
      <c r="E109" s="289"/>
      <c r="F109" s="2582" t="s">
        <v>1274</v>
      </c>
      <c r="G109" s="2583" t="s">
        <v>1262</v>
      </c>
      <c r="H109" s="2580" t="s">
        <v>4628</v>
      </c>
      <c r="I109" s="3091">
        <f t="shared" si="4"/>
        <v>2857</v>
      </c>
      <c r="J109" s="291"/>
      <c r="K109" s="3045">
        <v>0</v>
      </c>
      <c r="L109" s="3047">
        <v>2857</v>
      </c>
      <c r="M109" s="3047">
        <v>0</v>
      </c>
      <c r="N109" s="291"/>
      <c r="O109" s="3550"/>
      <c r="P109" s="129"/>
      <c r="Q109" s="296"/>
    </row>
    <row r="110" spans="1:17" s="16" customFormat="1" ht="22.8">
      <c r="A110" s="2738"/>
      <c r="B110" s="16" t="s">
        <v>1667</v>
      </c>
      <c r="C110" s="261">
        <v>69</v>
      </c>
      <c r="D110" s="289"/>
      <c r="E110" s="289"/>
      <c r="F110" s="2582" t="s">
        <v>3381</v>
      </c>
      <c r="G110" s="2583" t="s">
        <v>4631</v>
      </c>
      <c r="H110" s="2580" t="s">
        <v>4630</v>
      </c>
      <c r="I110" s="3091">
        <f t="shared" si="4"/>
        <v>1643</v>
      </c>
      <c r="J110" s="291"/>
      <c r="K110" s="3045">
        <v>0</v>
      </c>
      <c r="L110" s="3046">
        <v>1643</v>
      </c>
      <c r="M110" s="3047">
        <v>0</v>
      </c>
      <c r="N110" s="291"/>
      <c r="O110" s="3550"/>
      <c r="P110" s="129"/>
      <c r="Q110" s="296"/>
    </row>
    <row r="111" spans="1:17" s="16" customFormat="1" ht="22.8">
      <c r="A111" s="2738"/>
      <c r="B111" s="16" t="s">
        <v>775</v>
      </c>
      <c r="C111" s="261">
        <v>70</v>
      </c>
      <c r="D111" s="289"/>
      <c r="E111" s="289"/>
      <c r="F111" s="2582" t="s">
        <v>3382</v>
      </c>
      <c r="G111" s="2583" t="s">
        <v>1298</v>
      </c>
      <c r="H111" s="2580" t="s">
        <v>4632</v>
      </c>
      <c r="I111" s="3091">
        <f t="shared" si="4"/>
        <v>2496</v>
      </c>
      <c r="J111" s="291"/>
      <c r="K111" s="3045">
        <v>0</v>
      </c>
      <c r="L111" s="3047">
        <v>2496</v>
      </c>
      <c r="M111" s="3047">
        <v>0</v>
      </c>
      <c r="N111" s="291"/>
      <c r="O111" s="3550"/>
      <c r="P111" s="129"/>
      <c r="Q111" s="296"/>
    </row>
    <row r="112" spans="1:17" s="14" customFormat="1" ht="23.4" thickBot="1">
      <c r="A112" s="2737"/>
      <c r="B112" s="2770"/>
      <c r="C112" s="261">
        <v>71</v>
      </c>
      <c r="D112" s="289"/>
      <c r="E112" s="289"/>
      <c r="F112" s="2582" t="s">
        <v>1638</v>
      </c>
      <c r="G112" s="2583" t="s">
        <v>1639</v>
      </c>
      <c r="H112" s="2580" t="s">
        <v>4698</v>
      </c>
      <c r="I112" s="3091">
        <f>SUBTOTAL(9,K112:M112)</f>
        <v>9634.02</v>
      </c>
      <c r="J112" s="291"/>
      <c r="K112" s="3247">
        <f>7962*1.21</f>
        <v>9634.02</v>
      </c>
      <c r="L112" s="3047"/>
      <c r="M112" s="3047"/>
      <c r="N112" s="291"/>
      <c r="O112" s="2849"/>
      <c r="P112" s="180" t="s">
        <v>5224</v>
      </c>
    </row>
    <row r="113" spans="1:18" ht="12" thickTop="1">
      <c r="B113" s="16" t="s">
        <v>1666</v>
      </c>
      <c r="C113" s="261">
        <v>72</v>
      </c>
      <c r="D113" s="448"/>
      <c r="E113" s="448"/>
      <c r="F113" s="1393" t="s">
        <v>801</v>
      </c>
      <c r="G113" s="448" t="s">
        <v>363</v>
      </c>
      <c r="H113" s="3117" t="s">
        <v>4984</v>
      </c>
      <c r="I113" s="649">
        <f>SUM(K113:M113)</f>
        <v>19174</v>
      </c>
      <c r="J113" s="2657"/>
      <c r="K113" s="278">
        <v>3328</v>
      </c>
      <c r="L113" s="278">
        <f>15132+714</f>
        <v>15846</v>
      </c>
      <c r="M113" s="278"/>
      <c r="N113" s="291"/>
      <c r="O113" s="2849"/>
      <c r="P113" s="410" t="s">
        <v>2287</v>
      </c>
      <c r="Q113" s="287" t="s">
        <v>5326</v>
      </c>
      <c r="R113" t="s">
        <v>5327</v>
      </c>
    </row>
    <row r="114" spans="1:18" ht="22.8">
      <c r="B114" s="16" t="s">
        <v>1666</v>
      </c>
      <c r="C114" s="261">
        <v>73</v>
      </c>
      <c r="D114" s="2449"/>
      <c r="E114" s="2449"/>
      <c r="F114" s="2690" t="s">
        <v>3146</v>
      </c>
      <c r="G114" s="2449" t="s">
        <v>363</v>
      </c>
      <c r="H114" s="2691" t="s">
        <v>4837</v>
      </c>
      <c r="I114" s="3283">
        <f>SUM(K114:M114)</f>
        <v>83359.61</v>
      </c>
      <c r="J114" s="2657"/>
      <c r="K114" s="3229">
        <f>7563.71+6647.18</f>
        <v>14210.89</v>
      </c>
      <c r="L114" s="278">
        <f>50424.72+13066+5658</f>
        <v>69148.72</v>
      </c>
      <c r="M114" s="278"/>
      <c r="N114" s="291"/>
      <c r="O114" s="2849">
        <v>226889.89</v>
      </c>
      <c r="P114" s="410" t="s">
        <v>4866</v>
      </c>
      <c r="Q114" s="287">
        <f>14210.89+0.11</f>
        <v>14211</v>
      </c>
      <c r="R114" s="13">
        <v>9946.0126086956443</v>
      </c>
    </row>
    <row r="115" spans="1:18">
      <c r="B115" s="16" t="s">
        <v>1666</v>
      </c>
      <c r="C115" s="261">
        <v>74</v>
      </c>
      <c r="D115" s="2449"/>
      <c r="E115" s="2449"/>
      <c r="F115" s="2690" t="s">
        <v>3151</v>
      </c>
      <c r="G115" s="2449" t="s">
        <v>363</v>
      </c>
      <c r="H115" s="3257" t="s">
        <v>4867</v>
      </c>
      <c r="I115" s="3118">
        <f>SUM(K115:M115)</f>
        <v>41749</v>
      </c>
      <c r="J115" s="2657"/>
      <c r="K115" s="278"/>
      <c r="L115" s="278">
        <v>41749</v>
      </c>
      <c r="M115" s="278"/>
      <c r="N115" s="291"/>
      <c r="O115" s="2849"/>
      <c r="P115" s="2692" t="s">
        <v>5227</v>
      </c>
      <c r="R115" s="18">
        <f>Q114-R114</f>
        <v>4264.9873913043557</v>
      </c>
    </row>
    <row r="116" spans="1:18" s="16" customFormat="1">
      <c r="A116" s="2738"/>
      <c r="B116" s="16" t="s">
        <v>1667</v>
      </c>
      <c r="C116" s="261">
        <v>75</v>
      </c>
      <c r="D116" s="2640"/>
      <c r="E116" s="2640"/>
      <c r="F116" s="1387" t="s">
        <v>660</v>
      </c>
      <c r="G116" s="449" t="s">
        <v>104</v>
      </c>
      <c r="H116" s="449" t="s">
        <v>714</v>
      </c>
      <c r="I116" s="406">
        <f t="shared" ref="I116:I120" si="14">SUM(K116:M116)</f>
        <v>42102</v>
      </c>
      <c r="J116" s="291"/>
      <c r="K116" s="334"/>
      <c r="L116" s="278">
        <f>102+42000</f>
        <v>42102</v>
      </c>
      <c r="M116" s="278"/>
      <c r="N116" s="291"/>
      <c r="O116" s="2849"/>
      <c r="P116" s="180"/>
      <c r="Q116" s="296"/>
    </row>
    <row r="117" spans="1:18" s="16" customFormat="1">
      <c r="A117" s="2738"/>
      <c r="B117" s="16" t="s">
        <v>1667</v>
      </c>
      <c r="C117" s="261">
        <v>76</v>
      </c>
      <c r="D117" s="290"/>
      <c r="E117" s="290"/>
      <c r="F117" s="1386" t="s">
        <v>750</v>
      </c>
      <c r="G117" s="289" t="s">
        <v>104</v>
      </c>
      <c r="H117" s="289" t="s">
        <v>1259</v>
      </c>
      <c r="I117" s="278">
        <f t="shared" si="14"/>
        <v>70991</v>
      </c>
      <c r="J117" s="291"/>
      <c r="K117" s="334"/>
      <c r="L117" s="278">
        <v>70991</v>
      </c>
      <c r="M117" s="278"/>
      <c r="N117" s="291"/>
      <c r="O117" s="2849"/>
      <c r="P117" s="3"/>
      <c r="Q117" s="296"/>
    </row>
    <row r="118" spans="1:18" s="16" customFormat="1">
      <c r="A118" s="2738"/>
      <c r="B118" s="16" t="s">
        <v>775</v>
      </c>
      <c r="C118" s="261">
        <v>77</v>
      </c>
      <c r="D118" s="290"/>
      <c r="E118" s="290"/>
      <c r="F118" s="1386" t="s">
        <v>799</v>
      </c>
      <c r="G118" s="289" t="s">
        <v>1992</v>
      </c>
      <c r="H118" s="289" t="s">
        <v>977</v>
      </c>
      <c r="I118" s="278">
        <f t="shared" si="14"/>
        <v>17776</v>
      </c>
      <c r="J118" s="291"/>
      <c r="K118" s="334"/>
      <c r="L118" s="278">
        <f>1796+15980</f>
        <v>17776</v>
      </c>
      <c r="M118" s="278"/>
      <c r="N118" s="291"/>
      <c r="O118" s="2849"/>
      <c r="P118" s="3"/>
      <c r="Q118" s="296"/>
    </row>
    <row r="119" spans="1:18" s="16" customFormat="1">
      <c r="A119" s="2738"/>
      <c r="B119" s="16" t="s">
        <v>775</v>
      </c>
      <c r="C119" s="261">
        <v>78</v>
      </c>
      <c r="D119" s="290"/>
      <c r="E119" s="290"/>
      <c r="F119" s="1386" t="s">
        <v>1031</v>
      </c>
      <c r="G119" s="289" t="s">
        <v>1992</v>
      </c>
      <c r="H119" s="289" t="s">
        <v>2931</v>
      </c>
      <c r="I119" s="288">
        <f t="shared" si="14"/>
        <v>40988</v>
      </c>
      <c r="J119" s="291"/>
      <c r="K119" s="334">
        <v>8888.4</v>
      </c>
      <c r="L119" s="288">
        <f>40988-K119</f>
        <v>32099.599999999999</v>
      </c>
      <c r="M119" s="278"/>
      <c r="N119" s="291"/>
      <c r="O119" s="2849"/>
      <c r="P119" s="3"/>
      <c r="Q119" s="296"/>
    </row>
    <row r="120" spans="1:18" s="16" customFormat="1">
      <c r="A120" s="2738"/>
      <c r="B120" s="16" t="s">
        <v>775</v>
      </c>
      <c r="C120" s="261">
        <v>79</v>
      </c>
      <c r="D120" s="290"/>
      <c r="E120" s="290"/>
      <c r="F120" s="1386" t="s">
        <v>1553</v>
      </c>
      <c r="G120" s="289" t="s">
        <v>1992</v>
      </c>
      <c r="H120" s="289" t="s">
        <v>2932</v>
      </c>
      <c r="I120" s="288">
        <f t="shared" si="14"/>
        <v>25608</v>
      </c>
      <c r="J120" s="291"/>
      <c r="K120" s="334">
        <v>4268</v>
      </c>
      <c r="L120" s="288">
        <f>25608-K120</f>
        <v>21340</v>
      </c>
      <c r="M120" s="278"/>
      <c r="N120" s="291"/>
      <c r="O120" s="2849"/>
      <c r="P120" s="3"/>
      <c r="Q120" s="296"/>
    </row>
    <row r="121" spans="1:18" ht="12">
      <c r="D121" s="82"/>
      <c r="E121" s="82"/>
      <c r="F121" s="1167"/>
      <c r="G121" s="264"/>
      <c r="H121" s="269" t="s">
        <v>1279</v>
      </c>
      <c r="I121" s="2769">
        <f>SUM(I40:I120)</f>
        <v>24902312.615542617</v>
      </c>
      <c r="J121" s="336"/>
      <c r="K121" s="335">
        <f>SUM(K40:K120)</f>
        <v>3320445.1859999998</v>
      </c>
      <c r="L121" s="335">
        <f>SUM(L40:L120)</f>
        <v>11274865.880542617</v>
      </c>
      <c r="M121" s="335">
        <f>SUM(M40:M120)</f>
        <v>10307001.549000002</v>
      </c>
      <c r="N121" s="291"/>
      <c r="O121" s="2855"/>
      <c r="P121" s="3"/>
    </row>
    <row r="122" spans="1:18" ht="14.4" customHeight="1">
      <c r="D122" s="82"/>
      <c r="E122" s="82"/>
      <c r="F122" s="1167"/>
      <c r="G122" s="264"/>
      <c r="H122" s="343"/>
      <c r="I122" s="336"/>
      <c r="J122" s="336"/>
      <c r="K122" s="336"/>
      <c r="L122" s="336"/>
      <c r="M122" s="2856"/>
      <c r="N122" s="291"/>
      <c r="O122" s="336"/>
    </row>
    <row r="123" spans="1:18" ht="12" hidden="1" outlineLevel="1">
      <c r="B123" s="362" t="s">
        <v>1667</v>
      </c>
      <c r="D123" s="82"/>
      <c r="E123" s="82"/>
      <c r="F123" s="1167"/>
      <c r="G123" s="264"/>
      <c r="H123" s="343"/>
      <c r="I123" s="450">
        <f>SUMIF($B$42:$B$120,$B123,I$42:I$120)</f>
        <v>15290012.786242619</v>
      </c>
      <c r="J123" s="336"/>
      <c r="K123" s="450">
        <f t="shared" ref="K123:M125" si="15">SUMIF($B$42:$B$120,$B123,K$42:K$120)</f>
        <v>1667802.3874999997</v>
      </c>
      <c r="L123" s="450">
        <f t="shared" si="15"/>
        <v>4672422.8497426184</v>
      </c>
      <c r="M123" s="450">
        <f t="shared" si="15"/>
        <v>8949787.5490000006</v>
      </c>
      <c r="N123" s="291"/>
      <c r="O123" s="450"/>
      <c r="Q123"/>
    </row>
    <row r="124" spans="1:18" ht="12" hidden="1" outlineLevel="1">
      <c r="B124" s="362" t="s">
        <v>775</v>
      </c>
      <c r="D124" s="82"/>
      <c r="E124" s="82"/>
      <c r="F124" s="1167"/>
      <c r="G124" s="264"/>
      <c r="H124" s="343"/>
      <c r="I124" s="450">
        <f>SUMIF($B$42:$B$120,$B124,I$42:I$120)</f>
        <v>6220788.7593</v>
      </c>
      <c r="J124" s="336"/>
      <c r="K124" s="450">
        <f t="shared" si="15"/>
        <v>612355.39850000001</v>
      </c>
      <c r="L124" s="450">
        <f t="shared" si="15"/>
        <v>4730699.3607999999</v>
      </c>
      <c r="M124" s="450">
        <f t="shared" si="15"/>
        <v>877734</v>
      </c>
      <c r="N124" s="291"/>
      <c r="O124" s="450"/>
      <c r="Q124"/>
    </row>
    <row r="125" spans="1:18" ht="12" hidden="1" outlineLevel="1">
      <c r="B125" s="362" t="s">
        <v>1666</v>
      </c>
      <c r="D125" s="82"/>
      <c r="E125" s="82"/>
      <c r="F125" s="1167"/>
      <c r="G125" s="264"/>
      <c r="H125" s="343"/>
      <c r="I125" s="450">
        <f>SUMIF($B$42:$B$120,$B125,I$42:I$120)</f>
        <v>209502.06</v>
      </c>
      <c r="J125" s="336"/>
      <c r="K125" s="450">
        <f t="shared" si="15"/>
        <v>23538.89</v>
      </c>
      <c r="L125" s="450">
        <f t="shared" si="15"/>
        <v>185963.16999999998</v>
      </c>
      <c r="M125" s="450">
        <f t="shared" si="15"/>
        <v>0</v>
      </c>
      <c r="N125" s="291"/>
      <c r="O125" s="450"/>
      <c r="Q125"/>
    </row>
    <row r="126" spans="1:18" ht="12" collapsed="1">
      <c r="D126" s="82"/>
      <c r="E126" s="82"/>
      <c r="F126" s="1167"/>
      <c r="G126" s="264"/>
      <c r="H126" s="343"/>
      <c r="I126" s="336"/>
      <c r="J126" s="336"/>
      <c r="K126" s="336"/>
      <c r="L126" s="336"/>
      <c r="M126" s="336"/>
      <c r="N126" s="291"/>
      <c r="O126" s="336"/>
    </row>
    <row r="127" spans="1:18" ht="13.2">
      <c r="F127" s="1384" t="s">
        <v>4974</v>
      </c>
      <c r="I127" s="135"/>
      <c r="J127" s="291"/>
      <c r="K127" s="135"/>
      <c r="L127" s="135"/>
      <c r="M127" s="135"/>
      <c r="N127" s="291"/>
      <c r="O127" s="135"/>
      <c r="Q127" s="1187"/>
    </row>
    <row r="128" spans="1:18" ht="12" customHeight="1">
      <c r="B128" s="3554"/>
      <c r="C128" s="3538" t="s">
        <v>711</v>
      </c>
      <c r="D128" s="3538" t="s">
        <v>516</v>
      </c>
      <c r="E128" s="3538" t="s">
        <v>517</v>
      </c>
      <c r="F128" s="3555" t="s">
        <v>1261</v>
      </c>
      <c r="G128" s="3555" t="s">
        <v>1241</v>
      </c>
      <c r="H128" s="3538" t="s">
        <v>1278</v>
      </c>
      <c r="I128" s="3541" t="s">
        <v>963</v>
      </c>
      <c r="J128" s="337"/>
      <c r="K128" s="3543" t="s">
        <v>1250</v>
      </c>
      <c r="L128" s="3543"/>
      <c r="M128" s="3543"/>
      <c r="N128" s="291"/>
      <c r="O128" s="51"/>
    </row>
    <row r="129" spans="2:16" ht="24">
      <c r="B129" s="3554"/>
      <c r="C129" s="3538"/>
      <c r="D129" s="3538"/>
      <c r="E129" s="3538"/>
      <c r="F129" s="3555"/>
      <c r="G129" s="3555"/>
      <c r="H129" s="3538"/>
      <c r="I129" s="3541"/>
      <c r="J129" s="337"/>
      <c r="K129" s="298" t="s">
        <v>329</v>
      </c>
      <c r="L129" s="298" t="s">
        <v>962</v>
      </c>
      <c r="M129" s="338" t="s">
        <v>712</v>
      </c>
      <c r="N129" s="291"/>
      <c r="O129" s="51"/>
    </row>
    <row r="130" spans="2:16" ht="34.200000000000003">
      <c r="B130" s="16" t="s">
        <v>1666</v>
      </c>
      <c r="C130" s="261"/>
      <c r="D130" s="404"/>
      <c r="E130" s="404"/>
      <c r="F130" s="1387" t="s">
        <v>310</v>
      </c>
      <c r="G130" s="404" t="s">
        <v>1633</v>
      </c>
      <c r="H130" s="405" t="s">
        <v>2731</v>
      </c>
      <c r="I130" s="1335">
        <f>SUM(K130:M130)</f>
        <v>870</v>
      </c>
      <c r="J130" s="291"/>
      <c r="K130" s="406">
        <v>870</v>
      </c>
      <c r="L130" s="406"/>
      <c r="M130" s="406"/>
      <c r="N130" s="291"/>
      <c r="O130" s="2746">
        <f>K130</f>
        <v>870</v>
      </c>
    </row>
    <row r="131" spans="2:16" ht="34.200000000000003">
      <c r="B131" s="16" t="s">
        <v>1666</v>
      </c>
      <c r="C131" s="261"/>
      <c r="D131" s="261"/>
      <c r="E131" s="261"/>
      <c r="F131" s="1386" t="s">
        <v>310</v>
      </c>
      <c r="G131" s="261" t="s">
        <v>1633</v>
      </c>
      <c r="H131" s="279" t="s">
        <v>2732</v>
      </c>
      <c r="I131" s="1328">
        <f>SUM(K131:M131)</f>
        <v>550</v>
      </c>
      <c r="J131" s="291"/>
      <c r="K131" s="278">
        <v>550</v>
      </c>
      <c r="L131" s="278"/>
      <c r="M131" s="278"/>
      <c r="N131" s="291"/>
      <c r="O131" s="2746">
        <f t="shared" ref="O131:O132" si="16">K131</f>
        <v>550</v>
      </c>
      <c r="P131" s="407"/>
    </row>
    <row r="132" spans="2:16" ht="22.8">
      <c r="B132" s="16"/>
      <c r="C132" s="2733"/>
      <c r="D132" s="2733"/>
      <c r="E132" s="2733"/>
      <c r="F132" s="1393" t="s">
        <v>310</v>
      </c>
      <c r="G132" s="2733" t="s">
        <v>1633</v>
      </c>
      <c r="H132" s="648" t="s">
        <v>5034</v>
      </c>
      <c r="I132" s="2977">
        <f>K132+L132</f>
        <v>600</v>
      </c>
      <c r="J132" s="2657"/>
      <c r="K132" s="570">
        <v>600</v>
      </c>
      <c r="L132" s="570"/>
      <c r="M132" s="649"/>
      <c r="N132" s="291"/>
      <c r="O132" s="2746">
        <f t="shared" si="16"/>
        <v>600</v>
      </c>
      <c r="P132" s="1171"/>
    </row>
    <row r="133" spans="2:16" ht="12" thickBot="1">
      <c r="B133" s="16"/>
      <c r="C133" s="1242"/>
      <c r="D133" s="1242"/>
      <c r="E133" s="1242"/>
      <c r="F133" s="2780" t="s">
        <v>310</v>
      </c>
      <c r="G133" s="1242" t="s">
        <v>1633</v>
      </c>
      <c r="H133" s="2443" t="s">
        <v>2844</v>
      </c>
      <c r="I133" s="2978">
        <f>K133+L133</f>
        <v>10000</v>
      </c>
      <c r="J133" s="1337"/>
      <c r="K133" s="3266">
        <f>2*2000+6000</f>
        <v>10000</v>
      </c>
      <c r="L133" s="2844"/>
      <c r="M133" s="1340"/>
      <c r="N133" s="291"/>
      <c r="O133" s="2746">
        <f>K133-6000</f>
        <v>4000</v>
      </c>
      <c r="P133" s="1171"/>
    </row>
    <row r="134" spans="2:16" ht="12" thickTop="1">
      <c r="B134" s="16" t="s">
        <v>1666</v>
      </c>
      <c r="C134" s="404"/>
      <c r="D134" s="404" t="s">
        <v>985</v>
      </c>
      <c r="E134" s="404"/>
      <c r="F134" s="1387" t="s">
        <v>1035</v>
      </c>
      <c r="G134" s="404" t="s">
        <v>1633</v>
      </c>
      <c r="H134" s="405" t="s">
        <v>1243</v>
      </c>
      <c r="I134" s="2979">
        <f t="shared" ref="I134:I144" si="17">SUM(K134:M134)</f>
        <v>40000</v>
      </c>
      <c r="J134" s="291"/>
      <c r="K134" s="455">
        <v>40000</v>
      </c>
      <c r="L134" s="2428"/>
      <c r="M134" s="2428"/>
      <c r="N134" s="291"/>
      <c r="O134" s="2746"/>
      <c r="P134" s="408"/>
    </row>
    <row r="135" spans="2:16" ht="22.8">
      <c r="B135" s="16" t="s">
        <v>1666</v>
      </c>
      <c r="C135" s="261"/>
      <c r="D135" s="261"/>
      <c r="E135" s="261"/>
      <c r="F135" s="1386" t="s">
        <v>1035</v>
      </c>
      <c r="G135" s="261" t="s">
        <v>1633</v>
      </c>
      <c r="H135" s="279" t="s">
        <v>2733</v>
      </c>
      <c r="I135" s="1328">
        <f>K135+L135</f>
        <v>150</v>
      </c>
      <c r="J135" s="291"/>
      <c r="K135" s="278">
        <v>150</v>
      </c>
      <c r="L135" s="288"/>
      <c r="M135" s="278"/>
      <c r="N135" s="291"/>
      <c r="O135" s="2746"/>
      <c r="P135" s="407"/>
    </row>
    <row r="136" spans="2:16" ht="34.200000000000003">
      <c r="B136" s="16"/>
      <c r="C136" s="422"/>
      <c r="D136" s="422"/>
      <c r="E136" s="422"/>
      <c r="F136" s="1386" t="s">
        <v>1035</v>
      </c>
      <c r="G136" s="261" t="s">
        <v>1633</v>
      </c>
      <c r="H136" s="447" t="s">
        <v>3640</v>
      </c>
      <c r="I136" s="2980">
        <f>SUM(K136:M136)</f>
        <v>1400</v>
      </c>
      <c r="J136" s="291"/>
      <c r="K136" s="457">
        <f>1000+400</f>
        <v>1400</v>
      </c>
      <c r="L136" s="456"/>
      <c r="M136" s="456"/>
      <c r="N136" s="291"/>
      <c r="O136" s="2746"/>
      <c r="P136" s="408"/>
    </row>
    <row r="137" spans="2:16" ht="32.25" customHeight="1" thickBot="1">
      <c r="B137" s="16" t="s">
        <v>1666</v>
      </c>
      <c r="C137" s="403"/>
      <c r="D137" s="403" t="s">
        <v>986</v>
      </c>
      <c r="E137" s="403"/>
      <c r="F137" s="1388" t="s">
        <v>1035</v>
      </c>
      <c r="G137" s="403" t="s">
        <v>1633</v>
      </c>
      <c r="H137" s="2429" t="s">
        <v>1244</v>
      </c>
      <c r="I137" s="1336">
        <f t="shared" si="17"/>
        <v>10000</v>
      </c>
      <c r="J137" s="1337"/>
      <c r="K137" s="1338">
        <v>10000</v>
      </c>
      <c r="L137" s="1336"/>
      <c r="M137" s="1336"/>
      <c r="N137" s="291"/>
      <c r="O137" s="2746"/>
      <c r="P137" s="408"/>
    </row>
    <row r="138" spans="2:16" ht="12" thickTop="1">
      <c r="B138" s="16" t="s">
        <v>1666</v>
      </c>
      <c r="C138" s="261"/>
      <c r="D138" s="261"/>
      <c r="E138" s="261"/>
      <c r="F138" s="1386" t="s">
        <v>4759</v>
      </c>
      <c r="G138" s="261" t="s">
        <v>2736</v>
      </c>
      <c r="H138" s="279" t="s">
        <v>2572</v>
      </c>
      <c r="I138" s="278">
        <f>SUM(K138:M138)</f>
        <v>15000</v>
      </c>
      <c r="J138" s="291"/>
      <c r="K138" s="278">
        <v>15000</v>
      </c>
      <c r="L138" s="456"/>
      <c r="M138" s="456"/>
      <c r="N138" s="291"/>
      <c r="P138" s="375"/>
    </row>
    <row r="139" spans="2:16" ht="12" thickBot="1">
      <c r="B139" s="16" t="s">
        <v>775</v>
      </c>
      <c r="C139" s="403"/>
      <c r="D139" s="403"/>
      <c r="E139" s="403"/>
      <c r="F139" s="1388" t="s">
        <v>4759</v>
      </c>
      <c r="G139" s="403" t="s">
        <v>2736</v>
      </c>
      <c r="H139" s="2429" t="s">
        <v>2859</v>
      </c>
      <c r="I139" s="2630">
        <f>SUM(K139:M139)</f>
        <v>8000</v>
      </c>
      <c r="J139" s="1337"/>
      <c r="K139" s="1338">
        <v>8000</v>
      </c>
      <c r="L139" s="1336"/>
      <c r="M139" s="1336"/>
      <c r="N139" s="291"/>
      <c r="P139" s="375"/>
    </row>
    <row r="140" spans="2:16" ht="12" thickTop="1">
      <c r="B140" s="16" t="s">
        <v>1666</v>
      </c>
      <c r="C140" s="404"/>
      <c r="D140" s="404"/>
      <c r="E140" s="404"/>
      <c r="F140" s="1387" t="s">
        <v>311</v>
      </c>
      <c r="G140" s="404" t="s">
        <v>1254</v>
      </c>
      <c r="H140" s="405" t="s">
        <v>1268</v>
      </c>
      <c r="I140" s="406">
        <f t="shared" si="17"/>
        <v>49380</v>
      </c>
      <c r="J140" s="291"/>
      <c r="K140" s="406">
        <f>43880+5500</f>
        <v>49380</v>
      </c>
      <c r="L140" s="406"/>
      <c r="M140" s="406"/>
      <c r="N140" s="291"/>
      <c r="P140" s="408" t="s">
        <v>1391</v>
      </c>
    </row>
    <row r="141" spans="2:16" ht="23.25" customHeight="1">
      <c r="B141" s="16" t="s">
        <v>1666</v>
      </c>
      <c r="C141" s="261"/>
      <c r="D141" s="261"/>
      <c r="E141" s="261"/>
      <c r="F141" s="1386" t="s">
        <v>311</v>
      </c>
      <c r="G141" s="261" t="s">
        <v>1254</v>
      </c>
      <c r="H141" s="279" t="s">
        <v>2919</v>
      </c>
      <c r="I141" s="278">
        <f t="shared" si="17"/>
        <v>11250</v>
      </c>
      <c r="J141" s="291"/>
      <c r="K141" s="278">
        <v>11250</v>
      </c>
      <c r="L141" s="278"/>
      <c r="M141" s="278"/>
      <c r="N141" s="291"/>
      <c r="P141" s="408" t="s">
        <v>2131</v>
      </c>
    </row>
    <row r="142" spans="2:16" ht="22.2" customHeight="1">
      <c r="B142" s="16"/>
      <c r="C142" s="261"/>
      <c r="D142" s="261"/>
      <c r="E142" s="261"/>
      <c r="F142" s="1386" t="s">
        <v>311</v>
      </c>
      <c r="G142" s="261" t="s">
        <v>1254</v>
      </c>
      <c r="H142" s="279" t="s">
        <v>5337</v>
      </c>
      <c r="I142" s="278">
        <f t="shared" si="17"/>
        <v>5000</v>
      </c>
      <c r="J142" s="291"/>
      <c r="K142" s="278">
        <v>5000</v>
      </c>
      <c r="L142" s="456"/>
      <c r="M142" s="456"/>
      <c r="N142" s="291"/>
      <c r="O142" s="2746"/>
      <c r="P142" s="408"/>
    </row>
    <row r="143" spans="2:16" ht="22.8">
      <c r="B143" s="16" t="s">
        <v>1666</v>
      </c>
      <c r="C143" s="261"/>
      <c r="D143" s="261"/>
      <c r="E143" s="261"/>
      <c r="F143" s="1386" t="s">
        <v>311</v>
      </c>
      <c r="G143" s="261" t="s">
        <v>1254</v>
      </c>
      <c r="H143" s="279" t="s">
        <v>3696</v>
      </c>
      <c r="I143" s="278">
        <f t="shared" si="17"/>
        <v>12000</v>
      </c>
      <c r="J143" s="291"/>
      <c r="K143" s="278">
        <v>12000</v>
      </c>
      <c r="L143" s="456"/>
      <c r="M143" s="456"/>
      <c r="N143" s="291"/>
      <c r="O143" s="2746"/>
      <c r="P143" s="408"/>
    </row>
    <row r="144" spans="2:16" ht="27.6" customHeight="1" thickBot="1">
      <c r="B144" s="16" t="s">
        <v>1666</v>
      </c>
      <c r="C144" s="403"/>
      <c r="D144" s="403"/>
      <c r="E144" s="403"/>
      <c r="F144" s="1388" t="s">
        <v>311</v>
      </c>
      <c r="G144" s="403" t="s">
        <v>1254</v>
      </c>
      <c r="H144" s="3237" t="s">
        <v>5047</v>
      </c>
      <c r="I144" s="278">
        <f t="shared" si="17"/>
        <v>124488</v>
      </c>
      <c r="J144" s="1337"/>
      <c r="K144" s="3236">
        <f>114488+10000</f>
        <v>124488</v>
      </c>
      <c r="L144" s="1336"/>
      <c r="M144" s="1336"/>
      <c r="N144" s="291"/>
      <c r="O144" s="2983" t="s">
        <v>5252</v>
      </c>
      <c r="P144" s="2857"/>
    </row>
    <row r="145" spans="1:25" ht="12" thickTop="1">
      <c r="B145" s="16" t="s">
        <v>1667</v>
      </c>
      <c r="C145" s="404"/>
      <c r="D145" s="404"/>
      <c r="E145" s="411"/>
      <c r="F145" s="1387" t="s">
        <v>1007</v>
      </c>
      <c r="G145" s="404" t="s">
        <v>92</v>
      </c>
      <c r="H145" s="405" t="s">
        <v>1255</v>
      </c>
      <c r="I145" s="406">
        <f t="shared" ref="I145:I152" si="18">SUM(K145:M145)</f>
        <v>19000</v>
      </c>
      <c r="J145" s="291"/>
      <c r="K145" s="406">
        <v>19000</v>
      </c>
      <c r="L145" s="406"/>
      <c r="M145" s="406"/>
      <c r="N145" s="291"/>
      <c r="O145" s="2746"/>
    </row>
    <row r="146" spans="1:25">
      <c r="B146" s="16" t="s">
        <v>1667</v>
      </c>
      <c r="C146" s="261"/>
      <c r="D146" s="412"/>
      <c r="E146" s="412"/>
      <c r="F146" s="1386" t="s">
        <v>1007</v>
      </c>
      <c r="G146" s="261" t="s">
        <v>92</v>
      </c>
      <c r="H146" s="3297" t="s">
        <v>1304</v>
      </c>
      <c r="I146" s="288">
        <f t="shared" si="18"/>
        <v>150000</v>
      </c>
      <c r="J146" s="402"/>
      <c r="K146" s="3299">
        <f>168000-28000+10000</f>
        <v>150000</v>
      </c>
      <c r="L146" s="278"/>
      <c r="M146" s="278"/>
      <c r="N146" s="291"/>
      <c r="O146" s="2746"/>
    </row>
    <row r="147" spans="1:25" s="51" customFormat="1">
      <c r="A147" s="2741"/>
      <c r="B147" s="16" t="s">
        <v>1667</v>
      </c>
      <c r="C147" s="266"/>
      <c r="D147" s="413"/>
      <c r="E147" s="413"/>
      <c r="F147" s="1386" t="s">
        <v>1007</v>
      </c>
      <c r="G147" s="266" t="s">
        <v>92</v>
      </c>
      <c r="H147" s="267" t="s">
        <v>1256</v>
      </c>
      <c r="I147" s="2631"/>
      <c r="J147" s="575"/>
      <c r="K147" s="2632"/>
      <c r="L147" s="1281"/>
      <c r="M147" s="1281"/>
      <c r="N147" s="291"/>
      <c r="O147" s="2746"/>
      <c r="Q147" s="287"/>
      <c r="R147"/>
      <c r="S147"/>
      <c r="T147"/>
      <c r="U147"/>
      <c r="V147"/>
      <c r="W147"/>
      <c r="X147"/>
      <c r="Y147"/>
    </row>
    <row r="148" spans="1:25" s="51" customFormat="1">
      <c r="A148" s="2741"/>
      <c r="B148" s="16" t="s">
        <v>1667</v>
      </c>
      <c r="C148" s="261"/>
      <c r="D148" s="412"/>
      <c r="E148" s="412"/>
      <c r="F148" s="1386" t="s">
        <v>1007</v>
      </c>
      <c r="G148" s="261" t="s">
        <v>92</v>
      </c>
      <c r="H148" s="2430" t="s">
        <v>3765</v>
      </c>
      <c r="I148" s="288">
        <f t="shared" si="18"/>
        <v>6000</v>
      </c>
      <c r="J148" s="291"/>
      <c r="K148" s="278">
        <v>6000</v>
      </c>
      <c r="L148" s="278"/>
      <c r="M148" s="278"/>
      <c r="N148" s="291"/>
      <c r="O148" s="2746"/>
      <c r="Q148" s="287"/>
      <c r="R148"/>
      <c r="S148"/>
      <c r="T148"/>
      <c r="U148"/>
      <c r="V148"/>
      <c r="W148"/>
      <c r="X148"/>
      <c r="Y148"/>
    </row>
    <row r="149" spans="1:25" s="51" customFormat="1">
      <c r="A149" s="2741"/>
      <c r="B149" s="16" t="s">
        <v>1667</v>
      </c>
      <c r="C149" s="261"/>
      <c r="D149" s="412"/>
      <c r="E149" s="412"/>
      <c r="F149" s="1386" t="s">
        <v>1007</v>
      </c>
      <c r="G149" s="261" t="s">
        <v>92</v>
      </c>
      <c r="H149" s="415" t="s">
        <v>3766</v>
      </c>
      <c r="I149" s="288">
        <f t="shared" si="18"/>
        <v>4000</v>
      </c>
      <c r="J149" s="291"/>
      <c r="K149" s="278">
        <v>4000</v>
      </c>
      <c r="L149" s="278"/>
      <c r="M149" s="278"/>
      <c r="N149" s="291"/>
      <c r="O149" s="2746"/>
      <c r="Q149" s="287"/>
      <c r="R149"/>
      <c r="S149"/>
      <c r="T149"/>
      <c r="U149"/>
      <c r="V149"/>
      <c r="W149"/>
      <c r="X149"/>
      <c r="Y149"/>
    </row>
    <row r="150" spans="1:25" s="51" customFormat="1">
      <c r="A150" s="2741"/>
      <c r="B150" s="16" t="s">
        <v>1667</v>
      </c>
      <c r="C150" s="261"/>
      <c r="D150" s="412"/>
      <c r="E150" s="412"/>
      <c r="F150" s="1386" t="s">
        <v>1007</v>
      </c>
      <c r="G150" s="261" t="s">
        <v>92</v>
      </c>
      <c r="H150" s="415" t="s">
        <v>3767</v>
      </c>
      <c r="I150" s="288">
        <f t="shared" si="18"/>
        <v>15000</v>
      </c>
      <c r="J150" s="291"/>
      <c r="K150" s="278">
        <v>15000</v>
      </c>
      <c r="L150" s="278"/>
      <c r="M150" s="278"/>
      <c r="N150" s="291"/>
      <c r="O150" s="2746"/>
      <c r="Q150" s="287"/>
      <c r="R150"/>
      <c r="S150"/>
      <c r="T150"/>
      <c r="U150"/>
      <c r="V150"/>
      <c r="W150"/>
      <c r="X150"/>
      <c r="Y150"/>
    </row>
    <row r="151" spans="1:25" s="51" customFormat="1">
      <c r="A151" s="2741"/>
      <c r="B151" s="16" t="s">
        <v>1667</v>
      </c>
      <c r="C151" s="261"/>
      <c r="D151" s="412"/>
      <c r="E151" s="412"/>
      <c r="F151" s="1386" t="s">
        <v>1007</v>
      </c>
      <c r="G151" s="261" t="s">
        <v>92</v>
      </c>
      <c r="H151" s="415" t="s">
        <v>3768</v>
      </c>
      <c r="I151" s="288">
        <f t="shared" si="18"/>
        <v>13000</v>
      </c>
      <c r="J151" s="291"/>
      <c r="K151" s="278">
        <v>13000</v>
      </c>
      <c r="L151" s="278"/>
      <c r="M151" s="278"/>
      <c r="N151" s="291"/>
      <c r="O151" s="2746"/>
      <c r="Q151" s="287"/>
      <c r="R151"/>
      <c r="S151"/>
      <c r="T151"/>
      <c r="U151"/>
      <c r="V151"/>
      <c r="W151"/>
      <c r="X151"/>
      <c r="Y151"/>
    </row>
    <row r="152" spans="1:25" s="51" customFormat="1">
      <c r="A152" s="2741"/>
      <c r="B152" s="16"/>
      <c r="C152" s="261"/>
      <c r="D152" s="412"/>
      <c r="E152" s="412"/>
      <c r="F152" s="1386" t="s">
        <v>1007</v>
      </c>
      <c r="G152" s="261" t="s">
        <v>92</v>
      </c>
      <c r="H152" s="415" t="s">
        <v>3768</v>
      </c>
      <c r="I152" s="288">
        <f t="shared" si="18"/>
        <v>13000</v>
      </c>
      <c r="J152" s="291"/>
      <c r="K152" s="278">
        <v>13000</v>
      </c>
      <c r="L152" s="278"/>
      <c r="M152" s="278"/>
      <c r="N152" s="291"/>
      <c r="O152" s="2746"/>
      <c r="Q152" s="287"/>
      <c r="R152"/>
      <c r="S152"/>
      <c r="T152"/>
      <c r="U152"/>
      <c r="V152"/>
      <c r="W152"/>
      <c r="X152"/>
      <c r="Y152"/>
    </row>
    <row r="153" spans="1:25" s="51" customFormat="1" ht="22.8">
      <c r="A153" s="2741"/>
      <c r="B153" s="16" t="s">
        <v>1667</v>
      </c>
      <c r="C153" s="261"/>
      <c r="D153" s="412"/>
      <c r="E153" s="412"/>
      <c r="F153" s="1386" t="s">
        <v>1007</v>
      </c>
      <c r="G153" s="261" t="s">
        <v>92</v>
      </c>
      <c r="H153" s="415" t="s">
        <v>3769</v>
      </c>
      <c r="I153" s="459">
        <f>SUM(K153:M153)</f>
        <v>15000</v>
      </c>
      <c r="J153" s="291"/>
      <c r="K153" s="278">
        <v>15000</v>
      </c>
      <c r="L153" s="278"/>
      <c r="M153" s="278"/>
      <c r="N153" s="291"/>
      <c r="O153" s="2746"/>
      <c r="Q153" s="287"/>
      <c r="R153"/>
      <c r="S153"/>
      <c r="T153"/>
      <c r="U153"/>
      <c r="V153"/>
      <c r="W153"/>
      <c r="X153"/>
      <c r="Y153"/>
    </row>
    <row r="154" spans="1:25" s="51" customFormat="1">
      <c r="A154" s="2741"/>
      <c r="B154" s="16" t="s">
        <v>1667</v>
      </c>
      <c r="C154" s="261"/>
      <c r="D154" s="412"/>
      <c r="E154" s="412"/>
      <c r="F154" s="1386" t="s">
        <v>1007</v>
      </c>
      <c r="G154" s="261" t="s">
        <v>92</v>
      </c>
      <c r="H154" s="415" t="s">
        <v>3770</v>
      </c>
      <c r="I154" s="459">
        <f>SUM(K154:M154)</f>
        <v>6000</v>
      </c>
      <c r="J154" s="291"/>
      <c r="K154" s="278">
        <v>6000</v>
      </c>
      <c r="L154" s="278"/>
      <c r="M154" s="278"/>
      <c r="N154" s="291"/>
      <c r="O154" s="2746"/>
      <c r="Q154" s="287"/>
      <c r="R154"/>
      <c r="S154"/>
      <c r="T154"/>
      <c r="U154"/>
      <c r="V154"/>
      <c r="W154"/>
      <c r="X154"/>
      <c r="Y154"/>
    </row>
    <row r="155" spans="1:25" s="51" customFormat="1">
      <c r="A155" s="2741"/>
      <c r="B155" s="16"/>
      <c r="C155" s="261"/>
      <c r="D155" s="412"/>
      <c r="E155" s="412"/>
      <c r="F155" s="1386" t="s">
        <v>1007</v>
      </c>
      <c r="G155" s="261" t="s">
        <v>92</v>
      </c>
      <c r="H155" s="415" t="s">
        <v>1703</v>
      </c>
      <c r="I155" s="459">
        <f>SUM(K155:M155)</f>
        <v>1500</v>
      </c>
      <c r="J155" s="291"/>
      <c r="K155" s="278">
        <v>1500</v>
      </c>
      <c r="L155" s="278"/>
      <c r="M155" s="278"/>
      <c r="N155" s="291"/>
      <c r="O155" s="2746"/>
      <c r="Q155" s="287"/>
      <c r="R155"/>
      <c r="S155"/>
      <c r="T155"/>
      <c r="U155"/>
      <c r="V155"/>
      <c r="W155"/>
      <c r="X155"/>
      <c r="Y155"/>
    </row>
    <row r="156" spans="1:25" s="51" customFormat="1">
      <c r="A156" s="2741"/>
      <c r="B156" s="16" t="s">
        <v>1667</v>
      </c>
      <c r="C156" s="266"/>
      <c r="D156" s="413"/>
      <c r="E156" s="413"/>
      <c r="F156" s="1386" t="s">
        <v>1007</v>
      </c>
      <c r="G156" s="266" t="s">
        <v>92</v>
      </c>
      <c r="H156" s="267" t="s">
        <v>551</v>
      </c>
      <c r="I156" s="2631">
        <f>SUM(K156:M156)</f>
        <v>0</v>
      </c>
      <c r="J156" s="575"/>
      <c r="K156" s="2632"/>
      <c r="L156" s="1281"/>
      <c r="M156" s="1281"/>
      <c r="N156" s="291"/>
      <c r="P156" s="51" t="s">
        <v>2170</v>
      </c>
      <c r="Q156" s="287"/>
      <c r="R156"/>
      <c r="S156"/>
      <c r="T156"/>
      <c r="U156"/>
      <c r="V156"/>
      <c r="W156"/>
      <c r="X156"/>
      <c r="Y156"/>
    </row>
    <row r="157" spans="1:25" s="51" customFormat="1" ht="22.8">
      <c r="A157" s="2741"/>
      <c r="B157" s="16" t="s">
        <v>1667</v>
      </c>
      <c r="C157" s="261"/>
      <c r="D157" s="412"/>
      <c r="E157" s="412"/>
      <c r="F157" s="1386" t="s">
        <v>1007</v>
      </c>
      <c r="G157" s="261" t="s">
        <v>92</v>
      </c>
      <c r="H157" s="415" t="s">
        <v>3772</v>
      </c>
      <c r="I157" s="1328">
        <f t="shared" ref="I157:I199" si="19">SUM(K157:M157)</f>
        <v>400</v>
      </c>
      <c r="J157" s="291"/>
      <c r="K157" s="288">
        <v>400</v>
      </c>
      <c r="L157" s="278"/>
      <c r="M157" s="278"/>
      <c r="N157" s="291"/>
      <c r="O157" s="2746"/>
      <c r="Q157" s="287"/>
      <c r="R157"/>
      <c r="S157"/>
      <c r="T157"/>
      <c r="U157"/>
      <c r="V157"/>
      <c r="W157"/>
      <c r="X157"/>
      <c r="Y157"/>
    </row>
    <row r="158" spans="1:25" s="51" customFormat="1">
      <c r="A158" s="2741"/>
      <c r="B158" s="16" t="s">
        <v>1667</v>
      </c>
      <c r="C158" s="261"/>
      <c r="D158" s="412"/>
      <c r="E158" s="412"/>
      <c r="F158" s="1386" t="s">
        <v>1007</v>
      </c>
      <c r="G158" s="261" t="s">
        <v>92</v>
      </c>
      <c r="H158" s="2430" t="s">
        <v>2784</v>
      </c>
      <c r="I158" s="1328">
        <f t="shared" si="19"/>
        <v>300</v>
      </c>
      <c r="J158" s="291"/>
      <c r="K158" s="278">
        <v>300</v>
      </c>
      <c r="L158" s="278"/>
      <c r="M158" s="278"/>
      <c r="N158" s="291"/>
      <c r="O158" s="2746"/>
      <c r="Q158" s="287"/>
      <c r="R158"/>
      <c r="S158"/>
      <c r="T158"/>
      <c r="U158"/>
      <c r="V158"/>
      <c r="W158"/>
      <c r="X158"/>
      <c r="Y158"/>
    </row>
    <row r="159" spans="1:25" s="51" customFormat="1">
      <c r="A159" s="2741"/>
      <c r="B159" s="16" t="s">
        <v>1667</v>
      </c>
      <c r="C159" s="261"/>
      <c r="D159" s="412"/>
      <c r="E159" s="412"/>
      <c r="F159" s="1386" t="s">
        <v>1007</v>
      </c>
      <c r="G159" s="261" t="s">
        <v>92</v>
      </c>
      <c r="H159" s="2430" t="s">
        <v>4890</v>
      </c>
      <c r="I159" s="1328">
        <f t="shared" ref="I159" si="20">SUM(K159:M159)</f>
        <v>400</v>
      </c>
      <c r="J159" s="291"/>
      <c r="K159" s="278">
        <v>400</v>
      </c>
      <c r="L159" s="278"/>
      <c r="M159" s="278"/>
      <c r="N159" s="291"/>
      <c r="O159" s="2746"/>
      <c r="Q159" s="287"/>
      <c r="R159"/>
      <c r="S159"/>
      <c r="T159"/>
      <c r="U159"/>
      <c r="V159"/>
      <c r="W159"/>
      <c r="X159"/>
      <c r="Y159"/>
    </row>
    <row r="160" spans="1:25" s="51" customFormat="1">
      <c r="A160" s="2741"/>
      <c r="B160" s="16" t="s">
        <v>1667</v>
      </c>
      <c r="C160" s="261"/>
      <c r="D160" s="412"/>
      <c r="E160" s="412"/>
      <c r="F160" s="1386" t="s">
        <v>1007</v>
      </c>
      <c r="G160" s="261" t="s">
        <v>92</v>
      </c>
      <c r="H160" s="2430" t="s">
        <v>3773</v>
      </c>
      <c r="I160" s="1328">
        <f t="shared" si="19"/>
        <v>500</v>
      </c>
      <c r="J160" s="291"/>
      <c r="K160" s="278">
        <v>500</v>
      </c>
      <c r="L160" s="278"/>
      <c r="M160" s="278"/>
      <c r="N160" s="291"/>
      <c r="O160" s="2746"/>
      <c r="Q160" s="287"/>
      <c r="R160"/>
      <c r="S160"/>
      <c r="T160"/>
      <c r="U160"/>
      <c r="V160"/>
      <c r="W160"/>
      <c r="X160"/>
      <c r="Y160"/>
    </row>
    <row r="161" spans="1:25" s="51" customFormat="1">
      <c r="A161" s="2741"/>
      <c r="B161" s="16" t="s">
        <v>1667</v>
      </c>
      <c r="C161" s="261"/>
      <c r="D161" s="412"/>
      <c r="E161" s="412"/>
      <c r="F161" s="1386" t="s">
        <v>1007</v>
      </c>
      <c r="G161" s="261" t="s">
        <v>92</v>
      </c>
      <c r="H161" s="2430" t="s">
        <v>3774</v>
      </c>
      <c r="I161" s="1328">
        <f t="shared" si="19"/>
        <v>1000</v>
      </c>
      <c r="J161" s="291"/>
      <c r="K161" s="278">
        <v>1000</v>
      </c>
      <c r="L161" s="278"/>
      <c r="M161" s="278"/>
      <c r="N161" s="291"/>
      <c r="O161" s="2746"/>
      <c r="Q161" s="287"/>
      <c r="R161"/>
      <c r="S161"/>
      <c r="T161"/>
      <c r="U161"/>
      <c r="V161"/>
      <c r="W161"/>
      <c r="X161"/>
      <c r="Y161"/>
    </row>
    <row r="162" spans="1:25" s="51" customFormat="1" ht="34.200000000000003">
      <c r="A162" s="2741"/>
      <c r="B162" s="16" t="s">
        <v>1667</v>
      </c>
      <c r="C162" s="261"/>
      <c r="D162" s="412"/>
      <c r="E162" s="412"/>
      <c r="F162" s="1386" t="s">
        <v>1007</v>
      </c>
      <c r="G162" s="261" t="s">
        <v>92</v>
      </c>
      <c r="H162" s="415" t="s">
        <v>3775</v>
      </c>
      <c r="I162" s="1328">
        <f t="shared" si="19"/>
        <v>2500</v>
      </c>
      <c r="J162" s="291"/>
      <c r="K162" s="278">
        <v>2500</v>
      </c>
      <c r="L162" s="278"/>
      <c r="M162" s="278"/>
      <c r="N162" s="291"/>
      <c r="O162" s="2746"/>
      <c r="Q162" s="287"/>
      <c r="R162"/>
      <c r="S162"/>
      <c r="T162"/>
      <c r="U162"/>
      <c r="V162"/>
      <c r="W162"/>
      <c r="X162"/>
      <c r="Y162"/>
    </row>
    <row r="163" spans="1:25" s="51" customFormat="1" ht="22.8">
      <c r="A163" s="2741"/>
      <c r="B163" s="16" t="s">
        <v>1667</v>
      </c>
      <c r="C163" s="261"/>
      <c r="D163" s="412"/>
      <c r="E163" s="412"/>
      <c r="F163" s="1386" t="s">
        <v>1007</v>
      </c>
      <c r="G163" s="261" t="s">
        <v>92</v>
      </c>
      <c r="H163" s="415" t="s">
        <v>3776</v>
      </c>
      <c r="I163" s="1328">
        <f t="shared" si="19"/>
        <v>3000</v>
      </c>
      <c r="J163" s="291"/>
      <c r="K163" s="278">
        <v>3000</v>
      </c>
      <c r="L163" s="278"/>
      <c r="M163" s="278"/>
      <c r="N163" s="291"/>
      <c r="P163" s="51" t="s">
        <v>3777</v>
      </c>
      <c r="Q163" s="287"/>
      <c r="R163"/>
      <c r="S163"/>
      <c r="T163"/>
      <c r="U163"/>
      <c r="V163"/>
      <c r="W163"/>
      <c r="X163"/>
      <c r="Y163"/>
    </row>
    <row r="164" spans="1:25" s="51" customFormat="1">
      <c r="A164" s="2741"/>
      <c r="B164" s="16" t="s">
        <v>1667</v>
      </c>
      <c r="C164" s="422"/>
      <c r="D164" s="2771"/>
      <c r="E164" s="2771"/>
      <c r="F164" s="1391" t="s">
        <v>1007</v>
      </c>
      <c r="G164" s="422" t="s">
        <v>92</v>
      </c>
      <c r="H164" s="2772" t="s">
        <v>2787</v>
      </c>
      <c r="I164" s="2893">
        <f t="shared" si="19"/>
        <v>200</v>
      </c>
      <c r="J164" s="291"/>
      <c r="K164" s="456">
        <v>200</v>
      </c>
      <c r="L164" s="456"/>
      <c r="M164" s="456"/>
      <c r="N164" s="291"/>
      <c r="Q164" s="287"/>
      <c r="R164"/>
      <c r="S164"/>
      <c r="T164"/>
      <c r="U164"/>
      <c r="V164"/>
      <c r="W164"/>
      <c r="X164"/>
      <c r="Y164"/>
    </row>
    <row r="165" spans="1:25" s="51" customFormat="1" ht="12" thickBot="1">
      <c r="A165" s="2741"/>
      <c r="B165" s="16" t="s">
        <v>1667</v>
      </c>
      <c r="C165" s="2773"/>
      <c r="D165" s="2774"/>
      <c r="E165" s="2774"/>
      <c r="F165" s="2775" t="s">
        <v>1007</v>
      </c>
      <c r="G165" s="2773" t="s">
        <v>92</v>
      </c>
      <c r="H165" s="2776" t="s">
        <v>3778</v>
      </c>
      <c r="I165" s="2981">
        <f>SUM(K165:M165)</f>
        <v>2000</v>
      </c>
      <c r="J165" s="2442"/>
      <c r="K165" s="2441">
        <v>2000</v>
      </c>
      <c r="L165" s="2441"/>
      <c r="M165" s="2441"/>
      <c r="N165" s="291"/>
      <c r="P165" s="51" t="s">
        <v>3779</v>
      </c>
      <c r="Q165" s="287"/>
      <c r="R165"/>
      <c r="S165"/>
      <c r="T165"/>
      <c r="U165"/>
      <c r="V165"/>
      <c r="W165"/>
      <c r="X165"/>
      <c r="Y165"/>
    </row>
    <row r="166" spans="1:25" s="51" customFormat="1" ht="12.6" thickTop="1" thickBot="1">
      <c r="A166" s="2741"/>
      <c r="B166" s="16"/>
      <c r="C166" s="417"/>
      <c r="D166" s="2779"/>
      <c r="E166" s="2779"/>
      <c r="F166" s="2780" t="s">
        <v>1007</v>
      </c>
      <c r="G166" s="417" t="s">
        <v>92</v>
      </c>
      <c r="H166" s="2781" t="s">
        <v>3780</v>
      </c>
      <c r="I166" s="2978">
        <f t="shared" ref="I166" si="21">SUM(K166:M166)</f>
        <v>10000</v>
      </c>
      <c r="J166" s="1337"/>
      <c r="K166" s="1340">
        <v>10000</v>
      </c>
      <c r="L166" s="1340"/>
      <c r="M166" s="1340"/>
      <c r="N166" s="291"/>
      <c r="O166" s="2746"/>
      <c r="Q166" s="287"/>
      <c r="R166"/>
      <c r="S166"/>
      <c r="T166"/>
      <c r="U166"/>
      <c r="V166"/>
      <c r="W166"/>
      <c r="X166"/>
      <c r="Y166"/>
    </row>
    <row r="167" spans="1:25" s="51" customFormat="1" ht="12" thickTop="1">
      <c r="A167" s="2741"/>
      <c r="B167" s="16" t="s">
        <v>775</v>
      </c>
      <c r="C167" s="404"/>
      <c r="D167" s="404"/>
      <c r="E167" s="404"/>
      <c r="F167" s="1387" t="s">
        <v>999</v>
      </c>
      <c r="G167" s="404" t="s">
        <v>1640</v>
      </c>
      <c r="H167" s="405" t="s">
        <v>1255</v>
      </c>
      <c r="I167" s="406">
        <f>SUM(K167:M167)</f>
        <v>14500</v>
      </c>
      <c r="J167" s="291"/>
      <c r="K167" s="406">
        <v>14500</v>
      </c>
      <c r="L167" s="406"/>
      <c r="M167" s="406"/>
      <c r="N167" s="291"/>
      <c r="O167" s="2746"/>
      <c r="Q167" s="287"/>
      <c r="R167"/>
      <c r="S167"/>
      <c r="T167"/>
      <c r="U167"/>
      <c r="V167"/>
      <c r="W167"/>
      <c r="X167"/>
      <c r="Y167"/>
    </row>
    <row r="168" spans="1:25" s="51" customFormat="1" ht="43.2" customHeight="1">
      <c r="A168" s="2741"/>
      <c r="B168" s="16" t="s">
        <v>775</v>
      </c>
      <c r="C168" s="261"/>
      <c r="D168" s="261"/>
      <c r="E168" s="261"/>
      <c r="F168" s="1386" t="s">
        <v>999</v>
      </c>
      <c r="G168" s="404" t="s">
        <v>1640</v>
      </c>
      <c r="H168" s="279" t="s">
        <v>1077</v>
      </c>
      <c r="I168" s="278">
        <f t="shared" si="19"/>
        <v>20000</v>
      </c>
      <c r="J168" s="291"/>
      <c r="K168" s="278">
        <v>20000</v>
      </c>
      <c r="L168" s="278"/>
      <c r="M168" s="278"/>
      <c r="N168" s="291"/>
      <c r="O168" s="2746"/>
      <c r="Q168" s="287"/>
      <c r="R168"/>
      <c r="S168"/>
      <c r="T168"/>
      <c r="U168"/>
      <c r="V168"/>
      <c r="W168"/>
      <c r="X168"/>
      <c r="Y168"/>
    </row>
    <row r="169" spans="1:25" s="51" customFormat="1" ht="22.8">
      <c r="A169" s="2741"/>
      <c r="B169" s="16" t="s">
        <v>775</v>
      </c>
      <c r="C169" s="261"/>
      <c r="D169" s="261"/>
      <c r="E169" s="261"/>
      <c r="F169" s="1386" t="s">
        <v>999</v>
      </c>
      <c r="G169" s="404" t="s">
        <v>1640</v>
      </c>
      <c r="H169" s="279" t="s">
        <v>2740</v>
      </c>
      <c r="I169" s="278">
        <f t="shared" si="19"/>
        <v>5500</v>
      </c>
      <c r="J169" s="291"/>
      <c r="K169" s="278">
        <f>1500+4000</f>
        <v>5500</v>
      </c>
      <c r="L169" s="278"/>
      <c r="M169" s="278"/>
      <c r="N169" s="291"/>
      <c r="O169" s="2746"/>
      <c r="Q169" s="287"/>
      <c r="R169"/>
      <c r="S169"/>
      <c r="T169"/>
      <c r="U169"/>
      <c r="V169"/>
      <c r="W169"/>
      <c r="X169"/>
      <c r="Y169"/>
    </row>
    <row r="170" spans="1:25" s="51" customFormat="1">
      <c r="A170" s="2741"/>
      <c r="B170" s="16"/>
      <c r="C170" s="261"/>
      <c r="D170" s="261"/>
      <c r="E170" s="261"/>
      <c r="F170" s="1386" t="s">
        <v>999</v>
      </c>
      <c r="G170" s="404" t="s">
        <v>1640</v>
      </c>
      <c r="H170" s="279" t="s">
        <v>3805</v>
      </c>
      <c r="I170" s="288">
        <f t="shared" si="19"/>
        <v>30000</v>
      </c>
      <c r="J170" s="291"/>
      <c r="K170" s="288">
        <v>30000</v>
      </c>
      <c r="L170" s="278"/>
      <c r="M170" s="278"/>
      <c r="N170" s="291"/>
      <c r="P170" s="51" t="s">
        <v>3806</v>
      </c>
      <c r="Q170" s="287"/>
      <c r="R170"/>
      <c r="S170"/>
      <c r="T170"/>
      <c r="U170"/>
      <c r="V170"/>
      <c r="W170"/>
      <c r="X170"/>
      <c r="Y170"/>
    </row>
    <row r="171" spans="1:25" s="51" customFormat="1">
      <c r="A171" s="2741"/>
      <c r="B171" s="16" t="s">
        <v>775</v>
      </c>
      <c r="C171" s="261"/>
      <c r="D171" s="261"/>
      <c r="E171" s="261"/>
      <c r="F171" s="1386" t="s">
        <v>999</v>
      </c>
      <c r="G171" s="404" t="s">
        <v>1640</v>
      </c>
      <c r="H171" s="279" t="s">
        <v>3807</v>
      </c>
      <c r="I171" s="288">
        <f t="shared" si="19"/>
        <v>15000</v>
      </c>
      <c r="J171" s="291"/>
      <c r="K171" s="288">
        <v>15000</v>
      </c>
      <c r="L171" s="278"/>
      <c r="M171" s="278"/>
      <c r="N171" s="291"/>
      <c r="P171" s="51" t="s">
        <v>3808</v>
      </c>
      <c r="Q171" s="287"/>
      <c r="R171"/>
      <c r="S171"/>
      <c r="T171"/>
      <c r="U171"/>
      <c r="V171"/>
      <c r="W171"/>
      <c r="X171"/>
      <c r="Y171"/>
    </row>
    <row r="172" spans="1:25" s="51" customFormat="1">
      <c r="A172" s="2741"/>
      <c r="B172" s="16"/>
      <c r="C172" s="261"/>
      <c r="D172" s="261"/>
      <c r="E172" s="261"/>
      <c r="F172" s="1386" t="s">
        <v>999</v>
      </c>
      <c r="G172" s="404" t="s">
        <v>1640</v>
      </c>
      <c r="H172" s="3298" t="s">
        <v>987</v>
      </c>
      <c r="I172" s="288">
        <f t="shared" si="19"/>
        <v>150000</v>
      </c>
      <c r="J172" s="402"/>
      <c r="K172" s="3299">
        <f>168000-28000+10000</f>
        <v>150000</v>
      </c>
      <c r="L172" s="278"/>
      <c r="M172" s="278"/>
      <c r="N172" s="291"/>
      <c r="P172" s="51" t="s">
        <v>3809</v>
      </c>
      <c r="Q172" s="287"/>
      <c r="R172"/>
      <c r="S172"/>
      <c r="T172"/>
      <c r="U172"/>
      <c r="V172"/>
      <c r="W172"/>
      <c r="X172"/>
      <c r="Y172"/>
    </row>
    <row r="173" spans="1:25" s="51" customFormat="1">
      <c r="A173" s="2741"/>
      <c r="B173" s="16"/>
      <c r="C173" s="261"/>
      <c r="D173" s="261"/>
      <c r="E173" s="261"/>
      <c r="F173" s="1386" t="s">
        <v>999</v>
      </c>
      <c r="G173" s="404" t="s">
        <v>1640</v>
      </c>
      <c r="H173" s="279" t="s">
        <v>2179</v>
      </c>
      <c r="I173" s="288">
        <f t="shared" si="19"/>
        <v>1500</v>
      </c>
      <c r="J173" s="291"/>
      <c r="K173" s="288">
        <v>1500</v>
      </c>
      <c r="L173" s="278"/>
      <c r="M173" s="278"/>
      <c r="N173" s="291"/>
      <c r="Q173" s="287"/>
      <c r="R173"/>
      <c r="S173"/>
      <c r="T173"/>
      <c r="U173"/>
      <c r="V173"/>
      <c r="W173"/>
      <c r="X173"/>
      <c r="Y173"/>
    </row>
    <row r="174" spans="1:25" s="51" customFormat="1">
      <c r="A174" s="2741"/>
      <c r="B174" s="16" t="s">
        <v>775</v>
      </c>
      <c r="C174" s="266"/>
      <c r="D174" s="266"/>
      <c r="E174" s="266"/>
      <c r="F174" s="1386" t="s">
        <v>999</v>
      </c>
      <c r="G174" s="416" t="s">
        <v>1640</v>
      </c>
      <c r="H174" s="2887" t="s">
        <v>551</v>
      </c>
      <c r="I174" s="2632"/>
      <c r="J174" s="1282"/>
      <c r="K174" s="2632"/>
      <c r="L174" s="1281"/>
      <c r="M174" s="1281"/>
      <c r="N174" s="291"/>
      <c r="Q174" s="287"/>
      <c r="R174"/>
      <c r="S174"/>
      <c r="T174"/>
      <c r="U174"/>
      <c r="V174"/>
      <c r="W174"/>
      <c r="X174"/>
      <c r="Y174"/>
    </row>
    <row r="175" spans="1:25" s="51" customFormat="1">
      <c r="A175" s="2741"/>
      <c r="B175" s="16" t="s">
        <v>775</v>
      </c>
      <c r="C175" s="261"/>
      <c r="D175" s="261"/>
      <c r="E175" s="261"/>
      <c r="F175" s="1386" t="s">
        <v>999</v>
      </c>
      <c r="G175" s="404" t="s">
        <v>1640</v>
      </c>
      <c r="H175" s="2430" t="s">
        <v>2182</v>
      </c>
      <c r="I175" s="278">
        <f t="shared" si="19"/>
        <v>800</v>
      </c>
      <c r="J175" s="291"/>
      <c r="K175" s="278">
        <v>800</v>
      </c>
      <c r="L175" s="278"/>
      <c r="M175" s="278"/>
      <c r="N175" s="291"/>
      <c r="Q175" s="287"/>
      <c r="R175"/>
      <c r="S175"/>
      <c r="T175"/>
      <c r="U175"/>
      <c r="V175"/>
      <c r="W175"/>
      <c r="X175"/>
      <c r="Y175"/>
    </row>
    <row r="176" spans="1:25" s="51" customFormat="1">
      <c r="A176" s="2741"/>
      <c r="B176" s="16" t="s">
        <v>775</v>
      </c>
      <c r="C176" s="261"/>
      <c r="D176" s="261"/>
      <c r="E176" s="261"/>
      <c r="F176" s="1386" t="s">
        <v>999</v>
      </c>
      <c r="G176" s="404" t="s">
        <v>1640</v>
      </c>
      <c r="H176" s="2430" t="s">
        <v>3812</v>
      </c>
      <c r="I176" s="278">
        <f t="shared" si="19"/>
        <v>1200</v>
      </c>
      <c r="J176" s="291"/>
      <c r="K176" s="278">
        <v>1200</v>
      </c>
      <c r="L176" s="278"/>
      <c r="M176" s="278"/>
      <c r="N176" s="291"/>
      <c r="P176" s="51" t="s">
        <v>3813</v>
      </c>
      <c r="Q176" s="287"/>
      <c r="R176"/>
      <c r="S176"/>
      <c r="T176"/>
      <c r="U176"/>
      <c r="V176"/>
      <c r="W176"/>
      <c r="X176"/>
      <c r="Y176"/>
    </row>
    <row r="177" spans="1:25" s="51" customFormat="1" ht="22.8">
      <c r="A177" s="2741"/>
      <c r="B177" s="16" t="s">
        <v>775</v>
      </c>
      <c r="C177" s="261"/>
      <c r="D177" s="261"/>
      <c r="E177" s="261"/>
      <c r="F177" s="1386" t="s">
        <v>999</v>
      </c>
      <c r="G177" s="404" t="s">
        <v>1640</v>
      </c>
      <c r="H177" s="415" t="s">
        <v>3814</v>
      </c>
      <c r="I177" s="278">
        <f t="shared" si="19"/>
        <v>1200</v>
      </c>
      <c r="J177" s="291"/>
      <c r="K177" s="278">
        <v>1200</v>
      </c>
      <c r="L177" s="278"/>
      <c r="M177" s="278"/>
      <c r="N177" s="291"/>
      <c r="P177" s="51" t="s">
        <v>3815</v>
      </c>
      <c r="Q177" s="287"/>
      <c r="R177"/>
      <c r="S177"/>
      <c r="T177"/>
      <c r="U177"/>
      <c r="V177"/>
      <c r="W177"/>
      <c r="X177"/>
      <c r="Y177"/>
    </row>
    <row r="178" spans="1:25" s="51" customFormat="1" ht="22.8">
      <c r="A178" s="2741"/>
      <c r="B178" s="16" t="s">
        <v>775</v>
      </c>
      <c r="C178" s="261"/>
      <c r="D178" s="261"/>
      <c r="E178" s="261"/>
      <c r="F178" s="1386" t="s">
        <v>999</v>
      </c>
      <c r="G178" s="404" t="s">
        <v>1640</v>
      </c>
      <c r="H178" s="415" t="s">
        <v>3816</v>
      </c>
      <c r="I178" s="278">
        <f t="shared" si="19"/>
        <v>300</v>
      </c>
      <c r="J178" s="291"/>
      <c r="K178" s="278">
        <v>300</v>
      </c>
      <c r="L178" s="278"/>
      <c r="M178" s="278"/>
      <c r="N178" s="291"/>
      <c r="Q178" s="287"/>
      <c r="R178"/>
      <c r="S178"/>
      <c r="T178"/>
      <c r="U178"/>
      <c r="V178"/>
      <c r="W178"/>
      <c r="X178"/>
      <c r="Y178"/>
    </row>
    <row r="179" spans="1:25" s="51" customFormat="1">
      <c r="A179" s="2741"/>
      <c r="B179" s="16"/>
      <c r="C179" s="261"/>
      <c r="D179" s="261"/>
      <c r="E179" s="261"/>
      <c r="F179" s="1386" t="s">
        <v>999</v>
      </c>
      <c r="G179" s="404" t="s">
        <v>1640</v>
      </c>
      <c r="H179" s="2430" t="s">
        <v>3817</v>
      </c>
      <c r="I179" s="278">
        <f t="shared" si="19"/>
        <v>1200</v>
      </c>
      <c r="J179" s="291"/>
      <c r="K179" s="278">
        <v>1200</v>
      </c>
      <c r="L179" s="278"/>
      <c r="M179" s="278"/>
      <c r="N179" s="291"/>
      <c r="P179" s="51" t="s">
        <v>3818</v>
      </c>
      <c r="Q179" s="287"/>
      <c r="R179"/>
      <c r="S179"/>
      <c r="T179"/>
      <c r="U179"/>
      <c r="V179"/>
      <c r="W179"/>
      <c r="X179"/>
      <c r="Y179"/>
    </row>
    <row r="180" spans="1:25" s="51" customFormat="1">
      <c r="A180" s="2741"/>
      <c r="B180" s="16"/>
      <c r="C180" s="261"/>
      <c r="D180" s="261"/>
      <c r="E180" s="261"/>
      <c r="F180" s="1386" t="s">
        <v>999</v>
      </c>
      <c r="G180" s="404" t="s">
        <v>1640</v>
      </c>
      <c r="H180" s="2430" t="s">
        <v>3819</v>
      </c>
      <c r="I180" s="278">
        <f t="shared" si="19"/>
        <v>600</v>
      </c>
      <c r="J180" s="291"/>
      <c r="K180" s="278">
        <v>600</v>
      </c>
      <c r="L180" s="278"/>
      <c r="M180" s="278"/>
      <c r="N180" s="291"/>
      <c r="Q180" s="287"/>
      <c r="R180"/>
      <c r="S180"/>
      <c r="T180"/>
      <c r="U180"/>
      <c r="V180"/>
      <c r="W180"/>
      <c r="X180"/>
      <c r="Y180"/>
    </row>
    <row r="181" spans="1:25" s="51" customFormat="1">
      <c r="A181" s="2741"/>
      <c r="B181" s="16" t="s">
        <v>775</v>
      </c>
      <c r="C181" s="261"/>
      <c r="D181" s="261"/>
      <c r="E181" s="261"/>
      <c r="F181" s="1386" t="s">
        <v>999</v>
      </c>
      <c r="G181" s="404" t="s">
        <v>1640</v>
      </c>
      <c r="H181" s="2430" t="s">
        <v>1503</v>
      </c>
      <c r="I181" s="278">
        <f t="shared" si="19"/>
        <v>800</v>
      </c>
      <c r="J181" s="291"/>
      <c r="K181" s="278">
        <v>800</v>
      </c>
      <c r="L181" s="278"/>
      <c r="M181" s="278"/>
      <c r="N181" s="291"/>
      <c r="Q181" s="287"/>
      <c r="R181"/>
      <c r="S181"/>
      <c r="T181"/>
      <c r="U181"/>
      <c r="V181"/>
      <c r="W181"/>
      <c r="X181"/>
      <c r="Y181"/>
    </row>
    <row r="182" spans="1:25" s="51" customFormat="1">
      <c r="A182" s="2741"/>
      <c r="B182" s="16" t="s">
        <v>775</v>
      </c>
      <c r="C182" s="261"/>
      <c r="D182" s="261"/>
      <c r="E182" s="261"/>
      <c r="F182" s="1386" t="s">
        <v>999</v>
      </c>
      <c r="G182" s="404" t="s">
        <v>1640</v>
      </c>
      <c r="H182" s="2430" t="s">
        <v>3822</v>
      </c>
      <c r="I182" s="278">
        <f t="shared" si="19"/>
        <v>700</v>
      </c>
      <c r="J182" s="291"/>
      <c r="K182" s="278">
        <v>700</v>
      </c>
      <c r="L182" s="278"/>
      <c r="M182" s="278"/>
      <c r="N182" s="291"/>
      <c r="Q182" s="287"/>
      <c r="R182"/>
      <c r="S182"/>
      <c r="T182"/>
      <c r="U182"/>
      <c r="V182"/>
      <c r="W182"/>
      <c r="X182"/>
      <c r="Y182"/>
    </row>
    <row r="183" spans="1:25" s="51" customFormat="1" ht="13.2" customHeight="1">
      <c r="A183" s="2741"/>
      <c r="B183" s="16" t="s">
        <v>775</v>
      </c>
      <c r="C183" s="261"/>
      <c r="D183" s="261"/>
      <c r="E183" s="261"/>
      <c r="F183" s="1386" t="s">
        <v>999</v>
      </c>
      <c r="G183" s="404" t="s">
        <v>1640</v>
      </c>
      <c r="H183" s="2430" t="s">
        <v>3824</v>
      </c>
      <c r="I183" s="278">
        <f t="shared" si="19"/>
        <v>1000</v>
      </c>
      <c r="J183" s="291"/>
      <c r="K183" s="278">
        <v>1000</v>
      </c>
      <c r="L183" s="278"/>
      <c r="M183" s="278"/>
      <c r="N183" s="291"/>
      <c r="P183" s="93" t="s">
        <v>3825</v>
      </c>
      <c r="Q183" s="287"/>
      <c r="R183"/>
      <c r="S183"/>
      <c r="T183"/>
      <c r="U183"/>
      <c r="V183"/>
      <c r="W183"/>
      <c r="X183"/>
      <c r="Y183"/>
    </row>
    <row r="184" spans="1:25">
      <c r="B184" s="16" t="s">
        <v>775</v>
      </c>
      <c r="C184" s="261"/>
      <c r="D184" s="261"/>
      <c r="E184" s="261"/>
      <c r="F184" s="1386" t="s">
        <v>999</v>
      </c>
      <c r="G184" s="404" t="s">
        <v>1640</v>
      </c>
      <c r="H184" s="2430" t="s">
        <v>3826</v>
      </c>
      <c r="I184" s="278">
        <f t="shared" si="19"/>
        <v>600</v>
      </c>
      <c r="J184" s="291"/>
      <c r="K184" s="278">
        <v>600</v>
      </c>
      <c r="L184" s="278"/>
      <c r="M184" s="278"/>
      <c r="N184" s="291"/>
      <c r="O184" s="2746"/>
    </row>
    <row r="185" spans="1:25" ht="12" thickBot="1">
      <c r="B185" s="16" t="s">
        <v>775</v>
      </c>
      <c r="C185" s="403"/>
      <c r="D185" s="403"/>
      <c r="E185" s="403"/>
      <c r="F185" s="1388" t="s">
        <v>999</v>
      </c>
      <c r="G185" s="417" t="s">
        <v>1640</v>
      </c>
      <c r="H185" s="2429" t="s">
        <v>1501</v>
      </c>
      <c r="I185" s="1336">
        <f t="shared" si="19"/>
        <v>800</v>
      </c>
      <c r="J185" s="1337"/>
      <c r="K185" s="1336">
        <v>800</v>
      </c>
      <c r="L185" s="1336"/>
      <c r="M185" s="1336"/>
      <c r="N185" s="291"/>
      <c r="O185" s="2746"/>
    </row>
    <row r="186" spans="1:25" ht="23.4" thickTop="1">
      <c r="B186" s="16" t="s">
        <v>1666</v>
      </c>
      <c r="C186" s="404"/>
      <c r="D186" s="404"/>
      <c r="E186" s="404"/>
      <c r="F186" s="1387" t="s">
        <v>362</v>
      </c>
      <c r="G186" s="449" t="s">
        <v>363</v>
      </c>
      <c r="H186" s="2533" t="s">
        <v>2284</v>
      </c>
      <c r="I186" s="1335">
        <f>K186</f>
        <v>23000</v>
      </c>
      <c r="J186" s="291"/>
      <c r="K186" s="455">
        <v>23000</v>
      </c>
      <c r="L186" s="406"/>
      <c r="M186" s="406"/>
      <c r="N186" s="291"/>
      <c r="O186" s="2746"/>
      <c r="P186" s="408"/>
    </row>
    <row r="187" spans="1:25" ht="22.8">
      <c r="B187" s="16" t="s">
        <v>1666</v>
      </c>
      <c r="C187" s="261"/>
      <c r="D187" s="261"/>
      <c r="E187" s="261"/>
      <c r="F187" s="1386" t="s">
        <v>362</v>
      </c>
      <c r="G187" s="261" t="s">
        <v>363</v>
      </c>
      <c r="H187" s="2533" t="s">
        <v>2286</v>
      </c>
      <c r="I187" s="278">
        <f t="shared" ref="I187:I192" si="22">SUM(K187:M187)</f>
        <v>2320</v>
      </c>
      <c r="J187" s="291"/>
      <c r="K187" s="278">
        <v>2320</v>
      </c>
      <c r="L187" s="278"/>
      <c r="M187" s="278"/>
      <c r="N187" s="291"/>
      <c r="O187" s="2746"/>
      <c r="P187" s="407"/>
    </row>
    <row r="188" spans="1:25">
      <c r="B188" s="16" t="s">
        <v>1666</v>
      </c>
      <c r="C188" s="261"/>
      <c r="D188" s="261"/>
      <c r="E188" s="261"/>
      <c r="F188" s="1386" t="s">
        <v>362</v>
      </c>
      <c r="G188" s="261" t="s">
        <v>363</v>
      </c>
      <c r="H188" s="2532" t="s">
        <v>2285</v>
      </c>
      <c r="I188" s="278">
        <f t="shared" si="22"/>
        <v>39800</v>
      </c>
      <c r="J188" s="291"/>
      <c r="K188" s="278">
        <v>39800</v>
      </c>
      <c r="L188" s="268"/>
      <c r="M188" s="268"/>
      <c r="N188" s="291"/>
      <c r="O188" s="2836"/>
      <c r="P188" s="409"/>
    </row>
    <row r="189" spans="1:25" ht="23.4" thickBot="1">
      <c r="B189" s="16" t="s">
        <v>1666</v>
      </c>
      <c r="C189" s="421"/>
      <c r="D189" s="421"/>
      <c r="E189" s="421"/>
      <c r="F189" s="1388" t="s">
        <v>362</v>
      </c>
      <c r="G189" s="421" t="s">
        <v>363</v>
      </c>
      <c r="H189" s="2439" t="s">
        <v>1222</v>
      </c>
      <c r="I189" s="1336">
        <f t="shared" si="22"/>
        <v>2000</v>
      </c>
      <c r="J189" s="1337"/>
      <c r="K189" s="1336">
        <v>2000</v>
      </c>
      <c r="L189" s="1336"/>
      <c r="M189" s="1336"/>
      <c r="N189" s="291"/>
      <c r="O189" s="2746"/>
      <c r="P189" s="410"/>
    </row>
    <row r="190" spans="1:25" ht="23.4" thickTop="1">
      <c r="B190" s="16" t="s">
        <v>1666</v>
      </c>
      <c r="C190" s="261"/>
      <c r="D190" s="261"/>
      <c r="E190" s="261"/>
      <c r="F190" s="1386" t="s">
        <v>1638</v>
      </c>
      <c r="G190" s="261" t="s">
        <v>1639</v>
      </c>
      <c r="H190" s="293" t="s">
        <v>4543</v>
      </c>
      <c r="I190" s="278">
        <f t="shared" si="22"/>
        <v>74550</v>
      </c>
      <c r="J190" s="291"/>
      <c r="K190" s="3222">
        <v>44130</v>
      </c>
      <c r="L190" s="278">
        <v>30420</v>
      </c>
      <c r="M190" s="278"/>
      <c r="N190" s="291"/>
      <c r="O190" s="2746"/>
      <c r="P190" s="407"/>
    </row>
    <row r="191" spans="1:25" ht="22.8">
      <c r="B191" s="16" t="s">
        <v>1666</v>
      </c>
      <c r="C191" s="261"/>
      <c r="D191" s="261"/>
      <c r="E191" s="261"/>
      <c r="F191" s="1386" t="s">
        <v>1638</v>
      </c>
      <c r="G191" s="261" t="s">
        <v>1639</v>
      </c>
      <c r="H191" s="293" t="s">
        <v>4544</v>
      </c>
      <c r="I191" s="278">
        <f t="shared" si="22"/>
        <v>26262.751410000001</v>
      </c>
      <c r="J191" s="291"/>
      <c r="K191" s="278">
        <v>26262.751410000001</v>
      </c>
      <c r="L191" s="278"/>
      <c r="M191" s="278"/>
      <c r="N191" s="291"/>
      <c r="O191" s="2746"/>
      <c r="P191" s="407"/>
    </row>
    <row r="192" spans="1:25" ht="12" thickBot="1">
      <c r="B192" s="16" t="s">
        <v>1666</v>
      </c>
      <c r="C192" s="403"/>
      <c r="D192" s="403"/>
      <c r="E192" s="403"/>
      <c r="F192" s="1388" t="s">
        <v>1638</v>
      </c>
      <c r="G192" s="403" t="s">
        <v>1639</v>
      </c>
      <c r="H192" s="2439" t="s">
        <v>2311</v>
      </c>
      <c r="I192" s="1336">
        <f t="shared" si="22"/>
        <v>4000</v>
      </c>
      <c r="J192" s="1337"/>
      <c r="K192" s="1336">
        <v>4000</v>
      </c>
      <c r="L192" s="1336"/>
      <c r="M192" s="1336"/>
      <c r="N192" s="291"/>
      <c r="O192" s="2746"/>
      <c r="P192" s="407"/>
    </row>
    <row r="193" spans="1:25" s="51" customFormat="1" ht="23.4" thickTop="1">
      <c r="A193" s="2741"/>
      <c r="B193" s="16" t="s">
        <v>1666</v>
      </c>
      <c r="C193" s="404"/>
      <c r="D193" s="404"/>
      <c r="E193" s="404"/>
      <c r="F193" s="1387">
        <v>1010</v>
      </c>
      <c r="G193" s="404" t="s">
        <v>97</v>
      </c>
      <c r="H193" s="405" t="s">
        <v>4675</v>
      </c>
      <c r="I193" s="406">
        <f t="shared" si="19"/>
        <v>19000</v>
      </c>
      <c r="J193" s="291"/>
      <c r="K193" s="406">
        <v>19000</v>
      </c>
      <c r="L193" s="406"/>
      <c r="M193" s="406"/>
      <c r="N193" s="291"/>
      <c r="O193" s="2746"/>
      <c r="Q193" s="287"/>
      <c r="R193"/>
      <c r="S193"/>
      <c r="T193"/>
      <c r="U193"/>
      <c r="V193"/>
      <c r="W193"/>
      <c r="X193"/>
      <c r="Y193"/>
    </row>
    <row r="194" spans="1:25" s="51" customFormat="1">
      <c r="A194" s="2741"/>
      <c r="B194" s="16"/>
      <c r="C194" s="261"/>
      <c r="D194" s="261"/>
      <c r="E194" s="261"/>
      <c r="F194" s="1386">
        <v>1010</v>
      </c>
      <c r="G194" s="404" t="s">
        <v>97</v>
      </c>
      <c r="H194" s="279" t="s">
        <v>1605</v>
      </c>
      <c r="I194" s="278">
        <f t="shared" si="19"/>
        <v>25830</v>
      </c>
      <c r="J194" s="291"/>
      <c r="K194" s="288">
        <v>25830</v>
      </c>
      <c r="L194" s="278"/>
      <c r="M194" s="278"/>
      <c r="N194" s="291"/>
      <c r="P194" s="51" t="s">
        <v>2814</v>
      </c>
      <c r="Q194" s="287"/>
      <c r="R194"/>
      <c r="S194"/>
      <c r="T194"/>
      <c r="U194"/>
      <c r="V194"/>
      <c r="W194"/>
      <c r="X194"/>
      <c r="Y194"/>
    </row>
    <row r="195" spans="1:25" s="51" customFormat="1" ht="22.2" customHeight="1">
      <c r="A195" s="2741"/>
      <c r="B195" s="16"/>
      <c r="C195" s="261"/>
      <c r="D195" s="261"/>
      <c r="E195" s="261"/>
      <c r="F195" s="1386">
        <v>1010</v>
      </c>
      <c r="G195" s="404" t="s">
        <v>97</v>
      </c>
      <c r="H195" s="279" t="s">
        <v>1302</v>
      </c>
      <c r="I195" s="278">
        <f t="shared" si="19"/>
        <v>167400</v>
      </c>
      <c r="J195" s="291"/>
      <c r="K195" s="278">
        <v>167400</v>
      </c>
      <c r="L195" s="278"/>
      <c r="M195" s="278"/>
      <c r="N195" s="291"/>
      <c r="O195" s="2746"/>
      <c r="Q195" s="287"/>
      <c r="R195"/>
      <c r="S195"/>
      <c r="T195"/>
      <c r="U195"/>
      <c r="V195"/>
      <c r="W195"/>
      <c r="X195"/>
      <c r="Y195"/>
    </row>
    <row r="196" spans="1:25" s="51" customFormat="1" ht="23.4" customHeight="1">
      <c r="A196" s="2741"/>
      <c r="B196" s="16"/>
      <c r="C196" s="261"/>
      <c r="D196" s="261"/>
      <c r="E196" s="261"/>
      <c r="F196" s="1386">
        <v>1010</v>
      </c>
      <c r="G196" s="404" t="s">
        <v>97</v>
      </c>
      <c r="H196" s="279" t="s">
        <v>1609</v>
      </c>
      <c r="I196" s="278">
        <f t="shared" si="19"/>
        <v>50000</v>
      </c>
      <c r="J196" s="291"/>
      <c r="K196" s="278">
        <v>50000</v>
      </c>
      <c r="L196" s="278"/>
      <c r="M196" s="278"/>
      <c r="N196" s="291"/>
      <c r="O196" s="2746"/>
      <c r="Q196" s="287"/>
      <c r="R196"/>
      <c r="S196"/>
      <c r="T196"/>
      <c r="U196"/>
      <c r="V196"/>
      <c r="W196"/>
      <c r="X196"/>
      <c r="Y196"/>
    </row>
    <row r="197" spans="1:25" s="51" customFormat="1" ht="27" customHeight="1">
      <c r="A197" s="2741"/>
      <c r="B197" s="16"/>
      <c r="C197" s="261"/>
      <c r="D197" s="261"/>
      <c r="E197" s="261"/>
      <c r="F197" s="1386">
        <v>1010</v>
      </c>
      <c r="G197" s="404" t="s">
        <v>97</v>
      </c>
      <c r="H197" s="279" t="s">
        <v>4349</v>
      </c>
      <c r="I197" s="278">
        <f t="shared" si="19"/>
        <v>10000</v>
      </c>
      <c r="J197" s="291"/>
      <c r="K197" s="278">
        <v>10000</v>
      </c>
      <c r="L197" s="278"/>
      <c r="M197" s="278"/>
      <c r="N197" s="291"/>
      <c r="O197" s="2746"/>
      <c r="Q197" s="287"/>
      <c r="R197"/>
      <c r="S197"/>
      <c r="T197"/>
      <c r="U197"/>
      <c r="V197"/>
      <c r="W197"/>
      <c r="X197"/>
      <c r="Y197"/>
    </row>
    <row r="198" spans="1:25" s="51" customFormat="1" ht="24" customHeight="1">
      <c r="A198" s="2741"/>
      <c r="B198" s="16"/>
      <c r="C198" s="261"/>
      <c r="D198" s="261"/>
      <c r="E198" s="261"/>
      <c r="F198" s="1386">
        <v>1010</v>
      </c>
      <c r="G198" s="404" t="s">
        <v>97</v>
      </c>
      <c r="H198" s="279" t="s">
        <v>2823</v>
      </c>
      <c r="I198" s="278">
        <f t="shared" si="19"/>
        <v>1200</v>
      </c>
      <c r="J198" s="291"/>
      <c r="K198" s="278">
        <v>1200</v>
      </c>
      <c r="L198" s="278"/>
      <c r="M198" s="278"/>
      <c r="N198" s="291"/>
      <c r="O198" s="2746"/>
      <c r="Q198" s="287"/>
      <c r="R198"/>
      <c r="S198"/>
      <c r="T198"/>
      <c r="U198"/>
      <c r="V198"/>
      <c r="W198"/>
      <c r="X198"/>
      <c r="Y198"/>
    </row>
    <row r="199" spans="1:25" s="51" customFormat="1">
      <c r="A199" s="2741"/>
      <c r="B199" s="16"/>
      <c r="C199" s="261"/>
      <c r="D199" s="261"/>
      <c r="E199" s="261"/>
      <c r="F199" s="1386">
        <v>1010</v>
      </c>
      <c r="G199" s="404" t="s">
        <v>97</v>
      </c>
      <c r="H199" s="279" t="s">
        <v>4350</v>
      </c>
      <c r="I199" s="278">
        <f t="shared" si="19"/>
        <v>180000</v>
      </c>
      <c r="J199" s="291"/>
      <c r="K199" s="278">
        <v>180000</v>
      </c>
      <c r="L199" s="278"/>
      <c r="M199" s="278"/>
      <c r="N199" s="291"/>
      <c r="O199" s="2746"/>
      <c r="Q199" s="287"/>
      <c r="R199"/>
      <c r="S199"/>
      <c r="T199"/>
      <c r="U199"/>
      <c r="V199"/>
      <c r="W199"/>
      <c r="X199"/>
      <c r="Y199"/>
    </row>
    <row r="200" spans="1:25" ht="12">
      <c r="D200" s="82"/>
      <c r="E200" s="82"/>
      <c r="F200" s="1167"/>
      <c r="G200" s="264"/>
      <c r="H200" s="418" t="s">
        <v>1280</v>
      </c>
      <c r="I200" s="419">
        <f>SUM(I130:I199)</f>
        <v>1422550.75141</v>
      </c>
      <c r="J200" s="339"/>
      <c r="K200" s="419">
        <f>SUM(K130:K199)</f>
        <v>1392130.75141</v>
      </c>
      <c r="L200" s="419">
        <f>SUM(L130:L199)</f>
        <v>30420</v>
      </c>
      <c r="M200" s="419">
        <f>SUM(M130:M199)</f>
        <v>0</v>
      </c>
      <c r="N200" s="291"/>
      <c r="O200" s="51"/>
    </row>
    <row r="201" spans="1:25" ht="12">
      <c r="D201" s="82"/>
      <c r="E201" s="82"/>
      <c r="F201" s="1167"/>
      <c r="G201" s="264"/>
      <c r="H201" s="343"/>
      <c r="I201" s="739"/>
      <c r="J201" s="343"/>
      <c r="K201" s="343"/>
      <c r="L201" s="343"/>
      <c r="M201" s="343"/>
      <c r="N201" s="291"/>
      <c r="O201" s="343"/>
    </row>
    <row r="202" spans="1:25" ht="12" hidden="1" outlineLevel="1">
      <c r="B202" s="362" t="s">
        <v>1667</v>
      </c>
      <c r="D202" s="82"/>
      <c r="E202" s="82"/>
      <c r="F202" s="1167"/>
      <c r="G202" s="264"/>
      <c r="H202" s="418"/>
      <c r="I202" s="419">
        <f>SUMIF($B$130:$B$199,$B202,I$130:I$199)</f>
        <v>238300</v>
      </c>
      <c r="J202" s="339"/>
      <c r="K202" s="419">
        <f t="shared" ref="K202:M204" si="23">SUMIF($B$130:$B$199,$B202,K$130:K$199)</f>
        <v>238300</v>
      </c>
      <c r="L202" s="419">
        <f t="shared" si="23"/>
        <v>0</v>
      </c>
      <c r="M202" s="419">
        <f t="shared" si="23"/>
        <v>0</v>
      </c>
      <c r="N202" s="291"/>
      <c r="O202" s="2832"/>
      <c r="Q202" s="18"/>
    </row>
    <row r="203" spans="1:25" ht="12" hidden="1" outlineLevel="1">
      <c r="B203" s="362" t="s">
        <v>775</v>
      </c>
      <c r="D203" s="82"/>
      <c r="E203" s="82"/>
      <c r="F203" s="1167"/>
      <c r="G203" s="264"/>
      <c r="H203" s="418"/>
      <c r="I203" s="419">
        <f>SUMIF($B$130:$B$199,$B203,I$130:I$199)</f>
        <v>70400</v>
      </c>
      <c r="J203" s="339"/>
      <c r="K203" s="419">
        <f t="shared" si="23"/>
        <v>70400</v>
      </c>
      <c r="L203" s="419">
        <f t="shared" si="23"/>
        <v>0</v>
      </c>
      <c r="M203" s="419">
        <f t="shared" si="23"/>
        <v>0</v>
      </c>
      <c r="N203" s="291"/>
      <c r="O203" s="2832"/>
      <c r="Q203" s="18"/>
    </row>
    <row r="204" spans="1:25" ht="12" hidden="1" outlineLevel="1">
      <c r="B204" s="362" t="s">
        <v>1666</v>
      </c>
      <c r="D204" s="82"/>
      <c r="E204" s="82"/>
      <c r="F204" s="1167"/>
      <c r="G204" s="264"/>
      <c r="H204" s="418"/>
      <c r="I204" s="419">
        <f>SUMIF($B$130:$B$199,$B204,I$130:I$199)</f>
        <v>454620.75141000003</v>
      </c>
      <c r="J204" s="339"/>
      <c r="K204" s="419">
        <f t="shared" si="23"/>
        <v>424200.75141000003</v>
      </c>
      <c r="L204" s="419">
        <f t="shared" si="23"/>
        <v>30420</v>
      </c>
      <c r="M204" s="419">
        <f t="shared" si="23"/>
        <v>0</v>
      </c>
      <c r="N204" s="291"/>
      <c r="O204" s="2832"/>
      <c r="Q204" s="18"/>
    </row>
    <row r="205" spans="1:25" ht="12" collapsed="1">
      <c r="D205" s="82"/>
      <c r="E205" s="82"/>
      <c r="F205" s="1167"/>
      <c r="G205" s="264"/>
      <c r="H205" s="343"/>
      <c r="I205" s="739"/>
      <c r="J205" s="343"/>
      <c r="K205" s="351"/>
      <c r="L205" s="343"/>
      <c r="M205" s="343"/>
      <c r="N205" s="291"/>
      <c r="O205" s="343"/>
    </row>
    <row r="206" spans="1:25" ht="12">
      <c r="F206" s="346" t="s">
        <v>1642</v>
      </c>
      <c r="H206" s="14"/>
      <c r="I206" s="135"/>
      <c r="J206" s="291"/>
      <c r="K206" s="135"/>
      <c r="L206" s="135"/>
      <c r="M206" s="135"/>
      <c r="N206" s="291"/>
      <c r="O206" s="135"/>
      <c r="P206" s="407"/>
    </row>
    <row r="207" spans="1:25" ht="12" customHeight="1">
      <c r="C207" s="3538" t="s">
        <v>711</v>
      </c>
      <c r="D207" s="3538" t="s">
        <v>516</v>
      </c>
      <c r="E207" s="3538" t="s">
        <v>517</v>
      </c>
      <c r="F207" s="3538" t="s">
        <v>1261</v>
      </c>
      <c r="G207" s="3538" t="s">
        <v>1241</v>
      </c>
      <c r="H207" s="3547" t="s">
        <v>1242</v>
      </c>
      <c r="I207" s="3541" t="s">
        <v>963</v>
      </c>
      <c r="J207" s="337"/>
      <c r="K207" s="3543" t="s">
        <v>1250</v>
      </c>
      <c r="L207" s="3543"/>
      <c r="M207" s="3543"/>
      <c r="N207" s="291"/>
      <c r="O207" s="51"/>
    </row>
    <row r="208" spans="1:25" ht="24">
      <c r="C208" s="3547"/>
      <c r="D208" s="3547"/>
      <c r="E208" s="3547"/>
      <c r="F208" s="3547"/>
      <c r="G208" s="3547"/>
      <c r="H208" s="3548"/>
      <c r="I208" s="3542"/>
      <c r="J208" s="337"/>
      <c r="K208" s="1168" t="s">
        <v>329</v>
      </c>
      <c r="L208" s="1168" t="s">
        <v>962</v>
      </c>
      <c r="M208" s="1169" t="s">
        <v>712</v>
      </c>
      <c r="N208" s="291"/>
      <c r="O208" s="51"/>
    </row>
    <row r="209" spans="1:20" ht="64.2" customHeight="1">
      <c r="A209" s="2734">
        <v>1</v>
      </c>
      <c r="B209" s="16"/>
      <c r="C209" s="261"/>
      <c r="D209" s="262"/>
      <c r="E209" s="262"/>
      <c r="F209" s="1389" t="s">
        <v>4763</v>
      </c>
      <c r="G209" s="261" t="s">
        <v>323</v>
      </c>
      <c r="H209" s="405" t="s">
        <v>4975</v>
      </c>
      <c r="I209" s="458">
        <f t="shared" ref="I209:I215" si="24">SUM(K209:M209)</f>
        <v>10000</v>
      </c>
      <c r="J209" s="1341"/>
      <c r="K209" s="3268">
        <v>10000</v>
      </c>
      <c r="L209" s="1328"/>
      <c r="M209" s="1328"/>
      <c r="N209" s="291"/>
      <c r="O209" s="2834"/>
      <c r="P209" s="359" t="s">
        <v>4672</v>
      </c>
      <c r="Q209"/>
    </row>
    <row r="210" spans="1:20" ht="15.6" customHeight="1">
      <c r="A210" s="2734">
        <v>1</v>
      </c>
      <c r="B210" s="16"/>
      <c r="C210" s="261"/>
      <c r="D210" s="262"/>
      <c r="E210" s="262"/>
      <c r="F210" s="1389" t="s">
        <v>4763</v>
      </c>
      <c r="G210" s="261" t="s">
        <v>323</v>
      </c>
      <c r="H210" s="405" t="s">
        <v>5262</v>
      </c>
      <c r="I210" s="458">
        <f t="shared" si="24"/>
        <v>20000</v>
      </c>
      <c r="J210" s="1341"/>
      <c r="K210" s="3269">
        <v>20000</v>
      </c>
      <c r="L210" s="1328"/>
      <c r="M210" s="1328"/>
      <c r="N210" s="291"/>
      <c r="O210" s="2983" t="s">
        <v>5246</v>
      </c>
      <c r="P210" s="359"/>
      <c r="Q210"/>
    </row>
    <row r="211" spans="1:20" ht="64.2" customHeight="1">
      <c r="A211" s="2734">
        <v>2</v>
      </c>
      <c r="B211" s="16"/>
      <c r="C211" s="261"/>
      <c r="D211" s="262"/>
      <c r="E211" s="262"/>
      <c r="F211" s="1389" t="s">
        <v>2730</v>
      </c>
      <c r="G211" s="261" t="s">
        <v>806</v>
      </c>
      <c r="H211" s="405" t="s">
        <v>2101</v>
      </c>
      <c r="I211" s="458">
        <f t="shared" ref="I211" si="25">SUM(K211:M211)</f>
        <v>30000</v>
      </c>
      <c r="J211" s="1341"/>
      <c r="K211" s="1328">
        <v>30000</v>
      </c>
      <c r="L211" s="1328"/>
      <c r="M211" s="1328"/>
      <c r="N211" s="291"/>
      <c r="O211" s="2834"/>
      <c r="P211" s="359" t="s">
        <v>4672</v>
      </c>
      <c r="Q211"/>
    </row>
    <row r="212" spans="1:20" ht="22.8">
      <c r="A212" s="2734">
        <v>1</v>
      </c>
      <c r="B212" s="16" t="s">
        <v>1666</v>
      </c>
      <c r="C212" s="261"/>
      <c r="D212" s="262"/>
      <c r="E212" s="262"/>
      <c r="F212" s="1390" t="s">
        <v>309</v>
      </c>
      <c r="G212" s="261" t="s">
        <v>148</v>
      </c>
      <c r="H212" s="279" t="s">
        <v>496</v>
      </c>
      <c r="I212" s="459">
        <f t="shared" si="24"/>
        <v>2000</v>
      </c>
      <c r="J212" s="1341"/>
      <c r="K212" s="3268">
        <v>2000</v>
      </c>
      <c r="L212" s="1328"/>
      <c r="M212" s="1328"/>
      <c r="N212" s="291"/>
      <c r="O212" s="2834"/>
      <c r="P212" s="359"/>
      <c r="Q212" s="359"/>
      <c r="R212" s="359"/>
      <c r="S212" s="359"/>
      <c r="T212" s="359"/>
    </row>
    <row r="213" spans="1:20" ht="18.600000000000001" customHeight="1">
      <c r="A213" s="2734">
        <v>1</v>
      </c>
      <c r="B213" s="16" t="s">
        <v>1666</v>
      </c>
      <c r="C213" s="261"/>
      <c r="D213" s="262"/>
      <c r="E213" s="262"/>
      <c r="F213" s="1390" t="s">
        <v>309</v>
      </c>
      <c r="G213" s="261" t="s">
        <v>148</v>
      </c>
      <c r="H213" s="279" t="s">
        <v>3516</v>
      </c>
      <c r="I213" s="459">
        <f t="shared" si="24"/>
        <v>4000</v>
      </c>
      <c r="J213" s="1341"/>
      <c r="K213" s="3268">
        <v>4000</v>
      </c>
      <c r="L213" s="1328"/>
      <c r="M213" s="1328"/>
      <c r="N213" s="291"/>
      <c r="O213" s="2834"/>
      <c r="P213" s="359" t="s">
        <v>5220</v>
      </c>
      <c r="Q213"/>
    </row>
    <row r="214" spans="1:20" ht="18.600000000000001" customHeight="1">
      <c r="A214" s="2734">
        <v>3</v>
      </c>
      <c r="B214" s="16"/>
      <c r="C214" s="404"/>
      <c r="D214" s="2426"/>
      <c r="E214" s="2426"/>
      <c r="F214" s="2888" t="s">
        <v>4530</v>
      </c>
      <c r="G214" s="404" t="s">
        <v>997</v>
      </c>
      <c r="H214" s="2426" t="s">
        <v>3544</v>
      </c>
      <c r="I214" s="459">
        <f t="shared" si="24"/>
        <v>0</v>
      </c>
      <c r="J214" s="2427"/>
      <c r="K214" s="1328">
        <f>10000-10000</f>
        <v>0</v>
      </c>
      <c r="L214" s="1335"/>
      <c r="M214" s="1335"/>
      <c r="N214" s="291"/>
      <c r="O214" s="2834"/>
      <c r="P214" s="359"/>
      <c r="Q214"/>
    </row>
    <row r="215" spans="1:20" ht="46.5" customHeight="1">
      <c r="A215" s="3227">
        <v>1</v>
      </c>
      <c r="B215" s="16"/>
      <c r="C215" s="404"/>
      <c r="D215" s="2426"/>
      <c r="E215" s="2426"/>
      <c r="F215" s="1390" t="s">
        <v>4530</v>
      </c>
      <c r="G215" s="404" t="s">
        <v>997</v>
      </c>
      <c r="H215" s="405" t="s">
        <v>3547</v>
      </c>
      <c r="I215" s="459">
        <f t="shared" si="24"/>
        <v>0</v>
      </c>
      <c r="J215" s="3103"/>
      <c r="K215" s="3226">
        <f>25500-25500</f>
        <v>0</v>
      </c>
      <c r="L215" s="2670"/>
      <c r="M215" s="2670"/>
      <c r="N215" s="291"/>
      <c r="O215" s="2983" t="s">
        <v>5247</v>
      </c>
      <c r="P215" s="176"/>
      <c r="Q215"/>
    </row>
    <row r="216" spans="1:20" ht="15.6" customHeight="1">
      <c r="A216" s="3227">
        <v>1</v>
      </c>
      <c r="B216" s="16"/>
      <c r="C216" s="404"/>
      <c r="D216" s="2426"/>
      <c r="E216" s="2426"/>
      <c r="F216" s="1390" t="s">
        <v>4530</v>
      </c>
      <c r="G216" s="404" t="s">
        <v>997</v>
      </c>
      <c r="H216" s="405" t="s">
        <v>5245</v>
      </c>
      <c r="I216" s="459">
        <f t="shared" ref="I216:I220" si="26">SUM(K216:M216)</f>
        <v>0</v>
      </c>
      <c r="J216" s="3103"/>
      <c r="K216" s="3309">
        <f>200000+50000-250000</f>
        <v>0</v>
      </c>
      <c r="L216" s="2670"/>
      <c r="M216" s="2670"/>
      <c r="N216" s="291"/>
      <c r="O216" s="2983" t="s">
        <v>5246</v>
      </c>
      <c r="P216" s="176"/>
      <c r="Q216"/>
    </row>
    <row r="217" spans="1:20" ht="15.6" customHeight="1">
      <c r="A217" s="3227">
        <v>1</v>
      </c>
      <c r="B217" s="2426"/>
      <c r="C217" s="2426"/>
      <c r="D217" s="1390"/>
      <c r="F217" s="1390" t="s">
        <v>4530</v>
      </c>
      <c r="G217" s="404" t="s">
        <v>997</v>
      </c>
      <c r="H217" s="405" t="s">
        <v>5355</v>
      </c>
      <c r="I217" s="459">
        <f t="shared" si="26"/>
        <v>40000</v>
      </c>
      <c r="J217" s="3103"/>
      <c r="K217" s="3311">
        <v>40000</v>
      </c>
      <c r="L217" s="2834"/>
      <c r="M217" s="2834"/>
      <c r="N217" s="291"/>
      <c r="O217" s="2983"/>
      <c r="P217" s="176"/>
      <c r="Q217"/>
    </row>
    <row r="218" spans="1:20" ht="15.6" customHeight="1">
      <c r="A218" s="3227">
        <v>1</v>
      </c>
      <c r="B218" s="2426"/>
      <c r="C218" s="2426"/>
      <c r="D218" s="3310"/>
      <c r="F218" s="1389" t="s">
        <v>2730</v>
      </c>
      <c r="G218" s="261" t="s">
        <v>806</v>
      </c>
      <c r="H218" s="405" t="s">
        <v>5356</v>
      </c>
      <c r="I218" s="459">
        <f t="shared" si="26"/>
        <v>40000</v>
      </c>
      <c r="J218" s="3103"/>
      <c r="K218" s="3311">
        <v>40000</v>
      </c>
      <c r="L218" s="2834"/>
      <c r="M218" s="2834"/>
      <c r="N218" s="291"/>
      <c r="O218" s="2983"/>
      <c r="P218" s="176"/>
      <c r="Q218"/>
    </row>
    <row r="219" spans="1:20" ht="15.6" customHeight="1">
      <c r="A219" s="3227">
        <v>1</v>
      </c>
      <c r="B219" s="2426"/>
      <c r="C219" s="2426"/>
      <c r="D219" s="3310"/>
      <c r="F219" s="1386" t="s">
        <v>310</v>
      </c>
      <c r="G219" s="289" t="s">
        <v>1633</v>
      </c>
      <c r="H219" s="405" t="s">
        <v>5357</v>
      </c>
      <c r="I219" s="459">
        <f t="shared" si="26"/>
        <v>100000</v>
      </c>
      <c r="J219" s="3103"/>
      <c r="K219" s="3311">
        <v>100000</v>
      </c>
      <c r="L219" s="2834"/>
      <c r="M219" s="2834"/>
      <c r="N219" s="291"/>
      <c r="O219" s="2983"/>
      <c r="P219" s="176"/>
      <c r="Q219"/>
    </row>
    <row r="220" spans="1:20" ht="15.6" customHeight="1">
      <c r="A220" s="3227">
        <v>1</v>
      </c>
      <c r="B220" s="16"/>
      <c r="C220" s="404"/>
      <c r="D220" s="2426"/>
      <c r="E220" s="2426"/>
      <c r="F220" s="1386" t="s">
        <v>310</v>
      </c>
      <c r="G220" s="289" t="s">
        <v>1633</v>
      </c>
      <c r="H220" s="405" t="s">
        <v>5253</v>
      </c>
      <c r="I220" s="459">
        <f t="shared" si="26"/>
        <v>20000</v>
      </c>
      <c r="J220" s="3103"/>
      <c r="K220" s="3238">
        <v>20000</v>
      </c>
      <c r="L220" s="2834"/>
      <c r="M220" s="2834"/>
      <c r="N220" s="291"/>
      <c r="O220" s="2983" t="s">
        <v>5246</v>
      </c>
      <c r="P220" s="176"/>
      <c r="Q220"/>
    </row>
    <row r="221" spans="1:20" ht="71.400000000000006">
      <c r="A221" s="3313">
        <v>1</v>
      </c>
      <c r="B221" s="16"/>
      <c r="C221" s="449"/>
      <c r="D221" s="449"/>
      <c r="E221" s="449"/>
      <c r="F221" s="1386" t="s">
        <v>310</v>
      </c>
      <c r="G221" s="289" t="s">
        <v>1633</v>
      </c>
      <c r="H221" s="405" t="s">
        <v>3614</v>
      </c>
      <c r="I221" s="1328">
        <f>K221+L221</f>
        <v>4000</v>
      </c>
      <c r="J221" s="291"/>
      <c r="K221" s="3312">
        <v>4000</v>
      </c>
      <c r="L221" s="2595"/>
      <c r="M221" s="2584"/>
      <c r="N221" s="291"/>
      <c r="O221" s="2746"/>
      <c r="P221" s="359" t="s">
        <v>4941</v>
      </c>
    </row>
    <row r="222" spans="1:20" ht="91.8">
      <c r="A222" s="2738">
        <v>2</v>
      </c>
      <c r="B222" s="16"/>
      <c r="C222" s="449"/>
      <c r="D222" s="449"/>
      <c r="E222" s="449"/>
      <c r="F222" s="1386" t="s">
        <v>310</v>
      </c>
      <c r="G222" s="289" t="s">
        <v>1633</v>
      </c>
      <c r="H222" s="405" t="s">
        <v>3633</v>
      </c>
      <c r="I222" s="1328">
        <f t="shared" ref="I222:I223" si="27">K222+L222</f>
        <v>13500</v>
      </c>
      <c r="J222" s="291"/>
      <c r="K222" s="3223">
        <v>13500</v>
      </c>
      <c r="L222" s="2595"/>
      <c r="M222" s="2584"/>
      <c r="N222" s="291"/>
      <c r="O222" s="2746"/>
      <c r="P222" s="359" t="s">
        <v>4942</v>
      </c>
    </row>
    <row r="223" spans="1:20" ht="22.8">
      <c r="A223" s="2738">
        <v>1</v>
      </c>
      <c r="B223" s="16"/>
      <c r="C223" s="449"/>
      <c r="D223" s="449"/>
      <c r="E223" s="449"/>
      <c r="F223" s="1386" t="s">
        <v>311</v>
      </c>
      <c r="G223" s="289" t="s">
        <v>1254</v>
      </c>
      <c r="H223" s="405" t="s">
        <v>4036</v>
      </c>
      <c r="I223" s="1328">
        <f t="shared" si="27"/>
        <v>2700</v>
      </c>
      <c r="J223" s="291"/>
      <c r="K223" s="3223">
        <v>2700</v>
      </c>
      <c r="L223" s="291"/>
      <c r="M223" s="2746"/>
      <c r="N223" s="291"/>
      <c r="O223" s="2746"/>
      <c r="P223" s="359" t="s">
        <v>4037</v>
      </c>
    </row>
    <row r="224" spans="1:20">
      <c r="A224" s="2734">
        <v>2</v>
      </c>
      <c r="B224" s="16" t="s">
        <v>775</v>
      </c>
      <c r="C224" s="289"/>
      <c r="D224" s="289"/>
      <c r="E224" s="289"/>
      <c r="F224" s="1386" t="s">
        <v>311</v>
      </c>
      <c r="G224" s="289" t="s">
        <v>1254</v>
      </c>
      <c r="H224" s="279" t="s">
        <v>4976</v>
      </c>
      <c r="I224" s="278">
        <f t="shared" ref="I224:I233" si="28">SUM(K224:M224)</f>
        <v>20000</v>
      </c>
      <c r="J224" s="291"/>
      <c r="K224" s="3223">
        <v>20000</v>
      </c>
      <c r="L224" s="406"/>
      <c r="M224" s="406"/>
      <c r="N224" s="291"/>
      <c r="O224" s="2746"/>
      <c r="P224" s="375" t="s">
        <v>4977</v>
      </c>
    </row>
    <row r="225" spans="1:20" ht="13.2" customHeight="1">
      <c r="A225" s="2738">
        <v>2</v>
      </c>
      <c r="B225" s="16"/>
      <c r="C225" s="289"/>
      <c r="D225" s="289"/>
      <c r="E225" s="289"/>
      <c r="F225" s="1386" t="s">
        <v>311</v>
      </c>
      <c r="G225" s="289" t="s">
        <v>1254</v>
      </c>
      <c r="H225" s="279" t="s">
        <v>3712</v>
      </c>
      <c r="I225" s="456">
        <f t="shared" si="28"/>
        <v>4000</v>
      </c>
      <c r="J225" s="291"/>
      <c r="K225" s="278">
        <v>4000</v>
      </c>
      <c r="L225" s="456"/>
      <c r="M225" s="456"/>
      <c r="N225" s="291"/>
      <c r="O225" s="2746"/>
      <c r="P225" s="359" t="s">
        <v>4532</v>
      </c>
    </row>
    <row r="226" spans="1:20" s="16" customFormat="1" ht="12.6" customHeight="1">
      <c r="A226" s="2738">
        <v>1</v>
      </c>
      <c r="C226" s="289"/>
      <c r="D226" s="289"/>
      <c r="E226" s="289"/>
      <c r="F226" s="1386" t="s">
        <v>311</v>
      </c>
      <c r="G226" s="289" t="s">
        <v>1254</v>
      </c>
      <c r="H226" s="279" t="s">
        <v>4955</v>
      </c>
      <c r="I226" s="2980">
        <f t="shared" si="28"/>
        <v>200000</v>
      </c>
      <c r="J226" s="1349"/>
      <c r="K226" s="3224">
        <v>200000</v>
      </c>
      <c r="L226" s="1181"/>
      <c r="M226" s="1181"/>
      <c r="N226" s="291"/>
      <c r="O226" s="2835"/>
      <c r="P226" s="359"/>
      <c r="Q226" s="296"/>
      <c r="T226"/>
    </row>
    <row r="227" spans="1:20" s="16" customFormat="1" ht="12.6" customHeight="1">
      <c r="A227" s="2738">
        <v>1</v>
      </c>
      <c r="C227" s="289"/>
      <c r="D227" s="289"/>
      <c r="E227" s="289"/>
      <c r="F227" s="1386" t="s">
        <v>2737</v>
      </c>
      <c r="G227" s="289" t="s">
        <v>1254</v>
      </c>
      <c r="H227" s="447" t="s">
        <v>5255</v>
      </c>
      <c r="I227" s="2980">
        <f>SUM(K227:M227)</f>
        <v>0</v>
      </c>
      <c r="J227" s="1349"/>
      <c r="K227" s="3300">
        <f>50000+30000-80000</f>
        <v>0</v>
      </c>
      <c r="L227" s="1181"/>
      <c r="M227" s="1181"/>
      <c r="N227" s="291"/>
      <c r="O227" s="3244" t="s">
        <v>5246</v>
      </c>
      <c r="P227" s="359"/>
      <c r="Q227" s="296"/>
      <c r="T227"/>
    </row>
    <row r="228" spans="1:20" s="16" customFormat="1" ht="12.6" customHeight="1">
      <c r="A228" s="2738">
        <v>1</v>
      </c>
      <c r="C228" s="289"/>
      <c r="D228" s="289"/>
      <c r="E228" s="289"/>
      <c r="F228" s="1386" t="s">
        <v>2737</v>
      </c>
      <c r="G228" s="289" t="s">
        <v>1254</v>
      </c>
      <c r="H228" s="447" t="s">
        <v>5339</v>
      </c>
      <c r="I228" s="2980">
        <f>SUM(K228:M228)</f>
        <v>10000</v>
      </c>
      <c r="J228" s="1349"/>
      <c r="K228" s="3300">
        <v>10000</v>
      </c>
      <c r="L228" s="1181"/>
      <c r="M228" s="1181"/>
      <c r="N228" s="291"/>
      <c r="O228" s="3244"/>
      <c r="P228" s="359"/>
      <c r="Q228" s="296"/>
      <c r="T228"/>
    </row>
    <row r="229" spans="1:20" s="16" customFormat="1" ht="12.6" customHeight="1">
      <c r="A229" s="2738">
        <v>1</v>
      </c>
      <c r="C229" s="289"/>
      <c r="D229" s="289"/>
      <c r="E229" s="289"/>
      <c r="F229" s="1386" t="s">
        <v>2737</v>
      </c>
      <c r="G229" s="289" t="s">
        <v>1254</v>
      </c>
      <c r="H229" s="447" t="s">
        <v>5338</v>
      </c>
      <c r="I229" s="2980">
        <f t="shared" si="28"/>
        <v>50000</v>
      </c>
      <c r="J229" s="1349"/>
      <c r="K229" s="3243">
        <v>50000</v>
      </c>
      <c r="L229" s="1181"/>
      <c r="M229" s="1181"/>
      <c r="N229" s="291"/>
      <c r="O229" s="3244" t="s">
        <v>5246</v>
      </c>
      <c r="P229" s="359"/>
      <c r="Q229" s="296"/>
      <c r="T229"/>
    </row>
    <row r="230" spans="1:20" s="16" customFormat="1" ht="13.2" customHeight="1" thickBot="1">
      <c r="A230" s="2738">
        <v>2</v>
      </c>
      <c r="C230" s="289"/>
      <c r="D230" s="289"/>
      <c r="E230" s="289"/>
      <c r="F230" s="1391" t="s">
        <v>2737</v>
      </c>
      <c r="G230" s="467" t="s">
        <v>1254</v>
      </c>
      <c r="H230" s="447" t="s">
        <v>4533</v>
      </c>
      <c r="I230" s="2980">
        <f t="shared" si="28"/>
        <v>62000</v>
      </c>
      <c r="J230" s="1349"/>
      <c r="K230" s="2862">
        <v>62000</v>
      </c>
      <c r="L230" s="1181"/>
      <c r="M230" s="1181"/>
      <c r="N230" s="291"/>
      <c r="O230" s="2835"/>
      <c r="P230" s="359"/>
      <c r="Q230" s="296"/>
      <c r="T230"/>
    </row>
    <row r="231" spans="1:20" s="16" customFormat="1" ht="25.95" customHeight="1">
      <c r="A231" s="2734">
        <v>2</v>
      </c>
      <c r="C231" s="289"/>
      <c r="D231" s="289"/>
      <c r="E231" s="1243"/>
      <c r="F231" s="2863" t="s">
        <v>2737</v>
      </c>
      <c r="G231" s="2702" t="s">
        <v>1254</v>
      </c>
      <c r="H231" s="2703" t="s">
        <v>4534</v>
      </c>
      <c r="I231" s="3003">
        <f t="shared" si="28"/>
        <v>850000</v>
      </c>
      <c r="J231" s="2644"/>
      <c r="K231" s="2864">
        <v>850000</v>
      </c>
      <c r="L231" s="430"/>
      <c r="M231" s="1181"/>
      <c r="N231" s="291"/>
      <c r="O231" s="2835"/>
      <c r="P231" s="359"/>
      <c r="Q231" s="296"/>
      <c r="T231"/>
    </row>
    <row r="232" spans="1:20" s="16" customFormat="1" ht="22.8">
      <c r="A232" s="2738">
        <v>2</v>
      </c>
      <c r="C232" s="467"/>
      <c r="D232" s="467"/>
      <c r="E232" s="2859"/>
      <c r="F232" s="2865" t="s">
        <v>2737</v>
      </c>
      <c r="G232" s="467" t="s">
        <v>1254</v>
      </c>
      <c r="H232" s="447" t="s">
        <v>4535</v>
      </c>
      <c r="I232" s="1328">
        <f t="shared" si="28"/>
        <v>12000</v>
      </c>
      <c r="J232" s="360"/>
      <c r="K232" s="3225">
        <v>12000</v>
      </c>
      <c r="L232" s="2860"/>
      <c r="M232" s="1284"/>
      <c r="N232" s="291"/>
      <c r="O232" s="2838"/>
      <c r="P232" s="359"/>
      <c r="Q232" s="296"/>
      <c r="T232"/>
    </row>
    <row r="233" spans="1:20" s="16" customFormat="1" ht="23.4" thickBot="1">
      <c r="A233" s="2738">
        <v>2</v>
      </c>
      <c r="C233" s="467"/>
      <c r="D233" s="467"/>
      <c r="E233" s="2859"/>
      <c r="F233" s="2706" t="s">
        <v>2737</v>
      </c>
      <c r="G233" s="2646" t="s">
        <v>1254</v>
      </c>
      <c r="H233" s="2707" t="s">
        <v>4536</v>
      </c>
      <c r="I233" s="3004">
        <f t="shared" si="28"/>
        <v>5000</v>
      </c>
      <c r="J233" s="2732"/>
      <c r="K233" s="2866">
        <v>5000</v>
      </c>
      <c r="L233" s="2861"/>
      <c r="M233" s="456"/>
      <c r="N233" s="291"/>
      <c r="O233" s="2746"/>
      <c r="P233" s="359"/>
      <c r="Q233" s="296"/>
      <c r="T233"/>
    </row>
    <row r="234" spans="1:20" ht="13.2" customHeight="1">
      <c r="A234" s="2738">
        <v>1</v>
      </c>
      <c r="B234" s="16"/>
      <c r="C234" s="467"/>
      <c r="D234" s="467"/>
      <c r="E234" s="467"/>
      <c r="F234" s="1391" t="s">
        <v>1007</v>
      </c>
      <c r="G234" s="467" t="s">
        <v>92</v>
      </c>
      <c r="H234" s="447" t="s">
        <v>3787</v>
      </c>
      <c r="I234" s="2893">
        <f t="shared" ref="I234:I236" si="29">SUM(K234:M234)</f>
        <v>7000</v>
      </c>
      <c r="J234" s="291"/>
      <c r="K234" s="457">
        <v>7000</v>
      </c>
      <c r="L234" s="456"/>
      <c r="M234" s="456"/>
      <c r="N234" s="291"/>
      <c r="O234" s="2746"/>
      <c r="P234" s="2433" t="s">
        <v>3788</v>
      </c>
    </row>
    <row r="235" spans="1:20" ht="25.95" customHeight="1" thickBot="1">
      <c r="A235" s="2738">
        <v>2</v>
      </c>
      <c r="B235" s="16"/>
      <c r="C235" s="467"/>
      <c r="D235" s="467"/>
      <c r="E235" s="467"/>
      <c r="F235" s="1388" t="s">
        <v>1007</v>
      </c>
      <c r="G235" s="421" t="s">
        <v>92</v>
      </c>
      <c r="H235" s="2429" t="s">
        <v>4891</v>
      </c>
      <c r="I235" s="2630">
        <f t="shared" si="29"/>
        <v>2840</v>
      </c>
      <c r="J235" s="1337"/>
      <c r="K235" s="1338">
        <f>3020-180</f>
        <v>2840</v>
      </c>
      <c r="L235" s="1336"/>
      <c r="M235" s="1336"/>
      <c r="N235" s="291"/>
      <c r="O235" s="2746"/>
      <c r="P235" s="2433" t="s">
        <v>3792</v>
      </c>
    </row>
    <row r="236" spans="1:20" ht="23.4" thickTop="1">
      <c r="A236" s="2738">
        <v>1</v>
      </c>
      <c r="B236" s="16" t="s">
        <v>775</v>
      </c>
      <c r="C236" s="261"/>
      <c r="D236" s="261"/>
      <c r="E236" s="261"/>
      <c r="F236" s="1386" t="s">
        <v>999</v>
      </c>
      <c r="G236" s="261" t="s">
        <v>1640</v>
      </c>
      <c r="H236" s="279" t="s">
        <v>3840</v>
      </c>
      <c r="I236" s="3105">
        <f t="shared" si="29"/>
        <v>11266</v>
      </c>
      <c r="J236" s="3106"/>
      <c r="K236" s="3224">
        <v>11266</v>
      </c>
      <c r="L236" s="1181"/>
      <c r="M236" s="1181"/>
      <c r="N236" s="291"/>
      <c r="O236" s="2835"/>
      <c r="P236" s="408" t="s">
        <v>3850</v>
      </c>
      <c r="Q236"/>
    </row>
    <row r="237" spans="1:20" ht="45.6">
      <c r="A237" s="2734">
        <v>2</v>
      </c>
      <c r="B237" s="16"/>
      <c r="C237" s="261"/>
      <c r="D237" s="261"/>
      <c r="E237" s="261"/>
      <c r="F237" s="1386" t="s">
        <v>998</v>
      </c>
      <c r="G237" s="261" t="s">
        <v>1257</v>
      </c>
      <c r="H237" s="279" t="s">
        <v>2778</v>
      </c>
      <c r="I237" s="278">
        <f t="shared" ref="I237:I238" si="30">K237</f>
        <v>4000</v>
      </c>
      <c r="J237" s="1285"/>
      <c r="K237" s="288">
        <v>4000</v>
      </c>
      <c r="L237" s="1283"/>
      <c r="M237" s="1283"/>
      <c r="N237" s="291"/>
      <c r="O237" s="2838"/>
      <c r="P237" s="408"/>
      <c r="Q237"/>
    </row>
    <row r="238" spans="1:20" ht="22.8">
      <c r="A238" s="2734">
        <v>2</v>
      </c>
      <c r="B238" s="16"/>
      <c r="C238" s="261"/>
      <c r="D238" s="261"/>
      <c r="E238" s="261"/>
      <c r="F238" s="1386" t="s">
        <v>4963</v>
      </c>
      <c r="G238" s="261" t="s">
        <v>1497</v>
      </c>
      <c r="H238" s="279" t="s">
        <v>3875</v>
      </c>
      <c r="I238" s="278">
        <f t="shared" si="30"/>
        <v>2500</v>
      </c>
      <c r="J238" s="1285"/>
      <c r="K238" s="288">
        <v>2500</v>
      </c>
      <c r="L238" s="1283"/>
      <c r="M238" s="1283"/>
      <c r="N238" s="291"/>
      <c r="O238" s="2838"/>
      <c r="P238" s="408"/>
      <c r="Q238"/>
    </row>
    <row r="239" spans="1:20">
      <c r="A239" s="2734">
        <v>1</v>
      </c>
      <c r="B239" s="16"/>
      <c r="C239" s="261"/>
      <c r="D239" s="261"/>
      <c r="E239" s="261"/>
      <c r="F239" s="1386" t="s">
        <v>4963</v>
      </c>
      <c r="G239" s="261" t="s">
        <v>1497</v>
      </c>
      <c r="H239" s="279" t="s">
        <v>1495</v>
      </c>
      <c r="I239" s="278">
        <f t="shared" ref="I239" si="31">K239</f>
        <v>5000</v>
      </c>
      <c r="J239" s="1285"/>
      <c r="K239" s="288">
        <v>5000</v>
      </c>
      <c r="L239" s="1283"/>
      <c r="M239" s="1283"/>
      <c r="N239" s="291"/>
      <c r="O239" s="2838"/>
      <c r="P239" s="408"/>
      <c r="Q239"/>
    </row>
    <row r="240" spans="1:20" ht="12" customHeight="1">
      <c r="A240" s="2734">
        <v>1</v>
      </c>
      <c r="B240" s="16" t="s">
        <v>1666</v>
      </c>
      <c r="C240" s="261"/>
      <c r="D240" s="261"/>
      <c r="E240" s="261"/>
      <c r="F240" s="1386" t="s">
        <v>313</v>
      </c>
      <c r="G240" s="289" t="s">
        <v>95</v>
      </c>
      <c r="H240" s="279" t="s">
        <v>1258</v>
      </c>
      <c r="I240" s="278">
        <f>SUM(K240:M240)</f>
        <v>6000</v>
      </c>
      <c r="J240" s="3107"/>
      <c r="K240" s="3229">
        <f>4000+2000</f>
        <v>6000</v>
      </c>
      <c r="L240" s="1278"/>
      <c r="M240" s="1278"/>
      <c r="N240" s="291"/>
      <c r="O240" s="3239" t="s">
        <v>5254</v>
      </c>
    </row>
    <row r="241" spans="1:23" ht="25.95" customHeight="1">
      <c r="A241" s="2734">
        <v>2</v>
      </c>
      <c r="B241" s="16" t="s">
        <v>775</v>
      </c>
      <c r="C241" s="261"/>
      <c r="D241" s="261"/>
      <c r="E241" s="261"/>
      <c r="F241" s="1386" t="s">
        <v>800</v>
      </c>
      <c r="G241" s="261" t="s">
        <v>713</v>
      </c>
      <c r="H241" s="279" t="s">
        <v>5127</v>
      </c>
      <c r="I241" s="278">
        <f>SUM(K241:M241)</f>
        <v>89000</v>
      </c>
      <c r="J241" s="1350"/>
      <c r="K241" s="288">
        <v>89000</v>
      </c>
      <c r="L241" s="278"/>
      <c r="M241" s="278"/>
      <c r="N241" s="291"/>
      <c r="O241" s="2746"/>
      <c r="P241" s="408"/>
      <c r="Q241"/>
    </row>
    <row r="242" spans="1:23" ht="12" customHeight="1">
      <c r="A242" s="2734">
        <v>2</v>
      </c>
      <c r="B242" s="16"/>
      <c r="C242" s="261"/>
      <c r="D242" s="261"/>
      <c r="E242" s="261"/>
      <c r="F242" s="1386" t="s">
        <v>800</v>
      </c>
      <c r="G242" s="261" t="s">
        <v>713</v>
      </c>
      <c r="H242" s="279" t="s">
        <v>4911</v>
      </c>
      <c r="I242" s="278">
        <f>SUM(K242:M242)</f>
        <v>16000</v>
      </c>
      <c r="J242" s="1350"/>
      <c r="K242" s="288">
        <v>16000</v>
      </c>
      <c r="L242" s="278"/>
      <c r="M242" s="278"/>
      <c r="N242" s="291"/>
      <c r="O242" s="2746"/>
      <c r="P242" s="408"/>
      <c r="Q242"/>
    </row>
    <row r="243" spans="1:23" ht="12" customHeight="1">
      <c r="A243" s="2734">
        <v>1</v>
      </c>
      <c r="B243" s="16" t="s">
        <v>775</v>
      </c>
      <c r="C243" s="261"/>
      <c r="D243" s="261"/>
      <c r="E243" s="261"/>
      <c r="F243" s="1393" t="s">
        <v>4757</v>
      </c>
      <c r="G243" s="448" t="s">
        <v>713</v>
      </c>
      <c r="H243" s="648" t="s">
        <v>4755</v>
      </c>
      <c r="I243" s="649">
        <f>SUM(K243:M243)</f>
        <v>9300</v>
      </c>
      <c r="J243" s="2911"/>
      <c r="K243" s="570">
        <v>9300</v>
      </c>
      <c r="L243" s="649"/>
      <c r="M243" s="649"/>
      <c r="N243" s="291"/>
      <c r="O243" s="2746"/>
      <c r="P243" s="408" t="s">
        <v>4756</v>
      </c>
      <c r="Q243"/>
    </row>
    <row r="244" spans="1:23" ht="29.25" customHeight="1">
      <c r="A244" s="2734">
        <v>2</v>
      </c>
      <c r="B244" s="16"/>
      <c r="C244" s="261"/>
      <c r="D244" s="261"/>
      <c r="E244" s="412"/>
      <c r="F244" s="2909" t="s">
        <v>4537</v>
      </c>
      <c r="G244" s="404" t="s">
        <v>4538</v>
      </c>
      <c r="H244" s="405" t="s">
        <v>3953</v>
      </c>
      <c r="I244" s="406">
        <f t="shared" ref="I244:I258" si="32">SUM(K244:M244)</f>
        <v>1494</v>
      </c>
      <c r="J244" s="1339"/>
      <c r="K244" s="455">
        <v>1494</v>
      </c>
      <c r="L244" s="406"/>
      <c r="M244" s="2910"/>
      <c r="N244" s="291"/>
      <c r="O244" s="2746"/>
      <c r="P244" s="408"/>
      <c r="Q244"/>
    </row>
    <row r="245" spans="1:23" ht="14.25" customHeight="1">
      <c r="A245" s="2734">
        <v>2</v>
      </c>
      <c r="B245" s="16"/>
      <c r="C245" s="261"/>
      <c r="D245" s="261"/>
      <c r="E245" s="412"/>
      <c r="F245" s="2867" t="s">
        <v>4537</v>
      </c>
      <c r="G245" s="261" t="s">
        <v>4538</v>
      </c>
      <c r="H245" s="279" t="s">
        <v>3952</v>
      </c>
      <c r="I245" s="278">
        <f t="shared" si="32"/>
        <v>127</v>
      </c>
      <c r="J245" s="1350"/>
      <c r="K245" s="288">
        <v>127</v>
      </c>
      <c r="L245" s="278"/>
      <c r="M245" s="2869"/>
      <c r="N245" s="291"/>
      <c r="O245" s="2746"/>
      <c r="P245" s="408"/>
      <c r="Q245"/>
    </row>
    <row r="246" spans="1:23" ht="22.2" customHeight="1">
      <c r="A246" s="2734">
        <v>2</v>
      </c>
      <c r="B246" s="16"/>
      <c r="C246" s="261"/>
      <c r="D246" s="261"/>
      <c r="E246" s="412"/>
      <c r="F246" s="2867" t="s">
        <v>4537</v>
      </c>
      <c r="G246" s="261" t="s">
        <v>4538</v>
      </c>
      <c r="H246" s="279" t="s">
        <v>3954</v>
      </c>
      <c r="I246" s="278">
        <f t="shared" si="32"/>
        <v>897</v>
      </c>
      <c r="J246" s="1350"/>
      <c r="K246" s="288">
        <v>897</v>
      </c>
      <c r="L246" s="278"/>
      <c r="M246" s="2869"/>
      <c r="N246" s="291"/>
      <c r="O246" s="2746"/>
      <c r="P246" s="408"/>
      <c r="Q246"/>
    </row>
    <row r="247" spans="1:23" ht="23.25" customHeight="1">
      <c r="A247" s="2734">
        <v>2</v>
      </c>
      <c r="B247" s="16"/>
      <c r="C247" s="261"/>
      <c r="D247" s="261"/>
      <c r="E247" s="412"/>
      <c r="F247" s="2867" t="s">
        <v>4537</v>
      </c>
      <c r="G247" s="261" t="s">
        <v>4538</v>
      </c>
      <c r="H247" s="279" t="s">
        <v>3955</v>
      </c>
      <c r="I247" s="278">
        <f t="shared" si="32"/>
        <v>955</v>
      </c>
      <c r="J247" s="1350"/>
      <c r="K247" s="288">
        <v>955</v>
      </c>
      <c r="L247" s="278"/>
      <c r="M247" s="2869"/>
      <c r="N247" s="291"/>
      <c r="O247" s="2746"/>
      <c r="P247" s="408"/>
      <c r="Q247"/>
    </row>
    <row r="248" spans="1:23" ht="23.25" customHeight="1">
      <c r="A248" s="2734">
        <v>2</v>
      </c>
      <c r="B248" s="16"/>
      <c r="C248" s="261"/>
      <c r="D248" s="261"/>
      <c r="E248" s="412"/>
      <c r="F248" s="2867" t="s">
        <v>4537</v>
      </c>
      <c r="G248" s="261" t="s">
        <v>4538</v>
      </c>
      <c r="H248" s="279" t="s">
        <v>3956</v>
      </c>
      <c r="I248" s="278">
        <f t="shared" si="32"/>
        <v>1139</v>
      </c>
      <c r="J248" s="1350"/>
      <c r="K248" s="288">
        <v>1139</v>
      </c>
      <c r="L248" s="278"/>
      <c r="M248" s="2869"/>
      <c r="N248" s="291"/>
      <c r="O248" s="2746"/>
      <c r="P248" s="408"/>
      <c r="Q248"/>
    </row>
    <row r="249" spans="1:23" ht="22.2" customHeight="1">
      <c r="A249" s="2734">
        <v>2</v>
      </c>
      <c r="B249" s="16"/>
      <c r="C249" s="261"/>
      <c r="D249" s="261"/>
      <c r="E249" s="412"/>
      <c r="F249" s="2867" t="s">
        <v>4537</v>
      </c>
      <c r="G249" s="261" t="s">
        <v>4538</v>
      </c>
      <c r="H249" s="279" t="s">
        <v>3957</v>
      </c>
      <c r="I249" s="278">
        <f t="shared" si="32"/>
        <v>1771.44</v>
      </c>
      <c r="J249" s="1350"/>
      <c r="K249" s="288">
        <v>1771.44</v>
      </c>
      <c r="L249" s="278"/>
      <c r="M249" s="2869"/>
      <c r="N249" s="291"/>
      <c r="O249" s="2746"/>
      <c r="P249" s="408"/>
      <c r="Q249"/>
    </row>
    <row r="250" spans="1:23" ht="26.25" customHeight="1" thickBot="1">
      <c r="A250" s="2734">
        <v>1</v>
      </c>
      <c r="B250" s="16"/>
      <c r="C250" s="261"/>
      <c r="D250" s="261"/>
      <c r="E250" s="412"/>
      <c r="F250" s="2706" t="s">
        <v>976</v>
      </c>
      <c r="G250" s="2868" t="s">
        <v>4538</v>
      </c>
      <c r="H250" s="2707" t="s">
        <v>3958</v>
      </c>
      <c r="I250" s="2432">
        <f t="shared" si="32"/>
        <v>3700</v>
      </c>
      <c r="J250" s="2431"/>
      <c r="K250" s="2870">
        <v>3700</v>
      </c>
      <c r="L250" s="2432"/>
      <c r="M250" s="2708"/>
      <c r="N250" s="291"/>
      <c r="O250" s="2746"/>
      <c r="P250" s="408"/>
      <c r="Q250"/>
    </row>
    <row r="251" spans="1:23" ht="26.25" customHeight="1">
      <c r="A251" s="3227">
        <v>1</v>
      </c>
      <c r="B251" s="16"/>
      <c r="C251" s="261"/>
      <c r="D251" s="261"/>
      <c r="E251" s="412"/>
      <c r="F251" s="2876" t="s">
        <v>5229</v>
      </c>
      <c r="G251" s="2877" t="s">
        <v>4538</v>
      </c>
      <c r="H251" s="2878" t="s">
        <v>5057</v>
      </c>
      <c r="I251" s="2880">
        <f t="shared" si="32"/>
        <v>0</v>
      </c>
      <c r="J251" s="2879"/>
      <c r="K251" s="3226">
        <f>20000-20000</f>
        <v>0</v>
      </c>
      <c r="L251" s="2880"/>
      <c r="M251" s="2881"/>
      <c r="N251" s="291"/>
      <c r="O251" s="2983" t="s">
        <v>5247</v>
      </c>
      <c r="P251" s="408"/>
      <c r="Q251"/>
    </row>
    <row r="252" spans="1:23">
      <c r="A252" s="2734">
        <v>1</v>
      </c>
      <c r="B252" s="16"/>
      <c r="C252" s="261"/>
      <c r="D252" s="261"/>
      <c r="E252" s="261"/>
      <c r="F252" s="1387" t="s">
        <v>2741</v>
      </c>
      <c r="G252" s="449" t="s">
        <v>1262</v>
      </c>
      <c r="H252" s="405" t="s">
        <v>4539</v>
      </c>
      <c r="I252" s="406">
        <f t="shared" si="32"/>
        <v>40000</v>
      </c>
      <c r="J252" s="1339"/>
      <c r="K252" s="406">
        <v>40000</v>
      </c>
      <c r="L252" s="406"/>
      <c r="M252" s="406"/>
      <c r="N252" s="291"/>
      <c r="O252" s="2746"/>
      <c r="P252" s="408"/>
    </row>
    <row r="253" spans="1:23" s="16" customFormat="1" ht="23.4">
      <c r="A253" s="3228">
        <v>1</v>
      </c>
      <c r="C253" s="289"/>
      <c r="D253" s="289"/>
      <c r="E253" s="289"/>
      <c r="F253" s="1386" t="s">
        <v>2741</v>
      </c>
      <c r="G253" s="289" t="s">
        <v>1262</v>
      </c>
      <c r="H253" s="279" t="s">
        <v>4540</v>
      </c>
      <c r="I253" s="288">
        <f t="shared" si="32"/>
        <v>70000</v>
      </c>
      <c r="J253" s="1350"/>
      <c r="K253" s="3314">
        <f>210000-210000+70000</f>
        <v>70000</v>
      </c>
      <c r="L253" s="278"/>
      <c r="M253" s="278"/>
      <c r="N253" s="291"/>
      <c r="O253" s="2983" t="s">
        <v>5247</v>
      </c>
      <c r="P253" s="408"/>
      <c r="Q253" s="287"/>
      <c r="R253"/>
      <c r="S253"/>
      <c r="T253"/>
      <c r="U253"/>
      <c r="V253"/>
      <c r="W253"/>
    </row>
    <row r="254" spans="1:23" ht="12" thickBot="1">
      <c r="A254" s="2734">
        <v>1</v>
      </c>
      <c r="B254" s="16"/>
      <c r="C254" s="261"/>
      <c r="D254" s="261"/>
      <c r="E254" s="261"/>
      <c r="F254" s="1391" t="s">
        <v>2742</v>
      </c>
      <c r="G254" s="467" t="s">
        <v>2743</v>
      </c>
      <c r="H254" s="447" t="s">
        <v>4035</v>
      </c>
      <c r="I254" s="457">
        <f t="shared" si="32"/>
        <v>7000</v>
      </c>
      <c r="J254" s="2699"/>
      <c r="K254" s="456">
        <v>7000</v>
      </c>
      <c r="L254" s="456"/>
      <c r="M254" s="456"/>
      <c r="N254" s="291"/>
      <c r="O254" s="2746"/>
      <c r="P254" s="408"/>
      <c r="Q254" s="296"/>
      <c r="R254" s="16"/>
      <c r="S254" s="16"/>
      <c r="U254" s="16"/>
      <c r="V254" s="16"/>
      <c r="W254" s="16"/>
    </row>
    <row r="255" spans="1:23" ht="19.2" customHeight="1">
      <c r="A255" s="2734">
        <v>2</v>
      </c>
      <c r="B255" s="16"/>
      <c r="C255" s="261"/>
      <c r="D255" s="261"/>
      <c r="E255" s="412"/>
      <c r="F255" s="2701" t="s">
        <v>2742</v>
      </c>
      <c r="G255" s="2702" t="s">
        <v>2743</v>
      </c>
      <c r="H255" s="2703" t="s">
        <v>4887</v>
      </c>
      <c r="I255" s="3104">
        <f t="shared" si="32"/>
        <v>28000</v>
      </c>
      <c r="J255" s="2704"/>
      <c r="K255" s="2645">
        <v>28000</v>
      </c>
      <c r="L255" s="2645"/>
      <c r="M255" s="2705"/>
      <c r="N255" s="291"/>
      <c r="O255" s="2746"/>
      <c r="P255" s="408" t="s">
        <v>4888</v>
      </c>
      <c r="Q255" s="296"/>
      <c r="R255" s="16"/>
      <c r="S255" s="16"/>
      <c r="U255" s="16"/>
      <c r="V255" s="16"/>
      <c r="W255" s="16"/>
    </row>
    <row r="256" spans="1:23" ht="19.2" customHeight="1" thickBot="1">
      <c r="A256" s="2734">
        <v>2</v>
      </c>
      <c r="B256" s="16"/>
      <c r="C256" s="261"/>
      <c r="D256" s="261"/>
      <c r="E256" s="412"/>
      <c r="F256" s="2706" t="s">
        <v>2744</v>
      </c>
      <c r="G256" s="2646" t="s">
        <v>2743</v>
      </c>
      <c r="H256" s="2707" t="s">
        <v>4886</v>
      </c>
      <c r="I256" s="2870">
        <f t="shared" si="32"/>
        <v>25000</v>
      </c>
      <c r="J256" s="2431"/>
      <c r="K256" s="2432">
        <v>25000</v>
      </c>
      <c r="L256" s="2432"/>
      <c r="M256" s="2708"/>
      <c r="N256" s="291"/>
      <c r="O256" s="2746"/>
      <c r="P256" s="408"/>
      <c r="Q256" s="296"/>
      <c r="R256" s="16"/>
      <c r="S256" s="16"/>
      <c r="U256" s="16"/>
      <c r="V256" s="16"/>
      <c r="W256" s="16"/>
    </row>
    <row r="257" spans="1:23" ht="15" customHeight="1">
      <c r="A257" s="2734">
        <v>2</v>
      </c>
      <c r="B257" s="16"/>
      <c r="C257" s="261"/>
      <c r="D257" s="261"/>
      <c r="E257" s="261"/>
      <c r="F257" s="1387" t="s">
        <v>2744</v>
      </c>
      <c r="G257" s="449" t="s">
        <v>2743</v>
      </c>
      <c r="H257" s="405" t="s">
        <v>4541</v>
      </c>
      <c r="I257" s="455">
        <f t="shared" si="32"/>
        <v>91031</v>
      </c>
      <c r="J257" s="1339"/>
      <c r="K257" s="406">
        <v>91031</v>
      </c>
      <c r="L257" s="2700"/>
      <c r="M257" s="2700"/>
      <c r="N257" s="291"/>
      <c r="O257" s="2838"/>
      <c r="P257" s="439"/>
      <c r="Q257" s="296"/>
      <c r="R257" s="16"/>
      <c r="S257" s="16"/>
      <c r="U257" s="16"/>
      <c r="V257" s="16"/>
      <c r="W257" s="16"/>
    </row>
    <row r="258" spans="1:23" ht="34.200000000000003">
      <c r="A258" s="2734">
        <v>1</v>
      </c>
      <c r="B258" s="16"/>
      <c r="C258" s="261"/>
      <c r="D258" s="261"/>
      <c r="E258" s="261"/>
      <c r="F258" s="1386" t="s">
        <v>2744</v>
      </c>
      <c r="G258" s="289" t="s">
        <v>2743</v>
      </c>
      <c r="H258" s="279" t="s">
        <v>4542</v>
      </c>
      <c r="I258" s="288">
        <f t="shared" si="32"/>
        <v>6000</v>
      </c>
      <c r="J258" s="1350"/>
      <c r="K258" s="278">
        <v>6000</v>
      </c>
      <c r="L258" s="1283"/>
      <c r="M258" s="1283"/>
      <c r="N258" s="291"/>
      <c r="O258" s="2838"/>
      <c r="P258" s="439"/>
      <c r="Q258" s="296"/>
      <c r="R258" s="16"/>
      <c r="S258" s="16"/>
      <c r="U258" s="16"/>
      <c r="V258" s="16"/>
      <c r="W258" s="16"/>
    </row>
    <row r="259" spans="1:23">
      <c r="A259" s="2734">
        <v>1</v>
      </c>
      <c r="B259" s="16"/>
      <c r="C259" s="261"/>
      <c r="D259" s="261"/>
      <c r="E259" s="261"/>
      <c r="F259" s="1386" t="s">
        <v>362</v>
      </c>
      <c r="G259" s="261" t="s">
        <v>363</v>
      </c>
      <c r="H259" s="2532" t="s">
        <v>5050</v>
      </c>
      <c r="I259" s="278">
        <f>K259</f>
        <v>3921</v>
      </c>
      <c r="J259" s="1285"/>
      <c r="K259" s="278">
        <v>3921</v>
      </c>
      <c r="L259" s="1283"/>
      <c r="M259" s="1283"/>
      <c r="N259" s="291"/>
      <c r="O259" s="2838"/>
      <c r="P259" s="7"/>
      <c r="Q259"/>
    </row>
    <row r="260" spans="1:23" ht="22.8">
      <c r="A260" s="2734">
        <v>2</v>
      </c>
      <c r="B260" s="16"/>
      <c r="C260" s="261"/>
      <c r="D260" s="261"/>
      <c r="E260" s="261"/>
      <c r="F260" s="1386" t="s">
        <v>362</v>
      </c>
      <c r="G260" s="261" t="s">
        <v>363</v>
      </c>
      <c r="H260" s="2532" t="s">
        <v>4744</v>
      </c>
      <c r="I260" s="278">
        <f t="shared" ref="I260:I264" si="33">K260</f>
        <v>11200</v>
      </c>
      <c r="J260" s="1285"/>
      <c r="K260" s="278">
        <v>11200</v>
      </c>
      <c r="L260" s="1283"/>
      <c r="M260" s="1283"/>
      <c r="N260" s="291"/>
      <c r="O260" s="2838"/>
      <c r="P260" s="7"/>
      <c r="Q260"/>
    </row>
    <row r="261" spans="1:23">
      <c r="A261" s="3315">
        <v>1</v>
      </c>
      <c r="B261" s="16"/>
      <c r="C261" s="261"/>
      <c r="D261" s="261"/>
      <c r="E261" s="261"/>
      <c r="F261" s="1386" t="s">
        <v>362</v>
      </c>
      <c r="G261" s="261" t="s">
        <v>363</v>
      </c>
      <c r="H261" s="2532" t="s">
        <v>4846</v>
      </c>
      <c r="I261" s="278">
        <f t="shared" si="33"/>
        <v>6150</v>
      </c>
      <c r="J261" s="1285"/>
      <c r="K261" s="3314">
        <v>6150</v>
      </c>
      <c r="L261" s="1283"/>
      <c r="M261" s="1283"/>
      <c r="N261" s="291"/>
      <c r="O261" s="2838"/>
      <c r="P261" s="7"/>
      <c r="Q261"/>
    </row>
    <row r="262" spans="1:23">
      <c r="A262" s="2734">
        <v>1</v>
      </c>
      <c r="B262" s="16"/>
      <c r="C262" s="261"/>
      <c r="D262" s="261"/>
      <c r="E262" s="261"/>
      <c r="F262" s="1386" t="s">
        <v>362</v>
      </c>
      <c r="G262" s="261" t="s">
        <v>363</v>
      </c>
      <c r="H262" s="2532" t="s">
        <v>5240</v>
      </c>
      <c r="I262" s="278">
        <f t="shared" si="33"/>
        <v>6000</v>
      </c>
      <c r="J262" s="1285"/>
      <c r="K262" s="278">
        <v>6000</v>
      </c>
      <c r="L262" s="1283"/>
      <c r="M262" s="1283"/>
      <c r="N262" s="291"/>
      <c r="O262" s="2838"/>
      <c r="P262" s="7"/>
      <c r="Q262"/>
    </row>
    <row r="263" spans="1:23">
      <c r="A263" s="2734">
        <v>1</v>
      </c>
      <c r="B263" s="16"/>
      <c r="C263" s="261"/>
      <c r="D263" s="261"/>
      <c r="E263" s="261"/>
      <c r="F263" s="1386" t="s">
        <v>362</v>
      </c>
      <c r="G263" s="261" t="s">
        <v>363</v>
      </c>
      <c r="H263" s="2532" t="s">
        <v>4848</v>
      </c>
      <c r="I263" s="278">
        <f t="shared" si="33"/>
        <v>2000</v>
      </c>
      <c r="J263" s="1285"/>
      <c r="K263" s="278">
        <v>2000</v>
      </c>
      <c r="L263" s="1283"/>
      <c r="M263" s="1283"/>
      <c r="N263" s="291"/>
      <c r="O263" s="2838"/>
      <c r="P263" s="7"/>
      <c r="Q263"/>
    </row>
    <row r="264" spans="1:23" ht="22.8">
      <c r="A264" s="2734">
        <v>1</v>
      </c>
      <c r="B264" s="16"/>
      <c r="C264" s="261"/>
      <c r="D264" s="261"/>
      <c r="E264" s="261"/>
      <c r="F264" s="1386" t="s">
        <v>2934</v>
      </c>
      <c r="G264" s="261" t="s">
        <v>5158</v>
      </c>
      <c r="H264" s="2532" t="s">
        <v>5159</v>
      </c>
      <c r="I264" s="278">
        <f t="shared" si="33"/>
        <v>11388</v>
      </c>
      <c r="J264" s="1285"/>
      <c r="K264" s="278">
        <v>11388</v>
      </c>
      <c r="L264" s="1283"/>
      <c r="M264" s="1283"/>
      <c r="N264" s="291"/>
      <c r="O264" s="2838"/>
      <c r="P264" s="7"/>
      <c r="Q264"/>
    </row>
    <row r="265" spans="1:23" ht="24.75" customHeight="1">
      <c r="A265" s="2734">
        <v>1</v>
      </c>
      <c r="B265" s="16"/>
      <c r="C265" s="261"/>
      <c r="D265" s="261"/>
      <c r="E265" s="261"/>
      <c r="F265" s="1386" t="s">
        <v>1638</v>
      </c>
      <c r="G265" s="261" t="s">
        <v>1639</v>
      </c>
      <c r="H265" s="293" t="s">
        <v>4545</v>
      </c>
      <c r="I265" s="278">
        <f>SUM(K265:M265)</f>
        <v>2800</v>
      </c>
      <c r="J265" s="1350"/>
      <c r="K265" s="278">
        <v>2800</v>
      </c>
      <c r="L265" s="278"/>
      <c r="M265" s="278"/>
      <c r="N265" s="291"/>
      <c r="O265" s="2746"/>
      <c r="P265" s="407"/>
    </row>
    <row r="266" spans="1:23" ht="13.5" customHeight="1">
      <c r="A266" s="2734">
        <v>1</v>
      </c>
      <c r="B266" s="16"/>
      <c r="C266" s="261"/>
      <c r="D266" s="261"/>
      <c r="E266" s="261"/>
      <c r="F266" s="1386" t="s">
        <v>315</v>
      </c>
      <c r="G266" s="289" t="s">
        <v>263</v>
      </c>
      <c r="H266" s="293" t="s">
        <v>4441</v>
      </c>
      <c r="I266" s="278">
        <f>SUM(K266:M266)</f>
        <v>47290.9</v>
      </c>
      <c r="J266" s="1350"/>
      <c r="K266" s="3229">
        <v>47290.9</v>
      </c>
      <c r="L266" s="278"/>
      <c r="M266" s="278"/>
      <c r="N266" s="291"/>
      <c r="O266" s="2746"/>
      <c r="P266" s="353" t="s">
        <v>4978</v>
      </c>
    </row>
    <row r="267" spans="1:23">
      <c r="A267" s="2734">
        <v>1</v>
      </c>
      <c r="B267" s="16"/>
      <c r="C267" s="261"/>
      <c r="D267" s="261"/>
      <c r="E267" s="261"/>
      <c r="F267" s="1386" t="s">
        <v>315</v>
      </c>
      <c r="G267" s="261" t="s">
        <v>263</v>
      </c>
      <c r="H267" s="293" t="s">
        <v>4067</v>
      </c>
      <c r="I267" s="278">
        <f>K267</f>
        <v>1521</v>
      </c>
      <c r="J267" s="1285"/>
      <c r="K267" s="288">
        <v>1521</v>
      </c>
      <c r="L267" s="1283"/>
      <c r="M267" s="1283"/>
      <c r="N267" s="291"/>
      <c r="O267" s="2838"/>
      <c r="P267" s="7"/>
      <c r="Q267"/>
    </row>
    <row r="268" spans="1:23">
      <c r="A268" s="2734">
        <v>1</v>
      </c>
      <c r="B268" s="16"/>
      <c r="C268" s="261"/>
      <c r="D268" s="261"/>
      <c r="E268" s="261"/>
      <c r="F268" s="1386" t="s">
        <v>315</v>
      </c>
      <c r="G268" s="261" t="s">
        <v>263</v>
      </c>
      <c r="H268" s="293" t="s">
        <v>4068</v>
      </c>
      <c r="I268" s="278">
        <f>K268</f>
        <v>7048.333333333333</v>
      </c>
      <c r="J268" s="1285"/>
      <c r="K268" s="288">
        <f>21145/3</f>
        <v>7048.333333333333</v>
      </c>
      <c r="L268" s="1283"/>
      <c r="M268" s="1283"/>
      <c r="N268" s="291"/>
      <c r="O268" s="2838"/>
      <c r="P268" s="7"/>
      <c r="Q268"/>
    </row>
    <row r="269" spans="1:23">
      <c r="A269" s="2734">
        <v>2</v>
      </c>
      <c r="B269" s="16"/>
      <c r="C269" s="261"/>
      <c r="D269" s="261"/>
      <c r="E269" s="261"/>
      <c r="F269" s="1386" t="s">
        <v>315</v>
      </c>
      <c r="G269" s="261" t="s">
        <v>263</v>
      </c>
      <c r="H269" s="279" t="s">
        <v>4546</v>
      </c>
      <c r="I269" s="278">
        <f t="shared" ref="I269:I318" si="34">SUM(K269:M269)</f>
        <v>8682</v>
      </c>
      <c r="J269" s="1350"/>
      <c r="K269" s="288">
        <v>8682</v>
      </c>
      <c r="L269" s="278"/>
      <c r="M269" s="278"/>
      <c r="N269" s="291"/>
      <c r="O269" s="2746"/>
      <c r="P269" s="7"/>
    </row>
    <row r="270" spans="1:23">
      <c r="A270" s="2734">
        <v>1</v>
      </c>
      <c r="B270" s="16"/>
      <c r="C270" s="261"/>
      <c r="D270" s="261"/>
      <c r="E270" s="261"/>
      <c r="F270" s="1386" t="s">
        <v>315</v>
      </c>
      <c r="G270" s="261" t="s">
        <v>263</v>
      </c>
      <c r="H270" s="279" t="s">
        <v>4080</v>
      </c>
      <c r="I270" s="278">
        <f t="shared" si="34"/>
        <v>4250.3</v>
      </c>
      <c r="J270" s="1350"/>
      <c r="K270" s="288">
        <v>4250.3</v>
      </c>
      <c r="L270" s="278"/>
      <c r="M270" s="278"/>
      <c r="N270" s="291"/>
      <c r="O270" s="2746" t="s">
        <v>5051</v>
      </c>
      <c r="P270" s="7"/>
    </row>
    <row r="271" spans="1:23">
      <c r="A271" s="2734">
        <v>1</v>
      </c>
      <c r="B271" s="16"/>
      <c r="C271" s="261"/>
      <c r="D271" s="261"/>
      <c r="E271" s="261"/>
      <c r="F271" s="1386" t="s">
        <v>315</v>
      </c>
      <c r="G271" s="261" t="s">
        <v>263</v>
      </c>
      <c r="H271" s="279" t="s">
        <v>4081</v>
      </c>
      <c r="I271" s="278">
        <f t="shared" si="34"/>
        <v>2831</v>
      </c>
      <c r="J271" s="1350"/>
      <c r="K271" s="288">
        <v>2831</v>
      </c>
      <c r="L271" s="278"/>
      <c r="M271" s="278"/>
      <c r="N271" s="291"/>
      <c r="O271" s="2746" t="s">
        <v>5051</v>
      </c>
      <c r="P271" s="7"/>
    </row>
    <row r="272" spans="1:23">
      <c r="A272" s="2734">
        <v>1</v>
      </c>
      <c r="B272" s="16"/>
      <c r="C272" s="261"/>
      <c r="D272" s="261"/>
      <c r="E272" s="261"/>
      <c r="F272" s="1386" t="s">
        <v>315</v>
      </c>
      <c r="G272" s="261" t="s">
        <v>263</v>
      </c>
      <c r="H272" s="279" t="s">
        <v>4085</v>
      </c>
      <c r="I272" s="278">
        <f t="shared" si="34"/>
        <v>4250.3</v>
      </c>
      <c r="J272" s="1350"/>
      <c r="K272" s="288">
        <v>4250.3</v>
      </c>
      <c r="L272" s="278"/>
      <c r="M272" s="278"/>
      <c r="N272" s="291"/>
      <c r="O272" s="2746" t="s">
        <v>5051</v>
      </c>
      <c r="P272" s="7"/>
    </row>
    <row r="273" spans="1:20">
      <c r="A273" s="2734">
        <v>1</v>
      </c>
      <c r="B273" s="16"/>
      <c r="C273" s="261"/>
      <c r="D273" s="261"/>
      <c r="E273" s="261"/>
      <c r="F273" s="1386" t="s">
        <v>315</v>
      </c>
      <c r="G273" s="261" t="s">
        <v>263</v>
      </c>
      <c r="H273" s="279" t="s">
        <v>4086</v>
      </c>
      <c r="I273" s="278">
        <f t="shared" si="34"/>
        <v>2831</v>
      </c>
      <c r="J273" s="1350"/>
      <c r="K273" s="288">
        <v>2831</v>
      </c>
      <c r="L273" s="278"/>
      <c r="M273" s="278"/>
      <c r="N273" s="291"/>
      <c r="O273" s="2746" t="s">
        <v>5051</v>
      </c>
      <c r="P273" s="7"/>
    </row>
    <row r="274" spans="1:20">
      <c r="A274" s="2734">
        <v>1</v>
      </c>
      <c r="B274" s="16"/>
      <c r="C274" s="261"/>
      <c r="D274" s="261"/>
      <c r="E274" s="261"/>
      <c r="F274" s="1386" t="s">
        <v>315</v>
      </c>
      <c r="G274" s="261" t="s">
        <v>263</v>
      </c>
      <c r="H274" s="279" t="s">
        <v>4082</v>
      </c>
      <c r="I274" s="278">
        <f t="shared" si="34"/>
        <v>2384</v>
      </c>
      <c r="J274" s="1350"/>
      <c r="K274" s="288">
        <v>2384</v>
      </c>
      <c r="L274" s="278"/>
      <c r="M274" s="278"/>
      <c r="N274" s="291"/>
      <c r="O274" s="2746" t="s">
        <v>5051</v>
      </c>
      <c r="P274" s="7"/>
    </row>
    <row r="275" spans="1:20">
      <c r="A275" s="2734">
        <v>1</v>
      </c>
      <c r="B275" s="16"/>
      <c r="C275" s="261"/>
      <c r="D275" s="261"/>
      <c r="E275" s="261"/>
      <c r="F275" s="1386" t="s">
        <v>315</v>
      </c>
      <c r="G275" s="261" t="s">
        <v>263</v>
      </c>
      <c r="H275" s="279" t="s">
        <v>4083</v>
      </c>
      <c r="I275" s="278">
        <f t="shared" si="34"/>
        <v>2384</v>
      </c>
      <c r="J275" s="1350"/>
      <c r="K275" s="288">
        <v>2384</v>
      </c>
      <c r="L275" s="278"/>
      <c r="M275" s="278"/>
      <c r="N275" s="291"/>
      <c r="O275" s="2746" t="s">
        <v>5051</v>
      </c>
      <c r="P275" s="7"/>
    </row>
    <row r="276" spans="1:20">
      <c r="A276" s="2734">
        <v>1</v>
      </c>
      <c r="B276" s="16"/>
      <c r="C276" s="261"/>
      <c r="D276" s="261"/>
      <c r="E276" s="261"/>
      <c r="F276" s="1386" t="s">
        <v>315</v>
      </c>
      <c r="G276" s="261" t="s">
        <v>263</v>
      </c>
      <c r="H276" s="279" t="s">
        <v>4084</v>
      </c>
      <c r="I276" s="278">
        <f t="shared" si="34"/>
        <v>1192</v>
      </c>
      <c r="J276" s="1350"/>
      <c r="K276" s="288">
        <v>1192</v>
      </c>
      <c r="L276" s="278"/>
      <c r="M276" s="278"/>
      <c r="N276" s="291"/>
      <c r="O276" s="2746" t="s">
        <v>5051</v>
      </c>
      <c r="P276" s="7"/>
    </row>
    <row r="277" spans="1:20" ht="22.8">
      <c r="A277" s="3315">
        <v>1</v>
      </c>
      <c r="B277" s="16"/>
      <c r="C277" s="261"/>
      <c r="D277" s="261"/>
      <c r="E277" s="261"/>
      <c r="F277" s="1386" t="s">
        <v>315</v>
      </c>
      <c r="G277" s="261" t="s">
        <v>263</v>
      </c>
      <c r="H277" s="279" t="s">
        <v>4380</v>
      </c>
      <c r="I277" s="278">
        <f t="shared" si="34"/>
        <v>35000</v>
      </c>
      <c r="J277" s="1350"/>
      <c r="K277" s="3314">
        <v>35000</v>
      </c>
      <c r="L277" s="278"/>
      <c r="M277" s="278"/>
      <c r="N277" s="291"/>
      <c r="O277" s="2746"/>
      <c r="P277" s="7"/>
    </row>
    <row r="278" spans="1:20">
      <c r="A278" s="2734">
        <v>1</v>
      </c>
      <c r="B278" s="16"/>
      <c r="C278" s="261"/>
      <c r="D278" s="261"/>
      <c r="E278" s="261"/>
      <c r="F278" s="1386" t="s">
        <v>315</v>
      </c>
      <c r="G278" s="261" t="s">
        <v>263</v>
      </c>
      <c r="H278" s="279" t="s">
        <v>2440</v>
      </c>
      <c r="I278" s="278">
        <f t="shared" si="34"/>
        <v>5000</v>
      </c>
      <c r="J278" s="1350"/>
      <c r="K278" s="288">
        <v>5000</v>
      </c>
      <c r="L278" s="278"/>
      <c r="M278" s="278"/>
      <c r="N278" s="291"/>
      <c r="O278" s="2746"/>
      <c r="P278" s="7"/>
    </row>
    <row r="279" spans="1:20" ht="22.8">
      <c r="A279" s="2734">
        <v>1</v>
      </c>
      <c r="B279" s="16"/>
      <c r="C279" s="261"/>
      <c r="D279" s="261"/>
      <c r="E279" s="261"/>
      <c r="F279" s="1386" t="s">
        <v>315</v>
      </c>
      <c r="G279" s="261" t="s">
        <v>263</v>
      </c>
      <c r="H279" s="279" t="s">
        <v>4125</v>
      </c>
      <c r="I279" s="278">
        <f t="shared" si="34"/>
        <v>16000</v>
      </c>
      <c r="J279" s="1285"/>
      <c r="K279" s="288">
        <v>16000</v>
      </c>
      <c r="L279" s="1283"/>
      <c r="M279" s="1283"/>
      <c r="N279" s="291"/>
      <c r="O279" s="2838"/>
      <c r="P279" s="7"/>
    </row>
    <row r="280" spans="1:20" ht="22.8">
      <c r="A280" s="2734">
        <v>1</v>
      </c>
      <c r="B280" s="16"/>
      <c r="C280" s="261"/>
      <c r="D280" s="261"/>
      <c r="E280" s="261"/>
      <c r="F280" s="1386" t="s">
        <v>315</v>
      </c>
      <c r="G280" s="261" t="s">
        <v>263</v>
      </c>
      <c r="H280" s="279" t="s">
        <v>5018</v>
      </c>
      <c r="I280" s="278">
        <f t="shared" si="34"/>
        <v>20400</v>
      </c>
      <c r="J280" s="1350"/>
      <c r="K280" s="288">
        <f>32400-12000</f>
        <v>20400</v>
      </c>
      <c r="L280" s="278"/>
      <c r="M280" s="278"/>
      <c r="N280" s="291"/>
      <c r="O280" s="2746"/>
      <c r="P280" s="7"/>
    </row>
    <row r="281" spans="1:20">
      <c r="A281" s="2734">
        <v>2</v>
      </c>
      <c r="B281" s="16"/>
      <c r="C281" s="261"/>
      <c r="D281" s="261"/>
      <c r="E281" s="261"/>
      <c r="F281" s="1386" t="s">
        <v>315</v>
      </c>
      <c r="G281" s="261" t="s">
        <v>263</v>
      </c>
      <c r="H281" s="279" t="s">
        <v>4126</v>
      </c>
      <c r="I281" s="278">
        <f t="shared" si="34"/>
        <v>9000</v>
      </c>
      <c r="J281" s="1350"/>
      <c r="K281" s="288">
        <v>9000</v>
      </c>
      <c r="L281" s="278"/>
      <c r="M281" s="278"/>
      <c r="N281" s="291"/>
      <c r="O281" s="2746"/>
      <c r="P281" s="7"/>
    </row>
    <row r="282" spans="1:20" ht="22.8">
      <c r="A282" s="2734">
        <v>2</v>
      </c>
      <c r="B282" s="16"/>
      <c r="C282" s="261"/>
      <c r="D282" s="261"/>
      <c r="E282" s="261"/>
      <c r="F282" s="1386" t="s">
        <v>2745</v>
      </c>
      <c r="G282" s="289" t="s">
        <v>263</v>
      </c>
      <c r="H282" s="279" t="s">
        <v>4547</v>
      </c>
      <c r="I282" s="278">
        <f t="shared" si="34"/>
        <v>390000</v>
      </c>
      <c r="J282" s="1350"/>
      <c r="K282" s="288">
        <v>390000</v>
      </c>
      <c r="L282" s="288"/>
      <c r="M282" s="288"/>
      <c r="N282" s="291"/>
      <c r="O282" s="291"/>
      <c r="Q282" s="51"/>
      <c r="R282" s="51"/>
      <c r="S282" s="51"/>
      <c r="T282" s="51"/>
    </row>
    <row r="283" spans="1:20" ht="25.5" customHeight="1">
      <c r="A283" s="2734">
        <v>2</v>
      </c>
      <c r="B283" s="16"/>
      <c r="C283" s="261"/>
      <c r="D283" s="261"/>
      <c r="E283" s="261"/>
      <c r="F283" s="1386" t="s">
        <v>2745</v>
      </c>
      <c r="G283" s="289" t="s">
        <v>263</v>
      </c>
      <c r="H283" s="279" t="s">
        <v>4548</v>
      </c>
      <c r="I283" s="278">
        <f t="shared" si="34"/>
        <v>27000</v>
      </c>
      <c r="J283" s="1350"/>
      <c r="K283" s="288">
        <v>27000</v>
      </c>
      <c r="L283" s="278"/>
      <c r="M283" s="278"/>
      <c r="N283" s="291"/>
      <c r="O283" s="2746"/>
      <c r="Q283" s="51"/>
      <c r="R283" s="51"/>
      <c r="S283" s="51"/>
      <c r="T283" s="51"/>
    </row>
    <row r="284" spans="1:20" ht="22.8">
      <c r="A284" s="2734">
        <v>1</v>
      </c>
      <c r="B284" s="16"/>
      <c r="C284" s="261"/>
      <c r="D284" s="261"/>
      <c r="E284" s="261"/>
      <c r="F284" s="1386" t="s">
        <v>2745</v>
      </c>
      <c r="G284" s="289" t="s">
        <v>263</v>
      </c>
      <c r="H284" s="279" t="s">
        <v>4549</v>
      </c>
      <c r="I284" s="278">
        <f t="shared" si="34"/>
        <v>65000</v>
      </c>
      <c r="J284" s="1350"/>
      <c r="K284" s="288">
        <v>65000</v>
      </c>
      <c r="L284" s="278"/>
      <c r="M284" s="278"/>
      <c r="N284" s="291"/>
      <c r="O284" s="2746"/>
      <c r="Q284" s="51"/>
      <c r="R284" s="51"/>
      <c r="S284" s="51"/>
      <c r="T284" s="51"/>
    </row>
    <row r="285" spans="1:20" ht="13.95" customHeight="1">
      <c r="A285" s="2734">
        <v>1</v>
      </c>
      <c r="B285" s="16"/>
      <c r="C285" s="261"/>
      <c r="D285" s="261"/>
      <c r="E285" s="261"/>
      <c r="F285" s="1386" t="s">
        <v>2745</v>
      </c>
      <c r="G285" s="289" t="s">
        <v>263</v>
      </c>
      <c r="H285" s="279" t="s">
        <v>2549</v>
      </c>
      <c r="I285" s="278">
        <f t="shared" si="34"/>
        <v>30000</v>
      </c>
      <c r="J285" s="1350"/>
      <c r="K285" s="288">
        <v>30000</v>
      </c>
      <c r="L285" s="278"/>
      <c r="M285" s="278"/>
      <c r="N285" s="291"/>
      <c r="O285" s="2746"/>
      <c r="Q285" s="51"/>
      <c r="R285" s="51"/>
      <c r="S285" s="51"/>
      <c r="T285" s="51"/>
    </row>
    <row r="286" spans="1:20">
      <c r="A286" s="2734">
        <v>2</v>
      </c>
      <c r="B286" s="16"/>
      <c r="C286" s="261"/>
      <c r="D286" s="261"/>
      <c r="E286" s="261"/>
      <c r="F286" s="1386" t="s">
        <v>2745</v>
      </c>
      <c r="G286" s="289" t="s">
        <v>263</v>
      </c>
      <c r="H286" s="279" t="s">
        <v>4554</v>
      </c>
      <c r="I286" s="278">
        <f t="shared" si="34"/>
        <v>30000</v>
      </c>
      <c r="J286" s="1350"/>
      <c r="K286" s="288">
        <v>30000</v>
      </c>
      <c r="L286" s="278"/>
      <c r="M286" s="278"/>
      <c r="N286" s="291"/>
      <c r="O286" s="2746"/>
      <c r="P286" s="51" t="s">
        <v>4558</v>
      </c>
      <c r="Q286" s="51"/>
      <c r="R286" s="51"/>
      <c r="S286" s="51"/>
      <c r="T286" s="51"/>
    </row>
    <row r="287" spans="1:20" ht="14.25" customHeight="1">
      <c r="A287" s="2734">
        <v>1</v>
      </c>
      <c r="B287" s="16"/>
      <c r="C287" s="261"/>
      <c r="D287" s="261"/>
      <c r="E287" s="261"/>
      <c r="F287" s="1386" t="s">
        <v>2745</v>
      </c>
      <c r="G287" s="289" t="s">
        <v>263</v>
      </c>
      <c r="H287" s="279" t="s">
        <v>4555</v>
      </c>
      <c r="I287" s="278">
        <f t="shared" si="34"/>
        <v>11000</v>
      </c>
      <c r="J287" s="1350"/>
      <c r="K287" s="288">
        <v>11000</v>
      </c>
      <c r="L287" s="278"/>
      <c r="M287" s="278"/>
      <c r="N287" s="291"/>
      <c r="O287" s="2746"/>
      <c r="P287" s="51" t="s">
        <v>4559</v>
      </c>
      <c r="Q287" s="51"/>
      <c r="R287" s="51"/>
      <c r="S287" s="51"/>
      <c r="T287" s="51"/>
    </row>
    <row r="288" spans="1:20" ht="14.25" customHeight="1">
      <c r="A288" s="2734">
        <v>1</v>
      </c>
      <c r="B288" s="16"/>
      <c r="C288" s="261"/>
      <c r="D288" s="261"/>
      <c r="E288" s="261"/>
      <c r="F288" s="1386" t="s">
        <v>2745</v>
      </c>
      <c r="G288" s="289" t="s">
        <v>263</v>
      </c>
      <c r="H288" s="279" t="s">
        <v>4753</v>
      </c>
      <c r="I288" s="278">
        <f t="shared" si="34"/>
        <v>25000</v>
      </c>
      <c r="J288" s="1350"/>
      <c r="K288" s="288">
        <v>25000</v>
      </c>
      <c r="L288" s="278"/>
      <c r="M288" s="278"/>
      <c r="N288" s="291"/>
      <c r="O288" s="2746"/>
      <c r="P288" s="93"/>
      <c r="Q288" s="12"/>
      <c r="R288" s="12"/>
      <c r="S288" s="12"/>
      <c r="T288" s="12"/>
    </row>
    <row r="289" spans="1:23" s="16" customFormat="1" ht="36.6" customHeight="1">
      <c r="A289" s="2738">
        <v>2</v>
      </c>
      <c r="B289" s="16" t="s">
        <v>1667</v>
      </c>
      <c r="C289" s="1188"/>
      <c r="D289" s="272"/>
      <c r="E289" s="290"/>
      <c r="F289" s="1385" t="s">
        <v>2734</v>
      </c>
      <c r="G289" s="289" t="s">
        <v>1633</v>
      </c>
      <c r="H289" s="262" t="s">
        <v>4948</v>
      </c>
      <c r="I289" s="1328">
        <f t="shared" si="34"/>
        <v>850000</v>
      </c>
      <c r="J289" s="358"/>
      <c r="K289" s="334">
        <v>850000</v>
      </c>
      <c r="L289" s="278">
        <v>0</v>
      </c>
      <c r="M289" s="334">
        <v>0</v>
      </c>
      <c r="N289" s="291"/>
      <c r="O289" s="2833"/>
      <c r="P289" s="7"/>
      <c r="Q289" s="1186"/>
      <c r="R289" s="263"/>
      <c r="S289" s="263"/>
      <c r="T289" s="263"/>
      <c r="U289" s="263"/>
      <c r="V289" s="263"/>
      <c r="W289" s="263"/>
    </row>
    <row r="290" spans="1:23" s="16" customFormat="1" ht="15" customHeight="1">
      <c r="A290" s="2738">
        <v>1</v>
      </c>
      <c r="C290" s="1188"/>
      <c r="D290" s="272"/>
      <c r="E290" s="290"/>
      <c r="F290" s="1386" t="s">
        <v>316</v>
      </c>
      <c r="G290" s="261" t="s">
        <v>1263</v>
      </c>
      <c r="H290" s="349" t="s">
        <v>4441</v>
      </c>
      <c r="I290" s="2845">
        <f t="shared" si="34"/>
        <v>29177.199999999997</v>
      </c>
      <c r="J290" s="402"/>
      <c r="K290" s="334">
        <v>29177.199999999997</v>
      </c>
      <c r="L290" s="278"/>
      <c r="M290" s="334"/>
      <c r="N290" s="291"/>
      <c r="O290" s="2833"/>
      <c r="P290" s="7"/>
      <c r="Q290" s="1186"/>
      <c r="R290" s="263"/>
      <c r="S290" s="263"/>
      <c r="T290" s="263"/>
      <c r="U290" s="263"/>
      <c r="V290" s="263"/>
      <c r="W290" s="263"/>
    </row>
    <row r="291" spans="1:23">
      <c r="A291" s="2734">
        <v>1</v>
      </c>
      <c r="B291" s="16"/>
      <c r="C291" s="261"/>
      <c r="D291" s="261"/>
      <c r="E291" s="261"/>
      <c r="F291" s="1386" t="s">
        <v>316</v>
      </c>
      <c r="G291" s="261" t="s">
        <v>1263</v>
      </c>
      <c r="H291" s="279" t="s">
        <v>4199</v>
      </c>
      <c r="I291" s="278">
        <f t="shared" si="34"/>
        <v>1680</v>
      </c>
      <c r="J291" s="1285"/>
      <c r="K291" s="288">
        <v>1680</v>
      </c>
      <c r="L291" s="1283"/>
      <c r="M291" s="1283"/>
      <c r="N291" s="291"/>
      <c r="O291" s="2838"/>
      <c r="P291" s="125"/>
    </row>
    <row r="292" spans="1:23">
      <c r="A292" s="2734">
        <v>1</v>
      </c>
      <c r="B292" s="16"/>
      <c r="C292" s="261"/>
      <c r="D292" s="261"/>
      <c r="E292" s="261"/>
      <c r="F292" s="1386" t="s">
        <v>316</v>
      </c>
      <c r="G292" s="261" t="s">
        <v>1263</v>
      </c>
      <c r="H292" s="279" t="s">
        <v>4200</v>
      </c>
      <c r="I292" s="278">
        <f t="shared" si="34"/>
        <v>600</v>
      </c>
      <c r="J292" s="1285"/>
      <c r="K292" s="288">
        <v>600</v>
      </c>
      <c r="L292" s="1283"/>
      <c r="M292" s="1283"/>
      <c r="N292" s="291"/>
      <c r="O292" s="2838"/>
      <c r="P292" s="7"/>
      <c r="Q292"/>
    </row>
    <row r="293" spans="1:23">
      <c r="A293" s="2734">
        <v>1</v>
      </c>
      <c r="B293" s="16"/>
      <c r="C293" s="261"/>
      <c r="D293" s="261"/>
      <c r="E293" s="261"/>
      <c r="F293" s="1386" t="s">
        <v>316</v>
      </c>
      <c r="G293" s="261" t="s">
        <v>1263</v>
      </c>
      <c r="H293" s="279" t="s">
        <v>4201</v>
      </c>
      <c r="I293" s="278">
        <f t="shared" si="34"/>
        <v>600</v>
      </c>
      <c r="J293" s="1285"/>
      <c r="K293" s="288">
        <v>600</v>
      </c>
      <c r="L293" s="1283"/>
      <c r="M293" s="1283"/>
      <c r="N293" s="291"/>
      <c r="O293" s="2838"/>
      <c r="P293" s="7"/>
    </row>
    <row r="294" spans="1:23">
      <c r="A294" s="2734">
        <v>1</v>
      </c>
      <c r="B294" s="16"/>
      <c r="C294" s="261"/>
      <c r="D294" s="261"/>
      <c r="E294" s="261"/>
      <c r="F294" s="1386" t="s">
        <v>316</v>
      </c>
      <c r="G294" s="261" t="s">
        <v>1263</v>
      </c>
      <c r="H294" s="279" t="s">
        <v>4202</v>
      </c>
      <c r="I294" s="278">
        <f t="shared" si="34"/>
        <v>2150</v>
      </c>
      <c r="J294" s="1285"/>
      <c r="K294" s="288">
        <v>2150</v>
      </c>
      <c r="L294" s="1283"/>
      <c r="M294" s="1283"/>
      <c r="N294" s="291"/>
      <c r="O294" s="2838"/>
      <c r="P294" s="7"/>
    </row>
    <row r="295" spans="1:23" ht="71.400000000000006">
      <c r="A295" s="2734">
        <v>2</v>
      </c>
      <c r="B295" s="16"/>
      <c r="C295" s="261"/>
      <c r="D295" s="261"/>
      <c r="E295" s="261"/>
      <c r="F295" s="1386" t="s">
        <v>316</v>
      </c>
      <c r="G295" s="261" t="s">
        <v>1263</v>
      </c>
      <c r="H295" s="279" t="s">
        <v>4211</v>
      </c>
      <c r="I295" s="278">
        <f t="shared" si="34"/>
        <v>4000</v>
      </c>
      <c r="J295" s="1285"/>
      <c r="K295" s="288">
        <v>4000</v>
      </c>
      <c r="L295" s="1283"/>
      <c r="M295" s="1283"/>
      <c r="N295" s="291"/>
      <c r="O295" s="2838"/>
      <c r="P295" s="359" t="s">
        <v>4212</v>
      </c>
      <c r="Q295"/>
    </row>
    <row r="296" spans="1:23" ht="20.399999999999999">
      <c r="A296" s="2734">
        <v>1</v>
      </c>
      <c r="B296" s="16"/>
      <c r="C296" s="261"/>
      <c r="D296" s="261"/>
      <c r="E296" s="261"/>
      <c r="F296" s="1386" t="s">
        <v>316</v>
      </c>
      <c r="G296" s="261" t="s">
        <v>1263</v>
      </c>
      <c r="H296" s="279" t="s">
        <v>5221</v>
      </c>
      <c r="I296" s="278">
        <f t="shared" si="34"/>
        <v>10000</v>
      </c>
      <c r="J296" s="1285"/>
      <c r="K296" s="2907">
        <v>10000</v>
      </c>
      <c r="L296" s="1283"/>
      <c r="M296" s="1283"/>
      <c r="N296" s="291"/>
      <c r="O296" s="2838"/>
      <c r="P296" s="93" t="s">
        <v>4222</v>
      </c>
    </row>
    <row r="297" spans="1:23" s="16" customFormat="1" ht="15" customHeight="1">
      <c r="A297" s="2738">
        <v>1</v>
      </c>
      <c r="C297" s="1188"/>
      <c r="D297" s="272"/>
      <c r="E297" s="290"/>
      <c r="F297" s="1386" t="s">
        <v>317</v>
      </c>
      <c r="G297" s="261" t="s">
        <v>4676</v>
      </c>
      <c r="H297" s="349" t="s">
        <v>4441</v>
      </c>
      <c r="I297" s="2845">
        <f t="shared" ref="I297" si="35">SUM(K297:M297)</f>
        <v>13577.9</v>
      </c>
      <c r="J297" s="402"/>
      <c r="K297" s="334">
        <v>13577.9</v>
      </c>
      <c r="L297" s="278"/>
      <c r="M297" s="334"/>
      <c r="N297" s="291"/>
      <c r="O297" s="2833"/>
      <c r="P297" s="7"/>
      <c r="Q297" s="1186"/>
      <c r="R297" s="263"/>
      <c r="S297" s="263"/>
      <c r="T297" s="263"/>
      <c r="U297" s="263"/>
      <c r="V297" s="263"/>
      <c r="W297" s="263"/>
    </row>
    <row r="298" spans="1:23" ht="68.400000000000006">
      <c r="A298" s="2734">
        <v>1</v>
      </c>
      <c r="B298" s="16"/>
      <c r="C298" s="261"/>
      <c r="D298" s="261"/>
      <c r="E298" s="261"/>
      <c r="F298" s="1386" t="s">
        <v>317</v>
      </c>
      <c r="G298" s="261" t="s">
        <v>4676</v>
      </c>
      <c r="H298" s="279" t="s">
        <v>4246</v>
      </c>
      <c r="I298" s="278">
        <f t="shared" si="34"/>
        <v>7950</v>
      </c>
      <c r="J298" s="1285"/>
      <c r="K298" s="288">
        <v>7950</v>
      </c>
      <c r="L298" s="1283"/>
      <c r="M298" s="1283"/>
      <c r="N298" s="291"/>
      <c r="O298" s="2838"/>
      <c r="P298" s="93" t="s">
        <v>4222</v>
      </c>
    </row>
    <row r="299" spans="1:23">
      <c r="A299" s="2734">
        <v>2</v>
      </c>
      <c r="B299" s="16"/>
      <c r="C299" s="261"/>
      <c r="D299" s="261"/>
      <c r="E299" s="261"/>
      <c r="F299" s="1386" t="s">
        <v>445</v>
      </c>
      <c r="G299" s="261" t="s">
        <v>1641</v>
      </c>
      <c r="H299" s="279" t="s">
        <v>4560</v>
      </c>
      <c r="I299" s="278">
        <f t="shared" si="34"/>
        <v>8889</v>
      </c>
      <c r="J299" s="1350"/>
      <c r="K299" s="288">
        <v>8889</v>
      </c>
      <c r="L299" s="278"/>
      <c r="M299" s="278"/>
      <c r="N299" s="291"/>
      <c r="O299" s="2746"/>
      <c r="Q299"/>
    </row>
    <row r="300" spans="1:23" ht="16.5" customHeight="1">
      <c r="A300" s="2734">
        <v>1</v>
      </c>
      <c r="B300" s="16"/>
      <c r="C300" s="261"/>
      <c r="D300" s="261"/>
      <c r="E300" s="261"/>
      <c r="F300" s="1386" t="s">
        <v>445</v>
      </c>
      <c r="G300" s="261" t="s">
        <v>1641</v>
      </c>
      <c r="H300" s="279" t="s">
        <v>4919</v>
      </c>
      <c r="I300" s="278">
        <f t="shared" si="34"/>
        <v>5700</v>
      </c>
      <c r="J300" s="1285"/>
      <c r="K300" s="288">
        <f>5700</f>
        <v>5700</v>
      </c>
      <c r="L300" s="1283"/>
      <c r="M300" s="1283"/>
      <c r="N300" s="291"/>
      <c r="O300" s="2838"/>
      <c r="Q300"/>
    </row>
    <row r="301" spans="1:23" ht="16.5" customHeight="1">
      <c r="A301" s="2734">
        <v>1</v>
      </c>
      <c r="B301" s="16"/>
      <c r="C301" s="261"/>
      <c r="D301" s="261"/>
      <c r="E301" s="261"/>
      <c r="F301" s="1386" t="s">
        <v>445</v>
      </c>
      <c r="G301" s="261" t="s">
        <v>1641</v>
      </c>
      <c r="H301" s="279" t="s">
        <v>4436</v>
      </c>
      <c r="I301" s="278">
        <f t="shared" si="34"/>
        <v>1200</v>
      </c>
      <c r="J301" s="1285"/>
      <c r="K301" s="288">
        <v>1200</v>
      </c>
      <c r="L301" s="1283"/>
      <c r="M301" s="1283"/>
      <c r="N301" s="291"/>
      <c r="O301" s="2838"/>
      <c r="Q301"/>
    </row>
    <row r="302" spans="1:23" ht="16.5" customHeight="1">
      <c r="A302" s="2734">
        <v>1</v>
      </c>
      <c r="B302" s="16"/>
      <c r="C302" s="261"/>
      <c r="D302" s="261"/>
      <c r="E302" s="261"/>
      <c r="F302" s="1386" t="s">
        <v>445</v>
      </c>
      <c r="G302" s="261" t="s">
        <v>1641</v>
      </c>
      <c r="H302" s="279" t="s">
        <v>4437</v>
      </c>
      <c r="I302" s="278">
        <f t="shared" si="34"/>
        <v>500</v>
      </c>
      <c r="J302" s="1285"/>
      <c r="K302" s="288">
        <v>500</v>
      </c>
      <c r="L302" s="1283"/>
      <c r="M302" s="1283"/>
      <c r="N302" s="291"/>
      <c r="O302" s="2838"/>
      <c r="Q302"/>
    </row>
    <row r="303" spans="1:23" ht="16.5" customHeight="1">
      <c r="A303" s="2734">
        <v>1</v>
      </c>
      <c r="B303" s="16"/>
      <c r="C303" s="261"/>
      <c r="D303" s="261"/>
      <c r="E303" s="261"/>
      <c r="F303" s="1386" t="s">
        <v>445</v>
      </c>
      <c r="G303" s="261" t="s">
        <v>1641</v>
      </c>
      <c r="H303" s="279" t="s">
        <v>4438</v>
      </c>
      <c r="I303" s="278">
        <f t="shared" si="34"/>
        <v>1500</v>
      </c>
      <c r="J303" s="1285"/>
      <c r="K303" s="288">
        <v>1500</v>
      </c>
      <c r="L303" s="1283"/>
      <c r="M303" s="1283"/>
      <c r="N303" s="291"/>
      <c r="O303" s="2838"/>
      <c r="Q303"/>
    </row>
    <row r="304" spans="1:23" ht="16.5" customHeight="1">
      <c r="A304" s="2734">
        <v>1</v>
      </c>
      <c r="B304" s="16"/>
      <c r="C304" s="261"/>
      <c r="D304" s="261"/>
      <c r="E304" s="261"/>
      <c r="F304" s="1386" t="s">
        <v>2746</v>
      </c>
      <c r="G304" s="261" t="s">
        <v>1641</v>
      </c>
      <c r="H304" s="279" t="s">
        <v>4561</v>
      </c>
      <c r="I304" s="278">
        <f t="shared" si="34"/>
        <v>8100</v>
      </c>
      <c r="J304" s="1285"/>
      <c r="K304" s="288">
        <v>8100</v>
      </c>
      <c r="L304" s="1283"/>
      <c r="M304" s="1283"/>
      <c r="N304" s="291"/>
      <c r="O304" s="2838"/>
      <c r="Q304"/>
    </row>
    <row r="305" spans="1:20">
      <c r="A305" s="2734">
        <v>3</v>
      </c>
      <c r="B305" s="16"/>
      <c r="C305" s="261"/>
      <c r="D305" s="261"/>
      <c r="E305" s="261"/>
      <c r="F305" s="1386" t="s">
        <v>2746</v>
      </c>
      <c r="G305" s="261" t="s">
        <v>1641</v>
      </c>
      <c r="H305" s="279" t="s">
        <v>4562</v>
      </c>
      <c r="I305" s="278">
        <f t="shared" si="34"/>
        <v>20000</v>
      </c>
      <c r="J305" s="1350"/>
      <c r="K305" s="278">
        <v>20000</v>
      </c>
      <c r="L305" s="278"/>
      <c r="M305" s="278"/>
      <c r="N305" s="291"/>
      <c r="O305" s="2746"/>
      <c r="P305" s="177"/>
      <c r="Q305"/>
    </row>
    <row r="306" spans="1:20">
      <c r="A306" s="2734">
        <v>1</v>
      </c>
      <c r="B306" s="16"/>
      <c r="C306" s="261"/>
      <c r="D306" s="261"/>
      <c r="E306" s="261"/>
      <c r="F306" s="1386" t="s">
        <v>797</v>
      </c>
      <c r="G306" s="289" t="s">
        <v>1992</v>
      </c>
      <c r="H306" s="279" t="s">
        <v>4441</v>
      </c>
      <c r="I306" s="278">
        <f t="shared" si="34"/>
        <v>30315.200000000001</v>
      </c>
      <c r="J306" s="1350"/>
      <c r="K306" s="278">
        <v>30315.200000000001</v>
      </c>
      <c r="L306" s="278"/>
      <c r="M306" s="278"/>
      <c r="N306" s="291"/>
      <c r="O306" s="2746"/>
      <c r="P306" s="51" t="s">
        <v>4467</v>
      </c>
      <c r="Q306"/>
    </row>
    <row r="307" spans="1:20" ht="22.8">
      <c r="A307" s="2734">
        <v>1</v>
      </c>
      <c r="B307" s="16"/>
      <c r="C307" s="261"/>
      <c r="D307" s="261"/>
      <c r="E307" s="261"/>
      <c r="F307" s="1386" t="s">
        <v>797</v>
      </c>
      <c r="G307" s="289" t="s">
        <v>1992</v>
      </c>
      <c r="H307" s="279" t="s">
        <v>4462</v>
      </c>
      <c r="I307" s="278">
        <f t="shared" si="34"/>
        <v>21096</v>
      </c>
      <c r="J307" s="1350"/>
      <c r="K307" s="278">
        <v>21096</v>
      </c>
      <c r="L307" s="278"/>
      <c r="M307" s="278"/>
      <c r="N307" s="291"/>
      <c r="O307" s="2746"/>
      <c r="P307" s="51" t="s">
        <v>4467</v>
      </c>
      <c r="Q307"/>
    </row>
    <row r="308" spans="1:20" ht="19.95" customHeight="1">
      <c r="A308" s="2734">
        <v>1</v>
      </c>
      <c r="B308" s="16"/>
      <c r="C308" s="261"/>
      <c r="D308" s="261"/>
      <c r="E308" s="261"/>
      <c r="F308" s="1386" t="s">
        <v>797</v>
      </c>
      <c r="G308" s="289" t="s">
        <v>1992</v>
      </c>
      <c r="H308" s="279" t="s">
        <v>4463</v>
      </c>
      <c r="I308" s="278">
        <f t="shared" si="34"/>
        <v>3404</v>
      </c>
      <c r="J308" s="1350"/>
      <c r="K308" s="278">
        <v>3404</v>
      </c>
      <c r="L308" s="278"/>
      <c r="M308" s="278"/>
      <c r="N308" s="291"/>
      <c r="O308" s="2746"/>
      <c r="P308" s="51" t="s">
        <v>4467</v>
      </c>
      <c r="Q308"/>
    </row>
    <row r="309" spans="1:20">
      <c r="A309" s="2734">
        <v>1</v>
      </c>
      <c r="B309" s="16"/>
      <c r="C309" s="261"/>
      <c r="D309" s="261"/>
      <c r="E309" s="261"/>
      <c r="F309" s="1386" t="s">
        <v>797</v>
      </c>
      <c r="G309" s="289" t="s">
        <v>1992</v>
      </c>
      <c r="H309" s="279" t="s">
        <v>4464</v>
      </c>
      <c r="I309" s="278">
        <f t="shared" si="34"/>
        <v>15293.600000000002</v>
      </c>
      <c r="J309" s="1350"/>
      <c r="K309" s="278">
        <v>15293.600000000002</v>
      </c>
      <c r="L309" s="278"/>
      <c r="M309" s="278"/>
      <c r="N309" s="291"/>
      <c r="O309" s="2746"/>
      <c r="P309" s="51" t="s">
        <v>4467</v>
      </c>
    </row>
    <row r="310" spans="1:20">
      <c r="A310" s="2734">
        <v>2</v>
      </c>
      <c r="B310" s="16"/>
      <c r="C310" s="261"/>
      <c r="D310" s="261"/>
      <c r="E310" s="261"/>
      <c r="F310" s="1386" t="s">
        <v>797</v>
      </c>
      <c r="G310" s="289" t="s">
        <v>1992</v>
      </c>
      <c r="H310" s="279" t="s">
        <v>4465</v>
      </c>
      <c r="I310" s="278">
        <f t="shared" si="34"/>
        <v>4162</v>
      </c>
      <c r="J310" s="1350"/>
      <c r="K310" s="278">
        <v>4162</v>
      </c>
      <c r="L310" s="278"/>
      <c r="M310" s="278"/>
      <c r="N310" s="291"/>
      <c r="O310" s="2746"/>
      <c r="P310" s="51" t="s">
        <v>4467</v>
      </c>
    </row>
    <row r="311" spans="1:20">
      <c r="A311" s="2734">
        <v>2</v>
      </c>
      <c r="B311" s="16"/>
      <c r="C311" s="261"/>
      <c r="D311" s="261"/>
      <c r="E311" s="261"/>
      <c r="F311" s="1386" t="s">
        <v>797</v>
      </c>
      <c r="G311" s="289" t="s">
        <v>1992</v>
      </c>
      <c r="H311" s="279" t="s">
        <v>4563</v>
      </c>
      <c r="I311" s="278">
        <f t="shared" si="34"/>
        <v>7000</v>
      </c>
      <c r="J311" s="1350"/>
      <c r="K311" s="278">
        <v>7000</v>
      </c>
      <c r="L311" s="278"/>
      <c r="M311" s="278"/>
      <c r="N311" s="291"/>
      <c r="O311" s="2746"/>
      <c r="P311" s="51" t="s">
        <v>4471</v>
      </c>
    </row>
    <row r="312" spans="1:20" ht="10.5" customHeight="1">
      <c r="A312" s="2734">
        <v>1</v>
      </c>
      <c r="B312" s="16"/>
      <c r="C312" s="261"/>
      <c r="D312" s="261"/>
      <c r="E312" s="261"/>
      <c r="F312" s="1386" t="s">
        <v>797</v>
      </c>
      <c r="G312" s="289" t="s">
        <v>1992</v>
      </c>
      <c r="H312" s="279" t="s">
        <v>4481</v>
      </c>
      <c r="I312" s="278">
        <f t="shared" si="34"/>
        <v>32618</v>
      </c>
      <c r="J312" s="1350"/>
      <c r="K312" s="278">
        <v>32618</v>
      </c>
      <c r="L312" s="278"/>
      <c r="M312" s="278"/>
      <c r="N312" s="291"/>
      <c r="O312" s="2746"/>
      <c r="P312" s="3" t="s">
        <v>4467</v>
      </c>
      <c r="Q312"/>
    </row>
    <row r="313" spans="1:20" ht="10.5" customHeight="1">
      <c r="A313" s="2734">
        <v>1</v>
      </c>
      <c r="B313" s="16"/>
      <c r="C313" s="261"/>
      <c r="D313" s="261"/>
      <c r="E313" s="261"/>
      <c r="F313" s="1386" t="s">
        <v>797</v>
      </c>
      <c r="G313" s="289" t="s">
        <v>1992</v>
      </c>
      <c r="H313" s="279" t="s">
        <v>4482</v>
      </c>
      <c r="I313" s="278">
        <f t="shared" si="34"/>
        <v>5465</v>
      </c>
      <c r="J313" s="1350"/>
      <c r="K313" s="278">
        <v>5465</v>
      </c>
      <c r="L313" s="278"/>
      <c r="M313" s="278"/>
      <c r="N313" s="291"/>
      <c r="O313" s="2746"/>
      <c r="P313" s="3" t="s">
        <v>4467</v>
      </c>
      <c r="Q313"/>
    </row>
    <row r="314" spans="1:20" ht="10.5" customHeight="1">
      <c r="A314" s="2734">
        <v>3</v>
      </c>
      <c r="B314" s="16"/>
      <c r="C314" s="261"/>
      <c r="D314" s="261"/>
      <c r="E314" s="261"/>
      <c r="F314" s="1386" t="s">
        <v>797</v>
      </c>
      <c r="G314" s="289" t="s">
        <v>1992</v>
      </c>
      <c r="H314" s="279" t="s">
        <v>4483</v>
      </c>
      <c r="I314" s="278">
        <f t="shared" si="34"/>
        <v>10916</v>
      </c>
      <c r="J314" s="1350"/>
      <c r="K314" s="278">
        <v>10916</v>
      </c>
      <c r="L314" s="278"/>
      <c r="M314" s="278"/>
      <c r="N314" s="291"/>
      <c r="O314" s="2746"/>
      <c r="P314" s="3" t="s">
        <v>4467</v>
      </c>
      <c r="Q314"/>
    </row>
    <row r="315" spans="1:20" ht="10.5" customHeight="1">
      <c r="A315" s="2734">
        <v>3</v>
      </c>
      <c r="B315" s="16"/>
      <c r="C315" s="261"/>
      <c r="D315" s="261"/>
      <c r="E315" s="261"/>
      <c r="F315" s="1386" t="s">
        <v>797</v>
      </c>
      <c r="G315" s="289" t="s">
        <v>1992</v>
      </c>
      <c r="H315" s="279" t="s">
        <v>4484</v>
      </c>
      <c r="I315" s="278">
        <f t="shared" si="34"/>
        <v>15947</v>
      </c>
      <c r="J315" s="1350"/>
      <c r="K315" s="278">
        <v>15947</v>
      </c>
      <c r="L315" s="278"/>
      <c r="M315" s="278"/>
      <c r="N315" s="291"/>
      <c r="O315" s="2746"/>
      <c r="P315" s="3" t="s">
        <v>4467</v>
      </c>
      <c r="Q315"/>
    </row>
    <row r="316" spans="1:20" ht="10.5" customHeight="1">
      <c r="A316" s="2734">
        <v>2</v>
      </c>
      <c r="B316" s="16"/>
      <c r="C316" s="261"/>
      <c r="D316" s="261"/>
      <c r="E316" s="261"/>
      <c r="F316" s="1386" t="s">
        <v>797</v>
      </c>
      <c r="G316" s="289" t="s">
        <v>1992</v>
      </c>
      <c r="H316" s="279" t="s">
        <v>4485</v>
      </c>
      <c r="I316" s="278">
        <f t="shared" si="34"/>
        <v>1200</v>
      </c>
      <c r="J316" s="1350"/>
      <c r="K316" s="278">
        <v>1200</v>
      </c>
      <c r="L316" s="278"/>
      <c r="M316" s="278"/>
      <c r="N316" s="291"/>
      <c r="O316" s="2746"/>
      <c r="P316" s="3" t="s">
        <v>4467</v>
      </c>
      <c r="Q316"/>
    </row>
    <row r="317" spans="1:20" ht="10.5" customHeight="1">
      <c r="A317" s="2734">
        <v>1</v>
      </c>
      <c r="B317" s="16"/>
      <c r="C317" s="261"/>
      <c r="D317" s="261"/>
      <c r="E317" s="261"/>
      <c r="F317" s="1386" t="s">
        <v>797</v>
      </c>
      <c r="G317" s="289" t="s">
        <v>1992</v>
      </c>
      <c r="H317" s="279" t="s">
        <v>5342</v>
      </c>
      <c r="I317" s="278">
        <f t="shared" si="34"/>
        <v>50000</v>
      </c>
      <c r="J317" s="1350"/>
      <c r="K317" s="3299">
        <v>50000</v>
      </c>
      <c r="L317" s="278"/>
      <c r="M317" s="278"/>
      <c r="N317" s="291"/>
      <c r="O317" s="2746"/>
      <c r="P317" s="3"/>
      <c r="Q317"/>
    </row>
    <row r="318" spans="1:20" ht="10.5" customHeight="1">
      <c r="A318" s="2734">
        <v>1</v>
      </c>
      <c r="B318" s="16"/>
      <c r="C318" s="261"/>
      <c r="D318" s="261"/>
      <c r="E318" s="261"/>
      <c r="F318" s="1386" t="s">
        <v>4677</v>
      </c>
      <c r="G318" s="289" t="s">
        <v>4678</v>
      </c>
      <c r="H318" s="279" t="s">
        <v>3523</v>
      </c>
      <c r="I318" s="278">
        <f t="shared" si="34"/>
        <v>6500</v>
      </c>
      <c r="J318" s="1350"/>
      <c r="K318" s="278">
        <v>6500</v>
      </c>
      <c r="L318" s="278"/>
      <c r="M318" s="278"/>
      <c r="N318" s="291"/>
      <c r="O318" s="2746"/>
      <c r="P318" s="3" t="s">
        <v>3524</v>
      </c>
      <c r="Q318"/>
    </row>
    <row r="319" spans="1:20">
      <c r="B319" s="16"/>
      <c r="C319" s="266"/>
      <c r="D319" s="266"/>
      <c r="E319" s="266"/>
      <c r="F319" s="350"/>
      <c r="G319" s="350"/>
      <c r="H319" s="267" t="s">
        <v>1269</v>
      </c>
      <c r="I319" s="2631"/>
      <c r="J319" s="1170"/>
      <c r="K319" s="2632"/>
      <c r="L319" s="414"/>
      <c r="M319" s="414"/>
      <c r="N319" s="291"/>
      <c r="O319" s="2746"/>
      <c r="Q319"/>
    </row>
    <row r="320" spans="1:20" s="16" customFormat="1" ht="12" thickBot="1">
      <c r="A320" s="2734">
        <v>1</v>
      </c>
      <c r="C320" s="1228"/>
      <c r="D320" s="1228"/>
      <c r="E320" s="1228"/>
      <c r="F320" s="1228" t="s">
        <v>709</v>
      </c>
      <c r="G320" s="1228" t="s">
        <v>2803</v>
      </c>
      <c r="H320" s="2440" t="s">
        <v>4564</v>
      </c>
      <c r="I320" s="2441">
        <f t="shared" ref="I320:I362" si="36">SUM(K320:M320)</f>
        <v>50000</v>
      </c>
      <c r="J320" s="2442"/>
      <c r="K320" s="2441">
        <v>50000</v>
      </c>
      <c r="L320" s="1290"/>
      <c r="M320" s="1290"/>
      <c r="N320" s="291"/>
      <c r="O320" s="2839"/>
      <c r="P320" s="3"/>
      <c r="T320"/>
    </row>
    <row r="321" spans="1:20" s="16" customFormat="1" ht="23.4" thickTop="1">
      <c r="A321" s="2738">
        <v>1</v>
      </c>
      <c r="C321" s="2444"/>
      <c r="D321" s="2444"/>
      <c r="E321" s="2444"/>
      <c r="F321" s="2444" t="s">
        <v>709</v>
      </c>
      <c r="G321" s="2444" t="s">
        <v>4565</v>
      </c>
      <c r="H321" s="2445" t="s">
        <v>5128</v>
      </c>
      <c r="I321" s="2446">
        <f t="shared" si="36"/>
        <v>31400</v>
      </c>
      <c r="J321" s="2447"/>
      <c r="K321" s="2446">
        <v>31400</v>
      </c>
      <c r="L321" s="2448"/>
      <c r="M321" s="2448"/>
      <c r="N321" s="291"/>
      <c r="O321" s="2839"/>
      <c r="P321" s="3" t="s">
        <v>5063</v>
      </c>
      <c r="T321"/>
    </row>
    <row r="322" spans="1:20" s="16" customFormat="1" ht="23.4" thickBot="1">
      <c r="A322" s="2738">
        <v>1</v>
      </c>
      <c r="C322" s="1242"/>
      <c r="D322" s="1242"/>
      <c r="E322" s="1242"/>
      <c r="F322" s="1242" t="s">
        <v>709</v>
      </c>
      <c r="G322" s="1242" t="s">
        <v>4565</v>
      </c>
      <c r="H322" s="2443" t="s">
        <v>5129</v>
      </c>
      <c r="I322" s="1340">
        <f t="shared" si="36"/>
        <v>8300</v>
      </c>
      <c r="J322" s="1337"/>
      <c r="K322" s="1340">
        <v>8300</v>
      </c>
      <c r="L322" s="1289"/>
      <c r="M322" s="1289"/>
      <c r="N322" s="291"/>
      <c r="O322" s="2839"/>
      <c r="P322" s="3" t="s">
        <v>5064</v>
      </c>
      <c r="T322"/>
    </row>
    <row r="323" spans="1:20" s="16" customFormat="1" ht="24.6" thickTop="1">
      <c r="A323" s="2738">
        <v>1</v>
      </c>
      <c r="C323" s="449"/>
      <c r="D323" s="449"/>
      <c r="E323" s="449"/>
      <c r="F323" s="449" t="s">
        <v>709</v>
      </c>
      <c r="G323" s="449" t="s">
        <v>2804</v>
      </c>
      <c r="H323" s="2742" t="s">
        <v>4949</v>
      </c>
      <c r="I323" s="455">
        <f t="shared" si="36"/>
        <v>50000</v>
      </c>
      <c r="J323" s="1339"/>
      <c r="K323" s="455">
        <v>50000</v>
      </c>
      <c r="L323" s="1279"/>
      <c r="M323" s="1279"/>
      <c r="N323" s="291"/>
      <c r="O323" s="2837"/>
      <c r="P323" s="3"/>
      <c r="T323"/>
    </row>
    <row r="324" spans="1:20" s="16" customFormat="1">
      <c r="A324" s="2738">
        <v>1</v>
      </c>
      <c r="C324" s="449"/>
      <c r="D324" s="449"/>
      <c r="E324" s="449"/>
      <c r="F324" s="449" t="s">
        <v>709</v>
      </c>
      <c r="G324" s="449" t="s">
        <v>2804</v>
      </c>
      <c r="H324" s="2742" t="s">
        <v>4566</v>
      </c>
      <c r="I324" s="455">
        <f t="shared" si="36"/>
        <v>195000</v>
      </c>
      <c r="J324" s="1339"/>
      <c r="K324" s="288">
        <f>195000</f>
        <v>195000</v>
      </c>
      <c r="L324" s="1279"/>
      <c r="M324" s="1279"/>
      <c r="N324" s="291"/>
      <c r="O324" s="2837"/>
      <c r="P324" s="3" t="s">
        <v>4950</v>
      </c>
      <c r="T324"/>
    </row>
    <row r="325" spans="1:20" s="16" customFormat="1" ht="22.8">
      <c r="A325" s="2738">
        <v>1</v>
      </c>
      <c r="C325" s="289"/>
      <c r="D325" s="289"/>
      <c r="E325" s="289"/>
      <c r="F325" s="289" t="s">
        <v>709</v>
      </c>
      <c r="G325" s="289" t="s">
        <v>2804</v>
      </c>
      <c r="H325" s="279" t="s">
        <v>4567</v>
      </c>
      <c r="I325" s="288">
        <f t="shared" si="36"/>
        <v>90000</v>
      </c>
      <c r="J325" s="1350"/>
      <c r="K325" s="288">
        <v>90000</v>
      </c>
      <c r="L325" s="1278"/>
      <c r="M325" s="1278"/>
      <c r="N325" s="291"/>
      <c r="O325" s="2837"/>
      <c r="P325" s="3"/>
      <c r="T325"/>
    </row>
    <row r="326" spans="1:20" s="16" customFormat="1" ht="22.8">
      <c r="A326" s="2738">
        <v>2</v>
      </c>
      <c r="C326" s="2585"/>
      <c r="D326" s="2585"/>
      <c r="E326" s="2585"/>
      <c r="F326" s="2585" t="s">
        <v>709</v>
      </c>
      <c r="G326" s="2585" t="s">
        <v>2804</v>
      </c>
      <c r="H326" s="2586" t="s">
        <v>4568</v>
      </c>
      <c r="I326" s="2588">
        <f t="shared" si="36"/>
        <v>142500</v>
      </c>
      <c r="J326" s="2587"/>
      <c r="K326" s="2588">
        <v>142500</v>
      </c>
      <c r="L326" s="2589"/>
      <c r="M326" s="2589"/>
      <c r="N326" s="291"/>
      <c r="O326" s="2837"/>
      <c r="P326" s="3"/>
      <c r="T326"/>
    </row>
    <row r="327" spans="1:20" s="16" customFormat="1" ht="22.8">
      <c r="A327" s="2738">
        <v>2</v>
      </c>
      <c r="C327" s="2590"/>
      <c r="D327" s="2590"/>
      <c r="E327" s="2590"/>
      <c r="F327" s="2590" t="s">
        <v>709</v>
      </c>
      <c r="G327" s="2590" t="s">
        <v>2804</v>
      </c>
      <c r="H327" s="2591" t="s">
        <v>4569</v>
      </c>
      <c r="I327" s="2593">
        <f t="shared" si="36"/>
        <v>120000</v>
      </c>
      <c r="J327" s="2592"/>
      <c r="K327" s="2593">
        <v>120000</v>
      </c>
      <c r="L327" s="2594"/>
      <c r="M327" s="2594"/>
      <c r="N327" s="291"/>
      <c r="O327" s="2837"/>
      <c r="P327" s="3"/>
      <c r="T327"/>
    </row>
    <row r="328" spans="1:20" s="16" customFormat="1" ht="22.8">
      <c r="A328" s="2738">
        <v>2</v>
      </c>
      <c r="C328" s="449"/>
      <c r="D328" s="449"/>
      <c r="E328" s="449"/>
      <c r="F328" s="449" t="s">
        <v>709</v>
      </c>
      <c r="G328" s="449" t="s">
        <v>2804</v>
      </c>
      <c r="H328" s="405" t="s">
        <v>5065</v>
      </c>
      <c r="I328" s="455">
        <f t="shared" si="36"/>
        <v>240000</v>
      </c>
      <c r="J328" s="1339"/>
      <c r="K328" s="455">
        <v>240000</v>
      </c>
      <c r="L328" s="1279"/>
      <c r="M328" s="1279"/>
      <c r="N328" s="291"/>
      <c r="O328" s="2837"/>
      <c r="P328" s="3"/>
      <c r="T328"/>
    </row>
    <row r="329" spans="1:20" s="16" customFormat="1" ht="22.8">
      <c r="A329" s="2738">
        <v>2</v>
      </c>
      <c r="C329" s="289"/>
      <c r="D329" s="289"/>
      <c r="E329" s="289"/>
      <c r="F329" s="289" t="s">
        <v>709</v>
      </c>
      <c r="G329" s="289" t="s">
        <v>2804</v>
      </c>
      <c r="H329" s="279" t="s">
        <v>4570</v>
      </c>
      <c r="I329" s="288">
        <f t="shared" si="36"/>
        <v>85000</v>
      </c>
      <c r="J329" s="1350"/>
      <c r="K329" s="288">
        <v>85000</v>
      </c>
      <c r="L329" s="1278"/>
      <c r="M329" s="1278"/>
      <c r="N329" s="291"/>
      <c r="O329" s="2837"/>
      <c r="P329" s="3"/>
      <c r="T329"/>
    </row>
    <row r="330" spans="1:20" s="16" customFormat="1" ht="22.8">
      <c r="A330" s="2738">
        <v>2</v>
      </c>
      <c r="C330" s="2585"/>
      <c r="D330" s="2585"/>
      <c r="E330" s="2585"/>
      <c r="F330" s="2585" t="s">
        <v>709</v>
      </c>
      <c r="G330" s="2585" t="s">
        <v>2804</v>
      </c>
      <c r="H330" s="2586" t="s">
        <v>4571</v>
      </c>
      <c r="I330" s="2588">
        <f t="shared" si="36"/>
        <v>35000</v>
      </c>
      <c r="J330" s="2587"/>
      <c r="K330" s="2588">
        <v>35000</v>
      </c>
      <c r="L330" s="2589"/>
      <c r="M330" s="2589"/>
      <c r="N330" s="291"/>
      <c r="O330" s="2837"/>
      <c r="P330" s="3"/>
      <c r="T330"/>
    </row>
    <row r="331" spans="1:20" s="16" customFormat="1" ht="22.8">
      <c r="A331" s="2738">
        <v>2</v>
      </c>
      <c r="C331" s="2762"/>
      <c r="D331" s="2762"/>
      <c r="E331" s="2762"/>
      <c r="F331" s="2762" t="s">
        <v>709</v>
      </c>
      <c r="G331" s="2762" t="s">
        <v>2804</v>
      </c>
      <c r="H331" s="2763" t="s">
        <v>4572</v>
      </c>
      <c r="I331" s="2874">
        <f t="shared" si="36"/>
        <v>25000</v>
      </c>
      <c r="J331" s="2592"/>
      <c r="K331" s="2874">
        <v>25000</v>
      </c>
      <c r="L331" s="2875"/>
      <c r="M331" s="2875"/>
      <c r="N331" s="291"/>
      <c r="O331" s="2837"/>
      <c r="P331" s="3"/>
      <c r="T331"/>
    </row>
    <row r="332" spans="1:20" s="16" customFormat="1" ht="22.8">
      <c r="A332" s="2738">
        <v>1</v>
      </c>
      <c r="C332" s="2585"/>
      <c r="D332" s="2585"/>
      <c r="E332" s="2585"/>
      <c r="F332" s="2762" t="s">
        <v>709</v>
      </c>
      <c r="G332" s="2762" t="s">
        <v>2804</v>
      </c>
      <c r="H332" s="2586" t="s">
        <v>5066</v>
      </c>
      <c r="I332" s="2874">
        <f t="shared" si="36"/>
        <v>2833</v>
      </c>
      <c r="J332" s="2587"/>
      <c r="K332" s="2588">
        <v>2833</v>
      </c>
      <c r="L332" s="2589"/>
      <c r="M332" s="2589"/>
      <c r="N332" s="291"/>
      <c r="O332" s="2837" t="s">
        <v>5067</v>
      </c>
      <c r="P332" s="3"/>
      <c r="T332"/>
    </row>
    <row r="333" spans="1:20" s="16" customFormat="1" ht="22.8">
      <c r="A333" s="2738">
        <v>1</v>
      </c>
      <c r="C333" s="2585"/>
      <c r="D333" s="2585"/>
      <c r="E333" s="2585"/>
      <c r="F333" s="2762" t="s">
        <v>709</v>
      </c>
      <c r="G333" s="2762" t="s">
        <v>2804</v>
      </c>
      <c r="H333" s="2586" t="s">
        <v>2834</v>
      </c>
      <c r="I333" s="2874">
        <f t="shared" si="36"/>
        <v>4000</v>
      </c>
      <c r="J333" s="2587"/>
      <c r="K333" s="2588">
        <v>4000</v>
      </c>
      <c r="L333" s="2589"/>
      <c r="M333" s="2589"/>
      <c r="N333" s="291"/>
      <c r="O333" s="2837" t="s">
        <v>5068</v>
      </c>
      <c r="P333" s="3"/>
      <c r="T333"/>
    </row>
    <row r="334" spans="1:20" s="16" customFormat="1" ht="15" customHeight="1">
      <c r="A334" s="2738">
        <v>2</v>
      </c>
      <c r="C334" s="2762"/>
      <c r="D334" s="2762"/>
      <c r="E334" s="2762"/>
      <c r="F334" s="2762" t="s">
        <v>709</v>
      </c>
      <c r="G334" s="2762" t="s">
        <v>2804</v>
      </c>
      <c r="H334" s="2763" t="s">
        <v>4573</v>
      </c>
      <c r="I334" s="2874">
        <f t="shared" ref="I334:I335" si="37">SUM(K334:M334)</f>
        <v>8000</v>
      </c>
      <c r="J334" s="2592"/>
      <c r="K334" s="2874">
        <v>8000</v>
      </c>
      <c r="L334" s="2875"/>
      <c r="M334" s="2875"/>
      <c r="N334" s="291"/>
      <c r="O334" s="2837"/>
      <c r="P334" s="3"/>
      <c r="T334"/>
    </row>
    <row r="335" spans="1:20" s="16" customFormat="1" ht="15" customHeight="1">
      <c r="A335" s="2738">
        <v>1</v>
      </c>
      <c r="C335" s="2585"/>
      <c r="D335" s="2585"/>
      <c r="E335" s="2585"/>
      <c r="F335" s="2762" t="s">
        <v>709</v>
      </c>
      <c r="G335" s="2762" t="s">
        <v>2804</v>
      </c>
      <c r="H335" s="2586" t="s">
        <v>5261</v>
      </c>
      <c r="I335" s="2588">
        <f t="shared" si="37"/>
        <v>15000</v>
      </c>
      <c r="J335" s="2587"/>
      <c r="K335" s="3246">
        <v>15000</v>
      </c>
      <c r="L335" s="2589"/>
      <c r="M335" s="2589"/>
      <c r="N335" s="291"/>
      <c r="O335" s="2983" t="s">
        <v>5246</v>
      </c>
      <c r="P335" s="3"/>
      <c r="T335"/>
    </row>
    <row r="336" spans="1:20" s="16" customFormat="1" ht="13.95" customHeight="1" thickBot="1">
      <c r="A336" s="3228">
        <v>1</v>
      </c>
      <c r="C336" s="1228"/>
      <c r="D336" s="1228"/>
      <c r="E336" s="1228"/>
      <c r="F336" s="1228" t="s">
        <v>709</v>
      </c>
      <c r="G336" s="1228" t="s">
        <v>2804</v>
      </c>
      <c r="H336" s="2440" t="s">
        <v>4576</v>
      </c>
      <c r="I336" s="2441">
        <f>SUM(K336:M336)</f>
        <v>0</v>
      </c>
      <c r="J336" s="3108"/>
      <c r="K336" s="3230">
        <f>113000-113000</f>
        <v>0</v>
      </c>
      <c r="L336" s="1290"/>
      <c r="M336" s="1290"/>
      <c r="N336" s="291"/>
      <c r="O336" s="2983" t="s">
        <v>5248</v>
      </c>
      <c r="P336" s="3"/>
      <c r="T336"/>
    </row>
    <row r="337" spans="1:20" s="16" customFormat="1" ht="13.95" customHeight="1" thickTop="1">
      <c r="A337" s="3228">
        <v>1</v>
      </c>
      <c r="C337" s="3258"/>
      <c r="D337" s="3258"/>
      <c r="E337" s="3258"/>
      <c r="F337" s="3258" t="s">
        <v>709</v>
      </c>
      <c r="G337" s="3258" t="s">
        <v>2804</v>
      </c>
      <c r="H337" s="3259" t="s">
        <v>5319</v>
      </c>
      <c r="I337" s="2428">
        <f>SUM(K337:M337)</f>
        <v>160000</v>
      </c>
      <c r="J337" s="402"/>
      <c r="K337" s="3260">
        <f>100000+60000</f>
        <v>160000</v>
      </c>
      <c r="L337" s="3261"/>
      <c r="M337" s="3261"/>
      <c r="N337" s="291"/>
      <c r="O337" s="2983"/>
      <c r="P337" s="3"/>
      <c r="T337"/>
    </row>
    <row r="338" spans="1:20" s="16" customFormat="1" ht="22.8">
      <c r="A338" s="2738">
        <v>1</v>
      </c>
      <c r="C338" s="449"/>
      <c r="D338" s="449"/>
      <c r="E338" s="449"/>
      <c r="F338" s="449" t="s">
        <v>709</v>
      </c>
      <c r="G338" s="449" t="s">
        <v>2807</v>
      </c>
      <c r="H338" s="405" t="s">
        <v>4575</v>
      </c>
      <c r="I338" s="406">
        <f t="shared" si="36"/>
        <v>30000</v>
      </c>
      <c r="J338" s="1172"/>
      <c r="K338" s="406">
        <v>30000</v>
      </c>
      <c r="L338" s="1291"/>
      <c r="M338" s="1291"/>
      <c r="N338" s="291"/>
      <c r="O338" s="2839"/>
      <c r="P338" s="3"/>
      <c r="T338"/>
    </row>
    <row r="339" spans="1:20" s="16" customFormat="1" ht="24.6" customHeight="1">
      <c r="A339" s="2738">
        <v>2</v>
      </c>
      <c r="C339" s="289"/>
      <c r="D339" s="289"/>
      <c r="E339" s="289"/>
      <c r="F339" s="289" t="s">
        <v>709</v>
      </c>
      <c r="G339" s="261" t="s">
        <v>2807</v>
      </c>
      <c r="H339" s="279" t="s">
        <v>4979</v>
      </c>
      <c r="I339" s="278">
        <f>K339</f>
        <v>22000</v>
      </c>
      <c r="J339" s="1292"/>
      <c r="K339" s="278">
        <v>22000</v>
      </c>
      <c r="L339" s="446"/>
      <c r="M339" s="446"/>
      <c r="N339" s="291"/>
      <c r="O339" s="2839"/>
      <c r="P339" s="3"/>
      <c r="T339"/>
    </row>
    <row r="340" spans="1:20" s="16" customFormat="1" ht="15.75" customHeight="1">
      <c r="A340" s="2738">
        <v>1</v>
      </c>
      <c r="C340" s="289"/>
      <c r="D340" s="289"/>
      <c r="E340" s="289"/>
      <c r="F340" s="289" t="s">
        <v>709</v>
      </c>
      <c r="G340" s="261" t="s">
        <v>2807</v>
      </c>
      <c r="H340" s="279" t="s">
        <v>4980</v>
      </c>
      <c r="I340" s="278">
        <f>K340</f>
        <v>22000</v>
      </c>
      <c r="J340" s="1292"/>
      <c r="K340" s="278">
        <v>22000</v>
      </c>
      <c r="L340" s="446"/>
      <c r="M340" s="446"/>
      <c r="N340" s="291"/>
      <c r="O340" s="2839"/>
      <c r="P340" s="3"/>
      <c r="T340"/>
    </row>
    <row r="341" spans="1:20" s="16" customFormat="1">
      <c r="A341" s="2738">
        <v>1</v>
      </c>
      <c r="C341" s="289"/>
      <c r="D341" s="289"/>
      <c r="E341" s="289"/>
      <c r="F341" s="289" t="s">
        <v>709</v>
      </c>
      <c r="G341" s="261" t="s">
        <v>2807</v>
      </c>
      <c r="H341" s="279" t="s">
        <v>4577</v>
      </c>
      <c r="I341" s="278">
        <f t="shared" ref="I341:I346" si="38">K341</f>
        <v>15000</v>
      </c>
      <c r="J341" s="1292"/>
      <c r="K341" s="278">
        <v>15000</v>
      </c>
      <c r="L341" s="446"/>
      <c r="M341" s="446"/>
      <c r="N341" s="291"/>
      <c r="O341" s="2839"/>
      <c r="P341" s="3"/>
      <c r="T341"/>
    </row>
    <row r="342" spans="1:20" s="16" customFormat="1">
      <c r="A342" s="2738">
        <v>1</v>
      </c>
      <c r="C342" s="289"/>
      <c r="D342" s="289"/>
      <c r="E342" s="289"/>
      <c r="F342" s="289" t="s">
        <v>709</v>
      </c>
      <c r="G342" s="261" t="s">
        <v>2807</v>
      </c>
      <c r="H342" s="279" t="s">
        <v>5070</v>
      </c>
      <c r="I342" s="278">
        <f t="shared" ref="I342:I343" si="39">K342</f>
        <v>15000</v>
      </c>
      <c r="J342" s="1292"/>
      <c r="K342" s="278">
        <v>15000</v>
      </c>
      <c r="L342" s="446"/>
      <c r="M342" s="446"/>
      <c r="N342" s="291"/>
      <c r="O342" s="2839"/>
      <c r="P342" s="3"/>
      <c r="T342"/>
    </row>
    <row r="343" spans="1:20" s="16" customFormat="1">
      <c r="A343" s="2738">
        <v>1</v>
      </c>
      <c r="C343" s="289"/>
      <c r="D343" s="289"/>
      <c r="E343" s="289"/>
      <c r="F343" s="289" t="s">
        <v>709</v>
      </c>
      <c r="G343" s="261" t="s">
        <v>2807</v>
      </c>
      <c r="H343" s="279" t="s">
        <v>5071</v>
      </c>
      <c r="I343" s="278">
        <f t="shared" si="39"/>
        <v>4400</v>
      </c>
      <c r="J343" s="1292"/>
      <c r="K343" s="278">
        <v>4400</v>
      </c>
      <c r="L343" s="446"/>
      <c r="M343" s="446"/>
      <c r="N343" s="291"/>
      <c r="O343" s="2839"/>
      <c r="P343" s="3"/>
      <c r="T343"/>
    </row>
    <row r="344" spans="1:20" s="16" customFormat="1">
      <c r="A344" s="2738">
        <v>2</v>
      </c>
      <c r="C344" s="289"/>
      <c r="D344" s="289"/>
      <c r="E344" s="289"/>
      <c r="F344" s="289" t="s">
        <v>709</v>
      </c>
      <c r="G344" s="261" t="s">
        <v>2807</v>
      </c>
      <c r="H344" s="279" t="s">
        <v>4578</v>
      </c>
      <c r="I344" s="278">
        <f t="shared" si="38"/>
        <v>30000</v>
      </c>
      <c r="J344" s="1292"/>
      <c r="K344" s="278">
        <v>30000</v>
      </c>
      <c r="L344" s="446"/>
      <c r="M344" s="446"/>
      <c r="N344" s="291"/>
      <c r="O344" s="2839"/>
      <c r="P344" s="3"/>
      <c r="T344"/>
    </row>
    <row r="345" spans="1:20" s="16" customFormat="1">
      <c r="A345" s="2738">
        <v>2</v>
      </c>
      <c r="C345" s="289">
        <v>1</v>
      </c>
      <c r="D345" s="289"/>
      <c r="E345" s="289"/>
      <c r="F345" s="289" t="s">
        <v>709</v>
      </c>
      <c r="G345" s="261" t="s">
        <v>2807</v>
      </c>
      <c r="H345" s="279" t="s">
        <v>4579</v>
      </c>
      <c r="I345" s="278">
        <f t="shared" si="38"/>
        <v>50000</v>
      </c>
      <c r="J345" s="1292"/>
      <c r="K345" s="278">
        <v>50000</v>
      </c>
      <c r="L345" s="446"/>
      <c r="M345" s="446"/>
      <c r="N345" s="291"/>
      <c r="O345" s="2839"/>
      <c r="P345" s="3"/>
      <c r="T345"/>
    </row>
    <row r="346" spans="1:20" s="16" customFormat="1" ht="22.8">
      <c r="A346" s="2738">
        <v>1</v>
      </c>
      <c r="C346" s="289"/>
      <c r="D346" s="289"/>
      <c r="E346" s="289"/>
      <c r="F346" s="289" t="s">
        <v>709</v>
      </c>
      <c r="G346" s="261" t="s">
        <v>2807</v>
      </c>
      <c r="H346" s="279" t="s">
        <v>4580</v>
      </c>
      <c r="I346" s="278">
        <f t="shared" si="38"/>
        <v>40000</v>
      </c>
      <c r="J346" s="1292"/>
      <c r="K346" s="278">
        <v>40000</v>
      </c>
      <c r="L346" s="446"/>
      <c r="M346" s="446"/>
      <c r="N346" s="291"/>
      <c r="O346" s="2839"/>
      <c r="P346" s="3"/>
      <c r="T346"/>
    </row>
    <row r="347" spans="1:20" s="16" customFormat="1" ht="22.8">
      <c r="A347" s="2738">
        <v>2</v>
      </c>
      <c r="C347" s="289"/>
      <c r="D347" s="289"/>
      <c r="E347" s="289"/>
      <c r="F347" s="289" t="s">
        <v>709</v>
      </c>
      <c r="G347" s="261" t="s">
        <v>2807</v>
      </c>
      <c r="H347" s="279" t="s">
        <v>4581</v>
      </c>
      <c r="I347" s="278">
        <f t="shared" si="36"/>
        <v>30000</v>
      </c>
      <c r="J347" s="1292"/>
      <c r="K347" s="278">
        <v>30000</v>
      </c>
      <c r="L347" s="446"/>
      <c r="M347" s="446"/>
      <c r="N347" s="291"/>
      <c r="O347" s="2839"/>
      <c r="P347" s="3"/>
      <c r="T347"/>
    </row>
    <row r="348" spans="1:20" s="16" customFormat="1">
      <c r="A348" s="2738">
        <v>2</v>
      </c>
      <c r="C348" s="289">
        <v>1</v>
      </c>
      <c r="D348" s="289"/>
      <c r="E348" s="289"/>
      <c r="F348" s="289" t="s">
        <v>709</v>
      </c>
      <c r="G348" s="261" t="s">
        <v>2807</v>
      </c>
      <c r="H348" s="279" t="s">
        <v>4582</v>
      </c>
      <c r="I348" s="278">
        <f t="shared" si="36"/>
        <v>16000</v>
      </c>
      <c r="J348" s="1292"/>
      <c r="K348" s="278">
        <v>16000</v>
      </c>
      <c r="L348" s="446"/>
      <c r="M348" s="446"/>
      <c r="N348" s="291"/>
      <c r="O348" s="2839"/>
      <c r="P348" s="3"/>
      <c r="T348"/>
    </row>
    <row r="349" spans="1:20" s="16" customFormat="1">
      <c r="A349" s="2738">
        <v>1</v>
      </c>
      <c r="C349" s="289"/>
      <c r="D349" s="289"/>
      <c r="E349" s="289"/>
      <c r="F349" s="289" t="s">
        <v>709</v>
      </c>
      <c r="G349" s="261" t="s">
        <v>2807</v>
      </c>
      <c r="H349" s="279" t="s">
        <v>4583</v>
      </c>
      <c r="I349" s="278">
        <f t="shared" si="36"/>
        <v>8000</v>
      </c>
      <c r="J349" s="1292"/>
      <c r="K349" s="278">
        <v>8000</v>
      </c>
      <c r="L349" s="446"/>
      <c r="M349" s="446"/>
      <c r="N349" s="291"/>
      <c r="O349" s="2839"/>
      <c r="P349" s="3"/>
      <c r="T349"/>
    </row>
    <row r="350" spans="1:20" s="16" customFormat="1">
      <c r="A350" s="2738">
        <v>1</v>
      </c>
      <c r="C350" s="289"/>
      <c r="D350" s="289"/>
      <c r="E350" s="289"/>
      <c r="F350" s="289" t="s">
        <v>709</v>
      </c>
      <c r="G350" s="261" t="s">
        <v>2807</v>
      </c>
      <c r="H350" s="2743" t="s">
        <v>4584</v>
      </c>
      <c r="I350" s="278">
        <f t="shared" si="36"/>
        <v>12500</v>
      </c>
      <c r="J350" s="1292"/>
      <c r="K350" s="278">
        <v>12500</v>
      </c>
      <c r="L350" s="446"/>
      <c r="M350" s="446"/>
      <c r="N350" s="291"/>
      <c r="O350" s="2839"/>
      <c r="P350" s="3"/>
      <c r="T350"/>
    </row>
    <row r="351" spans="1:20" s="16" customFormat="1">
      <c r="A351" s="2738">
        <v>1</v>
      </c>
      <c r="C351" s="289"/>
      <c r="D351" s="289"/>
      <c r="E351" s="289"/>
      <c r="F351" s="289" t="s">
        <v>709</v>
      </c>
      <c r="G351" s="261" t="s">
        <v>2807</v>
      </c>
      <c r="H351" s="2743" t="s">
        <v>4585</v>
      </c>
      <c r="I351" s="278">
        <f t="shared" si="36"/>
        <v>7000</v>
      </c>
      <c r="J351" s="1292"/>
      <c r="K351" s="278">
        <v>7000</v>
      </c>
      <c r="L351" s="446"/>
      <c r="M351" s="446"/>
      <c r="N351" s="291"/>
      <c r="O351" s="2839"/>
      <c r="P351" s="3"/>
      <c r="T351"/>
    </row>
    <row r="352" spans="1:20" s="16" customFormat="1">
      <c r="A352" s="2738">
        <v>1</v>
      </c>
      <c r="C352" s="467"/>
      <c r="D352" s="467"/>
      <c r="E352" s="467"/>
      <c r="F352" s="467" t="s">
        <v>709</v>
      </c>
      <c r="G352" s="422" t="s">
        <v>2807</v>
      </c>
      <c r="H352" s="2744" t="s">
        <v>4586</v>
      </c>
      <c r="I352" s="278">
        <f t="shared" si="36"/>
        <v>5200</v>
      </c>
      <c r="J352" s="1294"/>
      <c r="K352" s="456">
        <v>5200</v>
      </c>
      <c r="L352" s="1293"/>
      <c r="M352" s="1293"/>
      <c r="N352" s="291"/>
      <c r="O352" s="2839"/>
      <c r="P352" s="3"/>
      <c r="T352"/>
    </row>
    <row r="353" spans="1:20" s="16" customFormat="1" ht="12">
      <c r="A353" s="2738">
        <v>1</v>
      </c>
      <c r="C353" s="467"/>
      <c r="D353" s="467"/>
      <c r="E353" s="467"/>
      <c r="F353" s="467" t="s">
        <v>709</v>
      </c>
      <c r="G353" s="422" t="s">
        <v>2807</v>
      </c>
      <c r="H353" s="447" t="s">
        <v>5292</v>
      </c>
      <c r="I353" s="278">
        <f t="shared" si="36"/>
        <v>190000</v>
      </c>
      <c r="J353" s="1294"/>
      <c r="K353" s="3245">
        <v>190000</v>
      </c>
      <c r="L353" s="1293"/>
      <c r="M353" s="1293"/>
      <c r="N353" s="291"/>
      <c r="O353" s="2983" t="s">
        <v>5246</v>
      </c>
      <c r="P353" s="3"/>
      <c r="T353"/>
    </row>
    <row r="354" spans="1:20" s="16" customFormat="1" ht="12">
      <c r="A354" s="2738">
        <v>1</v>
      </c>
      <c r="B354" s="467"/>
      <c r="C354" s="467"/>
      <c r="D354" s="467"/>
      <c r="E354" s="467"/>
      <c r="F354" s="467" t="s">
        <v>709</v>
      </c>
      <c r="G354" s="422" t="s">
        <v>2807</v>
      </c>
      <c r="H354" s="447" t="s">
        <v>5321</v>
      </c>
      <c r="I354" s="278">
        <f t="shared" si="36"/>
        <v>10000</v>
      </c>
      <c r="J354" s="1294"/>
      <c r="K354" s="3245">
        <f>75000-10000-55000</f>
        <v>10000</v>
      </c>
      <c r="L354" s="1293"/>
      <c r="M354" s="1293"/>
      <c r="N354" s="291"/>
      <c r="O354" s="2983" t="s">
        <v>5323</v>
      </c>
      <c r="P354" s="3"/>
      <c r="T354"/>
    </row>
    <row r="355" spans="1:20" s="16" customFormat="1" ht="12">
      <c r="A355" s="2738">
        <v>1</v>
      </c>
      <c r="C355" s="467"/>
      <c r="D355" s="467"/>
      <c r="E355" s="467"/>
      <c r="F355" s="467" t="s">
        <v>709</v>
      </c>
      <c r="G355" s="422" t="s">
        <v>2807</v>
      </c>
      <c r="H355" s="279" t="s">
        <v>5256</v>
      </c>
      <c r="I355" s="278">
        <f t="shared" si="36"/>
        <v>50000</v>
      </c>
      <c r="J355" s="1294"/>
      <c r="K355" s="3245">
        <v>50000</v>
      </c>
      <c r="L355" s="1293"/>
      <c r="M355" s="1293"/>
      <c r="N355" s="291"/>
      <c r="O355" s="2983" t="s">
        <v>5246</v>
      </c>
      <c r="P355" s="3"/>
      <c r="T355"/>
    </row>
    <row r="356" spans="1:20" s="16" customFormat="1" ht="23.4">
      <c r="A356" s="2738">
        <v>1</v>
      </c>
      <c r="C356" s="467"/>
      <c r="D356" s="467"/>
      <c r="E356" s="467"/>
      <c r="F356" s="467" t="s">
        <v>709</v>
      </c>
      <c r="G356" s="422" t="s">
        <v>2807</v>
      </c>
      <c r="H356" s="279" t="s">
        <v>5257</v>
      </c>
      <c r="I356" s="278">
        <f t="shared" si="36"/>
        <v>25000</v>
      </c>
      <c r="J356" s="1294"/>
      <c r="K356" s="3245">
        <f>10000+15000</f>
        <v>25000</v>
      </c>
      <c r="L356" s="1293"/>
      <c r="M356" s="1293"/>
      <c r="N356" s="291"/>
      <c r="O356" s="2983" t="s">
        <v>5246</v>
      </c>
      <c r="P356" s="3"/>
      <c r="T356"/>
    </row>
    <row r="357" spans="1:20" s="16" customFormat="1" ht="12">
      <c r="A357" s="2738">
        <v>1</v>
      </c>
      <c r="C357" s="467"/>
      <c r="D357" s="467"/>
      <c r="E357" s="467"/>
      <c r="F357" s="467" t="s">
        <v>709</v>
      </c>
      <c r="G357" s="422" t="s">
        <v>2807</v>
      </c>
      <c r="H357" s="279" t="s">
        <v>5258</v>
      </c>
      <c r="I357" s="278">
        <f t="shared" si="36"/>
        <v>20000</v>
      </c>
      <c r="J357" s="1294"/>
      <c r="K357" s="3245">
        <v>20000</v>
      </c>
      <c r="L357" s="1293"/>
      <c r="M357" s="1293"/>
      <c r="N357" s="291"/>
      <c r="O357" s="2983" t="s">
        <v>5246</v>
      </c>
      <c r="P357" s="3"/>
      <c r="T357"/>
    </row>
    <row r="358" spans="1:20" s="16" customFormat="1" ht="12">
      <c r="A358" s="2738">
        <v>1</v>
      </c>
      <c r="C358" s="467"/>
      <c r="D358" s="467"/>
      <c r="E358" s="467"/>
      <c r="F358" s="467" t="s">
        <v>709</v>
      </c>
      <c r="G358" s="422" t="s">
        <v>2807</v>
      </c>
      <c r="H358" s="279" t="s">
        <v>5301</v>
      </c>
      <c r="I358" s="278">
        <f t="shared" si="36"/>
        <v>25000</v>
      </c>
      <c r="J358" s="1294"/>
      <c r="K358" s="3245">
        <v>25000</v>
      </c>
      <c r="L358" s="1293"/>
      <c r="M358" s="1293"/>
      <c r="N358" s="291"/>
      <c r="O358" s="2983" t="s">
        <v>5246</v>
      </c>
      <c r="P358" s="3"/>
      <c r="T358"/>
    </row>
    <row r="359" spans="1:20" s="16" customFormat="1">
      <c r="A359" s="2738">
        <v>2</v>
      </c>
      <c r="C359" s="289"/>
      <c r="D359" s="289"/>
      <c r="E359" s="289"/>
      <c r="F359" s="289" t="s">
        <v>709</v>
      </c>
      <c r="G359" s="261" t="s">
        <v>2807</v>
      </c>
      <c r="H359" s="279" t="s">
        <v>4587</v>
      </c>
      <c r="I359" s="278">
        <f t="shared" si="36"/>
        <v>80000</v>
      </c>
      <c r="J359" s="1292"/>
      <c r="K359" s="278">
        <v>80000</v>
      </c>
      <c r="L359" s="446"/>
      <c r="M359" s="446"/>
      <c r="N359" s="291"/>
      <c r="O359" s="2839"/>
      <c r="P359" s="3"/>
      <c r="T359"/>
    </row>
    <row r="360" spans="1:20" s="16" customFormat="1" ht="23.4" thickBot="1">
      <c r="A360" s="2738">
        <v>2</v>
      </c>
      <c r="C360" s="421"/>
      <c r="D360" s="421"/>
      <c r="E360" s="421"/>
      <c r="F360" s="421" t="s">
        <v>709</v>
      </c>
      <c r="G360" s="403" t="s">
        <v>2807</v>
      </c>
      <c r="H360" s="2429" t="s">
        <v>4588</v>
      </c>
      <c r="I360" s="1336">
        <f t="shared" si="36"/>
        <v>16000</v>
      </c>
      <c r="J360" s="1296"/>
      <c r="K360" s="1336">
        <v>16000</v>
      </c>
      <c r="L360" s="2885"/>
      <c r="M360" s="2885"/>
      <c r="N360" s="291"/>
      <c r="O360" s="2839"/>
      <c r="P360" s="3"/>
      <c r="T360"/>
    </row>
    <row r="361" spans="1:20" s="16" customFormat="1" ht="21" thickTop="1">
      <c r="A361" s="2738">
        <v>1</v>
      </c>
      <c r="C361" s="449"/>
      <c r="D361" s="449"/>
      <c r="E361" s="449"/>
      <c r="F361" s="449" t="s">
        <v>709</v>
      </c>
      <c r="G361" s="404" t="s">
        <v>4589</v>
      </c>
      <c r="H361" s="405" t="s">
        <v>2520</v>
      </c>
      <c r="I361" s="455">
        <f t="shared" si="36"/>
        <v>25000</v>
      </c>
      <c r="J361" s="1339"/>
      <c r="K361" s="455">
        <v>25000</v>
      </c>
      <c r="L361" s="1280"/>
      <c r="M361" s="1280"/>
      <c r="N361" s="291"/>
      <c r="O361" s="478"/>
      <c r="P361" s="439" t="s">
        <v>4593</v>
      </c>
      <c r="T361"/>
    </row>
    <row r="362" spans="1:20" s="16" customFormat="1" ht="20.399999999999999">
      <c r="A362" s="2738">
        <v>1</v>
      </c>
      <c r="C362" s="289"/>
      <c r="D362" s="1243"/>
      <c r="E362" s="2583"/>
      <c r="F362" s="2583" t="s">
        <v>709</v>
      </c>
      <c r="G362" s="2579" t="s">
        <v>4589</v>
      </c>
      <c r="H362" s="2580" t="s">
        <v>4592</v>
      </c>
      <c r="I362" s="2584">
        <f t="shared" si="36"/>
        <v>25000</v>
      </c>
      <c r="J362" s="2595"/>
      <c r="K362" s="2584">
        <v>25000</v>
      </c>
      <c r="L362" s="431"/>
      <c r="M362" s="1278"/>
      <c r="N362" s="291"/>
      <c r="O362" s="2837"/>
      <c r="P362" s="439" t="s">
        <v>4595</v>
      </c>
      <c r="T362"/>
    </row>
    <row r="363" spans="1:20">
      <c r="A363" s="2738"/>
      <c r="B363" s="16"/>
      <c r="C363" s="266"/>
      <c r="D363" s="266"/>
      <c r="E363" s="266"/>
      <c r="F363" s="1392"/>
      <c r="G363" s="350"/>
      <c r="H363" s="267" t="s">
        <v>1270</v>
      </c>
      <c r="I363" s="2631"/>
      <c r="J363" s="420"/>
      <c r="K363" s="2632"/>
      <c r="L363" s="414"/>
      <c r="M363" s="414"/>
      <c r="N363" s="291"/>
      <c r="O363" s="2837"/>
      <c r="P363" s="3"/>
      <c r="Q363"/>
    </row>
    <row r="364" spans="1:20">
      <c r="A364" s="2738">
        <v>1</v>
      </c>
      <c r="B364" s="16"/>
      <c r="C364" s="16"/>
      <c r="D364" s="261"/>
      <c r="E364" s="261"/>
      <c r="F364" s="289" t="s">
        <v>709</v>
      </c>
      <c r="G364" s="261" t="s">
        <v>709</v>
      </c>
      <c r="H364" s="2457" t="s">
        <v>4634</v>
      </c>
      <c r="I364" s="278">
        <f t="shared" ref="I364:I387" si="40">SUM(K364:M364)</f>
        <v>34000</v>
      </c>
      <c r="J364" s="291"/>
      <c r="K364" s="278">
        <v>34000</v>
      </c>
      <c r="L364" s="1278"/>
      <c r="M364" s="1278"/>
      <c r="N364" s="291"/>
      <c r="O364" s="2837"/>
      <c r="P364" s="3" t="s">
        <v>4649</v>
      </c>
      <c r="Q364"/>
    </row>
    <row r="365" spans="1:20">
      <c r="A365" s="2738">
        <v>1</v>
      </c>
      <c r="B365" s="16"/>
      <c r="C365" s="16"/>
      <c r="D365" s="261"/>
      <c r="E365" s="261"/>
      <c r="F365" s="289" t="s">
        <v>709</v>
      </c>
      <c r="G365" s="261" t="s">
        <v>709</v>
      </c>
      <c r="H365" s="2458" t="s">
        <v>4635</v>
      </c>
      <c r="I365" s="278">
        <f t="shared" si="40"/>
        <v>65000</v>
      </c>
      <c r="J365" s="291"/>
      <c r="K365" s="278">
        <v>65000</v>
      </c>
      <c r="L365" s="1278"/>
      <c r="M365" s="1278"/>
      <c r="N365" s="291"/>
      <c r="O365" s="2837"/>
      <c r="P365" s="3" t="s">
        <v>4649</v>
      </c>
      <c r="Q365"/>
    </row>
    <row r="366" spans="1:20">
      <c r="A366" s="2738">
        <v>1</v>
      </c>
      <c r="B366" s="16"/>
      <c r="C366" s="16"/>
      <c r="D366" s="261"/>
      <c r="E366" s="261"/>
      <c r="F366" s="289" t="s">
        <v>709</v>
      </c>
      <c r="G366" s="261" t="s">
        <v>709</v>
      </c>
      <c r="H366" s="2458" t="s">
        <v>4636</v>
      </c>
      <c r="I366" s="278">
        <f t="shared" si="40"/>
        <v>34000</v>
      </c>
      <c r="J366" s="291"/>
      <c r="K366" s="278">
        <v>34000</v>
      </c>
      <c r="L366" s="1278"/>
      <c r="M366" s="1278"/>
      <c r="N366" s="291"/>
      <c r="O366" s="2837"/>
      <c r="P366" s="3" t="s">
        <v>4649</v>
      </c>
      <c r="Q366"/>
    </row>
    <row r="367" spans="1:20">
      <c r="A367" s="2738">
        <v>1</v>
      </c>
      <c r="B367" s="16"/>
      <c r="C367" s="16"/>
      <c r="D367" s="261"/>
      <c r="E367" s="261"/>
      <c r="F367" s="289" t="s">
        <v>709</v>
      </c>
      <c r="G367" s="261" t="s">
        <v>709</v>
      </c>
      <c r="H367" s="2457" t="s">
        <v>4637</v>
      </c>
      <c r="I367" s="278">
        <f t="shared" si="40"/>
        <v>33000</v>
      </c>
      <c r="J367" s="291"/>
      <c r="K367" s="278">
        <v>33000</v>
      </c>
      <c r="L367" s="1278"/>
      <c r="M367" s="1278"/>
      <c r="N367" s="291"/>
      <c r="O367" s="2837"/>
      <c r="P367" s="3" t="s">
        <v>4649</v>
      </c>
      <c r="Q367"/>
    </row>
    <row r="368" spans="1:20" ht="20.399999999999999">
      <c r="A368" s="2738">
        <v>1</v>
      </c>
      <c r="B368" s="16"/>
      <c r="C368" s="16"/>
      <c r="D368" s="261"/>
      <c r="E368" s="261"/>
      <c r="F368" s="289" t="s">
        <v>709</v>
      </c>
      <c r="G368" s="261" t="s">
        <v>709</v>
      </c>
      <c r="H368" s="2596" t="s">
        <v>4638</v>
      </c>
      <c r="I368" s="278">
        <f t="shared" si="40"/>
        <v>40000</v>
      </c>
      <c r="J368" s="291"/>
      <c r="K368" s="278">
        <v>40000</v>
      </c>
      <c r="L368" s="1278"/>
      <c r="M368" s="1278"/>
      <c r="N368" s="291"/>
      <c r="O368" s="2837"/>
      <c r="P368" s="3" t="s">
        <v>4649</v>
      </c>
      <c r="Q368"/>
    </row>
    <row r="369" spans="1:20" ht="21" customHeight="1">
      <c r="A369" s="2738">
        <v>1</v>
      </c>
      <c r="B369" s="16"/>
      <c r="C369" s="16"/>
      <c r="D369" s="261"/>
      <c r="E369" s="261"/>
      <c r="F369" s="289" t="s">
        <v>709</v>
      </c>
      <c r="G369" s="261" t="s">
        <v>709</v>
      </c>
      <c r="H369" s="2597" t="s">
        <v>4639</v>
      </c>
      <c r="I369" s="278">
        <f t="shared" si="40"/>
        <v>20000</v>
      </c>
      <c r="J369" s="291"/>
      <c r="K369" s="278">
        <v>20000</v>
      </c>
      <c r="L369" s="1278"/>
      <c r="M369" s="1278"/>
      <c r="N369" s="291"/>
      <c r="O369" s="2837"/>
      <c r="P369" s="3" t="s">
        <v>4649</v>
      </c>
      <c r="Q369"/>
    </row>
    <row r="370" spans="1:20" ht="20.399999999999999" customHeight="1">
      <c r="A370" s="2738">
        <v>1</v>
      </c>
      <c r="B370" s="16"/>
      <c r="C370" s="261"/>
      <c r="D370" s="261"/>
      <c r="E370" s="261"/>
      <c r="F370" s="1386" t="s">
        <v>709</v>
      </c>
      <c r="G370" s="261" t="s">
        <v>709</v>
      </c>
      <c r="H370" s="2597" t="s">
        <v>5250</v>
      </c>
      <c r="I370" s="278">
        <f t="shared" si="40"/>
        <v>175000</v>
      </c>
      <c r="J370" s="291"/>
      <c r="K370" s="3229">
        <f>550000-375000</f>
        <v>175000</v>
      </c>
      <c r="L370" s="278"/>
      <c r="M370" s="1278"/>
      <c r="N370" s="291"/>
      <c r="O370" s="2837"/>
      <c r="P370" s="3231" t="s">
        <v>5251</v>
      </c>
    </row>
    <row r="371" spans="1:20" ht="12.75" customHeight="1">
      <c r="A371" s="2738">
        <v>1</v>
      </c>
      <c r="B371" s="16"/>
      <c r="C371" s="261"/>
      <c r="D371" s="261"/>
      <c r="E371" s="261"/>
      <c r="F371" s="1386" t="s">
        <v>709</v>
      </c>
      <c r="G371" s="261" t="s">
        <v>709</v>
      </c>
      <c r="H371" s="2596" t="s">
        <v>5131</v>
      </c>
      <c r="I371" s="278">
        <f t="shared" si="40"/>
        <v>350000</v>
      </c>
      <c r="J371" s="291"/>
      <c r="K371" s="288">
        <f>1000000/2-150000</f>
        <v>350000</v>
      </c>
      <c r="L371" s="278"/>
      <c r="M371" s="1278"/>
      <c r="N371" s="291"/>
      <c r="O371" s="2837"/>
      <c r="P371" s="3" t="s">
        <v>2171</v>
      </c>
    </row>
    <row r="372" spans="1:20" ht="23.4" customHeight="1">
      <c r="A372" s="2738">
        <v>1</v>
      </c>
      <c r="B372" s="16"/>
      <c r="C372" s="261"/>
      <c r="D372" s="261"/>
      <c r="E372" s="261"/>
      <c r="F372" s="1386" t="s">
        <v>709</v>
      </c>
      <c r="G372" s="261" t="s">
        <v>709</v>
      </c>
      <c r="H372" s="2596" t="s">
        <v>4642</v>
      </c>
      <c r="I372" s="278">
        <f t="shared" si="40"/>
        <v>150000</v>
      </c>
      <c r="J372" s="291"/>
      <c r="K372" s="288">
        <v>150000</v>
      </c>
      <c r="L372" s="278"/>
      <c r="M372" s="268"/>
      <c r="N372" s="291"/>
      <c r="O372" s="2836"/>
      <c r="P372" s="3" t="s">
        <v>4652</v>
      </c>
    </row>
    <row r="373" spans="1:20" ht="25.2" customHeight="1">
      <c r="A373" s="2738">
        <v>1</v>
      </c>
      <c r="B373" s="16"/>
      <c r="C373" s="261"/>
      <c r="D373" s="261"/>
      <c r="E373" s="261"/>
      <c r="F373" s="1386" t="s">
        <v>709</v>
      </c>
      <c r="G373" s="261" t="s">
        <v>709</v>
      </c>
      <c r="H373" s="2596" t="s">
        <v>4643</v>
      </c>
      <c r="I373" s="278">
        <f t="shared" si="40"/>
        <v>130000</v>
      </c>
      <c r="J373" s="291"/>
      <c r="K373" s="288">
        <v>130000</v>
      </c>
      <c r="L373" s="278"/>
      <c r="M373" s="1283"/>
      <c r="N373" s="291"/>
      <c r="O373" s="2838"/>
      <c r="P373" s="3" t="s">
        <v>4652</v>
      </c>
    </row>
    <row r="374" spans="1:20" ht="23.4" customHeight="1">
      <c r="A374" s="2738">
        <v>1</v>
      </c>
      <c r="B374" s="16"/>
      <c r="C374" s="261"/>
      <c r="D374" s="261"/>
      <c r="E374" s="261"/>
      <c r="F374" s="1386" t="s">
        <v>709</v>
      </c>
      <c r="G374" s="261" t="s">
        <v>709</v>
      </c>
      <c r="H374" s="2596" t="s">
        <v>4644</v>
      </c>
      <c r="I374" s="278">
        <f t="shared" si="40"/>
        <v>60000</v>
      </c>
      <c r="J374" s="291"/>
      <c r="K374" s="288">
        <v>60000</v>
      </c>
      <c r="L374" s="278"/>
      <c r="M374" s="1283"/>
      <c r="N374" s="291"/>
      <c r="O374" s="2838"/>
      <c r="P374" s="3" t="s">
        <v>4653</v>
      </c>
    </row>
    <row r="375" spans="1:20" ht="12" customHeight="1">
      <c r="A375" s="2738">
        <v>1</v>
      </c>
      <c r="B375" s="16"/>
      <c r="C375" s="261"/>
      <c r="D375" s="261"/>
      <c r="E375" s="261"/>
      <c r="F375" s="1386" t="s">
        <v>709</v>
      </c>
      <c r="G375" s="261" t="s">
        <v>709</v>
      </c>
      <c r="H375" s="2596" t="s">
        <v>1650</v>
      </c>
      <c r="I375" s="278">
        <f t="shared" si="40"/>
        <v>30000</v>
      </c>
      <c r="J375" s="291"/>
      <c r="K375" s="288">
        <v>30000</v>
      </c>
      <c r="L375" s="278"/>
      <c r="M375" s="1283"/>
      <c r="N375" s="291"/>
      <c r="O375" s="2838"/>
      <c r="P375" s="3" t="s">
        <v>4654</v>
      </c>
    </row>
    <row r="376" spans="1:20" ht="27" customHeight="1">
      <c r="A376" s="2738">
        <v>1</v>
      </c>
      <c r="B376" s="16"/>
      <c r="C376" s="261"/>
      <c r="D376" s="261"/>
      <c r="E376" s="261"/>
      <c r="F376" s="1386" t="s">
        <v>709</v>
      </c>
      <c r="G376" s="261" t="s">
        <v>709</v>
      </c>
      <c r="H376" s="2596" t="s">
        <v>4645</v>
      </c>
      <c r="I376" s="278">
        <f t="shared" si="40"/>
        <v>160000</v>
      </c>
      <c r="J376" s="291"/>
      <c r="K376" s="288">
        <v>160000</v>
      </c>
      <c r="L376" s="278"/>
      <c r="M376" s="1283"/>
      <c r="N376" s="291"/>
      <c r="O376" s="2838"/>
      <c r="P376" s="3" t="s">
        <v>4655</v>
      </c>
    </row>
    <row r="377" spans="1:20" ht="16.2" customHeight="1">
      <c r="A377" s="2738">
        <v>1</v>
      </c>
      <c r="B377" s="16"/>
      <c r="C377" s="261"/>
      <c r="D377" s="261"/>
      <c r="E377" s="261"/>
      <c r="F377" s="1386" t="s">
        <v>709</v>
      </c>
      <c r="G377" s="261" t="s">
        <v>709</v>
      </c>
      <c r="H377" s="2598" t="s">
        <v>5318</v>
      </c>
      <c r="I377" s="278">
        <f t="shared" si="40"/>
        <v>50000</v>
      </c>
      <c r="J377" s="291"/>
      <c r="K377" s="3229">
        <v>50000</v>
      </c>
      <c r="L377" s="278"/>
      <c r="M377" s="1283"/>
      <c r="N377" s="291"/>
      <c r="O377" s="2983" t="s">
        <v>5246</v>
      </c>
      <c r="P377" s="3"/>
    </row>
    <row r="378" spans="1:20" ht="25.2" customHeight="1">
      <c r="A378" s="2738">
        <v>1</v>
      </c>
      <c r="B378" s="16"/>
      <c r="C378" s="422"/>
      <c r="D378" s="422"/>
      <c r="E378" s="422"/>
      <c r="F378" s="1386" t="s">
        <v>709</v>
      </c>
      <c r="G378" s="261" t="s">
        <v>709</v>
      </c>
      <c r="H378" s="2598" t="s">
        <v>5322</v>
      </c>
      <c r="I378" s="278">
        <f t="shared" si="40"/>
        <v>5000</v>
      </c>
      <c r="J378" s="291"/>
      <c r="K378" s="3245">
        <v>5000</v>
      </c>
      <c r="L378" s="456"/>
      <c r="M378" s="1284"/>
      <c r="N378" s="291"/>
      <c r="O378" s="2983" t="s">
        <v>5246</v>
      </c>
      <c r="P378" s="3"/>
    </row>
    <row r="379" spans="1:20" s="16" customFormat="1" ht="21">
      <c r="A379" s="2738">
        <v>1</v>
      </c>
      <c r="C379" s="467"/>
      <c r="D379" s="467"/>
      <c r="E379" s="467"/>
      <c r="F379" s="467" t="s">
        <v>709</v>
      </c>
      <c r="G379" s="422" t="s">
        <v>2807</v>
      </c>
      <c r="H379" s="2596" t="s">
        <v>5260</v>
      </c>
      <c r="I379" s="278">
        <f t="shared" si="40"/>
        <v>30000</v>
      </c>
      <c r="J379" s="1294"/>
      <c r="K379" s="3245">
        <f>10000+20000</f>
        <v>30000</v>
      </c>
      <c r="L379" s="1293"/>
      <c r="M379" s="1293"/>
      <c r="N379" s="291"/>
      <c r="O379" s="2983" t="s">
        <v>5246</v>
      </c>
      <c r="P379" s="3"/>
      <c r="T379"/>
    </row>
    <row r="380" spans="1:20" ht="25.5" customHeight="1">
      <c r="A380" s="2738">
        <v>2</v>
      </c>
      <c r="B380" s="16"/>
      <c r="C380" s="261"/>
      <c r="D380" s="261"/>
      <c r="E380" s="261"/>
      <c r="F380" s="1386" t="s">
        <v>709</v>
      </c>
      <c r="G380" s="261" t="s">
        <v>709</v>
      </c>
      <c r="H380" s="2598" t="s">
        <v>4646</v>
      </c>
      <c r="I380" s="278">
        <f t="shared" si="40"/>
        <v>95000</v>
      </c>
      <c r="J380" s="291"/>
      <c r="K380" s="288">
        <v>95000</v>
      </c>
      <c r="L380" s="278"/>
      <c r="M380" s="268"/>
      <c r="N380" s="291"/>
      <c r="O380" s="2836"/>
      <c r="P380" s="3" t="s">
        <v>4656</v>
      </c>
    </row>
    <row r="381" spans="1:20" ht="27.6" customHeight="1">
      <c r="A381" s="2738">
        <v>2</v>
      </c>
      <c r="B381" s="16"/>
      <c r="C381" s="261"/>
      <c r="D381" s="261"/>
      <c r="E381" s="261"/>
      <c r="F381" s="1386" t="s">
        <v>709</v>
      </c>
      <c r="G381" s="261" t="s">
        <v>709</v>
      </c>
      <c r="H381" s="2596" t="s">
        <v>4647</v>
      </c>
      <c r="I381" s="278">
        <f t="shared" si="40"/>
        <v>250000</v>
      </c>
      <c r="J381" s="291"/>
      <c r="K381" s="288">
        <v>250000</v>
      </c>
      <c r="L381" s="278"/>
      <c r="M381" s="1278"/>
      <c r="N381" s="291"/>
      <c r="O381" s="2837"/>
      <c r="P381" s="3" t="s">
        <v>4657</v>
      </c>
    </row>
    <row r="382" spans="1:20" ht="18" customHeight="1">
      <c r="A382" s="2738">
        <v>2</v>
      </c>
      <c r="B382" s="16"/>
      <c r="C382" s="261"/>
      <c r="D382" s="261"/>
      <c r="E382" s="261"/>
      <c r="F382" s="1386" t="s">
        <v>709</v>
      </c>
      <c r="G382" s="261" t="s">
        <v>709</v>
      </c>
      <c r="H382" s="2461" t="s">
        <v>4648</v>
      </c>
      <c r="I382" s="278">
        <f t="shared" si="40"/>
        <v>20000</v>
      </c>
      <c r="J382" s="291"/>
      <c r="K382" s="278">
        <v>20000</v>
      </c>
      <c r="L382" s="278"/>
      <c r="M382" s="1278"/>
      <c r="N382" s="291"/>
      <c r="O382" s="2837"/>
      <c r="P382" s="3" t="s">
        <v>4649</v>
      </c>
      <c r="Q382"/>
    </row>
    <row r="383" spans="1:20">
      <c r="A383" s="2738">
        <v>1</v>
      </c>
      <c r="B383" s="16"/>
      <c r="C383" s="261"/>
      <c r="D383" s="261"/>
      <c r="E383" s="261"/>
      <c r="F383" s="1386" t="s">
        <v>709</v>
      </c>
      <c r="G383" s="261" t="s">
        <v>709</v>
      </c>
      <c r="H383" s="2599" t="s">
        <v>5073</v>
      </c>
      <c r="I383" s="278">
        <f t="shared" si="40"/>
        <v>50000</v>
      </c>
      <c r="J383" s="291"/>
      <c r="K383" s="288">
        <v>50000</v>
      </c>
      <c r="L383" s="278"/>
      <c r="M383" s="1283"/>
      <c r="N383" s="291"/>
      <c r="O383" s="2838"/>
      <c r="P383" s="3" t="s">
        <v>4649</v>
      </c>
    </row>
    <row r="384" spans="1:20" ht="20.399999999999999">
      <c r="A384" s="2738">
        <v>1</v>
      </c>
      <c r="B384" s="16"/>
      <c r="C384" s="261"/>
      <c r="D384" s="261"/>
      <c r="E384" s="261"/>
      <c r="F384" s="1386" t="s">
        <v>709</v>
      </c>
      <c r="G384" s="261" t="s">
        <v>709</v>
      </c>
      <c r="H384" s="2599" t="s">
        <v>5074</v>
      </c>
      <c r="I384" s="278">
        <f t="shared" si="40"/>
        <v>96000</v>
      </c>
      <c r="J384" s="291"/>
      <c r="K384" s="288">
        <f>100000-4000</f>
        <v>96000</v>
      </c>
      <c r="L384" s="278"/>
      <c r="M384" s="1283"/>
      <c r="N384" s="291"/>
      <c r="O384" s="2838"/>
      <c r="P384" s="3" t="s">
        <v>4649</v>
      </c>
    </row>
    <row r="385" spans="1:17" ht="20.399999999999999">
      <c r="A385" s="2738">
        <v>1</v>
      </c>
      <c r="B385" s="16"/>
      <c r="C385" s="261"/>
      <c r="D385" s="261"/>
      <c r="E385" s="261"/>
      <c r="F385" s="1386" t="s">
        <v>709</v>
      </c>
      <c r="G385" s="261" t="s">
        <v>709</v>
      </c>
      <c r="H385" s="2891" t="s">
        <v>5130</v>
      </c>
      <c r="I385" s="278">
        <f t="shared" si="40"/>
        <v>45000</v>
      </c>
      <c r="J385" s="291"/>
      <c r="K385" s="278">
        <v>45000</v>
      </c>
      <c r="L385" s="278"/>
      <c r="M385" s="1283"/>
      <c r="N385" s="291"/>
      <c r="O385" s="2838"/>
      <c r="P385" s="3" t="s">
        <v>4649</v>
      </c>
    </row>
    <row r="386" spans="1:17" ht="28.2" customHeight="1">
      <c r="A386" s="2738">
        <v>1</v>
      </c>
      <c r="B386" s="16"/>
      <c r="C386" s="261"/>
      <c r="D386" s="261"/>
      <c r="E386" s="261"/>
      <c r="F386" s="1386" t="s">
        <v>709</v>
      </c>
      <c r="G386" s="261" t="s">
        <v>709</v>
      </c>
      <c r="H386" s="2462" t="s">
        <v>2865</v>
      </c>
      <c r="I386" s="278">
        <f t="shared" si="40"/>
        <v>1100000</v>
      </c>
      <c r="J386" s="291"/>
      <c r="K386" s="288"/>
      <c r="L386" s="278">
        <v>1100000</v>
      </c>
      <c r="M386" s="1283"/>
      <c r="N386" s="291"/>
      <c r="O386" s="2838"/>
      <c r="P386" s="3" t="s">
        <v>2532</v>
      </c>
      <c r="Q386"/>
    </row>
    <row r="387" spans="1:17">
      <c r="A387" s="2738">
        <v>1</v>
      </c>
      <c r="B387" s="16"/>
      <c r="C387" s="261"/>
      <c r="D387" s="261"/>
      <c r="E387" s="261"/>
      <c r="F387" s="1386" t="s">
        <v>709</v>
      </c>
      <c r="G387" s="261" t="s">
        <v>709</v>
      </c>
      <c r="H387" s="2600" t="s">
        <v>4659</v>
      </c>
      <c r="I387" s="278">
        <f t="shared" si="40"/>
        <v>2000000</v>
      </c>
      <c r="J387" s="291"/>
      <c r="K387" s="278"/>
      <c r="L387" s="278">
        <v>2000000</v>
      </c>
      <c r="M387" s="1278"/>
      <c r="N387" s="291"/>
      <c r="O387" s="2837"/>
      <c r="P387" s="3" t="s">
        <v>2532</v>
      </c>
    </row>
    <row r="388" spans="1:17">
      <c r="A388" s="2738"/>
      <c r="C388" s="261"/>
      <c r="D388" s="261"/>
      <c r="E388" s="261"/>
      <c r="F388" s="1386" t="s">
        <v>709</v>
      </c>
      <c r="G388" s="1392" t="s">
        <v>709</v>
      </c>
      <c r="H388" s="2460"/>
      <c r="I388" s="278">
        <f t="shared" ref="I388:I392" si="41">SUM(K388:M388)</f>
        <v>0</v>
      </c>
      <c r="J388" s="478"/>
      <c r="K388" s="278"/>
      <c r="L388" s="1278"/>
      <c r="M388" s="1278"/>
      <c r="N388" s="291"/>
      <c r="O388" s="2837"/>
      <c r="P388" s="3"/>
      <c r="Q388"/>
    </row>
    <row r="389" spans="1:17">
      <c r="A389" s="2738"/>
      <c r="C389" s="261"/>
      <c r="D389" s="261"/>
      <c r="E389" s="261"/>
      <c r="F389" s="1386" t="s">
        <v>709</v>
      </c>
      <c r="G389" s="1392" t="s">
        <v>709</v>
      </c>
      <c r="H389" s="2459"/>
      <c r="I389" s="278">
        <f>SUM(K389:M389)</f>
        <v>0</v>
      </c>
      <c r="J389" s="478"/>
      <c r="K389" s="278"/>
      <c r="L389" s="1278"/>
      <c r="M389" s="1278"/>
      <c r="N389" s="291"/>
      <c r="O389" s="2837"/>
      <c r="P389" s="3"/>
    </row>
    <row r="390" spans="1:17">
      <c r="A390" s="2738"/>
      <c r="C390" s="261"/>
      <c r="D390" s="261"/>
      <c r="E390" s="261"/>
      <c r="F390" s="1386" t="s">
        <v>709</v>
      </c>
      <c r="G390" s="1392" t="s">
        <v>709</v>
      </c>
      <c r="H390" s="2459"/>
      <c r="I390" s="278">
        <f t="shared" si="41"/>
        <v>0</v>
      </c>
      <c r="J390" s="478"/>
      <c r="K390" s="278"/>
      <c r="L390" s="1278"/>
      <c r="M390" s="1278"/>
      <c r="N390" s="291"/>
      <c r="O390" s="2837"/>
      <c r="P390" s="3"/>
      <c r="Q390"/>
    </row>
    <row r="391" spans="1:17">
      <c r="A391" s="2738"/>
      <c r="C391" s="261"/>
      <c r="D391" s="261"/>
      <c r="E391" s="261"/>
      <c r="F391" s="1386" t="s">
        <v>709</v>
      </c>
      <c r="G391" s="1392" t="s">
        <v>709</v>
      </c>
      <c r="H391" s="1287"/>
      <c r="I391" s="278">
        <f t="shared" si="41"/>
        <v>0</v>
      </c>
      <c r="J391" s="360"/>
      <c r="K391" s="288"/>
      <c r="L391" s="1286"/>
      <c r="M391" s="1286"/>
      <c r="N391" s="291"/>
      <c r="O391" s="360"/>
      <c r="P391" s="3"/>
      <c r="Q391"/>
    </row>
    <row r="392" spans="1:17">
      <c r="C392" s="261"/>
      <c r="D392" s="261"/>
      <c r="E392" s="261"/>
      <c r="F392" s="289" t="s">
        <v>709</v>
      </c>
      <c r="G392" s="1392" t="s">
        <v>709</v>
      </c>
      <c r="H392" s="349"/>
      <c r="I392" s="278">
        <f t="shared" si="41"/>
        <v>0</v>
      </c>
      <c r="J392" s="402"/>
      <c r="K392" s="278"/>
      <c r="L392" s="268"/>
      <c r="M392" s="268"/>
      <c r="N392" s="291"/>
      <c r="O392" s="360"/>
      <c r="P392" s="3"/>
      <c r="Q392"/>
    </row>
    <row r="393" spans="1:17" ht="12">
      <c r="H393" s="273" t="s">
        <v>1260</v>
      </c>
      <c r="I393" s="340">
        <f>SUM(I209:I392)</f>
        <v>10947418.173333334</v>
      </c>
      <c r="J393" s="291">
        <f>SUM(J209:J390)</f>
        <v>0</v>
      </c>
      <c r="K393" s="340">
        <f>SUM(K209:K392)</f>
        <v>7847418.1733333338</v>
      </c>
      <c r="L393" s="340">
        <f>SUM(L209:L392)</f>
        <v>3100000</v>
      </c>
      <c r="M393" s="335">
        <f>SUM(M209:M392)</f>
        <v>0</v>
      </c>
      <c r="N393" s="291"/>
      <c r="O393" s="360"/>
      <c r="P393" s="3"/>
      <c r="Q393"/>
    </row>
    <row r="394" spans="1:17" ht="12">
      <c r="H394" s="451"/>
      <c r="I394" s="395"/>
      <c r="J394" s="291"/>
      <c r="K394" s="395"/>
      <c r="L394" s="395"/>
      <c r="M394" s="336"/>
      <c r="N394" s="291"/>
      <c r="O394" s="360"/>
      <c r="P394" s="3"/>
    </row>
    <row r="395" spans="1:17" ht="24">
      <c r="H395" s="451" t="s">
        <v>1671</v>
      </c>
      <c r="I395" s="298" t="s">
        <v>963</v>
      </c>
      <c r="J395" s="291"/>
      <c r="K395" s="298" t="s">
        <v>329</v>
      </c>
      <c r="L395" s="298" t="s">
        <v>962</v>
      </c>
      <c r="M395" s="338" t="s">
        <v>712</v>
      </c>
      <c r="N395" s="291"/>
      <c r="O395" s="360"/>
      <c r="P395" s="3"/>
    </row>
    <row r="396" spans="1:17" ht="12">
      <c r="A396" s="2734">
        <v>1</v>
      </c>
      <c r="H396" s="451">
        <v>1</v>
      </c>
      <c r="I396" s="1246">
        <f>SUMIF($A$209:$A$392,$A396,I$209:I$392)</f>
        <v>7023667.7333333334</v>
      </c>
      <c r="J396" s="291"/>
      <c r="K396" s="1246">
        <f t="shared" ref="K396:M397" si="42">SUMIF($A$209:$A$392,$A396,K$209:K$392)</f>
        <v>3923667.7333333334</v>
      </c>
      <c r="L396" s="1246">
        <f t="shared" si="42"/>
        <v>3100000</v>
      </c>
      <c r="M396" s="1246">
        <f t="shared" si="42"/>
        <v>0</v>
      </c>
      <c r="N396" s="291"/>
      <c r="O396" s="360"/>
      <c r="P396" s="3"/>
    </row>
    <row r="397" spans="1:17" ht="12">
      <c r="A397" s="2734">
        <v>2</v>
      </c>
      <c r="H397" s="451">
        <v>2</v>
      </c>
      <c r="I397" s="469">
        <f>SUMIF($A$209:$A$392,$A397,I$209:I$392)</f>
        <v>3876887.44</v>
      </c>
      <c r="J397" s="291"/>
      <c r="K397" s="469">
        <f t="shared" si="42"/>
        <v>3876887.44</v>
      </c>
      <c r="L397" s="469">
        <f t="shared" si="42"/>
        <v>0</v>
      </c>
      <c r="M397" s="469">
        <f t="shared" si="42"/>
        <v>0</v>
      </c>
      <c r="N397" s="291"/>
      <c r="O397" s="360"/>
      <c r="P397" s="3"/>
    </row>
    <row r="398" spans="1:17">
      <c r="H398">
        <v>3</v>
      </c>
      <c r="I398" s="126">
        <f>I393-I396-I397</f>
        <v>46863.000000000466</v>
      </c>
      <c r="K398" s="375">
        <f>K393-K396-K397</f>
        <v>46863.000000000466</v>
      </c>
      <c r="L398" s="375">
        <f>L393-L396-L397</f>
        <v>0</v>
      </c>
      <c r="M398" s="375">
        <f>M393-M396-M397</f>
        <v>0</v>
      </c>
      <c r="N398" s="291"/>
      <c r="O398" s="360"/>
      <c r="P398" s="3"/>
    </row>
    <row r="399" spans="1:17">
      <c r="I399" s="126"/>
      <c r="K399" s="375"/>
      <c r="L399" s="375"/>
      <c r="M399" s="375"/>
      <c r="N399" s="291"/>
      <c r="O399" s="360"/>
      <c r="P399" s="3"/>
    </row>
    <row r="400" spans="1:17" ht="21">
      <c r="F400" s="346" t="s">
        <v>5166</v>
      </c>
      <c r="I400" s="126" t="s">
        <v>769</v>
      </c>
      <c r="K400" s="376" t="s">
        <v>5266</v>
      </c>
      <c r="L400" s="126" t="s">
        <v>648</v>
      </c>
      <c r="M400" s="375"/>
      <c r="N400" s="291"/>
      <c r="O400" s="360"/>
      <c r="P400" s="3"/>
    </row>
    <row r="401" spans="3:16">
      <c r="C401">
        <v>1</v>
      </c>
      <c r="F401" s="16" t="s">
        <v>5268</v>
      </c>
      <c r="H401" t="s">
        <v>5267</v>
      </c>
      <c r="I401" s="126">
        <v>50000</v>
      </c>
      <c r="K401" s="126">
        <v>50000</v>
      </c>
      <c r="L401" s="126">
        <f>I401-K401</f>
        <v>0</v>
      </c>
      <c r="M401" s="375"/>
      <c r="N401" s="291"/>
      <c r="O401" s="360"/>
      <c r="P401" s="3"/>
    </row>
    <row r="402" spans="3:16" ht="40.799999999999997">
      <c r="C402">
        <v>2</v>
      </c>
      <c r="F402" s="16" t="s">
        <v>1633</v>
      </c>
      <c r="H402" t="s">
        <v>5269</v>
      </c>
      <c r="I402" s="126">
        <v>0</v>
      </c>
      <c r="K402" s="126">
        <v>321863</v>
      </c>
      <c r="L402" s="126">
        <f>I402-K402</f>
        <v>-321863</v>
      </c>
      <c r="M402" s="375"/>
      <c r="N402" s="291"/>
      <c r="O402" s="360"/>
      <c r="P402" s="439" t="s">
        <v>5270</v>
      </c>
    </row>
    <row r="403" spans="3:16">
      <c r="C403">
        <v>3</v>
      </c>
      <c r="F403" s="16" t="s">
        <v>5271</v>
      </c>
      <c r="H403" t="s">
        <v>5273</v>
      </c>
      <c r="I403" s="126">
        <v>140000</v>
      </c>
      <c r="K403" s="126">
        <v>168000</v>
      </c>
      <c r="L403" s="126">
        <f t="shared" ref="L403:L426" si="43">I403-K403</f>
        <v>-28000</v>
      </c>
      <c r="M403" s="375"/>
      <c r="N403" s="291"/>
      <c r="O403" s="360"/>
      <c r="P403" s="3"/>
    </row>
    <row r="404" spans="3:16">
      <c r="C404">
        <v>4</v>
      </c>
      <c r="F404" s="16" t="s">
        <v>5272</v>
      </c>
      <c r="H404" t="s">
        <v>4791</v>
      </c>
      <c r="I404" s="126">
        <v>140000</v>
      </c>
      <c r="K404" s="126">
        <v>168000</v>
      </c>
      <c r="L404" s="126">
        <f t="shared" si="43"/>
        <v>-28000</v>
      </c>
      <c r="M404" s="375"/>
      <c r="N404" s="291"/>
      <c r="O404" s="360"/>
      <c r="P404" s="3"/>
    </row>
    <row r="405" spans="3:16">
      <c r="C405">
        <v>5</v>
      </c>
      <c r="F405" s="16" t="s">
        <v>5274</v>
      </c>
      <c r="H405" t="s">
        <v>5275</v>
      </c>
      <c r="I405" s="126">
        <v>0</v>
      </c>
      <c r="K405" s="126">
        <v>25000</v>
      </c>
      <c r="L405" s="126">
        <f t="shared" si="43"/>
        <v>-25000</v>
      </c>
      <c r="M405" s="375"/>
      <c r="N405" s="291"/>
      <c r="O405" s="360"/>
      <c r="P405" s="3"/>
    </row>
    <row r="406" spans="3:16">
      <c r="C406">
        <v>6</v>
      </c>
      <c r="F406" s="16" t="s">
        <v>5276</v>
      </c>
      <c r="H406" t="s">
        <v>5277</v>
      </c>
      <c r="I406" s="126">
        <v>200000</v>
      </c>
      <c r="K406" s="126">
        <v>0</v>
      </c>
      <c r="L406" s="126">
        <f t="shared" si="43"/>
        <v>200000</v>
      </c>
      <c r="M406" s="375"/>
      <c r="N406" s="291"/>
      <c r="O406" s="360"/>
      <c r="P406" s="3"/>
    </row>
    <row r="407" spans="3:16">
      <c r="C407">
        <v>7</v>
      </c>
      <c r="F407" s="16" t="s">
        <v>5278</v>
      </c>
      <c r="H407" t="s">
        <v>5279</v>
      </c>
      <c r="I407" s="126">
        <v>0</v>
      </c>
      <c r="K407" s="126">
        <v>20000</v>
      </c>
      <c r="L407" s="126">
        <f t="shared" si="43"/>
        <v>-20000</v>
      </c>
      <c r="M407" s="375"/>
      <c r="N407" s="291"/>
      <c r="O407" s="360"/>
      <c r="P407" s="3"/>
    </row>
    <row r="408" spans="3:16">
      <c r="C408">
        <v>8</v>
      </c>
      <c r="F408" s="16" t="s">
        <v>709</v>
      </c>
      <c r="H408" t="s">
        <v>5280</v>
      </c>
      <c r="I408" s="126">
        <v>0</v>
      </c>
      <c r="K408" s="126">
        <v>210000</v>
      </c>
      <c r="L408" s="126">
        <f t="shared" si="43"/>
        <v>-210000</v>
      </c>
      <c r="M408" s="375"/>
      <c r="N408" s="291"/>
      <c r="O408" s="360"/>
      <c r="P408" s="3"/>
    </row>
    <row r="409" spans="3:16" ht="105" customHeight="1">
      <c r="C409">
        <v>9</v>
      </c>
      <c r="F409" s="16" t="s">
        <v>5281</v>
      </c>
      <c r="H409" s="12" t="s">
        <v>5282</v>
      </c>
      <c r="I409" s="126">
        <v>0</v>
      </c>
      <c r="K409" s="126">
        <v>113000</v>
      </c>
      <c r="L409" s="126">
        <f t="shared" si="43"/>
        <v>-113000</v>
      </c>
      <c r="M409" s="375"/>
      <c r="N409" s="291"/>
      <c r="O409" s="360"/>
      <c r="P409" s="439" t="s">
        <v>5283</v>
      </c>
    </row>
    <row r="410" spans="3:16" ht="22.8">
      <c r="C410">
        <v>10</v>
      </c>
      <c r="F410" s="16" t="s">
        <v>709</v>
      </c>
      <c r="H410" s="12" t="s">
        <v>5284</v>
      </c>
      <c r="I410" s="126">
        <v>175000</v>
      </c>
      <c r="K410" s="126">
        <v>550000</v>
      </c>
      <c r="L410" s="126">
        <f t="shared" si="43"/>
        <v>-375000</v>
      </c>
      <c r="M410" s="375"/>
      <c r="N410" s="291"/>
      <c r="O410" s="360"/>
      <c r="P410" s="3"/>
    </row>
    <row r="411" spans="3:16">
      <c r="C411">
        <v>11</v>
      </c>
      <c r="F411" s="16" t="s">
        <v>5249</v>
      </c>
      <c r="H411" t="s">
        <v>5285</v>
      </c>
      <c r="I411" s="126">
        <v>124488</v>
      </c>
      <c r="K411" s="126">
        <v>114488</v>
      </c>
      <c r="L411" s="126">
        <f t="shared" si="43"/>
        <v>10000</v>
      </c>
      <c r="M411" s="375"/>
      <c r="N411" s="291"/>
      <c r="O411" s="360"/>
      <c r="P411" s="3"/>
    </row>
    <row r="412" spans="3:16" ht="51">
      <c r="C412">
        <v>12</v>
      </c>
      <c r="F412" s="16" t="s">
        <v>1633</v>
      </c>
      <c r="H412" t="s">
        <v>5286</v>
      </c>
      <c r="I412" s="126">
        <v>20000</v>
      </c>
      <c r="K412" s="126"/>
      <c r="L412" s="126">
        <f t="shared" si="43"/>
        <v>20000</v>
      </c>
      <c r="M412" s="375"/>
      <c r="N412" s="291"/>
      <c r="O412" s="360"/>
      <c r="P412" s="439" t="s">
        <v>5287</v>
      </c>
    </row>
    <row r="413" spans="3:16">
      <c r="C413">
        <v>13</v>
      </c>
      <c r="F413" s="16" t="s">
        <v>5288</v>
      </c>
      <c r="H413" t="s">
        <v>5289</v>
      </c>
      <c r="I413" s="126">
        <v>6000</v>
      </c>
      <c r="K413" s="126">
        <v>4000</v>
      </c>
      <c r="L413" s="126">
        <f t="shared" si="43"/>
        <v>2000</v>
      </c>
      <c r="M413" s="375"/>
      <c r="N413" s="291"/>
      <c r="O413" s="360"/>
      <c r="P413" s="3"/>
    </row>
    <row r="414" spans="3:16" ht="30.6">
      <c r="C414">
        <v>14</v>
      </c>
      <c r="F414" s="16" t="s">
        <v>5290</v>
      </c>
      <c r="H414" t="s">
        <v>5291</v>
      </c>
      <c r="I414" s="3248">
        <f>50000+30000</f>
        <v>80000</v>
      </c>
      <c r="K414" s="126">
        <v>0</v>
      </c>
      <c r="L414" s="126">
        <f t="shared" si="43"/>
        <v>80000</v>
      </c>
      <c r="M414" s="375"/>
      <c r="N414" s="291"/>
      <c r="O414" s="360"/>
      <c r="P414" s="439" t="s">
        <v>5314</v>
      </c>
    </row>
    <row r="415" spans="3:16" ht="30.6">
      <c r="C415">
        <v>15</v>
      </c>
      <c r="F415" s="16" t="s">
        <v>709</v>
      </c>
      <c r="H415" t="s">
        <v>5292</v>
      </c>
      <c r="I415" s="3248">
        <f>90000+100000</f>
        <v>190000</v>
      </c>
      <c r="K415" s="126"/>
      <c r="L415" s="126">
        <f t="shared" si="43"/>
        <v>190000</v>
      </c>
      <c r="M415" s="375"/>
      <c r="N415" s="291"/>
      <c r="O415" s="360"/>
      <c r="P415" s="439" t="s">
        <v>5315</v>
      </c>
    </row>
    <row r="416" spans="3:16" ht="40.799999999999997">
      <c r="C416">
        <v>16</v>
      </c>
      <c r="F416" s="16" t="s">
        <v>5293</v>
      </c>
      <c r="H416" t="s">
        <v>5256</v>
      </c>
      <c r="I416" s="126">
        <v>50000</v>
      </c>
      <c r="K416" s="126"/>
      <c r="L416" s="126">
        <f t="shared" si="43"/>
        <v>50000</v>
      </c>
      <c r="M416" s="375"/>
      <c r="N416" s="291"/>
      <c r="O416" s="360"/>
      <c r="P416" s="439" t="s">
        <v>5294</v>
      </c>
    </row>
    <row r="417" spans="1:25" ht="20.399999999999999">
      <c r="C417">
        <v>17</v>
      </c>
      <c r="F417" s="16" t="s">
        <v>709</v>
      </c>
      <c r="H417" t="s">
        <v>5321</v>
      </c>
      <c r="I417" s="3248">
        <f>75000-10000-55000</f>
        <v>10000</v>
      </c>
      <c r="K417" s="126"/>
      <c r="L417" s="126">
        <f>I417-K417</f>
        <v>10000</v>
      </c>
      <c r="M417" s="375"/>
      <c r="N417" s="291"/>
      <c r="O417" s="360"/>
      <c r="P417" s="439" t="s">
        <v>5316</v>
      </c>
    </row>
    <row r="418" spans="1:25" ht="81.599999999999994">
      <c r="C418">
        <v>18</v>
      </c>
      <c r="F418" s="16" t="s">
        <v>1633</v>
      </c>
      <c r="H418" s="12" t="s">
        <v>5257</v>
      </c>
      <c r="I418" s="126">
        <v>10000</v>
      </c>
      <c r="K418" s="126"/>
      <c r="L418" s="126">
        <f t="shared" si="43"/>
        <v>10000</v>
      </c>
      <c r="M418" s="375"/>
      <c r="N418" s="291"/>
      <c r="O418" s="360"/>
      <c r="P418" s="439" t="s">
        <v>5295</v>
      </c>
    </row>
    <row r="419" spans="1:25" ht="51">
      <c r="C419">
        <v>19</v>
      </c>
      <c r="F419" s="16" t="s">
        <v>5296</v>
      </c>
      <c r="H419" t="s">
        <v>5258</v>
      </c>
      <c r="I419" s="126">
        <v>20000</v>
      </c>
      <c r="K419" s="126"/>
      <c r="L419" s="126">
        <f t="shared" si="43"/>
        <v>20000</v>
      </c>
      <c r="M419" s="375"/>
      <c r="N419" s="291"/>
      <c r="O419" s="360"/>
      <c r="P419" s="439" t="s">
        <v>5297</v>
      </c>
    </row>
    <row r="420" spans="1:25">
      <c r="C420">
        <v>20</v>
      </c>
      <c r="F420" s="16" t="s">
        <v>709</v>
      </c>
      <c r="H420" t="s">
        <v>5259</v>
      </c>
      <c r="I420" s="126">
        <v>50000</v>
      </c>
      <c r="K420" s="126"/>
      <c r="L420" s="126">
        <f t="shared" si="43"/>
        <v>50000</v>
      </c>
      <c r="M420" s="375"/>
      <c r="N420" s="291"/>
      <c r="O420" s="360"/>
      <c r="P420" s="3"/>
    </row>
    <row r="421" spans="1:25">
      <c r="C421">
        <v>21</v>
      </c>
      <c r="F421" s="16" t="s">
        <v>5249</v>
      </c>
      <c r="H421" t="s">
        <v>5298</v>
      </c>
      <c r="I421" s="126">
        <v>50000</v>
      </c>
      <c r="K421" s="126"/>
      <c r="L421" s="126">
        <f t="shared" si="43"/>
        <v>50000</v>
      </c>
      <c r="M421" s="375"/>
      <c r="N421" s="291"/>
      <c r="O421" s="360"/>
      <c r="P421" s="439" t="s">
        <v>5299</v>
      </c>
    </row>
    <row r="422" spans="1:25" ht="22.8">
      <c r="C422">
        <v>22</v>
      </c>
      <c r="F422" s="16" t="s">
        <v>709</v>
      </c>
      <c r="H422" s="12" t="s">
        <v>5300</v>
      </c>
      <c r="I422" s="3248">
        <f>10000+20000</f>
        <v>30000</v>
      </c>
      <c r="K422" s="126"/>
      <c r="L422" s="126">
        <f t="shared" si="43"/>
        <v>30000</v>
      </c>
      <c r="M422" s="375"/>
      <c r="N422" s="291"/>
      <c r="O422" s="360"/>
      <c r="P422" s="439" t="s">
        <v>5317</v>
      </c>
    </row>
    <row r="423" spans="1:25" ht="51">
      <c r="C423">
        <v>23</v>
      </c>
      <c r="F423" s="16" t="s">
        <v>5302</v>
      </c>
      <c r="H423" t="s">
        <v>5301</v>
      </c>
      <c r="I423" s="126">
        <v>25000</v>
      </c>
      <c r="K423" s="126"/>
      <c r="L423" s="126">
        <f t="shared" si="43"/>
        <v>25000</v>
      </c>
      <c r="M423" s="375"/>
      <c r="N423" s="291"/>
      <c r="O423" s="360"/>
      <c r="P423" s="439" t="s">
        <v>5303</v>
      </c>
    </row>
    <row r="424" spans="1:25" ht="20.399999999999999">
      <c r="C424">
        <v>24</v>
      </c>
      <c r="F424" s="16" t="s">
        <v>709</v>
      </c>
      <c r="H424" t="s">
        <v>5261</v>
      </c>
      <c r="I424" s="126">
        <v>15000</v>
      </c>
      <c r="K424" s="126"/>
      <c r="L424" s="126">
        <f t="shared" si="43"/>
        <v>15000</v>
      </c>
      <c r="M424" s="375"/>
      <c r="N424" s="291"/>
      <c r="O424" s="360"/>
      <c r="P424" s="439" t="s">
        <v>5304</v>
      </c>
    </row>
    <row r="425" spans="1:25">
      <c r="C425">
        <v>25</v>
      </c>
      <c r="F425" s="16" t="s">
        <v>1872</v>
      </c>
      <c r="H425" t="s">
        <v>5262</v>
      </c>
      <c r="I425" s="126">
        <v>20000</v>
      </c>
      <c r="K425" s="126"/>
      <c r="L425" s="126">
        <f t="shared" si="43"/>
        <v>20000</v>
      </c>
      <c r="M425" s="375"/>
      <c r="N425" s="291"/>
      <c r="O425" s="360"/>
      <c r="P425" s="3"/>
    </row>
    <row r="426" spans="1:25">
      <c r="C426">
        <v>26</v>
      </c>
      <c r="F426" s="16" t="s">
        <v>5305</v>
      </c>
      <c r="H426" t="s">
        <v>5306</v>
      </c>
      <c r="I426" s="3248">
        <f>61803-2499</f>
        <v>59304</v>
      </c>
      <c r="K426" s="126"/>
      <c r="L426" s="126">
        <f t="shared" si="43"/>
        <v>59304</v>
      </c>
      <c r="M426" s="375"/>
      <c r="N426" s="291"/>
      <c r="O426" s="360"/>
      <c r="P426" s="17" t="s">
        <v>5309</v>
      </c>
    </row>
    <row r="427" spans="1:25">
      <c r="F427" s="16"/>
      <c r="I427" s="3249"/>
      <c r="K427" s="3249"/>
      <c r="L427" s="3249">
        <f>SUM(L401:L426)</f>
        <v>-279559</v>
      </c>
      <c r="M427" s="375"/>
      <c r="N427" s="291"/>
      <c r="O427" s="360"/>
      <c r="P427" s="3"/>
    </row>
    <row r="428" spans="1:25" ht="12" thickBot="1">
      <c r="F428" s="16"/>
      <c r="I428" s="126"/>
      <c r="K428" s="126"/>
      <c r="L428" s="126"/>
      <c r="M428" s="375"/>
      <c r="N428" s="291"/>
      <c r="O428" s="360"/>
      <c r="P428" s="3"/>
    </row>
    <row r="429" spans="1:25" ht="12.6" thickBot="1">
      <c r="G429" s="2895" t="s">
        <v>711</v>
      </c>
      <c r="H429" s="2896" t="s">
        <v>5086</v>
      </c>
      <c r="I429" s="2897" t="s">
        <v>2288</v>
      </c>
      <c r="N429" s="291"/>
      <c r="O429" s="360"/>
      <c r="P429" s="3"/>
    </row>
    <row r="430" spans="1:25" s="51" customFormat="1" ht="57.6">
      <c r="A430" s="2741"/>
      <c r="B430" s="572"/>
      <c r="C430"/>
      <c r="D430"/>
      <c r="E430"/>
      <c r="F430" s="14"/>
      <c r="G430" s="2898">
        <v>1</v>
      </c>
      <c r="H430" s="2899" t="s">
        <v>5087</v>
      </c>
      <c r="I430" s="2900" t="s">
        <v>5088</v>
      </c>
      <c r="J430"/>
      <c r="K430" s="18"/>
      <c r="L430"/>
      <c r="M430" s="13"/>
      <c r="N430" s="291"/>
      <c r="O430" s="13"/>
      <c r="P430" s="3"/>
      <c r="Q430" s="287"/>
      <c r="R430"/>
      <c r="S430"/>
      <c r="T430"/>
      <c r="U430"/>
      <c r="V430"/>
      <c r="W430"/>
      <c r="X430"/>
      <c r="Y430"/>
    </row>
    <row r="431" spans="1:25" ht="46.2">
      <c r="G431" s="2677">
        <v>2</v>
      </c>
      <c r="H431" s="2901" t="s">
        <v>5089</v>
      </c>
      <c r="I431" s="2902" t="s">
        <v>5090</v>
      </c>
      <c r="N431" s="291"/>
      <c r="P431" s="3"/>
    </row>
    <row r="432" spans="1:25" ht="12">
      <c r="G432" s="2677">
        <v>3</v>
      </c>
      <c r="H432" s="2901" t="s">
        <v>5091</v>
      </c>
      <c r="I432" s="2903" t="s">
        <v>5092</v>
      </c>
      <c r="N432" s="291"/>
      <c r="P432" s="3"/>
    </row>
    <row r="433" spans="7:16" ht="103.2">
      <c r="G433" s="2677">
        <v>4</v>
      </c>
      <c r="H433" s="2901" t="s">
        <v>5093</v>
      </c>
      <c r="I433" s="2904" t="s">
        <v>5094</v>
      </c>
      <c r="N433" s="291"/>
      <c r="P433" s="3"/>
    </row>
    <row r="434" spans="7:16" ht="69">
      <c r="G434" s="2677">
        <v>5</v>
      </c>
      <c r="H434" s="2901" t="s">
        <v>5095</v>
      </c>
      <c r="I434" s="2904" t="s">
        <v>5096</v>
      </c>
      <c r="N434" s="291"/>
      <c r="P434" s="3"/>
    </row>
    <row r="435" spans="7:16" ht="23.4">
      <c r="G435" s="2677">
        <v>6</v>
      </c>
      <c r="H435" s="2901" t="s">
        <v>5097</v>
      </c>
      <c r="I435" s="2902" t="s">
        <v>5098</v>
      </c>
      <c r="N435" s="291"/>
      <c r="P435" s="3"/>
    </row>
    <row r="436" spans="7:16" ht="24">
      <c r="G436" s="2677">
        <v>7</v>
      </c>
      <c r="H436" s="2901" t="s">
        <v>5099</v>
      </c>
      <c r="I436" s="2578" t="s">
        <v>5100</v>
      </c>
      <c r="N436" s="291"/>
      <c r="P436" s="3"/>
    </row>
    <row r="437" spans="7:16" ht="24">
      <c r="G437" s="2677">
        <v>8</v>
      </c>
      <c r="H437" s="2901" t="s">
        <v>5101</v>
      </c>
      <c r="I437" s="2578" t="s">
        <v>5100</v>
      </c>
      <c r="N437" s="291"/>
      <c r="P437" s="3"/>
    </row>
    <row r="438" spans="7:16" ht="24">
      <c r="G438" s="2677">
        <v>9</v>
      </c>
      <c r="H438" s="2901" t="s">
        <v>5102</v>
      </c>
      <c r="I438" s="2578" t="s">
        <v>5100</v>
      </c>
      <c r="N438" s="291"/>
      <c r="P438" s="3"/>
    </row>
    <row r="439" spans="7:16" ht="24">
      <c r="G439" s="2677">
        <v>10</v>
      </c>
      <c r="H439" s="2901" t="s">
        <v>5103</v>
      </c>
      <c r="I439" s="2578" t="s">
        <v>5100</v>
      </c>
      <c r="N439" s="291"/>
      <c r="P439" s="3"/>
    </row>
    <row r="440" spans="7:16" ht="24">
      <c r="G440" s="2677">
        <v>11</v>
      </c>
      <c r="H440" s="2901" t="s">
        <v>5104</v>
      </c>
      <c r="I440" s="2579"/>
      <c r="N440" s="291"/>
      <c r="P440" s="3"/>
    </row>
    <row r="441" spans="7:16" ht="23.4">
      <c r="G441" s="2677">
        <v>12</v>
      </c>
      <c r="H441" s="2901" t="s">
        <v>5105</v>
      </c>
      <c r="I441" s="2578" t="s">
        <v>5100</v>
      </c>
      <c r="N441" s="291"/>
    </row>
    <row r="442" spans="7:16" ht="24">
      <c r="G442" s="2677">
        <v>13</v>
      </c>
      <c r="H442" s="2901" t="s">
        <v>5106</v>
      </c>
      <c r="I442" s="2578" t="s">
        <v>5100</v>
      </c>
      <c r="N442" s="291"/>
    </row>
    <row r="443" spans="7:16" ht="36">
      <c r="G443" s="2677">
        <v>14</v>
      </c>
      <c r="H443" s="2901" t="s">
        <v>5107</v>
      </c>
      <c r="I443" s="2903" t="s">
        <v>5092</v>
      </c>
      <c r="N443" s="291"/>
    </row>
    <row r="444" spans="7:16" ht="24">
      <c r="G444" s="2677">
        <v>15</v>
      </c>
      <c r="H444" s="2901" t="s">
        <v>5108</v>
      </c>
      <c r="I444" s="2578" t="s">
        <v>5100</v>
      </c>
    </row>
    <row r="445" spans="7:16" ht="24">
      <c r="G445" s="2677">
        <v>16</v>
      </c>
      <c r="H445" s="2901" t="s">
        <v>5109</v>
      </c>
      <c r="I445" s="2578" t="s">
        <v>5100</v>
      </c>
    </row>
    <row r="446" spans="7:16" ht="24">
      <c r="G446" s="2677">
        <v>17</v>
      </c>
      <c r="H446" s="2901" t="s">
        <v>5110</v>
      </c>
      <c r="I446" s="2902" t="s">
        <v>5098</v>
      </c>
    </row>
    <row r="447" spans="7:16" ht="36">
      <c r="G447" s="2677">
        <v>18</v>
      </c>
      <c r="H447" s="2901" t="s">
        <v>5111</v>
      </c>
      <c r="I447" s="2903" t="s">
        <v>5112</v>
      </c>
    </row>
    <row r="448" spans="7:16" ht="114.6">
      <c r="G448" s="2677">
        <v>19</v>
      </c>
      <c r="H448" s="2901" t="s">
        <v>5113</v>
      </c>
      <c r="I448" s="2904" t="s">
        <v>5114</v>
      </c>
    </row>
    <row r="449" spans="1:20" ht="12">
      <c r="G449" s="2677">
        <v>20</v>
      </c>
      <c r="H449" s="2901" t="s">
        <v>5115</v>
      </c>
      <c r="I449" s="2905" t="s">
        <v>5116</v>
      </c>
    </row>
    <row r="450" spans="1:20" ht="34.799999999999997">
      <c r="G450" s="2677">
        <v>21</v>
      </c>
      <c r="H450" s="2901" t="s">
        <v>5117</v>
      </c>
      <c r="I450" s="2902" t="s">
        <v>5118</v>
      </c>
    </row>
    <row r="451" spans="1:20" ht="24">
      <c r="G451" s="2677">
        <v>22</v>
      </c>
      <c r="H451" s="2901" t="s">
        <v>5119</v>
      </c>
      <c r="I451" s="2903" t="s">
        <v>5092</v>
      </c>
    </row>
    <row r="452" spans="1:20" ht="24">
      <c r="G452" s="2677">
        <v>23</v>
      </c>
      <c r="H452" s="2901" t="s">
        <v>5120</v>
      </c>
      <c r="I452" s="2578" t="s">
        <v>5100</v>
      </c>
    </row>
    <row r="453" spans="1:20" ht="24">
      <c r="G453" s="2677">
        <v>24</v>
      </c>
      <c r="H453" s="2901" t="s">
        <v>5121</v>
      </c>
      <c r="I453" s="2578" t="s">
        <v>5100</v>
      </c>
    </row>
    <row r="454" spans="1:20" ht="23.4">
      <c r="G454" s="2677">
        <v>25</v>
      </c>
      <c r="H454" s="2901" t="s">
        <v>5122</v>
      </c>
      <c r="I454" s="2578" t="s">
        <v>5100</v>
      </c>
    </row>
    <row r="455" spans="1:20" ht="23.4">
      <c r="G455" s="2677">
        <v>26</v>
      </c>
      <c r="H455" s="2901" t="s">
        <v>5123</v>
      </c>
      <c r="I455" s="2578" t="s">
        <v>5100</v>
      </c>
    </row>
    <row r="456" spans="1:20" ht="24">
      <c r="G456" s="2677">
        <v>27</v>
      </c>
      <c r="H456" s="2901" t="s">
        <v>5124</v>
      </c>
      <c r="I456" s="2578" t="s">
        <v>5100</v>
      </c>
    </row>
    <row r="457" spans="1:20" ht="57.6">
      <c r="G457" s="2677">
        <v>28</v>
      </c>
      <c r="H457" s="2901" t="s">
        <v>5125</v>
      </c>
      <c r="I457" s="2904" t="s">
        <v>5126</v>
      </c>
    </row>
    <row r="459" spans="1:20">
      <c r="I459" s="126"/>
      <c r="K459" s="375"/>
      <c r="L459" s="375"/>
      <c r="M459" s="375"/>
      <c r="N459" s="291"/>
      <c r="O459" s="360"/>
      <c r="P459" s="3"/>
    </row>
    <row r="460" spans="1:20" s="347" customFormat="1" ht="3.6" customHeight="1">
      <c r="A460" s="2734"/>
      <c r="B460" s="573"/>
      <c r="F460" s="14"/>
      <c r="I460" s="2633"/>
      <c r="M460" s="348"/>
      <c r="N460" s="291"/>
      <c r="O460" s="360"/>
      <c r="P460" s="3"/>
      <c r="Q460" s="287"/>
    </row>
    <row r="461" spans="1:20" ht="12">
      <c r="F461" s="346" t="s">
        <v>1647</v>
      </c>
      <c r="I461" s="16"/>
      <c r="N461" s="291"/>
      <c r="O461" s="360"/>
      <c r="P461" s="3"/>
    </row>
    <row r="462" spans="1:20" ht="24" customHeight="1">
      <c r="C462" s="3539" t="s">
        <v>711</v>
      </c>
      <c r="D462" s="3539" t="s">
        <v>516</v>
      </c>
      <c r="E462" s="3539" t="s">
        <v>517</v>
      </c>
      <c r="F462" s="3544" t="s">
        <v>1261</v>
      </c>
      <c r="G462" s="3539" t="s">
        <v>1241</v>
      </c>
      <c r="H462" s="3545" t="s">
        <v>1242</v>
      </c>
      <c r="I462" s="3540" t="s">
        <v>963</v>
      </c>
      <c r="J462" s="337"/>
      <c r="K462" s="3537" t="s">
        <v>1250</v>
      </c>
      <c r="L462" s="3537"/>
      <c r="M462" s="3537"/>
      <c r="N462" s="291"/>
      <c r="O462" s="360"/>
      <c r="P462" s="3"/>
    </row>
    <row r="463" spans="1:20" ht="29.25" customHeight="1">
      <c r="C463" s="3539"/>
      <c r="D463" s="3539"/>
      <c r="E463" s="3539"/>
      <c r="F463" s="3544"/>
      <c r="G463" s="3539"/>
      <c r="H463" s="3546"/>
      <c r="I463" s="3540"/>
      <c r="J463" s="337"/>
      <c r="K463" s="344" t="s">
        <v>329</v>
      </c>
      <c r="L463" s="344" t="s">
        <v>962</v>
      </c>
      <c r="M463" s="345" t="s">
        <v>712</v>
      </c>
      <c r="N463" s="291"/>
      <c r="O463" s="360"/>
      <c r="P463" s="3"/>
    </row>
    <row r="464" spans="1:20" s="16" customFormat="1" ht="12" thickBot="1">
      <c r="A464" s="2738"/>
      <c r="C464" s="421"/>
      <c r="D464" s="421"/>
      <c r="E464" s="421"/>
      <c r="F464" s="421"/>
      <c r="G464" s="421"/>
      <c r="H464" s="2429"/>
      <c r="I464" s="2636">
        <f>SUM(K464:M464)</f>
        <v>0</v>
      </c>
      <c r="J464" s="1296"/>
      <c r="K464" s="1338"/>
      <c r="L464" s="1295"/>
      <c r="M464" s="1295"/>
      <c r="N464" s="291"/>
      <c r="O464" s="360"/>
      <c r="P464" s="3"/>
      <c r="T464"/>
    </row>
    <row r="465" spans="1:20" s="16" customFormat="1" ht="12" thickTop="1">
      <c r="A465" s="2738"/>
      <c r="B465" s="572" t="s">
        <v>1667</v>
      </c>
      <c r="C465" s="289"/>
      <c r="D465" s="289"/>
      <c r="E465" s="289"/>
      <c r="F465" s="1392"/>
      <c r="G465" s="289"/>
      <c r="H465" s="279"/>
      <c r="I465" s="288">
        <f>SUM(K465:M465)</f>
        <v>0</v>
      </c>
      <c r="J465" s="291"/>
      <c r="K465" s="288"/>
      <c r="L465" s="278"/>
      <c r="M465" s="278"/>
      <c r="N465" s="291"/>
      <c r="O465" s="360"/>
      <c r="P465" s="3"/>
      <c r="Q465" s="296"/>
      <c r="T465"/>
    </row>
    <row r="466" spans="1:20" ht="12">
      <c r="I466" s="340">
        <f>SUM(I464:I465)</f>
        <v>0</v>
      </c>
      <c r="J466" s="291"/>
      <c r="K466" s="340">
        <f>SUM(K464:K465)</f>
        <v>0</v>
      </c>
      <c r="L466" s="340"/>
      <c r="M466" s="340"/>
      <c r="N466" s="291"/>
      <c r="O466" s="360"/>
      <c r="P466" s="3"/>
    </row>
    <row r="467" spans="1:20" ht="12">
      <c r="A467" s="2734" t="s">
        <v>1667</v>
      </c>
      <c r="I467" s="395"/>
      <c r="J467" s="291"/>
      <c r="K467" s="395"/>
      <c r="L467" s="395"/>
      <c r="M467" s="395"/>
      <c r="N467" s="291"/>
      <c r="O467" s="360"/>
      <c r="P467" s="3"/>
    </row>
  </sheetData>
  <autoFilter ref="A208:Y393" xr:uid="{34A192B1-81F0-4FC0-97F9-946F07D61EF1}"/>
  <mergeCells count="39">
    <mergeCell ref="O58:O59"/>
    <mergeCell ref="O105:O111"/>
    <mergeCell ref="O38:O39"/>
    <mergeCell ref="B38:B39"/>
    <mergeCell ref="B128:B129"/>
    <mergeCell ref="I38:I39"/>
    <mergeCell ref="D128:D129"/>
    <mergeCell ref="E128:E129"/>
    <mergeCell ref="F128:F129"/>
    <mergeCell ref="C38:C39"/>
    <mergeCell ref="D38:D39"/>
    <mergeCell ref="E38:E39"/>
    <mergeCell ref="F38:F39"/>
    <mergeCell ref="G38:G39"/>
    <mergeCell ref="G128:G129"/>
    <mergeCell ref="K38:M38"/>
    <mergeCell ref="H128:H129"/>
    <mergeCell ref="I128:I129"/>
    <mergeCell ref="D207:D208"/>
    <mergeCell ref="E207:E208"/>
    <mergeCell ref="F207:F208"/>
    <mergeCell ref="G207:G208"/>
    <mergeCell ref="H207:H208"/>
    <mergeCell ref="C97:C98"/>
    <mergeCell ref="O97:O98"/>
    <mergeCell ref="K462:M462"/>
    <mergeCell ref="H38:H39"/>
    <mergeCell ref="G462:G463"/>
    <mergeCell ref="I462:I463"/>
    <mergeCell ref="I207:I208"/>
    <mergeCell ref="K128:M128"/>
    <mergeCell ref="C462:C463"/>
    <mergeCell ref="D462:D463"/>
    <mergeCell ref="E462:E463"/>
    <mergeCell ref="F462:F463"/>
    <mergeCell ref="H462:H463"/>
    <mergeCell ref="C207:C208"/>
    <mergeCell ref="K207:M207"/>
    <mergeCell ref="C128:C129"/>
  </mergeCells>
  <phoneticPr fontId="83" type="noConversion"/>
  <pageMargins left="0.25" right="0.25" top="0.75" bottom="0.75" header="0.3" footer="0.3"/>
  <pageSetup paperSize="9" scale="10" orientation="portrait" r:id="rId1"/>
  <rowBreaks count="3" manualBreakCount="3">
    <brk id="37" max="16383" man="1"/>
    <brk id="126" max="16383" man="1"/>
    <brk id="397"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545B6-BA30-4F9B-BEE8-365DC94AF0B1}">
  <sheetPr>
    <tabColor rgb="FF92D050"/>
    <pageSetUpPr fitToPage="1"/>
  </sheetPr>
  <dimension ref="A1:BC185"/>
  <sheetViews>
    <sheetView topLeftCell="A89" zoomScaleNormal="100" workbookViewId="0">
      <pane xSplit="3" topLeftCell="D1" activePane="topRight" state="frozen"/>
      <selection activeCell="C1" sqref="C1"/>
      <selection pane="topRight" activeCell="R98" sqref="R98"/>
    </sheetView>
  </sheetViews>
  <sheetFormatPr defaultColWidth="10" defaultRowHeight="14.4" outlineLevelRow="1" outlineLevelCol="1"/>
  <cols>
    <col min="1" max="1" width="5.625" style="3316" hidden="1" customWidth="1" outlineLevel="1"/>
    <col min="2" max="2" width="4" style="3316" hidden="1" customWidth="1" outlineLevel="1"/>
    <col min="3" max="3" width="4.875" style="3316" customWidth="1" collapsed="1"/>
    <col min="4" max="4" width="35.875" style="3316" customWidth="1"/>
    <col min="5" max="5" width="13.875" style="3318" customWidth="1"/>
    <col min="6" max="6" width="13" style="3316" customWidth="1"/>
    <col min="7" max="7" width="13.125" style="3316" customWidth="1"/>
    <col min="8" max="8" width="12.875" style="3316" customWidth="1"/>
    <col min="9" max="9" width="7.25" style="3316" hidden="1" customWidth="1" outlineLevel="1"/>
    <col min="10" max="10" width="13.375" style="3318" customWidth="1" collapsed="1"/>
    <col min="11" max="12" width="15" style="3316" customWidth="1" outlineLevel="1"/>
    <col min="13" max="13" width="8.25" style="3316" customWidth="1" outlineLevel="1"/>
    <col min="14" max="16" width="15" style="3316" customWidth="1" outlineLevel="1"/>
    <col min="17" max="17" width="16.25" style="3316" customWidth="1"/>
    <col min="18" max="18" width="13.5" style="3316" customWidth="1"/>
    <col min="19" max="24" width="12" style="3316" customWidth="1"/>
    <col min="25" max="45" width="12" style="3316" hidden="1" customWidth="1" outlineLevel="1"/>
    <col min="46" max="46" width="12.75" style="3316" hidden="1" customWidth="1" outlineLevel="1"/>
    <col min="47" max="47" width="11.625" style="3316" hidden="1" customWidth="1" outlineLevel="1"/>
    <col min="48" max="48" width="13.875" style="3316" customWidth="1" collapsed="1"/>
    <col min="49" max="49" width="13" style="3316" customWidth="1" collapsed="1"/>
    <col min="50" max="50" width="10" style="3316"/>
    <col min="51" max="51" width="10.125" style="3316" bestFit="1" customWidth="1"/>
    <col min="52" max="52" width="12" style="3316" customWidth="1"/>
    <col min="53" max="53" width="13.875" style="3316" bestFit="1" customWidth="1"/>
    <col min="54" max="16384" width="10" style="3316"/>
  </cols>
  <sheetData>
    <row r="1" spans="1:55" ht="18">
      <c r="C1" s="3317" t="s">
        <v>5358</v>
      </c>
      <c r="K1" s="3319"/>
      <c r="L1" s="3319"/>
      <c r="M1" s="3319"/>
      <c r="N1" s="3319"/>
      <c r="O1" s="3319"/>
      <c r="Q1" s="3320"/>
      <c r="R1" s="3321"/>
    </row>
    <row r="2" spans="1:55" ht="18">
      <c r="C2" s="3317"/>
      <c r="K2" s="3320"/>
      <c r="L2" s="3320"/>
      <c r="M2" s="3320"/>
      <c r="N2" s="3320"/>
      <c r="O2" s="3320"/>
      <c r="Q2" s="3320"/>
      <c r="R2" s="3322"/>
    </row>
    <row r="3" spans="1:55" ht="15.6">
      <c r="C3" s="3323" t="s">
        <v>5359</v>
      </c>
      <c r="K3" s="3319"/>
      <c r="L3" s="3319"/>
      <c r="M3" s="3319"/>
      <c r="N3" s="3319"/>
      <c r="O3" s="3319"/>
      <c r="P3" s="3319"/>
      <c r="Q3" s="3320"/>
      <c r="R3" s="3324"/>
      <c r="S3" s="3324"/>
      <c r="T3" s="3324"/>
      <c r="U3" s="3324"/>
      <c r="V3" s="3324"/>
      <c r="W3" s="3324"/>
      <c r="X3" s="3324"/>
      <c r="Y3" s="3324"/>
      <c r="Z3" s="3324"/>
      <c r="AA3" s="3324"/>
      <c r="AB3" s="3324"/>
      <c r="AC3" s="3324"/>
      <c r="AD3" s="3324"/>
      <c r="AE3" s="3324"/>
      <c r="AF3" s="3324"/>
      <c r="AG3" s="3324"/>
      <c r="AH3" s="3324"/>
      <c r="AI3" s="3324"/>
      <c r="AJ3" s="3324"/>
      <c r="AK3" s="3324"/>
      <c r="AL3" s="3324"/>
      <c r="AM3" s="3324"/>
      <c r="AN3" s="3324"/>
      <c r="AO3" s="3324"/>
      <c r="AP3" s="3324"/>
      <c r="AQ3" s="3324"/>
      <c r="AR3" s="3324"/>
      <c r="AS3" s="3324"/>
      <c r="AT3" s="3324"/>
      <c r="AU3" s="3324"/>
      <c r="AV3" s="3324"/>
      <c r="AW3" s="3324"/>
    </row>
    <row r="4" spans="1:55" outlineLevel="1">
      <c r="C4" s="3325"/>
      <c r="K4" s="3320"/>
      <c r="L4" s="3320"/>
      <c r="M4" s="3320"/>
      <c r="N4" s="3320"/>
      <c r="O4" s="3320"/>
      <c r="P4" s="3326">
        <v>0</v>
      </c>
      <c r="Q4" s="3320"/>
      <c r="R4" s="3327"/>
      <c r="S4" s="3327"/>
      <c r="T4" s="3327"/>
      <c r="U4" s="3327"/>
      <c r="V4" s="3327"/>
      <c r="W4" s="3327"/>
      <c r="X4" s="3327"/>
      <c r="Y4" s="3327"/>
    </row>
    <row r="5" spans="1:55" s="3328" customFormat="1" ht="57.6">
      <c r="B5" s="3329" t="s">
        <v>5360</v>
      </c>
      <c r="C5" s="3330" t="s">
        <v>711</v>
      </c>
      <c r="D5" s="3331" t="s">
        <v>106</v>
      </c>
      <c r="E5" s="3330" t="s">
        <v>5361</v>
      </c>
      <c r="F5" s="3330" t="s">
        <v>5362</v>
      </c>
      <c r="G5" s="3330" t="s">
        <v>5363</v>
      </c>
      <c r="H5" s="3330" t="s">
        <v>5364</v>
      </c>
      <c r="I5" s="3330" t="s">
        <v>5365</v>
      </c>
      <c r="J5" s="3332" t="s">
        <v>5366</v>
      </c>
      <c r="K5" s="3333" t="s">
        <v>5367</v>
      </c>
      <c r="L5" s="3333" t="s">
        <v>5368</v>
      </c>
      <c r="M5" s="3333" t="s">
        <v>5369</v>
      </c>
      <c r="N5" s="3333" t="s">
        <v>5370</v>
      </c>
      <c r="O5" s="3333" t="s">
        <v>5371</v>
      </c>
      <c r="P5" s="3333" t="s">
        <v>5372</v>
      </c>
      <c r="Q5" s="3334" t="s">
        <v>5373</v>
      </c>
      <c r="R5" s="3331">
        <v>2026</v>
      </c>
      <c r="S5" s="3331">
        <v>2027</v>
      </c>
      <c r="T5" s="3331">
        <v>2028</v>
      </c>
      <c r="U5" s="3331">
        <v>2029</v>
      </c>
      <c r="V5" s="3331">
        <v>2030</v>
      </c>
      <c r="W5" s="3331">
        <v>2031</v>
      </c>
      <c r="X5" s="3331">
        <v>2032</v>
      </c>
      <c r="Y5" s="3331">
        <v>2033</v>
      </c>
      <c r="Z5" s="3331">
        <v>2034</v>
      </c>
      <c r="AA5" s="3331">
        <v>2035</v>
      </c>
      <c r="AB5" s="3331">
        <v>2036</v>
      </c>
      <c r="AC5" s="3331">
        <v>2037</v>
      </c>
      <c r="AD5" s="3331">
        <v>2038</v>
      </c>
      <c r="AE5" s="3331">
        <v>2039</v>
      </c>
      <c r="AF5" s="3331">
        <v>2040</v>
      </c>
      <c r="AG5" s="3331">
        <v>2041</v>
      </c>
      <c r="AH5" s="3331">
        <v>2042</v>
      </c>
      <c r="AI5" s="3331">
        <v>2043</v>
      </c>
      <c r="AJ5" s="3331">
        <v>2044</v>
      </c>
      <c r="AK5" s="3331">
        <v>2045</v>
      </c>
      <c r="AL5" s="3331">
        <v>2046</v>
      </c>
      <c r="AM5" s="3331">
        <v>2047</v>
      </c>
      <c r="AN5" s="3331">
        <v>2048</v>
      </c>
      <c r="AO5" s="3331">
        <v>2049</v>
      </c>
      <c r="AP5" s="3331">
        <v>2050</v>
      </c>
      <c r="AQ5" s="3331">
        <v>2051</v>
      </c>
      <c r="AR5" s="3331">
        <v>2052</v>
      </c>
      <c r="AS5" s="3331">
        <v>2053</v>
      </c>
      <c r="AT5" s="3330" t="s">
        <v>5374</v>
      </c>
      <c r="AU5" s="3335"/>
      <c r="AV5" s="3329" t="s">
        <v>5375</v>
      </c>
      <c r="AW5" s="3330" t="s">
        <v>5376</v>
      </c>
    </row>
    <row r="6" spans="1:55" s="3336" customFormat="1" outlineLevel="1">
      <c r="B6" s="3337" t="s">
        <v>331</v>
      </c>
      <c r="C6" s="3338">
        <v>1</v>
      </c>
      <c r="D6" s="3339" t="s">
        <v>5377</v>
      </c>
      <c r="E6" s="3340" t="s">
        <v>5378</v>
      </c>
      <c r="F6" s="3341" t="s">
        <v>5379</v>
      </c>
      <c r="G6" s="3341" t="s">
        <v>5380</v>
      </c>
      <c r="H6" s="3341" t="s">
        <v>5381</v>
      </c>
      <c r="I6" s="3341" t="s">
        <v>5382</v>
      </c>
      <c r="J6" s="3342">
        <v>2099988.0499999998</v>
      </c>
      <c r="K6" s="3343">
        <v>1098963.5900000001</v>
      </c>
      <c r="L6" s="3343"/>
      <c r="M6" s="3343"/>
      <c r="N6" s="3339"/>
      <c r="O6" s="3339"/>
      <c r="P6" s="3339"/>
      <c r="Q6" s="3344" t="s">
        <v>5383</v>
      </c>
      <c r="R6" s="3345">
        <v>97944.8</v>
      </c>
      <c r="S6" s="3345">
        <v>97944.8</v>
      </c>
      <c r="T6" s="3345">
        <v>97944.8</v>
      </c>
      <c r="U6" s="3345">
        <v>97944.8</v>
      </c>
      <c r="V6" s="3345">
        <v>97944.8</v>
      </c>
      <c r="W6" s="3345">
        <v>97944.8</v>
      </c>
      <c r="X6" s="3345">
        <v>97944.8</v>
      </c>
      <c r="Y6" s="3345">
        <v>113829.75999999999</v>
      </c>
      <c r="Z6" s="3345">
        <v>113829.75999999999</v>
      </c>
      <c r="AA6" s="3345">
        <v>113829.75999999999</v>
      </c>
      <c r="AB6" s="3345">
        <v>71860.709999999992</v>
      </c>
      <c r="AC6" s="3345">
        <v>0</v>
      </c>
      <c r="AD6" s="3345">
        <v>0</v>
      </c>
      <c r="AE6" s="3345">
        <v>0</v>
      </c>
      <c r="AF6" s="3345">
        <v>0</v>
      </c>
      <c r="AG6" s="3345">
        <v>0</v>
      </c>
      <c r="AH6" s="3345">
        <v>0</v>
      </c>
      <c r="AI6" s="3345">
        <v>0</v>
      </c>
      <c r="AJ6" s="3345">
        <v>0</v>
      </c>
      <c r="AK6" s="3345">
        <v>0</v>
      </c>
      <c r="AL6" s="3345">
        <v>0</v>
      </c>
      <c r="AM6" s="3345">
        <v>0</v>
      </c>
      <c r="AN6" s="3345">
        <v>0</v>
      </c>
      <c r="AO6" s="3345">
        <v>0</v>
      </c>
      <c r="AP6" s="3345">
        <v>0</v>
      </c>
      <c r="AQ6" s="3345">
        <v>0</v>
      </c>
      <c r="AR6" s="3345"/>
      <c r="AS6" s="3345"/>
      <c r="AT6" s="3346">
        <f t="shared" ref="AT6:AT35" si="0">SUM(R6:AS6)</f>
        <v>1098963.5900000001</v>
      </c>
      <c r="AU6" s="3347">
        <f t="shared" ref="AU6:AU35" si="1">AT6-SUM(R6:AS6)</f>
        <v>0</v>
      </c>
      <c r="AV6" s="3348">
        <f>SUM(Y6:AS6)</f>
        <v>413349.99</v>
      </c>
      <c r="AW6" s="3349">
        <f>SUM(R6:X6,AV6)</f>
        <v>1098963.5900000001</v>
      </c>
      <c r="AY6" s="3336" t="b">
        <f>AT6=AW6</f>
        <v>1</v>
      </c>
      <c r="AZ6" s="3350">
        <f>AW6-K6</f>
        <v>0</v>
      </c>
      <c r="BC6" s="3350"/>
    </row>
    <row r="7" spans="1:55" outlineLevel="1">
      <c r="B7" s="3351" t="s">
        <v>331</v>
      </c>
      <c r="C7" s="3352"/>
      <c r="D7" s="3353" t="s">
        <v>5384</v>
      </c>
      <c r="E7" s="3354"/>
      <c r="F7" s="3355"/>
      <c r="G7" s="3355"/>
      <c r="H7" s="3355"/>
      <c r="I7" s="3355"/>
      <c r="J7" s="3356"/>
      <c r="K7" s="3357"/>
      <c r="L7" s="3356" t="s">
        <v>5385</v>
      </c>
      <c r="M7" s="3356"/>
      <c r="N7" s="3358">
        <f>SUM(O7:P7)</f>
        <v>2.4</v>
      </c>
      <c r="O7" s="3359">
        <v>2.4</v>
      </c>
      <c r="P7" s="3360">
        <f>$P$4</f>
        <v>0</v>
      </c>
      <c r="Q7" s="3360" t="s">
        <v>5386</v>
      </c>
      <c r="R7" s="3361">
        <f>SUM(R6:$AQ6)*$N7/100</f>
        <v>26375.12616</v>
      </c>
      <c r="S7" s="3361">
        <f>SUM(S6:$AQ6)*$N7/100</f>
        <v>24024.450959999998</v>
      </c>
      <c r="T7" s="3361">
        <f>SUM(T6:$AQ6)*$N7/100</f>
        <v>21673.77576</v>
      </c>
      <c r="U7" s="3361">
        <f>SUM(U6:$AQ6)*$N7/100</f>
        <v>19323.100559999999</v>
      </c>
      <c r="V7" s="3361">
        <f>SUM(V6:$AQ6)*$N7/100</f>
        <v>16972.425360000001</v>
      </c>
      <c r="W7" s="3361">
        <f>SUM(W6:$AQ6)*$N7/100</f>
        <v>14621.750159999998</v>
      </c>
      <c r="X7" s="3361">
        <f>SUM(X6:$AQ6)*$N7/100</f>
        <v>12271.07496</v>
      </c>
      <c r="Y7" s="3361">
        <f>SUM(Y6:$AQ6)*$N7/100</f>
        <v>9920.3997599999984</v>
      </c>
      <c r="Z7" s="3361">
        <f>SUM(Z6:$AQ6)*$N7/100</f>
        <v>7188.4855199999993</v>
      </c>
      <c r="AA7" s="3361">
        <f>SUM(AA6:$AQ6)*$N7/100</f>
        <v>4456.5712799999992</v>
      </c>
      <c r="AB7" s="3361">
        <f>SUM(AB6:$AQ6)*$N7/100</f>
        <v>1724.6570399999996</v>
      </c>
      <c r="AC7" s="3361">
        <v>0</v>
      </c>
      <c r="AD7" s="3361">
        <v>0</v>
      </c>
      <c r="AE7" s="3361">
        <v>0</v>
      </c>
      <c r="AF7" s="3361">
        <v>0</v>
      </c>
      <c r="AG7" s="3361">
        <v>0</v>
      </c>
      <c r="AH7" s="3361">
        <v>0</v>
      </c>
      <c r="AI7" s="3361">
        <v>0</v>
      </c>
      <c r="AJ7" s="3361">
        <v>0</v>
      </c>
      <c r="AK7" s="3361">
        <v>0</v>
      </c>
      <c r="AL7" s="3361">
        <v>0</v>
      </c>
      <c r="AM7" s="3361">
        <v>0</v>
      </c>
      <c r="AN7" s="3361">
        <v>0</v>
      </c>
      <c r="AO7" s="3361">
        <v>0</v>
      </c>
      <c r="AP7" s="3361">
        <v>0</v>
      </c>
      <c r="AQ7" s="3361">
        <v>0</v>
      </c>
      <c r="AR7" s="3361"/>
      <c r="AS7" s="3361"/>
      <c r="AT7" s="3362">
        <f t="shared" si="0"/>
        <v>158551.81751999998</v>
      </c>
      <c r="AU7" s="3347">
        <f t="shared" si="1"/>
        <v>0</v>
      </c>
      <c r="AV7" s="3363">
        <f>SUM(Y7:AS7)</f>
        <v>23290.113599999997</v>
      </c>
      <c r="AW7" s="3364">
        <f t="shared" ref="AW7:AW70" si="2">SUM(R7:X7,AV7)</f>
        <v>158551.81751999998</v>
      </c>
      <c r="AY7" s="3336" t="b">
        <f t="shared" ref="AY7:AY70" si="3">AT7=AW7</f>
        <v>1</v>
      </c>
      <c r="BC7" s="3350"/>
    </row>
    <row r="8" spans="1:55" s="3336" customFormat="1" outlineLevel="1">
      <c r="B8" s="3337" t="s">
        <v>331</v>
      </c>
      <c r="C8" s="3338">
        <v>2</v>
      </c>
      <c r="D8" s="3339" t="s">
        <v>5377</v>
      </c>
      <c r="E8" s="3340" t="s">
        <v>5387</v>
      </c>
      <c r="F8" s="3341" t="s">
        <v>5388</v>
      </c>
      <c r="G8" s="3341" t="s">
        <v>5389</v>
      </c>
      <c r="H8" s="3341" t="s">
        <v>5390</v>
      </c>
      <c r="I8" s="3341" t="s">
        <v>5382</v>
      </c>
      <c r="J8" s="3342">
        <v>6628759.9400000004</v>
      </c>
      <c r="K8" s="3343">
        <v>2355591.2400000002</v>
      </c>
      <c r="L8" s="3343"/>
      <c r="M8" s="3343"/>
      <c r="N8" s="3365"/>
      <c r="O8" s="3365"/>
      <c r="P8" s="3344"/>
      <c r="Q8" s="3344" t="s">
        <v>5383</v>
      </c>
      <c r="R8" s="3345">
        <v>392598.8</v>
      </c>
      <c r="S8" s="3345">
        <v>392598.8</v>
      </c>
      <c r="T8" s="3345">
        <v>392598.8</v>
      </c>
      <c r="U8" s="3345">
        <v>392598.8</v>
      </c>
      <c r="V8" s="3345">
        <v>392598.8</v>
      </c>
      <c r="W8" s="3345">
        <v>392597.24</v>
      </c>
      <c r="X8" s="3345">
        <v>0</v>
      </c>
      <c r="Y8" s="3345">
        <v>0</v>
      </c>
      <c r="Z8" s="3345">
        <v>0</v>
      </c>
      <c r="AA8" s="3345">
        <v>0</v>
      </c>
      <c r="AB8" s="3345">
        <v>0</v>
      </c>
      <c r="AC8" s="3345">
        <v>0</v>
      </c>
      <c r="AD8" s="3345">
        <v>0</v>
      </c>
      <c r="AE8" s="3345">
        <v>0</v>
      </c>
      <c r="AF8" s="3345">
        <v>0</v>
      </c>
      <c r="AG8" s="3345">
        <v>0</v>
      </c>
      <c r="AH8" s="3345">
        <v>0</v>
      </c>
      <c r="AI8" s="3345">
        <v>0</v>
      </c>
      <c r="AJ8" s="3345">
        <v>0</v>
      </c>
      <c r="AK8" s="3345">
        <v>0</v>
      </c>
      <c r="AL8" s="3345">
        <v>0</v>
      </c>
      <c r="AM8" s="3345">
        <v>0</v>
      </c>
      <c r="AN8" s="3345">
        <v>0</v>
      </c>
      <c r="AO8" s="3345">
        <v>0</v>
      </c>
      <c r="AP8" s="3345">
        <v>0</v>
      </c>
      <c r="AQ8" s="3345">
        <v>0</v>
      </c>
      <c r="AR8" s="3345"/>
      <c r="AS8" s="3345"/>
      <c r="AT8" s="3346">
        <f t="shared" si="0"/>
        <v>2355591.2400000002</v>
      </c>
      <c r="AU8" s="3347">
        <f t="shared" si="1"/>
        <v>0</v>
      </c>
      <c r="AV8" s="3348">
        <f t="shared" ref="AV8:AV71" si="4">SUM(Y8:AS8)</f>
        <v>0</v>
      </c>
      <c r="AW8" s="3349">
        <f t="shared" si="2"/>
        <v>2355591.2400000002</v>
      </c>
      <c r="AY8" s="3336" t="b">
        <f t="shared" si="3"/>
        <v>1</v>
      </c>
      <c r="AZ8" s="3350">
        <f>AW8-K8</f>
        <v>0</v>
      </c>
      <c r="BC8" s="3350"/>
    </row>
    <row r="9" spans="1:55" outlineLevel="1">
      <c r="B9" s="3351" t="s">
        <v>331</v>
      </c>
      <c r="C9" s="3352"/>
      <c r="D9" s="3353" t="s">
        <v>5391</v>
      </c>
      <c r="E9" s="3354"/>
      <c r="F9" s="3355"/>
      <c r="G9" s="3355"/>
      <c r="H9" s="3355"/>
      <c r="I9" s="3355"/>
      <c r="J9" s="3356"/>
      <c r="K9" s="3357"/>
      <c r="L9" s="3366" t="s">
        <v>5392</v>
      </c>
      <c r="M9" s="3366"/>
      <c r="N9" s="3358">
        <f t="shared" ref="N9:N63" si="5">SUM(O9:P9)</f>
        <v>2.2999999999999998</v>
      </c>
      <c r="O9" s="3359">
        <v>2.2999999999999998</v>
      </c>
      <c r="P9" s="3360">
        <f>$P$4</f>
        <v>0</v>
      </c>
      <c r="Q9" s="3360" t="s">
        <v>5386</v>
      </c>
      <c r="R9" s="3361">
        <f>SUM(R8:$AQ8)*$N9/100</f>
        <v>54178.59852</v>
      </c>
      <c r="S9" s="3361">
        <f>SUM(S8:$AQ8)*$N9/100</f>
        <v>45148.826119999998</v>
      </c>
      <c r="T9" s="3361">
        <f>SUM(T8:$AQ8)*$N9/100</f>
        <v>36119.053719999996</v>
      </c>
      <c r="U9" s="3361">
        <f>SUM(U8:$AQ8)*$N9/100</f>
        <v>27089.281319999995</v>
      </c>
      <c r="V9" s="3361">
        <f>SUM(V8:$AQ8)*$N9/100</f>
        <v>18059.50892</v>
      </c>
      <c r="W9" s="3361">
        <f>SUM(W8:$AQ8)*$N9/100</f>
        <v>9029.7365199999986</v>
      </c>
      <c r="X9" s="3361">
        <f>SUM(X8:$AQ8)*$N9/100</f>
        <v>0</v>
      </c>
      <c r="Y9" s="3361">
        <v>0</v>
      </c>
      <c r="Z9" s="3361">
        <v>0</v>
      </c>
      <c r="AA9" s="3361">
        <v>0</v>
      </c>
      <c r="AB9" s="3361">
        <v>0</v>
      </c>
      <c r="AC9" s="3361">
        <v>0</v>
      </c>
      <c r="AD9" s="3361">
        <v>0</v>
      </c>
      <c r="AE9" s="3361">
        <v>0</v>
      </c>
      <c r="AF9" s="3361">
        <v>0</v>
      </c>
      <c r="AG9" s="3361">
        <v>0</v>
      </c>
      <c r="AH9" s="3361">
        <v>0</v>
      </c>
      <c r="AI9" s="3361">
        <v>0</v>
      </c>
      <c r="AJ9" s="3361">
        <v>0</v>
      </c>
      <c r="AK9" s="3361">
        <v>0</v>
      </c>
      <c r="AL9" s="3361">
        <v>0</v>
      </c>
      <c r="AM9" s="3361">
        <v>0</v>
      </c>
      <c r="AN9" s="3361">
        <v>0</v>
      </c>
      <c r="AO9" s="3361">
        <v>0</v>
      </c>
      <c r="AP9" s="3361">
        <v>0</v>
      </c>
      <c r="AQ9" s="3361">
        <v>0</v>
      </c>
      <c r="AR9" s="3361"/>
      <c r="AS9" s="3361"/>
      <c r="AT9" s="3362">
        <f t="shared" si="0"/>
        <v>189625.00512000002</v>
      </c>
      <c r="AU9" s="3347">
        <f t="shared" si="1"/>
        <v>0</v>
      </c>
      <c r="AV9" s="3363">
        <f t="shared" si="4"/>
        <v>0</v>
      </c>
      <c r="AW9" s="3364">
        <f t="shared" si="2"/>
        <v>189625.00512000002</v>
      </c>
      <c r="AY9" s="3336" t="b">
        <f t="shared" si="3"/>
        <v>1</v>
      </c>
      <c r="BC9" s="3350"/>
    </row>
    <row r="10" spans="1:55" s="3336" customFormat="1" outlineLevel="1">
      <c r="A10" s="3336" t="s">
        <v>5393</v>
      </c>
      <c r="B10" s="3337" t="s">
        <v>331</v>
      </c>
      <c r="C10" s="3338">
        <v>3</v>
      </c>
      <c r="D10" s="3339" t="s">
        <v>5394</v>
      </c>
      <c r="E10" s="3340" t="s">
        <v>5395</v>
      </c>
      <c r="F10" s="3341" t="s">
        <v>5396</v>
      </c>
      <c r="G10" s="3341" t="s">
        <v>5397</v>
      </c>
      <c r="H10" s="3341" t="s">
        <v>5398</v>
      </c>
      <c r="I10" s="3341" t="s">
        <v>5382</v>
      </c>
      <c r="J10" s="3342">
        <v>871076.43</v>
      </c>
      <c r="K10" s="3343">
        <v>319941.11</v>
      </c>
      <c r="L10" s="3343"/>
      <c r="M10" s="3343"/>
      <c r="N10" s="3365"/>
      <c r="O10" s="3365"/>
      <c r="P10" s="3344"/>
      <c r="Q10" s="3344" t="s">
        <v>5383</v>
      </c>
      <c r="R10" s="3345">
        <v>53323.56</v>
      </c>
      <c r="S10" s="3345">
        <v>53323.56</v>
      </c>
      <c r="T10" s="3345">
        <v>53323.56</v>
      </c>
      <c r="U10" s="3345">
        <v>53323.56</v>
      </c>
      <c r="V10" s="3345">
        <v>53323.56</v>
      </c>
      <c r="W10" s="3345">
        <v>51223.4</v>
      </c>
      <c r="X10" s="3345">
        <v>2099.91</v>
      </c>
      <c r="Y10" s="3345">
        <v>0</v>
      </c>
      <c r="Z10" s="3345">
        <v>0</v>
      </c>
      <c r="AA10" s="3345">
        <v>0</v>
      </c>
      <c r="AB10" s="3345">
        <v>0</v>
      </c>
      <c r="AC10" s="3345">
        <v>0</v>
      </c>
      <c r="AD10" s="3345">
        <v>0</v>
      </c>
      <c r="AE10" s="3345">
        <v>0</v>
      </c>
      <c r="AF10" s="3345">
        <v>0</v>
      </c>
      <c r="AG10" s="3345">
        <v>0</v>
      </c>
      <c r="AH10" s="3345">
        <v>0</v>
      </c>
      <c r="AI10" s="3345">
        <v>0</v>
      </c>
      <c r="AJ10" s="3345">
        <v>0</v>
      </c>
      <c r="AK10" s="3345">
        <v>0</v>
      </c>
      <c r="AL10" s="3345">
        <v>0</v>
      </c>
      <c r="AM10" s="3345">
        <v>0</v>
      </c>
      <c r="AN10" s="3345">
        <v>0</v>
      </c>
      <c r="AO10" s="3345">
        <v>0</v>
      </c>
      <c r="AP10" s="3345">
        <v>0</v>
      </c>
      <c r="AQ10" s="3345">
        <v>0</v>
      </c>
      <c r="AR10" s="3345"/>
      <c r="AS10" s="3345"/>
      <c r="AT10" s="3346">
        <f t="shared" si="0"/>
        <v>319941.11</v>
      </c>
      <c r="AU10" s="3347">
        <f t="shared" si="1"/>
        <v>0</v>
      </c>
      <c r="AV10" s="3348">
        <f t="shared" si="4"/>
        <v>0</v>
      </c>
      <c r="AW10" s="3349">
        <f t="shared" si="2"/>
        <v>319941.11</v>
      </c>
      <c r="AY10" s="3336" t="b">
        <f t="shared" si="3"/>
        <v>1</v>
      </c>
      <c r="AZ10" s="3350">
        <f>AW10-K10</f>
        <v>0</v>
      </c>
      <c r="BC10" s="3350"/>
    </row>
    <row r="11" spans="1:55" outlineLevel="1">
      <c r="A11" s="3336" t="s">
        <v>5393</v>
      </c>
      <c r="B11" s="3351" t="s">
        <v>331</v>
      </c>
      <c r="C11" s="3352"/>
      <c r="D11" s="3353" t="s">
        <v>5399</v>
      </c>
      <c r="E11" s="3354"/>
      <c r="F11" s="3355"/>
      <c r="G11" s="3355"/>
      <c r="H11" s="3355"/>
      <c r="I11" s="3355"/>
      <c r="J11" s="3356"/>
      <c r="K11" s="3357"/>
      <c r="L11" s="3356" t="s">
        <v>5400</v>
      </c>
      <c r="M11" s="3356"/>
      <c r="N11" s="3358">
        <f t="shared" si="5"/>
        <v>2.4159999999999999</v>
      </c>
      <c r="O11" s="3358">
        <v>2.4159999999999999</v>
      </c>
      <c r="P11" s="3360">
        <f>$P$4</f>
        <v>0</v>
      </c>
      <c r="Q11" s="3360" t="s">
        <v>5386</v>
      </c>
      <c r="R11" s="3361">
        <v>13137.43</v>
      </c>
      <c r="S11" s="3361">
        <v>10896.919999999998</v>
      </c>
      <c r="T11" s="3361">
        <v>8679.44</v>
      </c>
      <c r="U11" s="3361">
        <v>6409.7699999999995</v>
      </c>
      <c r="V11" s="3361">
        <v>4166.21</v>
      </c>
      <c r="W11" s="3361">
        <v>1941.92</v>
      </c>
      <c r="X11" s="3361">
        <v>173.87</v>
      </c>
      <c r="Y11" s="3361">
        <v>0</v>
      </c>
      <c r="Z11" s="3361">
        <v>0</v>
      </c>
      <c r="AA11" s="3361">
        <v>0</v>
      </c>
      <c r="AB11" s="3361">
        <v>0</v>
      </c>
      <c r="AC11" s="3361">
        <v>0</v>
      </c>
      <c r="AD11" s="3361">
        <v>0</v>
      </c>
      <c r="AE11" s="3361">
        <v>0</v>
      </c>
      <c r="AF11" s="3361">
        <v>0</v>
      </c>
      <c r="AG11" s="3361">
        <v>0</v>
      </c>
      <c r="AH11" s="3361">
        <v>0</v>
      </c>
      <c r="AI11" s="3361">
        <v>0</v>
      </c>
      <c r="AJ11" s="3361">
        <v>0</v>
      </c>
      <c r="AK11" s="3361">
        <v>0</v>
      </c>
      <c r="AL11" s="3361">
        <v>0</v>
      </c>
      <c r="AM11" s="3361">
        <v>0</v>
      </c>
      <c r="AN11" s="3361">
        <v>0</v>
      </c>
      <c r="AO11" s="3361">
        <v>0</v>
      </c>
      <c r="AP11" s="3361">
        <v>0</v>
      </c>
      <c r="AQ11" s="3361">
        <v>0</v>
      </c>
      <c r="AR11" s="3361"/>
      <c r="AS11" s="3361"/>
      <c r="AT11" s="3362">
        <f t="shared" si="0"/>
        <v>45405.56</v>
      </c>
      <c r="AU11" s="3347">
        <f t="shared" si="1"/>
        <v>0</v>
      </c>
      <c r="AV11" s="3363">
        <f t="shared" si="4"/>
        <v>0</v>
      </c>
      <c r="AW11" s="3364">
        <f t="shared" si="2"/>
        <v>45405.56</v>
      </c>
      <c r="AY11" s="3336" t="b">
        <f t="shared" si="3"/>
        <v>1</v>
      </c>
      <c r="BC11" s="3350"/>
    </row>
    <row r="12" spans="1:55" s="3336" customFormat="1" outlineLevel="1">
      <c r="B12" s="3337" t="s">
        <v>331</v>
      </c>
      <c r="C12" s="3338">
        <v>4</v>
      </c>
      <c r="D12" s="3339" t="s">
        <v>5401</v>
      </c>
      <c r="E12" s="3340" t="s">
        <v>5402</v>
      </c>
      <c r="F12" s="3341" t="s">
        <v>5403</v>
      </c>
      <c r="G12" s="3341" t="s">
        <v>5404</v>
      </c>
      <c r="H12" s="3341" t="s">
        <v>5405</v>
      </c>
      <c r="I12" s="3341" t="s">
        <v>5382</v>
      </c>
      <c r="J12" s="3342">
        <v>1925611</v>
      </c>
      <c r="K12" s="3343">
        <v>863226</v>
      </c>
      <c r="L12" s="3343"/>
      <c r="M12" s="3343"/>
      <c r="N12" s="3365"/>
      <c r="O12" s="3365"/>
      <c r="P12" s="3344"/>
      <c r="Q12" s="3344" t="s">
        <v>5383</v>
      </c>
      <c r="R12" s="3345">
        <v>132804</v>
      </c>
      <c r="S12" s="3345">
        <v>132804</v>
      </c>
      <c r="T12" s="3345">
        <v>132804</v>
      </c>
      <c r="U12" s="3345">
        <v>132804</v>
      </c>
      <c r="V12" s="3345">
        <v>132804</v>
      </c>
      <c r="W12" s="3345">
        <v>132804</v>
      </c>
      <c r="X12" s="3345">
        <v>66402</v>
      </c>
      <c r="Y12" s="3345">
        <v>0</v>
      </c>
      <c r="Z12" s="3345">
        <v>0</v>
      </c>
      <c r="AA12" s="3345">
        <v>0</v>
      </c>
      <c r="AB12" s="3345">
        <v>0</v>
      </c>
      <c r="AC12" s="3345">
        <v>0</v>
      </c>
      <c r="AD12" s="3345">
        <v>0</v>
      </c>
      <c r="AE12" s="3345">
        <v>0</v>
      </c>
      <c r="AF12" s="3345">
        <v>0</v>
      </c>
      <c r="AG12" s="3345">
        <v>0</v>
      </c>
      <c r="AH12" s="3345">
        <v>0</v>
      </c>
      <c r="AI12" s="3345">
        <v>0</v>
      </c>
      <c r="AJ12" s="3345">
        <v>0</v>
      </c>
      <c r="AK12" s="3345">
        <v>0</v>
      </c>
      <c r="AL12" s="3345">
        <v>0</v>
      </c>
      <c r="AM12" s="3345">
        <v>0</v>
      </c>
      <c r="AN12" s="3345">
        <v>0</v>
      </c>
      <c r="AO12" s="3345">
        <v>0</v>
      </c>
      <c r="AP12" s="3345">
        <v>0</v>
      </c>
      <c r="AQ12" s="3345">
        <v>0</v>
      </c>
      <c r="AR12" s="3345"/>
      <c r="AS12" s="3345"/>
      <c r="AT12" s="3346">
        <f t="shared" si="0"/>
        <v>863226</v>
      </c>
      <c r="AU12" s="3347">
        <f t="shared" si="1"/>
        <v>0</v>
      </c>
      <c r="AV12" s="3348">
        <f t="shared" si="4"/>
        <v>0</v>
      </c>
      <c r="AW12" s="3349">
        <f t="shared" si="2"/>
        <v>863226</v>
      </c>
      <c r="AY12" s="3336" t="b">
        <f t="shared" si="3"/>
        <v>1</v>
      </c>
      <c r="AZ12" s="3350">
        <f>AW12-K12</f>
        <v>0</v>
      </c>
      <c r="BC12" s="3350"/>
    </row>
    <row r="13" spans="1:55" outlineLevel="1">
      <c r="B13" s="3351" t="s">
        <v>331</v>
      </c>
      <c r="C13" s="3352"/>
      <c r="D13" s="3353" t="s">
        <v>5406</v>
      </c>
      <c r="E13" s="3354"/>
      <c r="F13" s="3355"/>
      <c r="G13" s="3355"/>
      <c r="H13" s="3355"/>
      <c r="I13" s="3355"/>
      <c r="J13" s="3356"/>
      <c r="K13" s="3357"/>
      <c r="L13" s="3356" t="s">
        <v>5407</v>
      </c>
      <c r="M13" s="3356"/>
      <c r="N13" s="3358">
        <f t="shared" si="5"/>
        <v>2.5569999999999999</v>
      </c>
      <c r="O13" s="3358">
        <v>2.5569999999999999</v>
      </c>
      <c r="P13" s="3360">
        <f>$P$4</f>
        <v>0</v>
      </c>
      <c r="Q13" s="3360" t="s">
        <v>5386</v>
      </c>
      <c r="R13" s="3361">
        <f>SUM(R12:$AQ12)*$N13/100</f>
        <v>22072.688819999996</v>
      </c>
      <c r="S13" s="3361">
        <f>SUM(S12:$AQ12)*$N13/100</f>
        <v>18676.89054</v>
      </c>
      <c r="T13" s="3361">
        <f>SUM(T12:$AQ12)*$N13/100</f>
        <v>15281.092259999999</v>
      </c>
      <c r="U13" s="3361">
        <f>SUM(U12:$AQ12)*$N13/100</f>
        <v>11885.29398</v>
      </c>
      <c r="V13" s="3361">
        <f>SUM(V12:$AQ12)*$N13/100</f>
        <v>8489.4956999999995</v>
      </c>
      <c r="W13" s="3361">
        <f>SUM(W12:$AQ12)*$N13/100</f>
        <v>5093.6974199999995</v>
      </c>
      <c r="X13" s="3361">
        <f>SUM(X12:$AQ12)*$N13/100</f>
        <v>1697.89914</v>
      </c>
      <c r="Y13" s="3361">
        <v>0</v>
      </c>
      <c r="Z13" s="3361">
        <v>0</v>
      </c>
      <c r="AA13" s="3361">
        <v>0</v>
      </c>
      <c r="AB13" s="3361">
        <v>0</v>
      </c>
      <c r="AC13" s="3361">
        <v>0</v>
      </c>
      <c r="AD13" s="3361">
        <v>0</v>
      </c>
      <c r="AE13" s="3361">
        <v>0</v>
      </c>
      <c r="AF13" s="3361">
        <v>0</v>
      </c>
      <c r="AG13" s="3361">
        <v>0</v>
      </c>
      <c r="AH13" s="3361">
        <v>0</v>
      </c>
      <c r="AI13" s="3361">
        <v>0</v>
      </c>
      <c r="AJ13" s="3361">
        <v>0</v>
      </c>
      <c r="AK13" s="3361">
        <v>0</v>
      </c>
      <c r="AL13" s="3361">
        <v>0</v>
      </c>
      <c r="AM13" s="3361">
        <v>0</v>
      </c>
      <c r="AN13" s="3361">
        <v>0</v>
      </c>
      <c r="AO13" s="3361">
        <v>0</v>
      </c>
      <c r="AP13" s="3361">
        <v>0</v>
      </c>
      <c r="AQ13" s="3361">
        <v>0</v>
      </c>
      <c r="AR13" s="3361"/>
      <c r="AS13" s="3361"/>
      <c r="AT13" s="3362">
        <f t="shared" si="0"/>
        <v>83197.057859999986</v>
      </c>
      <c r="AU13" s="3347">
        <f t="shared" si="1"/>
        <v>0</v>
      </c>
      <c r="AV13" s="3363">
        <f t="shared" si="4"/>
        <v>0</v>
      </c>
      <c r="AW13" s="3364">
        <f t="shared" si="2"/>
        <v>83197.057859999986</v>
      </c>
      <c r="AY13" s="3336" t="b">
        <f t="shared" si="3"/>
        <v>1</v>
      </c>
      <c r="BC13" s="3350"/>
    </row>
    <row r="14" spans="1:55" s="3336" customFormat="1" outlineLevel="1">
      <c r="B14" s="3337" t="s">
        <v>331</v>
      </c>
      <c r="C14" s="3338">
        <v>5</v>
      </c>
      <c r="D14" s="3339" t="s">
        <v>5401</v>
      </c>
      <c r="E14" s="3340" t="s">
        <v>5408</v>
      </c>
      <c r="F14" s="3341" t="s">
        <v>5409</v>
      </c>
      <c r="G14" s="3341" t="s">
        <v>5410</v>
      </c>
      <c r="H14" s="3341" t="s">
        <v>5411</v>
      </c>
      <c r="I14" s="3341" t="s">
        <v>5382</v>
      </c>
      <c r="J14" s="3342">
        <v>154450.12</v>
      </c>
      <c r="K14" s="3343">
        <v>70686</v>
      </c>
      <c r="L14" s="3343"/>
      <c r="M14" s="3343"/>
      <c r="N14" s="3365"/>
      <c r="O14" s="3365"/>
      <c r="P14" s="3344"/>
      <c r="Q14" s="3344" t="s">
        <v>5383</v>
      </c>
      <c r="R14" s="3345">
        <v>10472</v>
      </c>
      <c r="S14" s="3345">
        <v>10472</v>
      </c>
      <c r="T14" s="3345">
        <v>10472</v>
      </c>
      <c r="U14" s="3345">
        <v>10472</v>
      </c>
      <c r="V14" s="3345">
        <v>10472</v>
      </c>
      <c r="W14" s="3345">
        <v>10472</v>
      </c>
      <c r="X14" s="3345">
        <v>7854</v>
      </c>
      <c r="Y14" s="3345">
        <v>0</v>
      </c>
      <c r="Z14" s="3345">
        <v>0</v>
      </c>
      <c r="AA14" s="3345">
        <v>0</v>
      </c>
      <c r="AB14" s="3345">
        <v>0</v>
      </c>
      <c r="AC14" s="3345">
        <v>0</v>
      </c>
      <c r="AD14" s="3345">
        <v>0</v>
      </c>
      <c r="AE14" s="3345">
        <v>0</v>
      </c>
      <c r="AF14" s="3345">
        <v>0</v>
      </c>
      <c r="AG14" s="3345">
        <v>0</v>
      </c>
      <c r="AH14" s="3345">
        <v>0</v>
      </c>
      <c r="AI14" s="3345">
        <v>0</v>
      </c>
      <c r="AJ14" s="3345">
        <v>0</v>
      </c>
      <c r="AK14" s="3345">
        <v>0</v>
      </c>
      <c r="AL14" s="3345">
        <v>0</v>
      </c>
      <c r="AM14" s="3345">
        <v>0</v>
      </c>
      <c r="AN14" s="3345">
        <v>0</v>
      </c>
      <c r="AO14" s="3345">
        <v>0</v>
      </c>
      <c r="AP14" s="3345">
        <v>0</v>
      </c>
      <c r="AQ14" s="3345">
        <v>0</v>
      </c>
      <c r="AR14" s="3345"/>
      <c r="AS14" s="3345"/>
      <c r="AT14" s="3346">
        <f t="shared" si="0"/>
        <v>70686</v>
      </c>
      <c r="AU14" s="3347">
        <f t="shared" si="1"/>
        <v>0</v>
      </c>
      <c r="AV14" s="3348">
        <f t="shared" si="4"/>
        <v>0</v>
      </c>
      <c r="AW14" s="3349">
        <f t="shared" si="2"/>
        <v>70686</v>
      </c>
      <c r="AY14" s="3336" t="b">
        <f t="shared" si="3"/>
        <v>1</v>
      </c>
      <c r="AZ14" s="3350">
        <f>AW14-K14</f>
        <v>0</v>
      </c>
      <c r="BC14" s="3350"/>
    </row>
    <row r="15" spans="1:55" outlineLevel="1">
      <c r="B15" s="3351" t="s">
        <v>331</v>
      </c>
      <c r="C15" s="3352"/>
      <c r="D15" s="3353" t="s">
        <v>5412</v>
      </c>
      <c r="E15" s="3354"/>
      <c r="F15" s="3355"/>
      <c r="G15" s="3355"/>
      <c r="H15" s="3355"/>
      <c r="I15" s="3355"/>
      <c r="J15" s="3356"/>
      <c r="K15" s="3357"/>
      <c r="L15" s="3356" t="s">
        <v>5413</v>
      </c>
      <c r="M15" s="3356"/>
      <c r="N15" s="3358">
        <f t="shared" si="5"/>
        <v>2.4980000000000002</v>
      </c>
      <c r="O15" s="3358">
        <v>2.4980000000000002</v>
      </c>
      <c r="P15" s="3360">
        <f>$P$4</f>
        <v>0</v>
      </c>
      <c r="Q15" s="3360" t="s">
        <v>5386</v>
      </c>
      <c r="R15" s="3361">
        <f>SUM(R14:$AQ14)*$N15/100</f>
        <v>1765.7362800000003</v>
      </c>
      <c r="S15" s="3361">
        <f>SUM(S14:$AQ14)*$N15/100</f>
        <v>1504.1457200000002</v>
      </c>
      <c r="T15" s="3361">
        <f>SUM(T14:$AQ14)*$N15/100</f>
        <v>1242.5551600000001</v>
      </c>
      <c r="U15" s="3361">
        <f>SUM(U14:$AQ14)*$N15/100</f>
        <v>980.96460000000002</v>
      </c>
      <c r="V15" s="3361">
        <f>SUM(V14:$AQ14)*$N15/100</f>
        <v>719.37404000000015</v>
      </c>
      <c r="W15" s="3361">
        <f>SUM(W14:$AQ14)*$N15/100</f>
        <v>457.78348000000005</v>
      </c>
      <c r="X15" s="3361">
        <f>SUM(X14:$AQ14)*$N15/100</f>
        <v>196.19292000000002</v>
      </c>
      <c r="Y15" s="3361">
        <v>0</v>
      </c>
      <c r="Z15" s="3361">
        <v>0</v>
      </c>
      <c r="AA15" s="3361">
        <v>0</v>
      </c>
      <c r="AB15" s="3361">
        <v>0</v>
      </c>
      <c r="AC15" s="3361">
        <v>0</v>
      </c>
      <c r="AD15" s="3361">
        <v>0</v>
      </c>
      <c r="AE15" s="3361">
        <v>0</v>
      </c>
      <c r="AF15" s="3361">
        <v>0</v>
      </c>
      <c r="AG15" s="3361">
        <v>0</v>
      </c>
      <c r="AH15" s="3361">
        <v>0</v>
      </c>
      <c r="AI15" s="3361">
        <v>0</v>
      </c>
      <c r="AJ15" s="3361">
        <v>0</v>
      </c>
      <c r="AK15" s="3361">
        <v>0</v>
      </c>
      <c r="AL15" s="3361">
        <v>0</v>
      </c>
      <c r="AM15" s="3361">
        <v>0</v>
      </c>
      <c r="AN15" s="3361">
        <v>0</v>
      </c>
      <c r="AO15" s="3361">
        <v>0</v>
      </c>
      <c r="AP15" s="3361">
        <v>0</v>
      </c>
      <c r="AQ15" s="3361">
        <v>0</v>
      </c>
      <c r="AR15" s="3361"/>
      <c r="AS15" s="3361"/>
      <c r="AT15" s="3362">
        <f t="shared" si="0"/>
        <v>6866.7522000000017</v>
      </c>
      <c r="AU15" s="3347">
        <f t="shared" si="1"/>
        <v>0</v>
      </c>
      <c r="AV15" s="3363">
        <f t="shared" si="4"/>
        <v>0</v>
      </c>
      <c r="AW15" s="3364">
        <f t="shared" si="2"/>
        <v>6866.7522000000017</v>
      </c>
      <c r="AY15" s="3336" t="b">
        <f t="shared" si="3"/>
        <v>1</v>
      </c>
      <c r="BC15" s="3350"/>
    </row>
    <row r="16" spans="1:55" s="3336" customFormat="1" outlineLevel="1">
      <c r="B16" s="3337" t="s">
        <v>331</v>
      </c>
      <c r="C16" s="3338">
        <v>6</v>
      </c>
      <c r="D16" s="3339" t="s">
        <v>5414</v>
      </c>
      <c r="E16" s="3340" t="s">
        <v>5415</v>
      </c>
      <c r="F16" s="3341" t="s">
        <v>5416</v>
      </c>
      <c r="G16" s="3341" t="s">
        <v>5417</v>
      </c>
      <c r="H16" s="3341" t="s">
        <v>5418</v>
      </c>
      <c r="I16" s="3341" t="s">
        <v>5382</v>
      </c>
      <c r="J16" s="3342">
        <v>11123368</v>
      </c>
      <c r="K16" s="3343">
        <v>8549640</v>
      </c>
      <c r="L16" s="3343"/>
      <c r="M16" s="3343"/>
      <c r="N16" s="3365"/>
      <c r="O16" s="3365"/>
      <c r="P16" s="3344"/>
      <c r="Q16" s="3344" t="s">
        <v>5383</v>
      </c>
      <c r="R16" s="3345">
        <v>379984</v>
      </c>
      <c r="S16" s="3345">
        <v>379984</v>
      </c>
      <c r="T16" s="3345">
        <v>379984</v>
      </c>
      <c r="U16" s="3345">
        <v>379984</v>
      </c>
      <c r="V16" s="3345">
        <v>379984</v>
      </c>
      <c r="W16" s="3345">
        <v>379984</v>
      </c>
      <c r="X16" s="3345">
        <v>379984</v>
      </c>
      <c r="Y16" s="3345">
        <v>379984</v>
      </c>
      <c r="Z16" s="3345">
        <v>379984</v>
      </c>
      <c r="AA16" s="3345">
        <v>379984</v>
      </c>
      <c r="AB16" s="3345">
        <v>379984</v>
      </c>
      <c r="AC16" s="3345">
        <v>379984</v>
      </c>
      <c r="AD16" s="3345">
        <v>379984</v>
      </c>
      <c r="AE16" s="3345">
        <v>379984</v>
      </c>
      <c r="AF16" s="3345">
        <v>379984</v>
      </c>
      <c r="AG16" s="3345">
        <v>379984</v>
      </c>
      <c r="AH16" s="3345">
        <v>379984</v>
      </c>
      <c r="AI16" s="3345">
        <v>379984</v>
      </c>
      <c r="AJ16" s="3345">
        <v>379984</v>
      </c>
      <c r="AK16" s="3345">
        <v>379984</v>
      </c>
      <c r="AL16" s="3345">
        <v>379984</v>
      </c>
      <c r="AM16" s="3345">
        <v>379984</v>
      </c>
      <c r="AN16" s="3345">
        <v>189992</v>
      </c>
      <c r="AO16" s="3345">
        <v>0</v>
      </c>
      <c r="AP16" s="3345">
        <v>0</v>
      </c>
      <c r="AQ16" s="3345">
        <v>0</v>
      </c>
      <c r="AR16" s="3345"/>
      <c r="AS16" s="3345"/>
      <c r="AT16" s="3346">
        <f t="shared" si="0"/>
        <v>8549640</v>
      </c>
      <c r="AU16" s="3347">
        <f t="shared" si="1"/>
        <v>0</v>
      </c>
      <c r="AV16" s="3348">
        <f t="shared" si="4"/>
        <v>5889752</v>
      </c>
      <c r="AW16" s="3349">
        <f t="shared" si="2"/>
        <v>8549640</v>
      </c>
      <c r="AY16" s="3336" t="b">
        <f t="shared" si="3"/>
        <v>1</v>
      </c>
      <c r="AZ16" s="3350">
        <f>AW16-K16</f>
        <v>0</v>
      </c>
      <c r="BC16" s="3350"/>
    </row>
    <row r="17" spans="2:55" outlineLevel="1">
      <c r="B17" s="3351" t="s">
        <v>331</v>
      </c>
      <c r="C17" s="3352"/>
      <c r="D17" s="3353" t="s">
        <v>5419</v>
      </c>
      <c r="E17" s="3354"/>
      <c r="F17" s="3355"/>
      <c r="G17" s="3355"/>
      <c r="H17" s="3355"/>
      <c r="I17" s="3355"/>
      <c r="J17" s="3356"/>
      <c r="K17" s="3357"/>
      <c r="L17" s="3356" t="s">
        <v>5420</v>
      </c>
      <c r="M17" s="3356"/>
      <c r="N17" s="3358">
        <f t="shared" si="5"/>
        <v>2.4</v>
      </c>
      <c r="O17" s="3359">
        <v>2.4</v>
      </c>
      <c r="P17" s="3360">
        <f>$P$4</f>
        <v>0</v>
      </c>
      <c r="Q17" s="3360" t="s">
        <v>5386</v>
      </c>
      <c r="R17" s="3361">
        <f>SUM(R16:$AQ16)*$N17/100</f>
        <v>205191.36</v>
      </c>
      <c r="S17" s="3361">
        <f>SUM(S16:$AQ16)*$N17/100</f>
        <v>196071.74399999998</v>
      </c>
      <c r="T17" s="3361">
        <f>SUM(T16:$AQ16)*$N17/100</f>
        <v>186952.128</v>
      </c>
      <c r="U17" s="3361">
        <f>SUM(U16:$AQ16)*$N17/100</f>
        <v>177832.51199999999</v>
      </c>
      <c r="V17" s="3361">
        <f>SUM(V16:$AQ16)*$N17/100</f>
        <v>168712.89599999998</v>
      </c>
      <c r="W17" s="3361">
        <f>SUM(W16:$AQ16)*$N17/100</f>
        <v>159593.28</v>
      </c>
      <c r="X17" s="3361">
        <f>SUM(X16:$AQ16)*$N17/100</f>
        <v>150473.66399999999</v>
      </c>
      <c r="Y17" s="3361">
        <f>SUM(Y16:$AQ16)*$N17/100</f>
        <v>141354.04799999998</v>
      </c>
      <c r="Z17" s="3361">
        <f>SUM(Z16:$AQ16)*$N17/100</f>
        <v>132234.432</v>
      </c>
      <c r="AA17" s="3361">
        <f>SUM(AA16:$AQ16)*$N17/100</f>
        <v>123114.81599999999</v>
      </c>
      <c r="AB17" s="3361">
        <f>SUM(AB16:$AQ16)*$N17/100</f>
        <v>113995.2</v>
      </c>
      <c r="AC17" s="3361">
        <f>SUM(AC16:$AQ16)*$N17/100</f>
        <v>104875.584</v>
      </c>
      <c r="AD17" s="3361">
        <f>SUM(AD16:$AQ16)*$N17/100</f>
        <v>95755.967999999993</v>
      </c>
      <c r="AE17" s="3361">
        <f>SUM(AE16:$AQ16)*$N17/100</f>
        <v>86636.351999999999</v>
      </c>
      <c r="AF17" s="3361">
        <f>SUM(AF16:$AQ16)*$N17/100</f>
        <v>77516.73599999999</v>
      </c>
      <c r="AG17" s="3361">
        <f>SUM(AG16:$AQ16)*$N17/100</f>
        <v>68397.119999999995</v>
      </c>
      <c r="AH17" s="3361">
        <f>SUM(AH16:$AQ16)*$N17/100</f>
        <v>59277.503999999994</v>
      </c>
      <c r="AI17" s="3361">
        <f>SUM(AI16:$AQ16)*$N17/100</f>
        <v>50157.887999999999</v>
      </c>
      <c r="AJ17" s="3361">
        <f>SUM(AJ16:$AQ16)*$N17/100</f>
        <v>41038.271999999997</v>
      </c>
      <c r="AK17" s="3361">
        <f>SUM(AK16:$AQ16)*$N17/100</f>
        <v>31918.656000000003</v>
      </c>
      <c r="AL17" s="3361">
        <f>SUM(AL16:$AQ16)*$N17/100</f>
        <v>22799.040000000001</v>
      </c>
      <c r="AM17" s="3361">
        <f>SUM(AM16:$AQ16)*$N17/100</f>
        <v>13679.423999999999</v>
      </c>
      <c r="AN17" s="3361">
        <f>SUM(AN16:$AQ16)*$N17/100</f>
        <v>4559.808</v>
      </c>
      <c r="AO17" s="3361">
        <v>0</v>
      </c>
      <c r="AP17" s="3361">
        <v>0</v>
      </c>
      <c r="AQ17" s="3361">
        <v>0</v>
      </c>
      <c r="AR17" s="3361"/>
      <c r="AS17" s="3361"/>
      <c r="AT17" s="3362">
        <f t="shared" si="0"/>
        <v>2412138.432</v>
      </c>
      <c r="AU17" s="3347">
        <f t="shared" si="1"/>
        <v>0</v>
      </c>
      <c r="AV17" s="3363">
        <f t="shared" si="4"/>
        <v>1167310.848</v>
      </c>
      <c r="AW17" s="3364">
        <f t="shared" si="2"/>
        <v>2412138.432</v>
      </c>
      <c r="AY17" s="3336" t="b">
        <f t="shared" si="3"/>
        <v>1</v>
      </c>
      <c r="BC17" s="3350"/>
    </row>
    <row r="18" spans="2:55" s="3336" customFormat="1" outlineLevel="1">
      <c r="B18" s="3337" t="s">
        <v>775</v>
      </c>
      <c r="C18" s="3338">
        <v>7</v>
      </c>
      <c r="D18" s="3339" t="s">
        <v>5421</v>
      </c>
      <c r="E18" s="3340" t="s">
        <v>5422</v>
      </c>
      <c r="F18" s="3341" t="s">
        <v>5423</v>
      </c>
      <c r="G18" s="3341" t="s">
        <v>5424</v>
      </c>
      <c r="H18" s="3341" t="s">
        <v>5425</v>
      </c>
      <c r="I18" s="3341" t="s">
        <v>5382</v>
      </c>
      <c r="J18" s="3342">
        <v>484935.32</v>
      </c>
      <c r="K18" s="3343">
        <v>248822</v>
      </c>
      <c r="L18" s="3343"/>
      <c r="M18" s="3343"/>
      <c r="N18" s="3365"/>
      <c r="O18" s="3365"/>
      <c r="P18" s="3344"/>
      <c r="Q18" s="3344" t="s">
        <v>5383</v>
      </c>
      <c r="R18" s="3345">
        <v>20312</v>
      </c>
      <c r="S18" s="3345">
        <v>20312</v>
      </c>
      <c r="T18" s="3345">
        <v>20312</v>
      </c>
      <c r="U18" s="3345">
        <v>20312</v>
      </c>
      <c r="V18" s="3345">
        <v>20312</v>
      </c>
      <c r="W18" s="3345">
        <v>20312</v>
      </c>
      <c r="X18" s="3345">
        <v>20312</v>
      </c>
      <c r="Y18" s="3345">
        <v>20312</v>
      </c>
      <c r="Z18" s="3345">
        <v>20312</v>
      </c>
      <c r="AA18" s="3345">
        <v>20312</v>
      </c>
      <c r="AB18" s="3345">
        <v>20312</v>
      </c>
      <c r="AC18" s="3345">
        <v>20312</v>
      </c>
      <c r="AD18" s="3345">
        <v>5078</v>
      </c>
      <c r="AE18" s="3345">
        <v>0</v>
      </c>
      <c r="AF18" s="3345">
        <v>0</v>
      </c>
      <c r="AG18" s="3345">
        <v>0</v>
      </c>
      <c r="AH18" s="3345">
        <v>0</v>
      </c>
      <c r="AI18" s="3345">
        <v>0</v>
      </c>
      <c r="AJ18" s="3345">
        <v>0</v>
      </c>
      <c r="AK18" s="3345">
        <v>0</v>
      </c>
      <c r="AL18" s="3345">
        <v>0</v>
      </c>
      <c r="AM18" s="3345">
        <v>0</v>
      </c>
      <c r="AN18" s="3345">
        <v>0</v>
      </c>
      <c r="AO18" s="3345">
        <v>0</v>
      </c>
      <c r="AP18" s="3345">
        <v>0</v>
      </c>
      <c r="AQ18" s="3345">
        <v>0</v>
      </c>
      <c r="AR18" s="3345"/>
      <c r="AS18" s="3345"/>
      <c r="AT18" s="3346">
        <f t="shared" si="0"/>
        <v>248822</v>
      </c>
      <c r="AU18" s="3347">
        <f t="shared" si="1"/>
        <v>0</v>
      </c>
      <c r="AV18" s="3348">
        <f t="shared" si="4"/>
        <v>106638</v>
      </c>
      <c r="AW18" s="3349">
        <f t="shared" si="2"/>
        <v>248822</v>
      </c>
      <c r="AY18" s="3336" t="b">
        <f t="shared" si="3"/>
        <v>1</v>
      </c>
      <c r="AZ18" s="3350">
        <f>AW18-K18</f>
        <v>0</v>
      </c>
      <c r="BC18" s="3350"/>
    </row>
    <row r="19" spans="2:55" outlineLevel="1">
      <c r="B19" s="3351" t="s">
        <v>775</v>
      </c>
      <c r="C19" s="3352"/>
      <c r="D19" s="3353" t="s">
        <v>5426</v>
      </c>
      <c r="E19" s="3354"/>
      <c r="F19" s="3355"/>
      <c r="G19" s="3355"/>
      <c r="H19" s="3355"/>
      <c r="I19" s="3355"/>
      <c r="J19" s="3356"/>
      <c r="K19" s="3357"/>
      <c r="L19" s="3356" t="s">
        <v>5427</v>
      </c>
      <c r="M19" s="3356"/>
      <c r="N19" s="3358">
        <f t="shared" si="5"/>
        <v>2.9460000000000002</v>
      </c>
      <c r="O19" s="3358">
        <v>2.9460000000000002</v>
      </c>
      <c r="P19" s="3360">
        <f>$P$4</f>
        <v>0</v>
      </c>
      <c r="Q19" s="3360" t="s">
        <v>5386</v>
      </c>
      <c r="R19" s="3361">
        <f>SUM(R18:$AQ18)*$N19/100</f>
        <v>7330.2961200000009</v>
      </c>
      <c r="S19" s="3361">
        <f>SUM(S18:$AQ18)*$N19/100</f>
        <v>6731.9046000000008</v>
      </c>
      <c r="T19" s="3361">
        <f>SUM(T18:$AQ18)*$N19/100</f>
        <v>6133.5130800000006</v>
      </c>
      <c r="U19" s="3361">
        <f>SUM(U18:$AQ18)*$N19/100</f>
        <v>5535.1215600000005</v>
      </c>
      <c r="V19" s="3361">
        <f>SUM(V18:$AQ18)*$N19/100</f>
        <v>4936.7300400000004</v>
      </c>
      <c r="W19" s="3361">
        <f>SUM(W18:$AQ18)*$N19/100</f>
        <v>4338.3385200000002</v>
      </c>
      <c r="X19" s="3361">
        <f>SUM(X18:$AQ18)*$N19/100</f>
        <v>3739.9470000000001</v>
      </c>
      <c r="Y19" s="3361">
        <f>SUM(Y18:$AQ18)*$N19/100</f>
        <v>3141.55548</v>
      </c>
      <c r="Z19" s="3361">
        <f>SUM(Z18:$AQ18)*$N19/100</f>
        <v>2543.1639599999999</v>
      </c>
      <c r="AA19" s="3361">
        <f>SUM(AA18:$AQ18)*$N19/100</f>
        <v>1944.77244</v>
      </c>
      <c r="AB19" s="3361">
        <f>SUM(AB18:$AQ18)*$N19/100</f>
        <v>1346.3809200000001</v>
      </c>
      <c r="AC19" s="3361">
        <f>SUM(AC18:$AQ18)*$N19/100</f>
        <v>747.98940000000005</v>
      </c>
      <c r="AD19" s="3361">
        <f>SUM(AD18:$AQ18)*$N19/100</f>
        <v>149.59788</v>
      </c>
      <c r="AE19" s="3361">
        <v>0</v>
      </c>
      <c r="AF19" s="3361">
        <v>0</v>
      </c>
      <c r="AG19" s="3361">
        <v>0</v>
      </c>
      <c r="AH19" s="3361">
        <v>0</v>
      </c>
      <c r="AI19" s="3361">
        <v>0</v>
      </c>
      <c r="AJ19" s="3361">
        <v>0</v>
      </c>
      <c r="AK19" s="3361">
        <v>0</v>
      </c>
      <c r="AL19" s="3361">
        <v>0</v>
      </c>
      <c r="AM19" s="3361">
        <v>0</v>
      </c>
      <c r="AN19" s="3361">
        <v>0</v>
      </c>
      <c r="AO19" s="3361">
        <v>0</v>
      </c>
      <c r="AP19" s="3361">
        <v>0</v>
      </c>
      <c r="AQ19" s="3361">
        <v>0</v>
      </c>
      <c r="AR19" s="3361"/>
      <c r="AS19" s="3361"/>
      <c r="AT19" s="3362">
        <f t="shared" si="0"/>
        <v>48619.311000000002</v>
      </c>
      <c r="AU19" s="3347">
        <f t="shared" si="1"/>
        <v>0</v>
      </c>
      <c r="AV19" s="3363">
        <f t="shared" si="4"/>
        <v>9873.4600799999989</v>
      </c>
      <c r="AW19" s="3364">
        <f t="shared" si="2"/>
        <v>48619.310999999994</v>
      </c>
      <c r="AY19" s="3336" t="b">
        <f t="shared" si="3"/>
        <v>1</v>
      </c>
      <c r="BC19" s="3350"/>
    </row>
    <row r="20" spans="2:55" s="3336" customFormat="1" outlineLevel="1">
      <c r="B20" s="3337" t="s">
        <v>775</v>
      </c>
      <c r="C20" s="3338">
        <v>8</v>
      </c>
      <c r="D20" s="3339" t="s">
        <v>5428</v>
      </c>
      <c r="E20" s="3340" t="s">
        <v>5429</v>
      </c>
      <c r="F20" s="3341" t="s">
        <v>5430</v>
      </c>
      <c r="G20" s="3341" t="s">
        <v>5431</v>
      </c>
      <c r="H20" s="3341" t="s">
        <v>5432</v>
      </c>
      <c r="I20" s="3341" t="s">
        <v>5382</v>
      </c>
      <c r="J20" s="3342">
        <v>278611.39</v>
      </c>
      <c r="K20" s="3343">
        <v>180950</v>
      </c>
      <c r="L20" s="3343"/>
      <c r="M20" s="3343"/>
      <c r="N20" s="3365"/>
      <c r="O20" s="3365"/>
      <c r="P20" s="3344"/>
      <c r="Q20" s="3344" t="s">
        <v>5383</v>
      </c>
      <c r="R20" s="3345">
        <v>14476</v>
      </c>
      <c r="S20" s="3345">
        <v>14476</v>
      </c>
      <c r="T20" s="3345">
        <v>14476</v>
      </c>
      <c r="U20" s="3345">
        <v>14476</v>
      </c>
      <c r="V20" s="3345">
        <v>14476</v>
      </c>
      <c r="W20" s="3345">
        <v>14476</v>
      </c>
      <c r="X20" s="3345">
        <v>14476</v>
      </c>
      <c r="Y20" s="3345">
        <v>14476</v>
      </c>
      <c r="Z20" s="3345">
        <v>14476</v>
      </c>
      <c r="AA20" s="3345">
        <v>14476</v>
      </c>
      <c r="AB20" s="3345">
        <v>14476</v>
      </c>
      <c r="AC20" s="3345">
        <v>14476</v>
      </c>
      <c r="AD20" s="3345">
        <v>7238</v>
      </c>
      <c r="AE20" s="3345">
        <v>0</v>
      </c>
      <c r="AF20" s="3345">
        <v>0</v>
      </c>
      <c r="AG20" s="3345">
        <v>0</v>
      </c>
      <c r="AH20" s="3345">
        <v>0</v>
      </c>
      <c r="AI20" s="3345">
        <v>0</v>
      </c>
      <c r="AJ20" s="3345">
        <v>0</v>
      </c>
      <c r="AK20" s="3345">
        <v>0</v>
      </c>
      <c r="AL20" s="3345">
        <v>0</v>
      </c>
      <c r="AM20" s="3345">
        <v>0</v>
      </c>
      <c r="AN20" s="3345">
        <v>0</v>
      </c>
      <c r="AO20" s="3345">
        <v>0</v>
      </c>
      <c r="AP20" s="3345">
        <v>0</v>
      </c>
      <c r="AQ20" s="3345">
        <v>0</v>
      </c>
      <c r="AR20" s="3345"/>
      <c r="AS20" s="3345"/>
      <c r="AT20" s="3346">
        <f t="shared" si="0"/>
        <v>180950</v>
      </c>
      <c r="AU20" s="3347">
        <f t="shared" si="1"/>
        <v>0</v>
      </c>
      <c r="AV20" s="3348">
        <f t="shared" si="4"/>
        <v>79618</v>
      </c>
      <c r="AW20" s="3349">
        <f t="shared" si="2"/>
        <v>180950</v>
      </c>
      <c r="AY20" s="3336" t="b">
        <f t="shared" si="3"/>
        <v>1</v>
      </c>
      <c r="AZ20" s="3350">
        <f>AW20-K20</f>
        <v>0</v>
      </c>
      <c r="BC20" s="3350"/>
    </row>
    <row r="21" spans="2:55" outlineLevel="1">
      <c r="B21" s="3351" t="s">
        <v>775</v>
      </c>
      <c r="C21" s="3352"/>
      <c r="D21" s="3353" t="s">
        <v>5433</v>
      </c>
      <c r="E21" s="3354"/>
      <c r="F21" s="3355"/>
      <c r="G21" s="3355"/>
      <c r="H21" s="3355"/>
      <c r="I21" s="3355"/>
      <c r="J21" s="3356"/>
      <c r="K21" s="3357"/>
      <c r="L21" s="3356" t="s">
        <v>5434</v>
      </c>
      <c r="M21" s="3356"/>
      <c r="N21" s="3358">
        <f t="shared" si="5"/>
        <v>2.508</v>
      </c>
      <c r="O21" s="3358">
        <v>2.508</v>
      </c>
      <c r="P21" s="3360">
        <f>$P$4</f>
        <v>0</v>
      </c>
      <c r="Q21" s="3360" t="s">
        <v>5386</v>
      </c>
      <c r="R21" s="3361">
        <f>SUM(R20:$AQ20)*$N21/100</f>
        <v>4538.2259999999997</v>
      </c>
      <c r="S21" s="3361">
        <f>SUM(S20:$AQ20)*$N21/100</f>
        <v>4175.1679199999999</v>
      </c>
      <c r="T21" s="3361">
        <f>SUM(T20:$AQ20)*$N21/100</f>
        <v>3812.1098400000001</v>
      </c>
      <c r="U21" s="3361">
        <f>SUM(U20:$AQ20)*$N21/100</f>
        <v>3449.0517599999998</v>
      </c>
      <c r="V21" s="3361">
        <f>SUM(V20:$AQ20)*$N21/100</f>
        <v>3085.99368</v>
      </c>
      <c r="W21" s="3361">
        <f>SUM(W20:$AQ20)*$N21/100</f>
        <v>2722.9355999999998</v>
      </c>
      <c r="X21" s="3361">
        <f>SUM(X20:$AQ20)*$N21/100</f>
        <v>2359.87752</v>
      </c>
      <c r="Y21" s="3361">
        <f>SUM(Y20:$AQ20)*$N21/100</f>
        <v>1996.81944</v>
      </c>
      <c r="Z21" s="3361">
        <f>SUM(Z20:$AQ20)*$N21/100</f>
        <v>1633.76136</v>
      </c>
      <c r="AA21" s="3361">
        <f>SUM(AA20:$AQ20)*$N21/100</f>
        <v>1270.7032799999999</v>
      </c>
      <c r="AB21" s="3361">
        <f>SUM(AB20:$AQ20)*$N21/100</f>
        <v>907.64520000000005</v>
      </c>
      <c r="AC21" s="3361">
        <f>SUM(AC20:$AQ20)*$N21/100</f>
        <v>544.58712000000003</v>
      </c>
      <c r="AD21" s="3361">
        <f>SUM(AD20:$AQ20)*$N21/100</f>
        <v>181.52903999999998</v>
      </c>
      <c r="AE21" s="3361">
        <v>0</v>
      </c>
      <c r="AF21" s="3361">
        <v>0</v>
      </c>
      <c r="AG21" s="3361">
        <v>0</v>
      </c>
      <c r="AH21" s="3361">
        <v>0</v>
      </c>
      <c r="AI21" s="3361">
        <v>0</v>
      </c>
      <c r="AJ21" s="3361">
        <v>0</v>
      </c>
      <c r="AK21" s="3361">
        <v>0</v>
      </c>
      <c r="AL21" s="3361">
        <v>0</v>
      </c>
      <c r="AM21" s="3361">
        <v>0</v>
      </c>
      <c r="AN21" s="3361">
        <v>0</v>
      </c>
      <c r="AO21" s="3361">
        <v>0</v>
      </c>
      <c r="AP21" s="3361">
        <v>0</v>
      </c>
      <c r="AQ21" s="3361">
        <v>0</v>
      </c>
      <c r="AR21" s="3361"/>
      <c r="AS21" s="3361"/>
      <c r="AT21" s="3362">
        <f t="shared" si="0"/>
        <v>30678.407760000002</v>
      </c>
      <c r="AU21" s="3347">
        <f t="shared" si="1"/>
        <v>0</v>
      </c>
      <c r="AV21" s="3363">
        <f t="shared" si="4"/>
        <v>6535.0454399999999</v>
      </c>
      <c r="AW21" s="3364">
        <f t="shared" si="2"/>
        <v>30678.407760000002</v>
      </c>
      <c r="AY21" s="3336" t="b">
        <f t="shared" si="3"/>
        <v>1</v>
      </c>
      <c r="BC21" s="3350"/>
    </row>
    <row r="22" spans="2:55" s="3336" customFormat="1" outlineLevel="1">
      <c r="B22" s="3337" t="s">
        <v>775</v>
      </c>
      <c r="C22" s="3338">
        <v>9</v>
      </c>
      <c r="D22" s="3339" t="s">
        <v>5435</v>
      </c>
      <c r="E22" s="3340" t="s">
        <v>5436</v>
      </c>
      <c r="F22" s="3341" t="s">
        <v>5437</v>
      </c>
      <c r="G22" s="3341" t="s">
        <v>5431</v>
      </c>
      <c r="H22" s="3341" t="s">
        <v>5438</v>
      </c>
      <c r="I22" s="3341" t="s">
        <v>5382</v>
      </c>
      <c r="J22" s="3342">
        <v>49472</v>
      </c>
      <c r="K22" s="3343">
        <v>11100</v>
      </c>
      <c r="L22" s="3343"/>
      <c r="M22" s="3343"/>
      <c r="N22" s="3365"/>
      <c r="O22" s="3365"/>
      <c r="P22" s="3344"/>
      <c r="Q22" s="3344" t="s">
        <v>5383</v>
      </c>
      <c r="R22" s="3367">
        <v>1480</v>
      </c>
      <c r="S22" s="3367">
        <v>1480</v>
      </c>
      <c r="T22" s="3367">
        <v>1480</v>
      </c>
      <c r="U22" s="3367">
        <v>1480</v>
      </c>
      <c r="V22" s="3367">
        <v>1480</v>
      </c>
      <c r="W22" s="3367">
        <v>1480</v>
      </c>
      <c r="X22" s="3367">
        <v>1480</v>
      </c>
      <c r="Y22" s="3367">
        <v>740</v>
      </c>
      <c r="Z22" s="3345">
        <v>0</v>
      </c>
      <c r="AA22" s="3345">
        <v>0</v>
      </c>
      <c r="AB22" s="3345">
        <v>0</v>
      </c>
      <c r="AC22" s="3345">
        <v>0</v>
      </c>
      <c r="AD22" s="3345">
        <v>0</v>
      </c>
      <c r="AE22" s="3345">
        <v>0</v>
      </c>
      <c r="AF22" s="3345">
        <v>0</v>
      </c>
      <c r="AG22" s="3345">
        <v>0</v>
      </c>
      <c r="AH22" s="3345">
        <v>0</v>
      </c>
      <c r="AI22" s="3345">
        <v>0</v>
      </c>
      <c r="AJ22" s="3345">
        <v>0</v>
      </c>
      <c r="AK22" s="3345">
        <v>0</v>
      </c>
      <c r="AL22" s="3345">
        <v>0</v>
      </c>
      <c r="AM22" s="3345">
        <v>0</v>
      </c>
      <c r="AN22" s="3345">
        <v>0</v>
      </c>
      <c r="AO22" s="3345">
        <v>0</v>
      </c>
      <c r="AP22" s="3345">
        <v>0</v>
      </c>
      <c r="AQ22" s="3345">
        <v>0</v>
      </c>
      <c r="AR22" s="3345"/>
      <c r="AS22" s="3345"/>
      <c r="AT22" s="3346">
        <f t="shared" si="0"/>
        <v>11100</v>
      </c>
      <c r="AU22" s="3347">
        <f t="shared" si="1"/>
        <v>0</v>
      </c>
      <c r="AV22" s="3348">
        <f t="shared" si="4"/>
        <v>740</v>
      </c>
      <c r="AW22" s="3349">
        <f t="shared" si="2"/>
        <v>11100</v>
      </c>
      <c r="AY22" s="3336" t="b">
        <f t="shared" si="3"/>
        <v>1</v>
      </c>
      <c r="AZ22" s="3350">
        <f>AW22-K22</f>
        <v>0</v>
      </c>
      <c r="BC22" s="3350"/>
    </row>
    <row r="23" spans="2:55" outlineLevel="1">
      <c r="B23" s="3351" t="s">
        <v>775</v>
      </c>
      <c r="C23" s="3352"/>
      <c r="D23" s="3353" t="s">
        <v>5439</v>
      </c>
      <c r="E23" s="3354"/>
      <c r="F23" s="3355"/>
      <c r="G23" s="3355"/>
      <c r="H23" s="3355"/>
      <c r="I23" s="3355"/>
      <c r="J23" s="3356"/>
      <c r="K23" s="3357"/>
      <c r="L23" s="3356" t="s">
        <v>5434</v>
      </c>
      <c r="M23" s="3356"/>
      <c r="N23" s="3358">
        <f t="shared" si="5"/>
        <v>2.508</v>
      </c>
      <c r="O23" s="3358">
        <v>2.508</v>
      </c>
      <c r="P23" s="3360">
        <f>$P$4</f>
        <v>0</v>
      </c>
      <c r="Q23" s="3360" t="s">
        <v>5386</v>
      </c>
      <c r="R23" s="3361">
        <f>SUM(R22:$AQ22)*$N23/100</f>
        <v>278.38799999999998</v>
      </c>
      <c r="S23" s="3361">
        <f>SUM(S22:$AQ22)*$N23/100</f>
        <v>241.2696</v>
      </c>
      <c r="T23" s="3361">
        <f>SUM(T22:$AQ22)*$N23/100</f>
        <v>204.15119999999999</v>
      </c>
      <c r="U23" s="3361">
        <f>SUM(U22:$AQ22)*$N23/100</f>
        <v>167.03279999999998</v>
      </c>
      <c r="V23" s="3361">
        <f>SUM(V22:$AQ22)*$N23/100</f>
        <v>129.9144</v>
      </c>
      <c r="W23" s="3361">
        <f>SUM(W22:$AQ22)*$N23/100</f>
        <v>92.796000000000006</v>
      </c>
      <c r="X23" s="3361">
        <f>SUM(X22:$AQ22)*$N23/100</f>
        <v>55.677600000000005</v>
      </c>
      <c r="Y23" s="3361">
        <f>SUM(Y22:$AQ22)*$N23/100</f>
        <v>18.559200000000001</v>
      </c>
      <c r="Z23" s="3361">
        <v>0</v>
      </c>
      <c r="AA23" s="3361">
        <v>0</v>
      </c>
      <c r="AB23" s="3361">
        <v>0</v>
      </c>
      <c r="AC23" s="3361">
        <v>0</v>
      </c>
      <c r="AD23" s="3361">
        <v>0</v>
      </c>
      <c r="AE23" s="3361">
        <v>0</v>
      </c>
      <c r="AF23" s="3361">
        <v>0</v>
      </c>
      <c r="AG23" s="3361">
        <v>0</v>
      </c>
      <c r="AH23" s="3361">
        <v>0</v>
      </c>
      <c r="AI23" s="3361">
        <v>0</v>
      </c>
      <c r="AJ23" s="3361">
        <v>0</v>
      </c>
      <c r="AK23" s="3361">
        <v>0</v>
      </c>
      <c r="AL23" s="3361">
        <v>0</v>
      </c>
      <c r="AM23" s="3361">
        <v>0</v>
      </c>
      <c r="AN23" s="3361">
        <v>0</v>
      </c>
      <c r="AO23" s="3361">
        <v>0</v>
      </c>
      <c r="AP23" s="3361">
        <v>0</v>
      </c>
      <c r="AQ23" s="3361">
        <v>0</v>
      </c>
      <c r="AR23" s="3361"/>
      <c r="AS23" s="3361"/>
      <c r="AT23" s="3362">
        <f t="shared" si="0"/>
        <v>1187.7887999999998</v>
      </c>
      <c r="AU23" s="3347">
        <f t="shared" si="1"/>
        <v>0</v>
      </c>
      <c r="AV23" s="3363">
        <f t="shared" si="4"/>
        <v>18.559200000000001</v>
      </c>
      <c r="AW23" s="3364">
        <f t="shared" si="2"/>
        <v>1187.7887999999998</v>
      </c>
      <c r="AY23" s="3336" t="b">
        <f t="shared" si="3"/>
        <v>1</v>
      </c>
      <c r="BC23" s="3350"/>
    </row>
    <row r="24" spans="2:55" s="3336" customFormat="1" outlineLevel="1">
      <c r="B24" s="3337" t="s">
        <v>775</v>
      </c>
      <c r="C24" s="3338">
        <v>10</v>
      </c>
      <c r="D24" s="3339" t="s">
        <v>5440</v>
      </c>
      <c r="E24" s="3340" t="s">
        <v>5441</v>
      </c>
      <c r="F24" s="3341" t="s">
        <v>5442</v>
      </c>
      <c r="G24" s="3341" t="s">
        <v>5431</v>
      </c>
      <c r="H24" s="3341" t="s">
        <v>5432</v>
      </c>
      <c r="I24" s="3341" t="s">
        <v>5382</v>
      </c>
      <c r="J24" s="3342">
        <v>238897.15</v>
      </c>
      <c r="K24" s="3343">
        <v>132500</v>
      </c>
      <c r="L24" s="3343"/>
      <c r="M24" s="3343"/>
      <c r="N24" s="3365"/>
      <c r="O24" s="3365"/>
      <c r="P24" s="3344"/>
      <c r="Q24" s="3344" t="s">
        <v>5383</v>
      </c>
      <c r="R24" s="3345">
        <v>10600</v>
      </c>
      <c r="S24" s="3345">
        <v>10600</v>
      </c>
      <c r="T24" s="3345">
        <v>10600</v>
      </c>
      <c r="U24" s="3345">
        <v>10600</v>
      </c>
      <c r="V24" s="3345">
        <v>10600</v>
      </c>
      <c r="W24" s="3345">
        <v>10600</v>
      </c>
      <c r="X24" s="3345">
        <v>10600</v>
      </c>
      <c r="Y24" s="3345">
        <v>10600</v>
      </c>
      <c r="Z24" s="3345">
        <v>10600</v>
      </c>
      <c r="AA24" s="3345">
        <v>10600</v>
      </c>
      <c r="AB24" s="3345">
        <v>10600</v>
      </c>
      <c r="AC24" s="3345">
        <v>10600</v>
      </c>
      <c r="AD24" s="3345">
        <v>5300</v>
      </c>
      <c r="AE24" s="3345">
        <v>0</v>
      </c>
      <c r="AF24" s="3345">
        <v>0</v>
      </c>
      <c r="AG24" s="3345">
        <v>0</v>
      </c>
      <c r="AH24" s="3345">
        <v>0</v>
      </c>
      <c r="AI24" s="3345">
        <v>0</v>
      </c>
      <c r="AJ24" s="3345">
        <v>0</v>
      </c>
      <c r="AK24" s="3345">
        <v>0</v>
      </c>
      <c r="AL24" s="3345">
        <v>0</v>
      </c>
      <c r="AM24" s="3345">
        <v>0</v>
      </c>
      <c r="AN24" s="3345">
        <v>0</v>
      </c>
      <c r="AO24" s="3345">
        <v>0</v>
      </c>
      <c r="AP24" s="3345">
        <v>0</v>
      </c>
      <c r="AQ24" s="3345">
        <v>0</v>
      </c>
      <c r="AR24" s="3345"/>
      <c r="AS24" s="3345"/>
      <c r="AT24" s="3346">
        <f t="shared" si="0"/>
        <v>132500</v>
      </c>
      <c r="AU24" s="3347">
        <f t="shared" si="1"/>
        <v>0</v>
      </c>
      <c r="AV24" s="3348">
        <f t="shared" si="4"/>
        <v>58300</v>
      </c>
      <c r="AW24" s="3349">
        <f t="shared" si="2"/>
        <v>132500</v>
      </c>
      <c r="AY24" s="3336" t="b">
        <f t="shared" si="3"/>
        <v>1</v>
      </c>
      <c r="AZ24" s="3350">
        <f>AW24-K24</f>
        <v>0</v>
      </c>
      <c r="BC24" s="3350"/>
    </row>
    <row r="25" spans="2:55" outlineLevel="1">
      <c r="B25" s="3351" t="s">
        <v>775</v>
      </c>
      <c r="C25" s="3352"/>
      <c r="D25" s="3353" t="s">
        <v>5443</v>
      </c>
      <c r="E25" s="3354"/>
      <c r="F25" s="3355"/>
      <c r="G25" s="3355"/>
      <c r="H25" s="3355"/>
      <c r="I25" s="3355"/>
      <c r="J25" s="3356"/>
      <c r="K25" s="3357"/>
      <c r="L25" s="3356" t="s">
        <v>5434</v>
      </c>
      <c r="M25" s="3356"/>
      <c r="N25" s="3358">
        <f t="shared" si="5"/>
        <v>2.508</v>
      </c>
      <c r="O25" s="3358">
        <v>2.508</v>
      </c>
      <c r="P25" s="3360">
        <f>$P$4</f>
        <v>0</v>
      </c>
      <c r="Q25" s="3360" t="s">
        <v>5386</v>
      </c>
      <c r="R25" s="3361">
        <f>SUM(R24:$AQ24)*$N25/100</f>
        <v>3323.1</v>
      </c>
      <c r="S25" s="3361">
        <f>SUM(S24:$AQ24)*$N25/100</f>
        <v>3057.252</v>
      </c>
      <c r="T25" s="3361">
        <f>SUM(T24:$AQ24)*$N25/100</f>
        <v>2791.4040000000005</v>
      </c>
      <c r="U25" s="3361">
        <f>SUM(U24:$AQ24)*$N25/100</f>
        <v>2525.556</v>
      </c>
      <c r="V25" s="3361">
        <f>SUM(V24:$AQ24)*$N25/100</f>
        <v>2259.7080000000001</v>
      </c>
      <c r="W25" s="3361">
        <f>SUM(W24:$AQ24)*$N25/100</f>
        <v>1993.86</v>
      </c>
      <c r="X25" s="3361">
        <f>SUM(X24:$AQ24)*$N25/100</f>
        <v>1728.0120000000002</v>
      </c>
      <c r="Y25" s="3361">
        <f>SUM(Y24:$AQ24)*$N25/100</f>
        <v>1462.164</v>
      </c>
      <c r="Z25" s="3361">
        <f>SUM(Z24:$AQ24)*$N25/100</f>
        <v>1196.316</v>
      </c>
      <c r="AA25" s="3361">
        <f>SUM(AA24:$AQ24)*$N25/100</f>
        <v>930.46800000000007</v>
      </c>
      <c r="AB25" s="3361">
        <f>SUM(AB24:$AQ24)*$N25/100</f>
        <v>664.62</v>
      </c>
      <c r="AC25" s="3361">
        <f>SUM(AC24:$AQ24)*$N25/100</f>
        <v>398.77199999999999</v>
      </c>
      <c r="AD25" s="3361">
        <f>SUM(AD24:$AQ24)*$N25/100</f>
        <v>132.92400000000001</v>
      </c>
      <c r="AE25" s="3361">
        <v>0</v>
      </c>
      <c r="AF25" s="3361">
        <v>0</v>
      </c>
      <c r="AG25" s="3361">
        <v>0</v>
      </c>
      <c r="AH25" s="3361">
        <v>0</v>
      </c>
      <c r="AI25" s="3361">
        <v>0</v>
      </c>
      <c r="AJ25" s="3361">
        <v>0</v>
      </c>
      <c r="AK25" s="3361">
        <v>0</v>
      </c>
      <c r="AL25" s="3361">
        <v>0</v>
      </c>
      <c r="AM25" s="3361">
        <v>0</v>
      </c>
      <c r="AN25" s="3361">
        <v>0</v>
      </c>
      <c r="AO25" s="3361">
        <v>0</v>
      </c>
      <c r="AP25" s="3361">
        <v>0</v>
      </c>
      <c r="AQ25" s="3361">
        <v>0</v>
      </c>
      <c r="AR25" s="3361"/>
      <c r="AS25" s="3361"/>
      <c r="AT25" s="3362">
        <f t="shared" si="0"/>
        <v>22464.156000000003</v>
      </c>
      <c r="AU25" s="3347">
        <f t="shared" si="1"/>
        <v>0</v>
      </c>
      <c r="AV25" s="3363">
        <f t="shared" si="4"/>
        <v>4785.2640000000001</v>
      </c>
      <c r="AW25" s="3364">
        <f t="shared" si="2"/>
        <v>22464.156000000003</v>
      </c>
      <c r="AY25" s="3336" t="b">
        <f t="shared" si="3"/>
        <v>1</v>
      </c>
      <c r="BC25" s="3350"/>
    </row>
    <row r="26" spans="2:55" s="3372" customFormat="1" outlineLevel="1">
      <c r="B26" s="3368" t="s">
        <v>775</v>
      </c>
      <c r="C26" s="3369">
        <v>11</v>
      </c>
      <c r="D26" s="3370" t="s">
        <v>5444</v>
      </c>
      <c r="E26" s="3340" t="s">
        <v>5445</v>
      </c>
      <c r="F26" s="3340" t="s">
        <v>5446</v>
      </c>
      <c r="G26" s="3340" t="s">
        <v>5447</v>
      </c>
      <c r="H26" s="3340" t="s">
        <v>5448</v>
      </c>
      <c r="I26" s="3340" t="s">
        <v>5382</v>
      </c>
      <c r="J26" s="3342">
        <v>34291</v>
      </c>
      <c r="K26" s="3343">
        <v>8870</v>
      </c>
      <c r="L26" s="3343"/>
      <c r="M26" s="3343"/>
      <c r="N26" s="3365"/>
      <c r="O26" s="3365"/>
      <c r="P26" s="3344"/>
      <c r="Q26" s="3344" t="s">
        <v>5383</v>
      </c>
      <c r="R26" s="3345">
        <v>3548</v>
      </c>
      <c r="S26" s="3345">
        <v>3548</v>
      </c>
      <c r="T26" s="3345">
        <v>1774</v>
      </c>
      <c r="U26" s="3345">
        <v>0</v>
      </c>
      <c r="V26" s="3345">
        <v>0</v>
      </c>
      <c r="W26" s="3345">
        <v>0</v>
      </c>
      <c r="X26" s="3345">
        <v>0</v>
      </c>
      <c r="Y26" s="3345">
        <v>0</v>
      </c>
      <c r="Z26" s="3345">
        <v>0</v>
      </c>
      <c r="AA26" s="3345">
        <v>0</v>
      </c>
      <c r="AB26" s="3345">
        <v>0</v>
      </c>
      <c r="AC26" s="3345">
        <v>0</v>
      </c>
      <c r="AD26" s="3345">
        <v>0</v>
      </c>
      <c r="AE26" s="3345">
        <v>0</v>
      </c>
      <c r="AF26" s="3345">
        <v>0</v>
      </c>
      <c r="AG26" s="3345">
        <v>0</v>
      </c>
      <c r="AH26" s="3345">
        <v>0</v>
      </c>
      <c r="AI26" s="3345">
        <v>0</v>
      </c>
      <c r="AJ26" s="3345">
        <v>0</v>
      </c>
      <c r="AK26" s="3345">
        <v>0</v>
      </c>
      <c r="AL26" s="3345">
        <v>0</v>
      </c>
      <c r="AM26" s="3345">
        <v>0</v>
      </c>
      <c r="AN26" s="3345">
        <v>0</v>
      </c>
      <c r="AO26" s="3345">
        <v>0</v>
      </c>
      <c r="AP26" s="3345">
        <v>0</v>
      </c>
      <c r="AQ26" s="3345">
        <v>0</v>
      </c>
      <c r="AR26" s="3345"/>
      <c r="AS26" s="3345"/>
      <c r="AT26" s="3349">
        <f t="shared" si="0"/>
        <v>8870</v>
      </c>
      <c r="AU26" s="3371">
        <f t="shared" si="1"/>
        <v>0</v>
      </c>
      <c r="AV26" s="3348">
        <f t="shared" si="4"/>
        <v>0</v>
      </c>
      <c r="AW26" s="3349">
        <f t="shared" si="2"/>
        <v>8870</v>
      </c>
      <c r="AY26" s="3372" t="b">
        <f t="shared" si="3"/>
        <v>1</v>
      </c>
      <c r="AZ26" s="3350">
        <f>AW26-K26</f>
        <v>0</v>
      </c>
      <c r="BC26" s="3350"/>
    </row>
    <row r="27" spans="2:55" s="3318" customFormat="1" outlineLevel="1">
      <c r="B27" s="3373" t="s">
        <v>775</v>
      </c>
      <c r="C27" s="3374"/>
      <c r="D27" s="3375" t="s">
        <v>5449</v>
      </c>
      <c r="E27" s="3354"/>
      <c r="F27" s="3354"/>
      <c r="G27" s="3354"/>
      <c r="H27" s="3354"/>
      <c r="I27" s="3354"/>
      <c r="J27" s="3356"/>
      <c r="K27" s="3357"/>
      <c r="L27" s="3356" t="s">
        <v>5450</v>
      </c>
      <c r="M27" s="3356"/>
      <c r="N27" s="3358">
        <f t="shared" si="5"/>
        <v>2.4620000000000002</v>
      </c>
      <c r="O27" s="3358">
        <v>2.4620000000000002</v>
      </c>
      <c r="P27" s="3360">
        <f>$P$4</f>
        <v>0</v>
      </c>
      <c r="Q27" s="3360" t="s">
        <v>5386</v>
      </c>
      <c r="R27" s="3361">
        <f>SUM(R26:$AQ26)*$N27/100</f>
        <v>218.37940000000003</v>
      </c>
      <c r="S27" s="3361">
        <f>SUM(S26:$AQ26)*$N27/100</f>
        <v>131.02764000000002</v>
      </c>
      <c r="T27" s="3361">
        <f>SUM(T26:$AQ26)*$N27/100</f>
        <v>43.675880000000006</v>
      </c>
      <c r="U27" s="3361">
        <v>0</v>
      </c>
      <c r="V27" s="3361">
        <v>0</v>
      </c>
      <c r="W27" s="3361">
        <v>0</v>
      </c>
      <c r="X27" s="3361">
        <v>0</v>
      </c>
      <c r="Y27" s="3361">
        <v>0</v>
      </c>
      <c r="Z27" s="3361">
        <v>0</v>
      </c>
      <c r="AA27" s="3361">
        <v>0</v>
      </c>
      <c r="AB27" s="3361">
        <v>0</v>
      </c>
      <c r="AC27" s="3361">
        <v>0</v>
      </c>
      <c r="AD27" s="3361">
        <v>0</v>
      </c>
      <c r="AE27" s="3361">
        <v>0</v>
      </c>
      <c r="AF27" s="3361">
        <v>0</v>
      </c>
      <c r="AG27" s="3361">
        <v>0</v>
      </c>
      <c r="AH27" s="3361">
        <v>0</v>
      </c>
      <c r="AI27" s="3361">
        <v>0</v>
      </c>
      <c r="AJ27" s="3361">
        <v>0</v>
      </c>
      <c r="AK27" s="3361">
        <v>0</v>
      </c>
      <c r="AL27" s="3361">
        <v>0</v>
      </c>
      <c r="AM27" s="3361">
        <v>0</v>
      </c>
      <c r="AN27" s="3361">
        <v>0</v>
      </c>
      <c r="AO27" s="3361">
        <v>0</v>
      </c>
      <c r="AP27" s="3361">
        <v>0</v>
      </c>
      <c r="AQ27" s="3361">
        <v>0</v>
      </c>
      <c r="AR27" s="3361"/>
      <c r="AS27" s="3361"/>
      <c r="AT27" s="3364">
        <f t="shared" si="0"/>
        <v>393.08292000000006</v>
      </c>
      <c r="AU27" s="3371">
        <f t="shared" si="1"/>
        <v>0</v>
      </c>
      <c r="AV27" s="3363">
        <f t="shared" si="4"/>
        <v>0</v>
      </c>
      <c r="AW27" s="3364">
        <f t="shared" si="2"/>
        <v>393.08292000000006</v>
      </c>
      <c r="AY27" s="3372" t="b">
        <f t="shared" si="3"/>
        <v>1</v>
      </c>
      <c r="AZ27" s="3316"/>
      <c r="BC27" s="3350"/>
    </row>
    <row r="28" spans="2:55" s="3336" customFormat="1" outlineLevel="1">
      <c r="B28" s="3337" t="s">
        <v>775</v>
      </c>
      <c r="C28" s="3338">
        <v>12</v>
      </c>
      <c r="D28" s="3339" t="s">
        <v>5451</v>
      </c>
      <c r="E28" s="3340" t="s">
        <v>5452</v>
      </c>
      <c r="F28" s="3341" t="s">
        <v>5453</v>
      </c>
      <c r="G28" s="3341" t="s">
        <v>5454</v>
      </c>
      <c r="H28" s="3341" t="s">
        <v>5455</v>
      </c>
      <c r="I28" s="3341" t="s">
        <v>5382</v>
      </c>
      <c r="J28" s="3342">
        <v>2609698.31</v>
      </c>
      <c r="K28" s="3343">
        <v>2138739.31</v>
      </c>
      <c r="L28" s="3343"/>
      <c r="M28" s="3343"/>
      <c r="N28" s="3365"/>
      <c r="O28" s="3365"/>
      <c r="P28" s="3344"/>
      <c r="Q28" s="3344" t="s">
        <v>5383</v>
      </c>
      <c r="R28" s="3345">
        <v>94200</v>
      </c>
      <c r="S28" s="3345">
        <v>94200</v>
      </c>
      <c r="T28" s="3345">
        <v>94200</v>
      </c>
      <c r="U28" s="3345">
        <v>94200</v>
      </c>
      <c r="V28" s="3345">
        <v>94200</v>
      </c>
      <c r="W28" s="3345">
        <v>94200</v>
      </c>
      <c r="X28" s="3345">
        <v>94200</v>
      </c>
      <c r="Y28" s="3345">
        <v>94200</v>
      </c>
      <c r="Z28" s="3345">
        <v>94200</v>
      </c>
      <c r="AA28" s="3345">
        <v>94200</v>
      </c>
      <c r="AB28" s="3345">
        <v>94200</v>
      </c>
      <c r="AC28" s="3345">
        <v>94200</v>
      </c>
      <c r="AD28" s="3345">
        <v>94200</v>
      </c>
      <c r="AE28" s="3345">
        <v>94200</v>
      </c>
      <c r="AF28" s="3345">
        <v>94200</v>
      </c>
      <c r="AG28" s="3345">
        <v>94200</v>
      </c>
      <c r="AH28" s="3345">
        <v>94200</v>
      </c>
      <c r="AI28" s="3345">
        <v>94200</v>
      </c>
      <c r="AJ28" s="3345">
        <v>94200</v>
      </c>
      <c r="AK28" s="3345">
        <v>94200</v>
      </c>
      <c r="AL28" s="3345">
        <v>94200</v>
      </c>
      <c r="AM28" s="3345">
        <v>94200</v>
      </c>
      <c r="AN28" s="3345">
        <v>66339.31</v>
      </c>
      <c r="AO28" s="3345">
        <v>0</v>
      </c>
      <c r="AP28" s="3345">
        <v>0</v>
      </c>
      <c r="AQ28" s="3345">
        <v>0</v>
      </c>
      <c r="AR28" s="3345"/>
      <c r="AS28" s="3345"/>
      <c r="AT28" s="3346">
        <f t="shared" si="0"/>
        <v>2138739.31</v>
      </c>
      <c r="AU28" s="3347">
        <f t="shared" si="1"/>
        <v>0</v>
      </c>
      <c r="AV28" s="3348">
        <f t="shared" si="4"/>
        <v>1479339.31</v>
      </c>
      <c r="AW28" s="3349">
        <f t="shared" si="2"/>
        <v>2138739.31</v>
      </c>
      <c r="AY28" s="3336" t="b">
        <f t="shared" si="3"/>
        <v>1</v>
      </c>
      <c r="AZ28" s="3350">
        <f>AW28-K28</f>
        <v>0</v>
      </c>
      <c r="BC28" s="3350"/>
    </row>
    <row r="29" spans="2:55" outlineLevel="1">
      <c r="B29" s="3351" t="s">
        <v>775</v>
      </c>
      <c r="C29" s="3352"/>
      <c r="D29" s="3353" t="s">
        <v>5456</v>
      </c>
      <c r="E29" s="3354"/>
      <c r="F29" s="3355"/>
      <c r="G29" s="3355"/>
      <c r="H29" s="3355"/>
      <c r="I29" s="3355"/>
      <c r="J29" s="3356"/>
      <c r="K29" s="3357"/>
      <c r="L29" s="3356" t="s">
        <v>5457</v>
      </c>
      <c r="M29" s="3356"/>
      <c r="N29" s="3358">
        <f t="shared" si="5"/>
        <v>2.2999999999999998</v>
      </c>
      <c r="O29" s="3359">
        <v>2.2999999999999998</v>
      </c>
      <c r="P29" s="3360">
        <f>$P$4</f>
        <v>0</v>
      </c>
      <c r="Q29" s="3360" t="s">
        <v>5386</v>
      </c>
      <c r="R29" s="3361">
        <f>SUM(R28:$AQ28)*$N29/100</f>
        <v>49191.004129999994</v>
      </c>
      <c r="S29" s="3361">
        <f>SUM(S28:$AQ28)*$N29/100</f>
        <v>47024.404129999995</v>
      </c>
      <c r="T29" s="3361">
        <f>SUM(T28:$AQ28)*$N29/100</f>
        <v>44857.804129999997</v>
      </c>
      <c r="U29" s="3361">
        <f>SUM(U28:$AQ28)*$N29/100</f>
        <v>42691.204129999998</v>
      </c>
      <c r="V29" s="3361">
        <f>SUM(V28:$AQ28)*$N29/100</f>
        <v>40524.60413</v>
      </c>
      <c r="W29" s="3361">
        <f>SUM(W28:$AQ28)*$N29/100</f>
        <v>38358.004129999994</v>
      </c>
      <c r="X29" s="3361">
        <f>SUM(X28:$AQ28)*$N29/100</f>
        <v>36191.404129999995</v>
      </c>
      <c r="Y29" s="3361">
        <f>SUM(Y28:$AQ28)*$N29/100</f>
        <v>34024.804129999997</v>
      </c>
      <c r="Z29" s="3361">
        <f>SUM(Z28:$AQ28)*$N29/100</f>
        <v>31858.204129999998</v>
      </c>
      <c r="AA29" s="3361">
        <f>SUM(AA28:$AQ28)*$N29/100</f>
        <v>29691.604129999996</v>
      </c>
      <c r="AB29" s="3361">
        <f>SUM(AB28:$AQ28)*$N29/100</f>
        <v>27525.004129999998</v>
      </c>
      <c r="AC29" s="3361">
        <f>SUM(AC28:$AQ28)*$N29/100</f>
        <v>25358.404129999995</v>
      </c>
      <c r="AD29" s="3361">
        <f>SUM(AD28:$AQ28)*$N29/100</f>
        <v>23191.80413</v>
      </c>
      <c r="AE29" s="3361">
        <f>SUM(AE28:$AQ28)*$N29/100</f>
        <v>21025.204130000002</v>
      </c>
      <c r="AF29" s="3361">
        <f>SUM(AF28:$AQ28)*$N29/100</f>
        <v>18858.60413</v>
      </c>
      <c r="AG29" s="3361">
        <f>SUM(AG28:$AQ28)*$N29/100</f>
        <v>16692.004130000001</v>
      </c>
      <c r="AH29" s="3361">
        <f>SUM(AH28:$AQ28)*$N29/100</f>
        <v>14525.404129999999</v>
      </c>
      <c r="AI29" s="3361">
        <f>SUM(AI28:$AQ28)*$N29/100</f>
        <v>12358.804129999999</v>
      </c>
      <c r="AJ29" s="3361">
        <f>SUM(AJ28:$AQ28)*$N29/100</f>
        <v>10192.20413</v>
      </c>
      <c r="AK29" s="3361">
        <f>SUM(AK28:$AQ28)*$N29/100</f>
        <v>8025.6041299999997</v>
      </c>
      <c r="AL29" s="3361">
        <f>SUM(AL28:$AQ28)*$N29/100</f>
        <v>5859.0041299999993</v>
      </c>
      <c r="AM29" s="3361">
        <f>SUM(AM28:$AQ28)*$N29/100</f>
        <v>3692.4041299999994</v>
      </c>
      <c r="AN29" s="3361">
        <f>SUM(AN28:$AQ28)*$N29/100</f>
        <v>1525.8041299999998</v>
      </c>
      <c r="AO29" s="3361">
        <v>0</v>
      </c>
      <c r="AP29" s="3361">
        <v>0</v>
      </c>
      <c r="AQ29" s="3361">
        <v>0</v>
      </c>
      <c r="AR29" s="3361"/>
      <c r="AS29" s="3361"/>
      <c r="AT29" s="3362">
        <f t="shared" si="0"/>
        <v>583243.29498999985</v>
      </c>
      <c r="AU29" s="3347">
        <f t="shared" si="1"/>
        <v>0</v>
      </c>
      <c r="AV29" s="3363">
        <f t="shared" si="4"/>
        <v>284404.86608000001</v>
      </c>
      <c r="AW29" s="3364">
        <f t="shared" si="2"/>
        <v>583243.29498999997</v>
      </c>
      <c r="AY29" s="3336" t="b">
        <f t="shared" si="3"/>
        <v>1</v>
      </c>
      <c r="BC29" s="3350"/>
    </row>
    <row r="30" spans="2:55" s="3336" customFormat="1" outlineLevel="1">
      <c r="B30" s="3337" t="s">
        <v>775</v>
      </c>
      <c r="C30" s="3338">
        <v>13</v>
      </c>
      <c r="D30" s="3339" t="s">
        <v>5458</v>
      </c>
      <c r="E30" s="3340" t="s">
        <v>5459</v>
      </c>
      <c r="F30" s="3341" t="s">
        <v>5460</v>
      </c>
      <c r="G30" s="3341" t="s">
        <v>5454</v>
      </c>
      <c r="H30" s="3341" t="s">
        <v>5455</v>
      </c>
      <c r="I30" s="3341" t="s">
        <v>5382</v>
      </c>
      <c r="J30" s="3342">
        <v>3496295</v>
      </c>
      <c r="K30" s="3343">
        <v>2866409</v>
      </c>
      <c r="L30" s="3343"/>
      <c r="M30" s="3343"/>
      <c r="N30" s="3365"/>
      <c r="O30" s="3365"/>
      <c r="P30" s="3344"/>
      <c r="Q30" s="3344" t="s">
        <v>5383</v>
      </c>
      <c r="R30" s="3345">
        <v>125996</v>
      </c>
      <c r="S30" s="3345">
        <v>125996</v>
      </c>
      <c r="T30" s="3345">
        <v>125996</v>
      </c>
      <c r="U30" s="3345">
        <v>125996</v>
      </c>
      <c r="V30" s="3345">
        <v>125996</v>
      </c>
      <c r="W30" s="3345">
        <v>125996</v>
      </c>
      <c r="X30" s="3345">
        <v>125996</v>
      </c>
      <c r="Y30" s="3345">
        <v>125996</v>
      </c>
      <c r="Z30" s="3345">
        <v>125996</v>
      </c>
      <c r="AA30" s="3345">
        <v>125996</v>
      </c>
      <c r="AB30" s="3345">
        <v>125996</v>
      </c>
      <c r="AC30" s="3345">
        <v>125996</v>
      </c>
      <c r="AD30" s="3345">
        <v>125996</v>
      </c>
      <c r="AE30" s="3345">
        <v>125996</v>
      </c>
      <c r="AF30" s="3345">
        <v>125996</v>
      </c>
      <c r="AG30" s="3345">
        <v>125996</v>
      </c>
      <c r="AH30" s="3345">
        <v>125996</v>
      </c>
      <c r="AI30" s="3345">
        <v>125996</v>
      </c>
      <c r="AJ30" s="3345">
        <v>125996</v>
      </c>
      <c r="AK30" s="3345">
        <v>125996</v>
      </c>
      <c r="AL30" s="3345">
        <v>125996</v>
      </c>
      <c r="AM30" s="3345">
        <v>125996</v>
      </c>
      <c r="AN30" s="3345">
        <v>94497</v>
      </c>
      <c r="AO30" s="3345">
        <v>0</v>
      </c>
      <c r="AP30" s="3345">
        <v>0</v>
      </c>
      <c r="AQ30" s="3345">
        <v>0</v>
      </c>
      <c r="AR30" s="3345"/>
      <c r="AS30" s="3345"/>
      <c r="AT30" s="3346">
        <f t="shared" si="0"/>
        <v>2866409</v>
      </c>
      <c r="AU30" s="3347">
        <f t="shared" si="1"/>
        <v>0</v>
      </c>
      <c r="AV30" s="3348">
        <f t="shared" si="4"/>
        <v>1984437</v>
      </c>
      <c r="AW30" s="3349">
        <f t="shared" si="2"/>
        <v>2866409</v>
      </c>
      <c r="AY30" s="3336" t="b">
        <f t="shared" si="3"/>
        <v>1</v>
      </c>
      <c r="AZ30" s="3350">
        <f>AW30-K30</f>
        <v>0</v>
      </c>
      <c r="BC30" s="3350"/>
    </row>
    <row r="31" spans="2:55" outlineLevel="1">
      <c r="B31" s="3351" t="s">
        <v>775</v>
      </c>
      <c r="C31" s="3352"/>
      <c r="D31" s="3353" t="s">
        <v>5461</v>
      </c>
      <c r="E31" s="3354"/>
      <c r="F31" s="3355"/>
      <c r="G31" s="3355"/>
      <c r="H31" s="3355"/>
      <c r="I31" s="3355"/>
      <c r="J31" s="3356"/>
      <c r="K31" s="3357"/>
      <c r="L31" s="3356" t="s">
        <v>5457</v>
      </c>
      <c r="M31" s="3356"/>
      <c r="N31" s="3358">
        <f t="shared" si="5"/>
        <v>2.4620000000000002</v>
      </c>
      <c r="O31" s="3358">
        <v>2.4620000000000002</v>
      </c>
      <c r="P31" s="3360">
        <f>$P$4</f>
        <v>0</v>
      </c>
      <c r="Q31" s="3360" t="s">
        <v>5386</v>
      </c>
      <c r="R31" s="3361">
        <f>SUM(R30:$AQ30)*$N31/100</f>
        <v>70570.989580000009</v>
      </c>
      <c r="S31" s="3361">
        <f>SUM(S30:$AQ30)*$N31/100</f>
        <v>67468.968060000014</v>
      </c>
      <c r="T31" s="3361">
        <f>SUM(T30:$AQ30)*$N31/100</f>
        <v>64366.946540000004</v>
      </c>
      <c r="U31" s="3361">
        <f>SUM(U30:$AQ30)*$N31/100</f>
        <v>61264.925020000002</v>
      </c>
      <c r="V31" s="3361">
        <f>SUM(V30:$AQ30)*$N31/100</f>
        <v>58162.903500000008</v>
      </c>
      <c r="W31" s="3361">
        <f>SUM(W30:$AQ30)*$N31/100</f>
        <v>55060.881980000006</v>
      </c>
      <c r="X31" s="3361">
        <f>SUM(X30:$AQ30)*$N31/100</f>
        <v>51958.860460000004</v>
      </c>
      <c r="Y31" s="3361">
        <f>SUM(Y30:$AQ30)*$N31/100</f>
        <v>48856.838940000001</v>
      </c>
      <c r="Z31" s="3361">
        <f>SUM(Z30:$AQ30)*$N31/100</f>
        <v>45754.817420000007</v>
      </c>
      <c r="AA31" s="3361">
        <f>SUM(AA30:$AQ30)*$N31/100</f>
        <v>42652.795900000005</v>
      </c>
      <c r="AB31" s="3361">
        <f>SUM(AB30:$AQ30)*$N31/100</f>
        <v>39550.774380000003</v>
      </c>
      <c r="AC31" s="3361">
        <f>SUM(AC30:$AQ30)*$N31/100</f>
        <v>36448.752860000001</v>
      </c>
      <c r="AD31" s="3361">
        <f>SUM(AD30:$AQ30)*$N31/100</f>
        <v>33346.731339999998</v>
      </c>
      <c r="AE31" s="3361">
        <f>SUM(AE30:$AQ30)*$N31/100</f>
        <v>30244.709820000004</v>
      </c>
      <c r="AF31" s="3361">
        <f>SUM(AF30:$AQ30)*$N31/100</f>
        <v>27142.688300000002</v>
      </c>
      <c r="AG31" s="3361">
        <f>SUM(AG30:$AQ30)*$N31/100</f>
        <v>24040.666780000003</v>
      </c>
      <c r="AH31" s="3361">
        <f>SUM(AH30:$AQ30)*$N31/100</f>
        <v>20938.645260000001</v>
      </c>
      <c r="AI31" s="3361">
        <f>SUM(AI30:$AQ30)*$N31/100</f>
        <v>17836.623739999999</v>
      </c>
      <c r="AJ31" s="3361">
        <f>SUM(AJ30:$AQ30)*$N31/100</f>
        <v>14734.602220000001</v>
      </c>
      <c r="AK31" s="3361">
        <f>SUM(AK30:$AQ30)*$N31/100</f>
        <v>11632.5807</v>
      </c>
      <c r="AL31" s="3361">
        <f>SUM(AL30:$AQ30)*$N31/100</f>
        <v>8530.5591800000002</v>
      </c>
      <c r="AM31" s="3361">
        <f>SUM(AM30:$AQ30)*$N31/100</f>
        <v>5428.5376600000009</v>
      </c>
      <c r="AN31" s="3361">
        <f>SUM(AN30:$AQ30)*$N31/100</f>
        <v>2326.5161400000002</v>
      </c>
      <c r="AO31" s="3361">
        <v>0</v>
      </c>
      <c r="AP31" s="3361">
        <v>0</v>
      </c>
      <c r="AQ31" s="3361">
        <v>0</v>
      </c>
      <c r="AR31" s="3361"/>
      <c r="AS31" s="3361"/>
      <c r="AT31" s="3362">
        <f t="shared" si="0"/>
        <v>838321.31578000006</v>
      </c>
      <c r="AU31" s="3347">
        <f t="shared" si="1"/>
        <v>0</v>
      </c>
      <c r="AV31" s="3363">
        <f t="shared" si="4"/>
        <v>409466.84064000001</v>
      </c>
      <c r="AW31" s="3364">
        <f t="shared" si="2"/>
        <v>838321.31578000006</v>
      </c>
      <c r="AY31" s="3336" t="b">
        <f t="shared" si="3"/>
        <v>1</v>
      </c>
      <c r="BC31" s="3350"/>
    </row>
    <row r="32" spans="2:55" s="3336" customFormat="1" outlineLevel="1">
      <c r="B32" s="3337" t="s">
        <v>775</v>
      </c>
      <c r="C32" s="3338">
        <v>14</v>
      </c>
      <c r="D32" s="3339" t="s">
        <v>5428</v>
      </c>
      <c r="E32" s="3340" t="s">
        <v>5462</v>
      </c>
      <c r="F32" s="3341" t="s">
        <v>5463</v>
      </c>
      <c r="G32" s="3341" t="s">
        <v>5464</v>
      </c>
      <c r="H32" s="3341" t="s">
        <v>5465</v>
      </c>
      <c r="I32" s="3341" t="s">
        <v>5382</v>
      </c>
      <c r="J32" s="3342">
        <v>190122</v>
      </c>
      <c r="K32" s="3343">
        <v>124332</v>
      </c>
      <c r="L32" s="3343"/>
      <c r="M32" s="3343"/>
      <c r="N32" s="3365"/>
      <c r="O32" s="3365"/>
      <c r="P32" s="3344"/>
      <c r="Q32" s="3344" t="s">
        <v>5383</v>
      </c>
      <c r="R32" s="3345">
        <v>9752</v>
      </c>
      <c r="S32" s="3345">
        <v>9752</v>
      </c>
      <c r="T32" s="3345">
        <v>9752</v>
      </c>
      <c r="U32" s="3345">
        <v>9752</v>
      </c>
      <c r="V32" s="3345">
        <v>9752</v>
      </c>
      <c r="W32" s="3345">
        <v>9752</v>
      </c>
      <c r="X32" s="3345">
        <v>9752</v>
      </c>
      <c r="Y32" s="3345">
        <v>9752</v>
      </c>
      <c r="Z32" s="3345">
        <v>9752</v>
      </c>
      <c r="AA32" s="3345">
        <v>9752</v>
      </c>
      <c r="AB32" s="3345">
        <v>9752</v>
      </c>
      <c r="AC32" s="3345">
        <v>9752</v>
      </c>
      <c r="AD32" s="3345">
        <v>7308</v>
      </c>
      <c r="AE32" s="3345">
        <v>0</v>
      </c>
      <c r="AF32" s="3345">
        <v>0</v>
      </c>
      <c r="AG32" s="3345">
        <v>0</v>
      </c>
      <c r="AH32" s="3345">
        <v>0</v>
      </c>
      <c r="AI32" s="3345">
        <v>0</v>
      </c>
      <c r="AJ32" s="3345">
        <v>0</v>
      </c>
      <c r="AK32" s="3345">
        <v>0</v>
      </c>
      <c r="AL32" s="3345">
        <v>0</v>
      </c>
      <c r="AM32" s="3345">
        <v>0</v>
      </c>
      <c r="AN32" s="3345">
        <v>0</v>
      </c>
      <c r="AO32" s="3345">
        <v>0</v>
      </c>
      <c r="AP32" s="3345">
        <v>0</v>
      </c>
      <c r="AQ32" s="3345">
        <v>0</v>
      </c>
      <c r="AR32" s="3345"/>
      <c r="AS32" s="3345"/>
      <c r="AT32" s="3346">
        <f t="shared" si="0"/>
        <v>124332</v>
      </c>
      <c r="AU32" s="3347">
        <f t="shared" si="1"/>
        <v>0</v>
      </c>
      <c r="AV32" s="3348">
        <f t="shared" si="4"/>
        <v>56068</v>
      </c>
      <c r="AW32" s="3349">
        <f t="shared" si="2"/>
        <v>124332</v>
      </c>
      <c r="AY32" s="3336" t="b">
        <f t="shared" si="3"/>
        <v>1</v>
      </c>
      <c r="AZ32" s="3350">
        <f>AW32-K32</f>
        <v>0</v>
      </c>
      <c r="BC32" s="3350"/>
    </row>
    <row r="33" spans="2:55" outlineLevel="1">
      <c r="B33" s="3351" t="s">
        <v>775</v>
      </c>
      <c r="C33" s="3352"/>
      <c r="D33" s="3353" t="s">
        <v>5466</v>
      </c>
      <c r="E33" s="3354"/>
      <c r="F33" s="3355"/>
      <c r="G33" s="3355"/>
      <c r="H33" s="3355"/>
      <c r="I33" s="3355"/>
      <c r="J33" s="3356"/>
      <c r="K33" s="3357"/>
      <c r="L33" s="3356" t="s">
        <v>5467</v>
      </c>
      <c r="M33" s="3356"/>
      <c r="N33" s="3358">
        <f t="shared" si="5"/>
        <v>2.4700000000000002</v>
      </c>
      <c r="O33" s="3358">
        <v>2.4700000000000002</v>
      </c>
      <c r="P33" s="3360">
        <f>$P$4</f>
        <v>0</v>
      </c>
      <c r="Q33" s="3360" t="s">
        <v>5386</v>
      </c>
      <c r="R33" s="3361">
        <f>SUM(R32:$AQ32)*$N33/100</f>
        <v>3071.0004000000004</v>
      </c>
      <c r="S33" s="3361">
        <f>SUM(S32:$AQ32)*$N33/100</f>
        <v>2830.1260000000002</v>
      </c>
      <c r="T33" s="3361">
        <f>SUM(T32:$AQ32)*$N33/100</f>
        <v>2589.2516000000005</v>
      </c>
      <c r="U33" s="3361">
        <f>SUM(U32:$AQ32)*$N33/100</f>
        <v>2348.3772000000004</v>
      </c>
      <c r="V33" s="3361">
        <f>SUM(V32:$AQ32)*$N33/100</f>
        <v>2107.5028000000002</v>
      </c>
      <c r="W33" s="3361">
        <f>SUM(W32:$AQ32)*$N33/100</f>
        <v>1866.6284000000003</v>
      </c>
      <c r="X33" s="3361">
        <f>SUM(X32:$AQ32)*$N33/100</f>
        <v>1625.7540000000001</v>
      </c>
      <c r="Y33" s="3361">
        <f>SUM(Y32:$AQ32)*$N33/100</f>
        <v>1384.8796000000002</v>
      </c>
      <c r="Z33" s="3361">
        <f>SUM(Z32:$AQ32)*$N33/100</f>
        <v>1144.0052000000001</v>
      </c>
      <c r="AA33" s="3361">
        <f>SUM(AA32:$AQ32)*$N33/100</f>
        <v>903.13080000000002</v>
      </c>
      <c r="AB33" s="3361">
        <f>SUM(AB32:$AQ32)*$N33/100</f>
        <v>662.25639999999999</v>
      </c>
      <c r="AC33" s="3361">
        <f>SUM(AC32:$AQ32)*$N33/100</f>
        <v>421.38200000000006</v>
      </c>
      <c r="AD33" s="3361">
        <f>SUM(AD32:$AQ32)*$N33/100</f>
        <v>180.50760000000002</v>
      </c>
      <c r="AE33" s="3361">
        <v>0</v>
      </c>
      <c r="AF33" s="3361">
        <v>0</v>
      </c>
      <c r="AG33" s="3361">
        <v>0</v>
      </c>
      <c r="AH33" s="3361">
        <v>0</v>
      </c>
      <c r="AI33" s="3361">
        <v>0</v>
      </c>
      <c r="AJ33" s="3361">
        <v>0</v>
      </c>
      <c r="AK33" s="3361">
        <v>0</v>
      </c>
      <c r="AL33" s="3361">
        <v>0</v>
      </c>
      <c r="AM33" s="3361">
        <v>0</v>
      </c>
      <c r="AN33" s="3361">
        <v>0</v>
      </c>
      <c r="AO33" s="3361">
        <v>0</v>
      </c>
      <c r="AP33" s="3361">
        <v>0</v>
      </c>
      <c r="AQ33" s="3361">
        <v>0</v>
      </c>
      <c r="AR33" s="3361"/>
      <c r="AS33" s="3361"/>
      <c r="AT33" s="3362">
        <f t="shared" si="0"/>
        <v>21134.802</v>
      </c>
      <c r="AU33" s="3347">
        <f t="shared" si="1"/>
        <v>0</v>
      </c>
      <c r="AV33" s="3363">
        <f t="shared" si="4"/>
        <v>4696.1616000000004</v>
      </c>
      <c r="AW33" s="3364">
        <f t="shared" si="2"/>
        <v>21134.802</v>
      </c>
      <c r="AY33" s="3336" t="b">
        <f t="shared" si="3"/>
        <v>1</v>
      </c>
      <c r="BC33" s="3350"/>
    </row>
    <row r="34" spans="2:55" s="3336" customFormat="1" outlineLevel="1" collapsed="1">
      <c r="B34" s="3337" t="s">
        <v>775</v>
      </c>
      <c r="C34" s="3338">
        <v>15</v>
      </c>
      <c r="D34" s="3339" t="s">
        <v>5468</v>
      </c>
      <c r="E34" s="3340" t="s">
        <v>5469</v>
      </c>
      <c r="F34" s="3341" t="s">
        <v>5470</v>
      </c>
      <c r="G34" s="3341" t="s">
        <v>5471</v>
      </c>
      <c r="H34" s="3341" t="s">
        <v>5465</v>
      </c>
      <c r="I34" s="3341" t="s">
        <v>5382</v>
      </c>
      <c r="J34" s="3342">
        <v>177076.43</v>
      </c>
      <c r="K34" s="3343">
        <v>117300</v>
      </c>
      <c r="L34" s="3343"/>
      <c r="M34" s="3343"/>
      <c r="N34" s="3365"/>
      <c r="O34" s="3365"/>
      <c r="P34" s="3344"/>
      <c r="Q34" s="3344" t="s">
        <v>5383</v>
      </c>
      <c r="R34" s="3345">
        <v>9200</v>
      </c>
      <c r="S34" s="3345">
        <v>9200</v>
      </c>
      <c r="T34" s="3345">
        <v>9200</v>
      </c>
      <c r="U34" s="3345">
        <v>9200</v>
      </c>
      <c r="V34" s="3345">
        <v>9200</v>
      </c>
      <c r="W34" s="3345">
        <v>9200</v>
      </c>
      <c r="X34" s="3345">
        <v>9200</v>
      </c>
      <c r="Y34" s="3345">
        <v>9200</v>
      </c>
      <c r="Z34" s="3345">
        <v>9200</v>
      </c>
      <c r="AA34" s="3345">
        <v>9200</v>
      </c>
      <c r="AB34" s="3345">
        <v>9200</v>
      </c>
      <c r="AC34" s="3345">
        <v>9200</v>
      </c>
      <c r="AD34" s="3345">
        <v>6900</v>
      </c>
      <c r="AE34" s="3345">
        <v>0</v>
      </c>
      <c r="AF34" s="3345">
        <v>0</v>
      </c>
      <c r="AG34" s="3345">
        <v>0</v>
      </c>
      <c r="AH34" s="3345">
        <v>0</v>
      </c>
      <c r="AI34" s="3345">
        <v>0</v>
      </c>
      <c r="AJ34" s="3345">
        <v>0</v>
      </c>
      <c r="AK34" s="3345">
        <v>0</v>
      </c>
      <c r="AL34" s="3345">
        <v>0</v>
      </c>
      <c r="AM34" s="3345">
        <v>0</v>
      </c>
      <c r="AN34" s="3345">
        <v>0</v>
      </c>
      <c r="AO34" s="3345">
        <v>0</v>
      </c>
      <c r="AP34" s="3345">
        <v>0</v>
      </c>
      <c r="AQ34" s="3345">
        <v>0</v>
      </c>
      <c r="AR34" s="3345"/>
      <c r="AS34" s="3345"/>
      <c r="AT34" s="3346">
        <f t="shared" si="0"/>
        <v>117300</v>
      </c>
      <c r="AU34" s="3347">
        <f t="shared" si="1"/>
        <v>0</v>
      </c>
      <c r="AV34" s="3348">
        <f t="shared" si="4"/>
        <v>52900</v>
      </c>
      <c r="AW34" s="3349">
        <f t="shared" si="2"/>
        <v>117300</v>
      </c>
      <c r="AY34" s="3336" t="b">
        <f t="shared" si="3"/>
        <v>1</v>
      </c>
      <c r="AZ34" s="3350">
        <f>AW34-K34</f>
        <v>0</v>
      </c>
      <c r="BC34" s="3350"/>
    </row>
    <row r="35" spans="2:55" outlineLevel="1">
      <c r="B35" s="3351" t="s">
        <v>775</v>
      </c>
      <c r="C35" s="3352"/>
      <c r="D35" s="3353" t="s">
        <v>5472</v>
      </c>
      <c r="E35" s="3354"/>
      <c r="F35" s="3355"/>
      <c r="G35" s="3355"/>
      <c r="H35" s="3355"/>
      <c r="I35" s="3355"/>
      <c r="J35" s="3356"/>
      <c r="K35" s="3357"/>
      <c r="L35" s="3356" t="s">
        <v>5473</v>
      </c>
      <c r="M35" s="3356"/>
      <c r="N35" s="3358">
        <f t="shared" si="5"/>
        <v>2.4809999999999999</v>
      </c>
      <c r="O35" s="3358">
        <v>2.4809999999999999</v>
      </c>
      <c r="P35" s="3360">
        <f>$P$4</f>
        <v>0</v>
      </c>
      <c r="Q35" s="3360" t="s">
        <v>5386</v>
      </c>
      <c r="R35" s="3361">
        <f>SUM(R34:$AQ34)*$N35/100</f>
        <v>2910.2129999999997</v>
      </c>
      <c r="S35" s="3361">
        <f>SUM(S34:$AQ34)*$N35/100</f>
        <v>2681.9609999999998</v>
      </c>
      <c r="T35" s="3361">
        <f>SUM(T34:$AQ34)*$N35/100</f>
        <v>2453.7089999999998</v>
      </c>
      <c r="U35" s="3361">
        <f>SUM(U34:$AQ34)*$N35/100</f>
        <v>2225.4569999999999</v>
      </c>
      <c r="V35" s="3361">
        <f>SUM(V34:$AQ34)*$N35/100</f>
        <v>1997.2049999999999</v>
      </c>
      <c r="W35" s="3361">
        <f>SUM(W34:$AQ34)*$N35/100</f>
        <v>1768.953</v>
      </c>
      <c r="X35" s="3361">
        <f>SUM(X34:$AQ34)*$N35/100</f>
        <v>1540.701</v>
      </c>
      <c r="Y35" s="3361">
        <f>SUM(Y34:$AQ34)*$N35/100</f>
        <v>1312.4489999999998</v>
      </c>
      <c r="Z35" s="3361">
        <f>SUM(Z34:$AQ34)*$N35/100</f>
        <v>1084.1969999999999</v>
      </c>
      <c r="AA35" s="3361">
        <f>SUM(AA34:$AQ34)*$N35/100</f>
        <v>855.94500000000005</v>
      </c>
      <c r="AB35" s="3361">
        <f>SUM(AB34:$AQ34)*$N35/100</f>
        <v>627.69299999999998</v>
      </c>
      <c r="AC35" s="3361">
        <f>SUM(AC34:$AQ34)*$N35/100</f>
        <v>399.44099999999997</v>
      </c>
      <c r="AD35" s="3361">
        <f>SUM(AD34:$AQ34)*$N35/100</f>
        <v>171.18899999999996</v>
      </c>
      <c r="AE35" s="3361">
        <v>0</v>
      </c>
      <c r="AF35" s="3361">
        <v>0</v>
      </c>
      <c r="AG35" s="3361">
        <v>0</v>
      </c>
      <c r="AH35" s="3361">
        <v>0</v>
      </c>
      <c r="AI35" s="3361">
        <v>0</v>
      </c>
      <c r="AJ35" s="3361">
        <v>0</v>
      </c>
      <c r="AK35" s="3361">
        <v>0</v>
      </c>
      <c r="AL35" s="3361">
        <v>0</v>
      </c>
      <c r="AM35" s="3361">
        <v>0</v>
      </c>
      <c r="AN35" s="3361">
        <v>0</v>
      </c>
      <c r="AO35" s="3361">
        <v>0</v>
      </c>
      <c r="AP35" s="3361">
        <v>0</v>
      </c>
      <c r="AQ35" s="3361">
        <v>0</v>
      </c>
      <c r="AR35" s="3361"/>
      <c r="AS35" s="3361"/>
      <c r="AT35" s="3362">
        <f t="shared" si="0"/>
        <v>20029.112999999994</v>
      </c>
      <c r="AU35" s="3347">
        <f t="shared" si="1"/>
        <v>0</v>
      </c>
      <c r="AV35" s="3363">
        <f t="shared" si="4"/>
        <v>4450.9139999999998</v>
      </c>
      <c r="AW35" s="3364">
        <f t="shared" si="2"/>
        <v>20029.112999999998</v>
      </c>
      <c r="AY35" s="3336" t="b">
        <f t="shared" si="3"/>
        <v>1</v>
      </c>
      <c r="BC35" s="3350"/>
    </row>
    <row r="36" spans="2:55" s="3336" customFormat="1" outlineLevel="1" collapsed="1">
      <c r="B36" s="3337" t="s">
        <v>331</v>
      </c>
      <c r="C36" s="3338">
        <v>16</v>
      </c>
      <c r="D36" s="3339" t="s">
        <v>5474</v>
      </c>
      <c r="E36" s="3340" t="s">
        <v>5475</v>
      </c>
      <c r="F36" s="3341" t="s">
        <v>5476</v>
      </c>
      <c r="G36" s="3341" t="s">
        <v>5471</v>
      </c>
      <c r="H36" s="3341" t="s">
        <v>5477</v>
      </c>
      <c r="I36" s="3341" t="s">
        <v>5382</v>
      </c>
      <c r="J36" s="3342">
        <v>1174139.99</v>
      </c>
      <c r="K36" s="3343">
        <v>627563.99</v>
      </c>
      <c r="L36" s="3343"/>
      <c r="M36" s="3343"/>
      <c r="N36" s="3365"/>
      <c r="O36" s="3365"/>
      <c r="P36" s="3344"/>
      <c r="Q36" s="3344" t="s">
        <v>5383</v>
      </c>
      <c r="R36" s="3345">
        <v>80976</v>
      </c>
      <c r="S36" s="3345">
        <v>80976</v>
      </c>
      <c r="T36" s="3345">
        <v>80976</v>
      </c>
      <c r="U36" s="3345">
        <v>80976</v>
      </c>
      <c r="V36" s="3345">
        <v>80976</v>
      </c>
      <c r="W36" s="3345">
        <v>80976</v>
      </c>
      <c r="X36" s="3345">
        <v>80976</v>
      </c>
      <c r="Y36" s="3345">
        <v>60731.990000000005</v>
      </c>
      <c r="Z36" s="3345">
        <v>0</v>
      </c>
      <c r="AA36" s="3345">
        <v>0</v>
      </c>
      <c r="AB36" s="3345">
        <v>0</v>
      </c>
      <c r="AC36" s="3345">
        <v>0</v>
      </c>
      <c r="AD36" s="3345">
        <v>0</v>
      </c>
      <c r="AE36" s="3345">
        <v>0</v>
      </c>
      <c r="AF36" s="3345">
        <v>0</v>
      </c>
      <c r="AG36" s="3345">
        <v>0</v>
      </c>
      <c r="AH36" s="3345">
        <v>0</v>
      </c>
      <c r="AI36" s="3345">
        <v>0</v>
      </c>
      <c r="AJ36" s="3345">
        <v>0</v>
      </c>
      <c r="AK36" s="3345">
        <v>0</v>
      </c>
      <c r="AL36" s="3345">
        <v>0</v>
      </c>
      <c r="AM36" s="3345">
        <v>0</v>
      </c>
      <c r="AN36" s="3345">
        <v>0</v>
      </c>
      <c r="AO36" s="3345">
        <v>0</v>
      </c>
      <c r="AP36" s="3345">
        <v>0</v>
      </c>
      <c r="AQ36" s="3345">
        <v>0</v>
      </c>
      <c r="AR36" s="3345"/>
      <c r="AS36" s="3345"/>
      <c r="AT36" s="3346">
        <f t="shared" ref="AT36:AT99" si="6">SUM(R36:AS36)</f>
        <v>627563.99</v>
      </c>
      <c r="AU36" s="3347">
        <f t="shared" ref="AU36:AU99" si="7">AT36-SUM(R36:AS36)</f>
        <v>0</v>
      </c>
      <c r="AV36" s="3348">
        <f t="shared" si="4"/>
        <v>60731.990000000005</v>
      </c>
      <c r="AW36" s="3349">
        <f t="shared" si="2"/>
        <v>627563.99</v>
      </c>
      <c r="AY36" s="3336" t="b">
        <f t="shared" si="3"/>
        <v>1</v>
      </c>
      <c r="AZ36" s="3350">
        <f>AW36-K36</f>
        <v>0</v>
      </c>
      <c r="BC36" s="3350"/>
    </row>
    <row r="37" spans="2:55" outlineLevel="1">
      <c r="B37" s="3351" t="s">
        <v>331</v>
      </c>
      <c r="C37" s="3352"/>
      <c r="D37" s="3353"/>
      <c r="E37" s="3354"/>
      <c r="F37" s="3355"/>
      <c r="G37" s="3355"/>
      <c r="H37" s="3355"/>
      <c r="I37" s="3355"/>
      <c r="J37" s="3356"/>
      <c r="K37" s="3357"/>
      <c r="L37" s="3356" t="s">
        <v>5478</v>
      </c>
      <c r="M37" s="3356"/>
      <c r="N37" s="3358">
        <f t="shared" si="5"/>
        <v>2.4830000000000001</v>
      </c>
      <c r="O37" s="3358">
        <v>2.4830000000000001</v>
      </c>
      <c r="P37" s="3360">
        <f>$P$4</f>
        <v>0</v>
      </c>
      <c r="Q37" s="3360" t="s">
        <v>5386</v>
      </c>
      <c r="R37" s="3361">
        <f>SUM(R36:$AQ36)*$N37/100</f>
        <v>15582.413871700001</v>
      </c>
      <c r="S37" s="3361">
        <f>SUM(S36:$AQ36)*$N37/100</f>
        <v>13571.779791699999</v>
      </c>
      <c r="T37" s="3361">
        <f>SUM(T36:$AQ36)*$N37/100</f>
        <v>11561.145711700001</v>
      </c>
      <c r="U37" s="3361">
        <f>SUM(U36:$AQ36)*$N37/100</f>
        <v>9550.5116316999993</v>
      </c>
      <c r="V37" s="3361">
        <f>SUM(V36:$AQ36)*$N37/100</f>
        <v>7539.8775517000004</v>
      </c>
      <c r="W37" s="3361">
        <f>SUM(W36:$AQ36)*$N37/100</f>
        <v>5529.2434716999996</v>
      </c>
      <c r="X37" s="3361">
        <f>SUM(X36:$AQ36)*$N37/100</f>
        <v>3518.6093916999998</v>
      </c>
      <c r="Y37" s="3361">
        <f>SUM(Y36:$AQ36)*$N37/100</f>
        <v>1507.9753117000002</v>
      </c>
      <c r="Z37" s="3361">
        <v>0</v>
      </c>
      <c r="AA37" s="3361">
        <v>0</v>
      </c>
      <c r="AB37" s="3361">
        <v>0</v>
      </c>
      <c r="AC37" s="3361">
        <v>0</v>
      </c>
      <c r="AD37" s="3361">
        <v>0</v>
      </c>
      <c r="AE37" s="3361">
        <v>0</v>
      </c>
      <c r="AF37" s="3361">
        <v>0</v>
      </c>
      <c r="AG37" s="3361">
        <v>0</v>
      </c>
      <c r="AH37" s="3361">
        <v>0</v>
      </c>
      <c r="AI37" s="3361">
        <v>0</v>
      </c>
      <c r="AJ37" s="3361">
        <v>0</v>
      </c>
      <c r="AK37" s="3361">
        <v>0</v>
      </c>
      <c r="AL37" s="3361">
        <v>0</v>
      </c>
      <c r="AM37" s="3361">
        <v>0</v>
      </c>
      <c r="AN37" s="3361">
        <v>0</v>
      </c>
      <c r="AO37" s="3361">
        <v>0</v>
      </c>
      <c r="AP37" s="3361">
        <v>0</v>
      </c>
      <c r="AQ37" s="3361">
        <v>0</v>
      </c>
      <c r="AR37" s="3361"/>
      <c r="AS37" s="3361"/>
      <c r="AT37" s="3362">
        <f t="shared" si="6"/>
        <v>68361.556733600009</v>
      </c>
      <c r="AU37" s="3347">
        <f t="shared" si="7"/>
        <v>0</v>
      </c>
      <c r="AV37" s="3363">
        <f t="shared" si="4"/>
        <v>1507.9753117000002</v>
      </c>
      <c r="AW37" s="3364">
        <f t="shared" si="2"/>
        <v>68361.556733600009</v>
      </c>
      <c r="AY37" s="3336" t="b">
        <f t="shared" si="3"/>
        <v>1</v>
      </c>
      <c r="BC37" s="3350"/>
    </row>
    <row r="38" spans="2:55" s="3336" customFormat="1" outlineLevel="1" collapsed="1">
      <c r="B38" s="3337" t="s">
        <v>331</v>
      </c>
      <c r="C38" s="3338">
        <v>17</v>
      </c>
      <c r="D38" s="3339" t="s">
        <v>5479</v>
      </c>
      <c r="E38" s="3340" t="s">
        <v>5480</v>
      </c>
      <c r="F38" s="3341" t="s">
        <v>5481</v>
      </c>
      <c r="G38" s="3341" t="s">
        <v>5482</v>
      </c>
      <c r="H38" s="3341" t="s">
        <v>5483</v>
      </c>
      <c r="I38" s="3341" t="s">
        <v>5382</v>
      </c>
      <c r="J38" s="3342">
        <v>388132.51</v>
      </c>
      <c r="K38" s="3343">
        <v>107162</v>
      </c>
      <c r="L38" s="3343"/>
      <c r="M38" s="3343"/>
      <c r="N38" s="3365"/>
      <c r="O38" s="3365"/>
      <c r="P38" s="3344"/>
      <c r="Q38" s="3344" t="s">
        <v>5383</v>
      </c>
      <c r="R38" s="3345">
        <v>38968</v>
      </c>
      <c r="S38" s="3345">
        <v>38968</v>
      </c>
      <c r="T38" s="3345">
        <v>29226</v>
      </c>
      <c r="U38" s="3345">
        <v>0</v>
      </c>
      <c r="V38" s="3345">
        <v>0</v>
      </c>
      <c r="W38" s="3345">
        <v>0</v>
      </c>
      <c r="X38" s="3345">
        <v>0</v>
      </c>
      <c r="Y38" s="3345">
        <v>0</v>
      </c>
      <c r="Z38" s="3345">
        <v>0</v>
      </c>
      <c r="AA38" s="3345">
        <v>0</v>
      </c>
      <c r="AB38" s="3345">
        <v>0</v>
      </c>
      <c r="AC38" s="3345">
        <v>0</v>
      </c>
      <c r="AD38" s="3345">
        <v>0</v>
      </c>
      <c r="AE38" s="3345">
        <v>0</v>
      </c>
      <c r="AF38" s="3345">
        <v>0</v>
      </c>
      <c r="AG38" s="3345">
        <v>0</v>
      </c>
      <c r="AH38" s="3345">
        <v>0</v>
      </c>
      <c r="AI38" s="3345">
        <v>0</v>
      </c>
      <c r="AJ38" s="3345">
        <v>0</v>
      </c>
      <c r="AK38" s="3345">
        <v>0</v>
      </c>
      <c r="AL38" s="3345">
        <v>0</v>
      </c>
      <c r="AM38" s="3345">
        <v>0</v>
      </c>
      <c r="AN38" s="3345">
        <v>0</v>
      </c>
      <c r="AO38" s="3345">
        <v>0</v>
      </c>
      <c r="AP38" s="3345">
        <v>0</v>
      </c>
      <c r="AQ38" s="3345">
        <v>0</v>
      </c>
      <c r="AR38" s="3345"/>
      <c r="AS38" s="3345"/>
      <c r="AT38" s="3346">
        <f t="shared" si="6"/>
        <v>107162</v>
      </c>
      <c r="AU38" s="3347">
        <f t="shared" si="7"/>
        <v>0</v>
      </c>
      <c r="AV38" s="3348">
        <f t="shared" si="4"/>
        <v>0</v>
      </c>
      <c r="AW38" s="3349">
        <f t="shared" si="2"/>
        <v>107162</v>
      </c>
      <c r="AY38" s="3336" t="b">
        <f t="shared" si="3"/>
        <v>1</v>
      </c>
      <c r="AZ38" s="3350">
        <f>AW38-K38</f>
        <v>0</v>
      </c>
      <c r="BC38" s="3350"/>
    </row>
    <row r="39" spans="2:55" outlineLevel="1">
      <c r="B39" s="3351" t="s">
        <v>331</v>
      </c>
      <c r="C39" s="3352"/>
      <c r="D39" s="3353"/>
      <c r="E39" s="3354"/>
      <c r="F39" s="3355"/>
      <c r="G39" s="3355"/>
      <c r="H39" s="3355"/>
      <c r="I39" s="3355"/>
      <c r="J39" s="3356"/>
      <c r="K39" s="3357"/>
      <c r="L39" s="3356" t="s">
        <v>5484</v>
      </c>
      <c r="M39" s="3356"/>
      <c r="N39" s="3358">
        <f t="shared" si="5"/>
        <v>2.5070000000000001</v>
      </c>
      <c r="O39" s="3358">
        <v>2.5070000000000001</v>
      </c>
      <c r="P39" s="3360">
        <f>$P$4</f>
        <v>0</v>
      </c>
      <c r="Q39" s="3360" t="s">
        <v>5386</v>
      </c>
      <c r="R39" s="3361">
        <f>SUM(R38:$AQ38)*$N39/100</f>
        <v>2686.55134</v>
      </c>
      <c r="S39" s="3361">
        <f>SUM(S38:$AQ38)*$N39/100</f>
        <v>1709.6235800000002</v>
      </c>
      <c r="T39" s="3361">
        <f>SUM(T38:$AQ38)*$N39/100</f>
        <v>732.69582000000014</v>
      </c>
      <c r="U39" s="3361">
        <v>0</v>
      </c>
      <c r="V39" s="3361">
        <v>0</v>
      </c>
      <c r="W39" s="3361">
        <v>0</v>
      </c>
      <c r="X39" s="3361">
        <v>0</v>
      </c>
      <c r="Y39" s="3361">
        <v>0</v>
      </c>
      <c r="Z39" s="3361">
        <v>0</v>
      </c>
      <c r="AA39" s="3361">
        <v>0</v>
      </c>
      <c r="AB39" s="3361">
        <v>0</v>
      </c>
      <c r="AC39" s="3361">
        <v>0</v>
      </c>
      <c r="AD39" s="3361">
        <v>0</v>
      </c>
      <c r="AE39" s="3361">
        <v>0</v>
      </c>
      <c r="AF39" s="3361">
        <v>0</v>
      </c>
      <c r="AG39" s="3361">
        <v>0</v>
      </c>
      <c r="AH39" s="3361">
        <v>0</v>
      </c>
      <c r="AI39" s="3361">
        <v>0</v>
      </c>
      <c r="AJ39" s="3361">
        <v>0</v>
      </c>
      <c r="AK39" s="3361">
        <v>0</v>
      </c>
      <c r="AL39" s="3361">
        <v>0</v>
      </c>
      <c r="AM39" s="3361">
        <v>0</v>
      </c>
      <c r="AN39" s="3361">
        <v>0</v>
      </c>
      <c r="AO39" s="3361">
        <v>0</v>
      </c>
      <c r="AP39" s="3361">
        <v>0</v>
      </c>
      <c r="AQ39" s="3361">
        <v>0</v>
      </c>
      <c r="AR39" s="3361"/>
      <c r="AS39" s="3361"/>
      <c r="AT39" s="3362">
        <f t="shared" si="6"/>
        <v>5128.8707400000003</v>
      </c>
      <c r="AU39" s="3347">
        <f t="shared" si="7"/>
        <v>0</v>
      </c>
      <c r="AV39" s="3363">
        <f t="shared" si="4"/>
        <v>0</v>
      </c>
      <c r="AW39" s="3364">
        <f t="shared" si="2"/>
        <v>5128.8707400000003</v>
      </c>
      <c r="AY39" s="3336" t="b">
        <f t="shared" si="3"/>
        <v>1</v>
      </c>
      <c r="BC39" s="3350"/>
    </row>
    <row r="40" spans="2:55" s="3336" customFormat="1" outlineLevel="1">
      <c r="B40" s="3337" t="s">
        <v>775</v>
      </c>
      <c r="C40" s="3338">
        <v>18</v>
      </c>
      <c r="D40" s="3339" t="s">
        <v>5428</v>
      </c>
      <c r="E40" s="3340" t="s">
        <v>5485</v>
      </c>
      <c r="F40" s="3341" t="s">
        <v>5486</v>
      </c>
      <c r="G40" s="3341" t="s">
        <v>5487</v>
      </c>
      <c r="H40" s="3341" t="s">
        <v>5488</v>
      </c>
      <c r="I40" s="3341" t="s">
        <v>5382</v>
      </c>
      <c r="J40" s="3342">
        <v>160577.24</v>
      </c>
      <c r="K40" s="3343">
        <v>107068</v>
      </c>
      <c r="L40" s="3343"/>
      <c r="M40" s="3343"/>
      <c r="N40" s="3365"/>
      <c r="O40" s="3365"/>
      <c r="P40" s="3344"/>
      <c r="Q40" s="3344" t="s">
        <v>5383</v>
      </c>
      <c r="R40" s="3345">
        <v>8236</v>
      </c>
      <c r="S40" s="3345">
        <v>8236</v>
      </c>
      <c r="T40" s="3345">
        <v>8236</v>
      </c>
      <c r="U40" s="3345">
        <v>8236</v>
      </c>
      <c r="V40" s="3345">
        <v>8236</v>
      </c>
      <c r="W40" s="3345">
        <v>8236</v>
      </c>
      <c r="X40" s="3345">
        <v>8236</v>
      </c>
      <c r="Y40" s="3345">
        <v>8236</v>
      </c>
      <c r="Z40" s="3345">
        <v>8236</v>
      </c>
      <c r="AA40" s="3345">
        <v>8236</v>
      </c>
      <c r="AB40" s="3345">
        <v>8236</v>
      </c>
      <c r="AC40" s="3345">
        <v>8236</v>
      </c>
      <c r="AD40" s="3345">
        <v>8236</v>
      </c>
      <c r="AE40" s="3345">
        <v>0</v>
      </c>
      <c r="AF40" s="3345">
        <v>0</v>
      </c>
      <c r="AG40" s="3345">
        <v>0</v>
      </c>
      <c r="AH40" s="3345">
        <v>0</v>
      </c>
      <c r="AI40" s="3345">
        <v>0</v>
      </c>
      <c r="AJ40" s="3345">
        <v>0</v>
      </c>
      <c r="AK40" s="3345">
        <v>0</v>
      </c>
      <c r="AL40" s="3345">
        <v>0</v>
      </c>
      <c r="AM40" s="3345">
        <v>0</v>
      </c>
      <c r="AN40" s="3345">
        <v>0</v>
      </c>
      <c r="AO40" s="3345">
        <v>0</v>
      </c>
      <c r="AP40" s="3345">
        <v>0</v>
      </c>
      <c r="AQ40" s="3345">
        <v>0</v>
      </c>
      <c r="AR40" s="3345"/>
      <c r="AS40" s="3345"/>
      <c r="AT40" s="3346">
        <f t="shared" si="6"/>
        <v>107068</v>
      </c>
      <c r="AU40" s="3347">
        <f t="shared" si="7"/>
        <v>0</v>
      </c>
      <c r="AV40" s="3348">
        <f t="shared" si="4"/>
        <v>49416</v>
      </c>
      <c r="AW40" s="3349">
        <f t="shared" si="2"/>
        <v>107068</v>
      </c>
      <c r="AY40" s="3336" t="b">
        <f t="shared" si="3"/>
        <v>1</v>
      </c>
      <c r="AZ40" s="3350">
        <f>AW40-K40</f>
        <v>0</v>
      </c>
      <c r="BC40" s="3350"/>
    </row>
    <row r="41" spans="2:55" outlineLevel="1">
      <c r="B41" s="3351" t="s">
        <v>775</v>
      </c>
      <c r="C41" s="3352"/>
      <c r="D41" s="3353" t="s">
        <v>5489</v>
      </c>
      <c r="E41" s="3354"/>
      <c r="F41" s="3355"/>
      <c r="G41" s="3355"/>
      <c r="H41" s="3355"/>
      <c r="I41" s="3355"/>
      <c r="J41" s="3356"/>
      <c r="K41" s="3357"/>
      <c r="L41" s="3356" t="s">
        <v>5490</v>
      </c>
      <c r="M41" s="3356"/>
      <c r="N41" s="3358">
        <f t="shared" si="5"/>
        <v>2.484</v>
      </c>
      <c r="O41" s="3358">
        <v>2.484</v>
      </c>
      <c r="P41" s="3360">
        <f>$P$4</f>
        <v>0</v>
      </c>
      <c r="Q41" s="3360" t="s">
        <v>5386</v>
      </c>
      <c r="R41" s="3361">
        <f>SUM(R40:$AQ40)*$N41/100</f>
        <v>2659.5691200000001</v>
      </c>
      <c r="S41" s="3361">
        <f>SUM(S40:$AQ40)*$N41/100</f>
        <v>2454.9868799999999</v>
      </c>
      <c r="T41" s="3361">
        <f>SUM(T40:$AQ40)*$N41/100</f>
        <v>2250.4046400000002</v>
      </c>
      <c r="U41" s="3361">
        <f>SUM(U40:$AQ40)*$N41/100</f>
        <v>2045.8224</v>
      </c>
      <c r="V41" s="3361">
        <f>SUM(V40:$AQ40)*$N41/100</f>
        <v>1841.2401600000001</v>
      </c>
      <c r="W41" s="3361">
        <f>SUM(W40:$AQ40)*$N41/100</f>
        <v>1636.6579199999999</v>
      </c>
      <c r="X41" s="3361">
        <f>SUM(X40:$AQ40)*$N41/100</f>
        <v>1432.0756799999999</v>
      </c>
      <c r="Y41" s="3361">
        <f>SUM(Y40:$AQ40)*$N41/100</f>
        <v>1227.49344</v>
      </c>
      <c r="Z41" s="3361">
        <f>SUM(Z40:$AQ40)*$N41/100</f>
        <v>1022.9112</v>
      </c>
      <c r="AA41" s="3361">
        <f>SUM(AA40:$AQ40)*$N41/100</f>
        <v>818.32895999999994</v>
      </c>
      <c r="AB41" s="3361">
        <f>SUM(AB40:$AQ40)*$N41/100</f>
        <v>613.74671999999998</v>
      </c>
      <c r="AC41" s="3361">
        <f>SUM(AC40:$AQ40)*$N41/100</f>
        <v>409.16447999999997</v>
      </c>
      <c r="AD41" s="3361">
        <f>SUM(AD40:$AQ40)*$N41/100</f>
        <v>204.58223999999998</v>
      </c>
      <c r="AE41" s="3361">
        <v>0</v>
      </c>
      <c r="AF41" s="3361">
        <v>0</v>
      </c>
      <c r="AG41" s="3361">
        <v>0</v>
      </c>
      <c r="AH41" s="3361">
        <v>0</v>
      </c>
      <c r="AI41" s="3361">
        <v>0</v>
      </c>
      <c r="AJ41" s="3361">
        <v>0</v>
      </c>
      <c r="AK41" s="3361">
        <v>0</v>
      </c>
      <c r="AL41" s="3361">
        <v>0</v>
      </c>
      <c r="AM41" s="3361">
        <v>0</v>
      </c>
      <c r="AN41" s="3361">
        <v>0</v>
      </c>
      <c r="AO41" s="3361">
        <v>0</v>
      </c>
      <c r="AP41" s="3361">
        <v>0</v>
      </c>
      <c r="AQ41" s="3361">
        <v>0</v>
      </c>
      <c r="AR41" s="3361"/>
      <c r="AS41" s="3361"/>
      <c r="AT41" s="3362">
        <f t="shared" si="6"/>
        <v>18616.983839999997</v>
      </c>
      <c r="AU41" s="3347">
        <f t="shared" si="7"/>
        <v>0</v>
      </c>
      <c r="AV41" s="3363">
        <f t="shared" si="4"/>
        <v>4296.2270399999998</v>
      </c>
      <c r="AW41" s="3364">
        <f t="shared" si="2"/>
        <v>18616.983840000001</v>
      </c>
      <c r="AY41" s="3336" t="b">
        <f t="shared" si="3"/>
        <v>1</v>
      </c>
      <c r="BC41" s="3350"/>
    </row>
    <row r="42" spans="2:55" s="3336" customFormat="1" outlineLevel="1">
      <c r="B42" s="3337" t="s">
        <v>775</v>
      </c>
      <c r="C42" s="3338">
        <v>19</v>
      </c>
      <c r="D42" s="3339" t="s">
        <v>5491</v>
      </c>
      <c r="E42" s="3340" t="s">
        <v>5492</v>
      </c>
      <c r="F42" s="3341" t="s">
        <v>5493</v>
      </c>
      <c r="G42" s="3341" t="s">
        <v>5494</v>
      </c>
      <c r="H42" s="3341" t="s">
        <v>5495</v>
      </c>
      <c r="I42" s="3341" t="s">
        <v>5382</v>
      </c>
      <c r="J42" s="3342">
        <v>131127</v>
      </c>
      <c r="K42" s="3343">
        <v>87464</v>
      </c>
      <c r="L42" s="3343"/>
      <c r="M42" s="3343"/>
      <c r="N42" s="3365"/>
      <c r="O42" s="3365"/>
      <c r="P42" s="3344"/>
      <c r="Q42" s="3344" t="s">
        <v>5383</v>
      </c>
      <c r="R42" s="3345">
        <v>6728</v>
      </c>
      <c r="S42" s="3345">
        <v>6728</v>
      </c>
      <c r="T42" s="3345">
        <v>6728</v>
      </c>
      <c r="U42" s="3345">
        <v>6728</v>
      </c>
      <c r="V42" s="3345">
        <v>6728</v>
      </c>
      <c r="W42" s="3345">
        <v>6728</v>
      </c>
      <c r="X42" s="3345">
        <v>6728</v>
      </c>
      <c r="Y42" s="3345">
        <v>6728</v>
      </c>
      <c r="Z42" s="3345">
        <v>6728</v>
      </c>
      <c r="AA42" s="3345">
        <v>6728</v>
      </c>
      <c r="AB42" s="3345">
        <v>6728</v>
      </c>
      <c r="AC42" s="3345">
        <v>6728</v>
      </c>
      <c r="AD42" s="3345">
        <v>6728</v>
      </c>
      <c r="AE42" s="3345">
        <v>0</v>
      </c>
      <c r="AF42" s="3345">
        <v>0</v>
      </c>
      <c r="AG42" s="3345">
        <v>0</v>
      </c>
      <c r="AH42" s="3345">
        <v>0</v>
      </c>
      <c r="AI42" s="3345">
        <v>0</v>
      </c>
      <c r="AJ42" s="3345">
        <v>0</v>
      </c>
      <c r="AK42" s="3345">
        <v>0</v>
      </c>
      <c r="AL42" s="3345">
        <v>0</v>
      </c>
      <c r="AM42" s="3345">
        <v>0</v>
      </c>
      <c r="AN42" s="3345">
        <v>0</v>
      </c>
      <c r="AO42" s="3345">
        <v>0</v>
      </c>
      <c r="AP42" s="3345">
        <v>0</v>
      </c>
      <c r="AQ42" s="3345">
        <v>0</v>
      </c>
      <c r="AR42" s="3345"/>
      <c r="AS42" s="3345"/>
      <c r="AT42" s="3346">
        <f t="shared" si="6"/>
        <v>87464</v>
      </c>
      <c r="AU42" s="3347">
        <f t="shared" si="7"/>
        <v>0</v>
      </c>
      <c r="AV42" s="3348">
        <f t="shared" si="4"/>
        <v>40368</v>
      </c>
      <c r="AW42" s="3349">
        <f t="shared" si="2"/>
        <v>87464</v>
      </c>
      <c r="AY42" s="3336" t="b">
        <f t="shared" si="3"/>
        <v>1</v>
      </c>
      <c r="AZ42" s="3350">
        <f>AW42-K42</f>
        <v>0</v>
      </c>
      <c r="BC42" s="3350"/>
    </row>
    <row r="43" spans="2:55" outlineLevel="1">
      <c r="B43" s="3351" t="s">
        <v>775</v>
      </c>
      <c r="C43" s="3352"/>
      <c r="D43" s="3353" t="s">
        <v>5496</v>
      </c>
      <c r="E43" s="3354"/>
      <c r="F43" s="3355"/>
      <c r="G43" s="3355"/>
      <c r="H43" s="3355"/>
      <c r="I43" s="3355"/>
      <c r="J43" s="3356"/>
      <c r="K43" s="3357"/>
      <c r="L43" s="3356" t="s">
        <v>5497</v>
      </c>
      <c r="M43" s="3356"/>
      <c r="N43" s="3358">
        <f t="shared" si="5"/>
        <v>2.4670000000000001</v>
      </c>
      <c r="O43" s="3358">
        <v>2.4670000000000001</v>
      </c>
      <c r="P43" s="3360">
        <f>$P$4</f>
        <v>0</v>
      </c>
      <c r="Q43" s="3360" t="s">
        <v>5386</v>
      </c>
      <c r="R43" s="3361">
        <f>SUM(R42:$AQ42)*$N43/100</f>
        <v>2157.7368799999999</v>
      </c>
      <c r="S43" s="3361">
        <f>SUM(S42:$AQ42)*$N43/100</f>
        <v>1991.75712</v>
      </c>
      <c r="T43" s="3361">
        <f>SUM(T42:$AQ42)*$N43/100</f>
        <v>1825.77736</v>
      </c>
      <c r="U43" s="3361">
        <f>SUM(U42:$AQ42)*$N43/100</f>
        <v>1659.7976000000001</v>
      </c>
      <c r="V43" s="3361">
        <f>SUM(V42:$AQ42)*$N43/100</f>
        <v>1493.8178400000002</v>
      </c>
      <c r="W43" s="3361">
        <f>SUM(W42:$AQ42)*$N43/100</f>
        <v>1327.83808</v>
      </c>
      <c r="X43" s="3361">
        <f>SUM(X42:$AQ42)*$N43/100</f>
        <v>1161.85832</v>
      </c>
      <c r="Y43" s="3361">
        <f>SUM(Y42:$AQ42)*$N43/100</f>
        <v>995.87855999999999</v>
      </c>
      <c r="Z43" s="3361">
        <f>SUM(Z42:$AQ42)*$N43/100</f>
        <v>829.89880000000005</v>
      </c>
      <c r="AA43" s="3361">
        <f>SUM(AA42:$AQ42)*$N43/100</f>
        <v>663.91904</v>
      </c>
      <c r="AB43" s="3361">
        <f>SUM(AB42:$AQ42)*$N43/100</f>
        <v>497.93928</v>
      </c>
      <c r="AC43" s="3361">
        <f>SUM(AC42:$AQ42)*$N43/100</f>
        <v>331.95952</v>
      </c>
      <c r="AD43" s="3361">
        <f>SUM(AD42:$AQ42)*$N43/100</f>
        <v>165.97976</v>
      </c>
      <c r="AE43" s="3361">
        <v>0</v>
      </c>
      <c r="AF43" s="3361">
        <v>0</v>
      </c>
      <c r="AG43" s="3361">
        <v>0</v>
      </c>
      <c r="AH43" s="3361">
        <v>0</v>
      </c>
      <c r="AI43" s="3361">
        <v>0</v>
      </c>
      <c r="AJ43" s="3361">
        <v>0</v>
      </c>
      <c r="AK43" s="3361">
        <v>0</v>
      </c>
      <c r="AL43" s="3361">
        <v>0</v>
      </c>
      <c r="AM43" s="3361">
        <v>0</v>
      </c>
      <c r="AN43" s="3361">
        <v>0</v>
      </c>
      <c r="AO43" s="3361">
        <v>0</v>
      </c>
      <c r="AP43" s="3361">
        <v>0</v>
      </c>
      <c r="AQ43" s="3361">
        <v>0</v>
      </c>
      <c r="AR43" s="3361"/>
      <c r="AS43" s="3361"/>
      <c r="AT43" s="3362">
        <f t="shared" si="6"/>
        <v>15104.158160000001</v>
      </c>
      <c r="AU43" s="3347">
        <f t="shared" si="7"/>
        <v>0</v>
      </c>
      <c r="AV43" s="3363">
        <f t="shared" si="4"/>
        <v>3485.5749599999999</v>
      </c>
      <c r="AW43" s="3364">
        <f t="shared" si="2"/>
        <v>15104.158159999999</v>
      </c>
      <c r="AY43" s="3336" t="b">
        <f t="shared" si="3"/>
        <v>1</v>
      </c>
      <c r="BC43" s="3350"/>
    </row>
    <row r="44" spans="2:55" s="3336" customFormat="1" outlineLevel="1">
      <c r="B44" s="3337" t="s">
        <v>775</v>
      </c>
      <c r="C44" s="3338">
        <v>20</v>
      </c>
      <c r="D44" s="3339" t="s">
        <v>5498</v>
      </c>
      <c r="E44" s="3340" t="s">
        <v>5499</v>
      </c>
      <c r="F44" s="3341" t="s">
        <v>5500</v>
      </c>
      <c r="G44" s="3341" t="s">
        <v>5501</v>
      </c>
      <c r="H44" s="3341" t="s">
        <v>5502</v>
      </c>
      <c r="I44" s="3341" t="s">
        <v>5382</v>
      </c>
      <c r="J44" s="3342">
        <v>5678344.2000000002</v>
      </c>
      <c r="K44" s="3343">
        <v>2273448</v>
      </c>
      <c r="L44" s="3343"/>
      <c r="M44" s="3343"/>
      <c r="N44" s="3365"/>
      <c r="O44" s="3365"/>
      <c r="P44" s="3344"/>
      <c r="Q44" s="3344" t="s">
        <v>5383</v>
      </c>
      <c r="R44" s="3345">
        <v>344336</v>
      </c>
      <c r="S44" s="3345">
        <v>314856</v>
      </c>
      <c r="T44" s="3345">
        <v>305080</v>
      </c>
      <c r="U44" s="3345">
        <v>279984</v>
      </c>
      <c r="V44" s="3345">
        <v>252100</v>
      </c>
      <c r="W44" s="3345">
        <v>243352</v>
      </c>
      <c r="X44" s="3345">
        <v>243352</v>
      </c>
      <c r="Y44" s="3345">
        <v>243352</v>
      </c>
      <c r="Z44" s="3345">
        <v>33356</v>
      </c>
      <c r="AA44" s="3345">
        <v>13680</v>
      </c>
      <c r="AB44" s="3345">
        <v>0</v>
      </c>
      <c r="AC44" s="3345">
        <v>0</v>
      </c>
      <c r="AD44" s="3345">
        <v>0</v>
      </c>
      <c r="AE44" s="3345">
        <v>0</v>
      </c>
      <c r="AF44" s="3345">
        <v>0</v>
      </c>
      <c r="AG44" s="3345">
        <v>0</v>
      </c>
      <c r="AH44" s="3345">
        <v>0</v>
      </c>
      <c r="AI44" s="3345">
        <v>0</v>
      </c>
      <c r="AJ44" s="3345">
        <v>0</v>
      </c>
      <c r="AK44" s="3345">
        <v>0</v>
      </c>
      <c r="AL44" s="3345">
        <v>0</v>
      </c>
      <c r="AM44" s="3345">
        <v>0</v>
      </c>
      <c r="AN44" s="3345">
        <v>0</v>
      </c>
      <c r="AO44" s="3345">
        <v>0</v>
      </c>
      <c r="AP44" s="3345">
        <v>0</v>
      </c>
      <c r="AQ44" s="3345">
        <v>0</v>
      </c>
      <c r="AR44" s="3345"/>
      <c r="AS44" s="3345"/>
      <c r="AT44" s="3346">
        <f t="shared" si="6"/>
        <v>2273448</v>
      </c>
      <c r="AU44" s="3347">
        <f t="shared" si="7"/>
        <v>0</v>
      </c>
      <c r="AV44" s="3348">
        <f t="shared" si="4"/>
        <v>290388</v>
      </c>
      <c r="AW44" s="3349">
        <f t="shared" si="2"/>
        <v>2273448</v>
      </c>
      <c r="AY44" s="3336" t="b">
        <f t="shared" si="3"/>
        <v>1</v>
      </c>
      <c r="AZ44" s="3350">
        <f>AW44-K44</f>
        <v>0</v>
      </c>
      <c r="BC44" s="3350"/>
    </row>
    <row r="45" spans="2:55" outlineLevel="1">
      <c r="B45" s="3351" t="s">
        <v>775</v>
      </c>
      <c r="C45" s="3352"/>
      <c r="D45" s="3353" t="s">
        <v>5503</v>
      </c>
      <c r="E45" s="3354"/>
      <c r="F45" s="3355"/>
      <c r="G45" s="3355"/>
      <c r="H45" s="3355"/>
      <c r="I45" s="3355"/>
      <c r="J45" s="3356"/>
      <c r="K45" s="3357"/>
      <c r="L45" s="3356" t="s">
        <v>5504</v>
      </c>
      <c r="M45" s="3356"/>
      <c r="N45" s="3358">
        <f t="shared" si="5"/>
        <v>2.5499999999999998</v>
      </c>
      <c r="O45" s="3359">
        <v>2.5499999999999998</v>
      </c>
      <c r="P45" s="3360">
        <f>$P$4</f>
        <v>0</v>
      </c>
      <c r="Q45" s="3360" t="s">
        <v>5386</v>
      </c>
      <c r="R45" s="3361">
        <f>SUM(R44:$AQ44)*$N45/100</f>
        <v>57972.923999999992</v>
      </c>
      <c r="S45" s="3361">
        <f>SUM(S44:$AQ44)*$N45/100</f>
        <v>49192.356</v>
      </c>
      <c r="T45" s="3361">
        <f>SUM(T44:$AQ44)*$N45/100</f>
        <v>41163.527999999998</v>
      </c>
      <c r="U45" s="3361">
        <f>SUM(U44:$AQ44)*$N45/100</f>
        <v>33383.987999999998</v>
      </c>
      <c r="V45" s="3361">
        <f>SUM(V44:$AQ44)*$N45/100</f>
        <v>26244.395999999997</v>
      </c>
      <c r="W45" s="3361">
        <f>SUM(W44:$AQ44)*$N45/100</f>
        <v>19815.845999999998</v>
      </c>
      <c r="X45" s="3361">
        <f>SUM(X44:$AQ44)*$N45/100</f>
        <v>13610.37</v>
      </c>
      <c r="Y45" s="3361">
        <f>SUM(Y44:$AQ44)*$N45/100</f>
        <v>7404.8939999999993</v>
      </c>
      <c r="Z45" s="3361">
        <f>SUM(Z44:$AQ44)*$N45/100</f>
        <v>1199.4179999999999</v>
      </c>
      <c r="AA45" s="3361">
        <f>SUM(AA44:$AQ44)*$N45/100</f>
        <v>348.84</v>
      </c>
      <c r="AB45" s="3361">
        <v>0</v>
      </c>
      <c r="AC45" s="3361">
        <v>0</v>
      </c>
      <c r="AD45" s="3361">
        <v>0</v>
      </c>
      <c r="AE45" s="3361">
        <v>0</v>
      </c>
      <c r="AF45" s="3361">
        <v>0</v>
      </c>
      <c r="AG45" s="3361">
        <v>0</v>
      </c>
      <c r="AH45" s="3361">
        <v>0</v>
      </c>
      <c r="AI45" s="3361">
        <v>0</v>
      </c>
      <c r="AJ45" s="3361">
        <v>0</v>
      </c>
      <c r="AK45" s="3361">
        <v>0</v>
      </c>
      <c r="AL45" s="3361">
        <v>0</v>
      </c>
      <c r="AM45" s="3361">
        <v>0</v>
      </c>
      <c r="AN45" s="3361">
        <v>0</v>
      </c>
      <c r="AO45" s="3361">
        <v>0</v>
      </c>
      <c r="AP45" s="3361">
        <v>0</v>
      </c>
      <c r="AQ45" s="3361">
        <v>0</v>
      </c>
      <c r="AR45" s="3361"/>
      <c r="AS45" s="3361"/>
      <c r="AT45" s="3362">
        <f t="shared" si="6"/>
        <v>250336.55999999997</v>
      </c>
      <c r="AU45" s="3347">
        <f t="shared" si="7"/>
        <v>0</v>
      </c>
      <c r="AV45" s="3363">
        <f t="shared" si="4"/>
        <v>8953.152</v>
      </c>
      <c r="AW45" s="3364">
        <f t="shared" si="2"/>
        <v>250336.55999999997</v>
      </c>
      <c r="AY45" s="3336" t="b">
        <f t="shared" si="3"/>
        <v>1</v>
      </c>
      <c r="BC45" s="3350"/>
    </row>
    <row r="46" spans="2:55" s="3336" customFormat="1" outlineLevel="1">
      <c r="B46" s="3337" t="s">
        <v>775</v>
      </c>
      <c r="C46" s="3338">
        <v>21</v>
      </c>
      <c r="D46" s="3339" t="s">
        <v>5505</v>
      </c>
      <c r="E46" s="3340" t="s">
        <v>5506</v>
      </c>
      <c r="F46" s="3341" t="s">
        <v>5507</v>
      </c>
      <c r="G46" s="3341" t="s">
        <v>5508</v>
      </c>
      <c r="H46" s="3341" t="s">
        <v>5509</v>
      </c>
      <c r="I46" s="3341" t="s">
        <v>5382</v>
      </c>
      <c r="J46" s="3342">
        <v>117517</v>
      </c>
      <c r="K46" s="3343">
        <v>6279</v>
      </c>
      <c r="L46" s="3343"/>
      <c r="M46" s="3343"/>
      <c r="N46" s="3365"/>
      <c r="O46" s="3365"/>
      <c r="P46" s="3344"/>
      <c r="Q46" s="3344" t="s">
        <v>5383</v>
      </c>
      <c r="R46" s="3345">
        <v>1932</v>
      </c>
      <c r="S46" s="3345">
        <v>1932</v>
      </c>
      <c r="T46" s="3345">
        <v>1932</v>
      </c>
      <c r="U46" s="3345">
        <v>483</v>
      </c>
      <c r="V46" s="3345">
        <v>0</v>
      </c>
      <c r="W46" s="3345">
        <v>0</v>
      </c>
      <c r="X46" s="3345">
        <v>0</v>
      </c>
      <c r="Y46" s="3345">
        <v>0</v>
      </c>
      <c r="Z46" s="3345">
        <v>0</v>
      </c>
      <c r="AA46" s="3345">
        <v>0</v>
      </c>
      <c r="AB46" s="3345">
        <v>0</v>
      </c>
      <c r="AC46" s="3345">
        <v>0</v>
      </c>
      <c r="AD46" s="3345">
        <v>0</v>
      </c>
      <c r="AE46" s="3345">
        <v>0</v>
      </c>
      <c r="AF46" s="3345">
        <v>0</v>
      </c>
      <c r="AG46" s="3345">
        <v>0</v>
      </c>
      <c r="AH46" s="3345">
        <v>0</v>
      </c>
      <c r="AI46" s="3345">
        <v>0</v>
      </c>
      <c r="AJ46" s="3345">
        <v>0</v>
      </c>
      <c r="AK46" s="3345">
        <v>0</v>
      </c>
      <c r="AL46" s="3345">
        <v>0</v>
      </c>
      <c r="AM46" s="3345">
        <v>0</v>
      </c>
      <c r="AN46" s="3345">
        <v>0</v>
      </c>
      <c r="AO46" s="3345">
        <v>0</v>
      </c>
      <c r="AP46" s="3345">
        <v>0</v>
      </c>
      <c r="AQ46" s="3345">
        <v>0</v>
      </c>
      <c r="AR46" s="3345"/>
      <c r="AS46" s="3345"/>
      <c r="AT46" s="3346">
        <f t="shared" si="6"/>
        <v>6279</v>
      </c>
      <c r="AU46" s="3347">
        <f t="shared" si="7"/>
        <v>0</v>
      </c>
      <c r="AV46" s="3348">
        <f t="shared" si="4"/>
        <v>0</v>
      </c>
      <c r="AW46" s="3349">
        <f t="shared" si="2"/>
        <v>6279</v>
      </c>
      <c r="AY46" s="3336" t="b">
        <f t="shared" si="3"/>
        <v>1</v>
      </c>
      <c r="AZ46" s="3350">
        <f>AW46-K46</f>
        <v>0</v>
      </c>
      <c r="BC46" s="3350"/>
    </row>
    <row r="47" spans="2:55" outlineLevel="1">
      <c r="B47" s="3351" t="s">
        <v>775</v>
      </c>
      <c r="C47" s="3352"/>
      <c r="D47" s="3353" t="s">
        <v>5510</v>
      </c>
      <c r="E47" s="3354"/>
      <c r="F47" s="3355"/>
      <c r="G47" s="3355"/>
      <c r="H47" s="3355"/>
      <c r="I47" s="3355"/>
      <c r="J47" s="3356"/>
      <c r="K47" s="3357"/>
      <c r="L47" s="3356" t="s">
        <v>5511</v>
      </c>
      <c r="M47" s="3356"/>
      <c r="N47" s="3358">
        <f t="shared" si="5"/>
        <v>2.8029999999999999</v>
      </c>
      <c r="O47" s="3358">
        <v>2.8029999999999999</v>
      </c>
      <c r="P47" s="3360">
        <f>$P$4</f>
        <v>0</v>
      </c>
      <c r="Q47" s="3360" t="s">
        <v>5386</v>
      </c>
      <c r="R47" s="3361">
        <f>SUM(R46:$AQ46)*$N47/100</f>
        <v>176.00037</v>
      </c>
      <c r="S47" s="3361">
        <f>SUM(S46:$AQ46)*$N47/100</f>
        <v>121.84640999999999</v>
      </c>
      <c r="T47" s="3361">
        <f>SUM(T46:$AQ46)*$N47/100</f>
        <v>67.692449999999994</v>
      </c>
      <c r="U47" s="3361">
        <f>SUM(U46:$AQ46)*$N47/100</f>
        <v>13.538489999999999</v>
      </c>
      <c r="V47" s="3361">
        <v>0</v>
      </c>
      <c r="W47" s="3361">
        <v>0</v>
      </c>
      <c r="X47" s="3361">
        <v>0</v>
      </c>
      <c r="Y47" s="3361">
        <v>0</v>
      </c>
      <c r="Z47" s="3361">
        <v>0</v>
      </c>
      <c r="AA47" s="3361">
        <v>0</v>
      </c>
      <c r="AB47" s="3361">
        <v>0</v>
      </c>
      <c r="AC47" s="3361">
        <v>0</v>
      </c>
      <c r="AD47" s="3361">
        <v>0</v>
      </c>
      <c r="AE47" s="3361">
        <v>0</v>
      </c>
      <c r="AF47" s="3361">
        <v>0</v>
      </c>
      <c r="AG47" s="3361">
        <v>0</v>
      </c>
      <c r="AH47" s="3361">
        <v>0</v>
      </c>
      <c r="AI47" s="3361">
        <v>0</v>
      </c>
      <c r="AJ47" s="3361">
        <v>0</v>
      </c>
      <c r="AK47" s="3361">
        <v>0</v>
      </c>
      <c r="AL47" s="3361">
        <v>0</v>
      </c>
      <c r="AM47" s="3361">
        <v>0</v>
      </c>
      <c r="AN47" s="3361">
        <v>0</v>
      </c>
      <c r="AO47" s="3361">
        <v>0</v>
      </c>
      <c r="AP47" s="3361">
        <v>0</v>
      </c>
      <c r="AQ47" s="3361">
        <v>0</v>
      </c>
      <c r="AR47" s="3361"/>
      <c r="AS47" s="3361"/>
      <c r="AT47" s="3362">
        <f t="shared" si="6"/>
        <v>379.07772</v>
      </c>
      <c r="AU47" s="3347">
        <f t="shared" si="7"/>
        <v>0</v>
      </c>
      <c r="AV47" s="3363">
        <f t="shared" si="4"/>
        <v>0</v>
      </c>
      <c r="AW47" s="3364">
        <f t="shared" si="2"/>
        <v>379.07772</v>
      </c>
      <c r="AY47" s="3336" t="b">
        <f t="shared" si="3"/>
        <v>1</v>
      </c>
      <c r="BC47" s="3350"/>
    </row>
    <row r="48" spans="2:55" s="3336" customFormat="1" outlineLevel="1">
      <c r="B48" s="3337" t="s">
        <v>775</v>
      </c>
      <c r="C48" s="3338">
        <v>22</v>
      </c>
      <c r="D48" s="3339" t="s">
        <v>5512</v>
      </c>
      <c r="E48" s="3340" t="s">
        <v>5513</v>
      </c>
      <c r="F48" s="3341" t="s">
        <v>5514</v>
      </c>
      <c r="G48" s="3341" t="s">
        <v>5515</v>
      </c>
      <c r="H48" s="3341" t="s">
        <v>5516</v>
      </c>
      <c r="I48" s="3341" t="s">
        <v>5382</v>
      </c>
      <c r="J48" s="3342">
        <v>2227434</v>
      </c>
      <c r="K48" s="3343">
        <v>1655340</v>
      </c>
      <c r="L48" s="3343"/>
      <c r="M48" s="3343"/>
      <c r="N48" s="3365"/>
      <c r="O48" s="3365"/>
      <c r="P48" s="3344"/>
      <c r="Q48" s="3344" t="s">
        <v>5383</v>
      </c>
      <c r="R48" s="3345">
        <v>70440</v>
      </c>
      <c r="S48" s="3345">
        <v>70440</v>
      </c>
      <c r="T48" s="3345">
        <v>70440</v>
      </c>
      <c r="U48" s="3345">
        <v>70440</v>
      </c>
      <c r="V48" s="3345">
        <v>70440</v>
      </c>
      <c r="W48" s="3345">
        <v>70440</v>
      </c>
      <c r="X48" s="3345">
        <v>70440</v>
      </c>
      <c r="Y48" s="3345">
        <v>70440</v>
      </c>
      <c r="Z48" s="3345">
        <v>70440</v>
      </c>
      <c r="AA48" s="3345">
        <v>70440</v>
      </c>
      <c r="AB48" s="3345">
        <v>70440</v>
      </c>
      <c r="AC48" s="3345">
        <v>70440</v>
      </c>
      <c r="AD48" s="3345">
        <v>70440</v>
      </c>
      <c r="AE48" s="3345">
        <v>70440</v>
      </c>
      <c r="AF48" s="3345">
        <v>70440</v>
      </c>
      <c r="AG48" s="3345">
        <v>70440</v>
      </c>
      <c r="AH48" s="3345">
        <v>70440</v>
      </c>
      <c r="AI48" s="3345">
        <v>70440</v>
      </c>
      <c r="AJ48" s="3345">
        <v>70440</v>
      </c>
      <c r="AK48" s="3345">
        <v>70440</v>
      </c>
      <c r="AL48" s="3345">
        <v>70440</v>
      </c>
      <c r="AM48" s="3345">
        <v>70440</v>
      </c>
      <c r="AN48" s="3345">
        <v>70440</v>
      </c>
      <c r="AO48" s="3345">
        <v>35220</v>
      </c>
      <c r="AP48" s="3345">
        <v>0</v>
      </c>
      <c r="AQ48" s="3345">
        <v>0</v>
      </c>
      <c r="AR48" s="3345"/>
      <c r="AS48" s="3345"/>
      <c r="AT48" s="3346">
        <f t="shared" si="6"/>
        <v>1655340</v>
      </c>
      <c r="AU48" s="3347">
        <f t="shared" si="7"/>
        <v>0</v>
      </c>
      <c r="AV48" s="3348">
        <f t="shared" si="4"/>
        <v>1162260</v>
      </c>
      <c r="AW48" s="3349">
        <f t="shared" si="2"/>
        <v>1655340</v>
      </c>
      <c r="AY48" s="3336" t="b">
        <f t="shared" si="3"/>
        <v>1</v>
      </c>
      <c r="AZ48" s="3350">
        <f>AW48-K48</f>
        <v>0</v>
      </c>
      <c r="BC48" s="3350"/>
    </row>
    <row r="49" spans="1:55" outlineLevel="1">
      <c r="B49" s="3351" t="s">
        <v>775</v>
      </c>
      <c r="C49" s="3352"/>
      <c r="D49" s="3353" t="s">
        <v>5517</v>
      </c>
      <c r="E49" s="3354"/>
      <c r="F49" s="3355"/>
      <c r="G49" s="3355"/>
      <c r="H49" s="3355"/>
      <c r="I49" s="3355"/>
      <c r="J49" s="3356"/>
      <c r="K49" s="3357"/>
      <c r="L49" s="3356" t="s">
        <v>5518</v>
      </c>
      <c r="M49" s="3356"/>
      <c r="N49" s="3358">
        <f t="shared" si="5"/>
        <v>2.2999999999999998</v>
      </c>
      <c r="O49" s="3359">
        <v>2.2999999999999998</v>
      </c>
      <c r="P49" s="3360">
        <f>$P$4</f>
        <v>0</v>
      </c>
      <c r="Q49" s="3360" t="s">
        <v>5386</v>
      </c>
      <c r="R49" s="3361">
        <f>SUM(R48:$AQ48)*$N49/100</f>
        <v>38072.819999999992</v>
      </c>
      <c r="S49" s="3361">
        <f>SUM(S48:$AQ48)*$N49/100</f>
        <v>36452.699999999997</v>
      </c>
      <c r="T49" s="3361">
        <f>SUM(T48:$AQ48)*$N49/100</f>
        <v>34832.579999999994</v>
      </c>
      <c r="U49" s="3361">
        <f>SUM(U48:$AQ48)*$N49/100</f>
        <v>33212.459999999992</v>
      </c>
      <c r="V49" s="3361">
        <f>SUM(V48:$AQ48)*$N49/100</f>
        <v>31592.339999999997</v>
      </c>
      <c r="W49" s="3361">
        <f>SUM(W48:$AQ48)*$N49/100</f>
        <v>29972.22</v>
      </c>
      <c r="X49" s="3361">
        <f>SUM(X48:$AQ48)*$N49/100</f>
        <v>28352.1</v>
      </c>
      <c r="Y49" s="3361">
        <f>SUM(Y48:$AQ48)*$N49/100</f>
        <v>26731.98</v>
      </c>
      <c r="Z49" s="3361">
        <f>SUM(Z48:$AQ48)*$N49/100</f>
        <v>25111.86</v>
      </c>
      <c r="AA49" s="3361">
        <f>SUM(AA48:$AQ48)*$N49/100</f>
        <v>23491.74</v>
      </c>
      <c r="AB49" s="3361">
        <f>SUM(AB48:$AQ48)*$N49/100</f>
        <v>21871.62</v>
      </c>
      <c r="AC49" s="3361">
        <f>SUM(AC48:$AQ48)*$N49/100</f>
        <v>20251.499999999996</v>
      </c>
      <c r="AD49" s="3361">
        <f>SUM(AD48:$AQ48)*$N49/100</f>
        <v>18631.379999999997</v>
      </c>
      <c r="AE49" s="3361">
        <f>SUM(AE48:$AQ48)*$N49/100</f>
        <v>17011.259999999998</v>
      </c>
      <c r="AF49" s="3361">
        <f>SUM(AF48:$AQ48)*$N49/100</f>
        <v>15391.139999999998</v>
      </c>
      <c r="AG49" s="3361">
        <f>SUM(AG48:$AQ48)*$N49/100</f>
        <v>13771.02</v>
      </c>
      <c r="AH49" s="3361">
        <f>SUM(AH48:$AQ48)*$N49/100</f>
        <v>12150.9</v>
      </c>
      <c r="AI49" s="3361">
        <f>SUM(AI48:$AQ48)*$N49/100</f>
        <v>10530.78</v>
      </c>
      <c r="AJ49" s="3361">
        <f>SUM(AJ48:$AQ48)*$N49/100</f>
        <v>8910.659999999998</v>
      </c>
      <c r="AK49" s="3361">
        <f>SUM(AK48:$AQ48)*$N49/100</f>
        <v>7290.54</v>
      </c>
      <c r="AL49" s="3361">
        <f>SUM(AL48:$AQ48)*$N49/100</f>
        <v>5670.42</v>
      </c>
      <c r="AM49" s="3361">
        <f>SUM(AM48:$AQ48)*$N49/100</f>
        <v>4050.2999999999993</v>
      </c>
      <c r="AN49" s="3361">
        <f>SUM(AN48:$AQ48)*$N49/100</f>
        <v>2430.1799999999998</v>
      </c>
      <c r="AO49" s="3361">
        <f>SUM(AO48:$AQ48)*$N49/100</f>
        <v>810.06</v>
      </c>
      <c r="AP49" s="3361">
        <v>0</v>
      </c>
      <c r="AQ49" s="3361">
        <v>0</v>
      </c>
      <c r="AR49" s="3361"/>
      <c r="AS49" s="3361"/>
      <c r="AT49" s="3362">
        <f t="shared" si="6"/>
        <v>466594.56</v>
      </c>
      <c r="AU49" s="3347">
        <f t="shared" si="7"/>
        <v>0</v>
      </c>
      <c r="AV49" s="3363">
        <f t="shared" si="4"/>
        <v>234107.33999999997</v>
      </c>
      <c r="AW49" s="3364">
        <f t="shared" si="2"/>
        <v>466594.55999999994</v>
      </c>
      <c r="AY49" s="3336" t="b">
        <f t="shared" si="3"/>
        <v>1</v>
      </c>
      <c r="BC49" s="3350"/>
    </row>
    <row r="50" spans="1:55" s="3336" customFormat="1" outlineLevel="1">
      <c r="B50" s="3337" t="s">
        <v>331</v>
      </c>
      <c r="C50" s="3338">
        <v>23</v>
      </c>
      <c r="D50" s="3339" t="s">
        <v>5519</v>
      </c>
      <c r="E50" s="3340" t="s">
        <v>5520</v>
      </c>
      <c r="F50" s="3341" t="s">
        <v>5521</v>
      </c>
      <c r="G50" s="3341" t="s">
        <v>5522</v>
      </c>
      <c r="H50" s="3341" t="s">
        <v>5523</v>
      </c>
      <c r="I50" s="3341" t="s">
        <v>5382</v>
      </c>
      <c r="J50" s="3342">
        <v>531484</v>
      </c>
      <c r="K50" s="3343">
        <v>320740</v>
      </c>
      <c r="L50" s="3343"/>
      <c r="M50" s="3343"/>
      <c r="N50" s="3365"/>
      <c r="O50" s="3365"/>
      <c r="P50" s="3344"/>
      <c r="Q50" s="3344" t="s">
        <v>5383</v>
      </c>
      <c r="R50" s="3345">
        <v>36656</v>
      </c>
      <c r="S50" s="3345">
        <v>36656</v>
      </c>
      <c r="T50" s="3345">
        <v>36656</v>
      </c>
      <c r="U50" s="3345">
        <v>36656</v>
      </c>
      <c r="V50" s="3345">
        <v>36656</v>
      </c>
      <c r="W50" s="3345">
        <v>36656</v>
      </c>
      <c r="X50" s="3345">
        <v>36656</v>
      </c>
      <c r="Y50" s="3345">
        <v>36656</v>
      </c>
      <c r="Z50" s="3345">
        <v>27492</v>
      </c>
      <c r="AA50" s="3345">
        <v>0</v>
      </c>
      <c r="AB50" s="3345">
        <v>0</v>
      </c>
      <c r="AC50" s="3345">
        <v>0</v>
      </c>
      <c r="AD50" s="3345">
        <v>0</v>
      </c>
      <c r="AE50" s="3345">
        <v>0</v>
      </c>
      <c r="AF50" s="3345">
        <v>0</v>
      </c>
      <c r="AG50" s="3345">
        <v>0</v>
      </c>
      <c r="AH50" s="3345">
        <v>0</v>
      </c>
      <c r="AI50" s="3345">
        <v>0</v>
      </c>
      <c r="AJ50" s="3345">
        <v>0</v>
      </c>
      <c r="AK50" s="3345">
        <v>0</v>
      </c>
      <c r="AL50" s="3345">
        <v>0</v>
      </c>
      <c r="AM50" s="3345">
        <v>0</v>
      </c>
      <c r="AN50" s="3345">
        <v>0</v>
      </c>
      <c r="AO50" s="3345">
        <v>0</v>
      </c>
      <c r="AP50" s="3345">
        <v>0</v>
      </c>
      <c r="AQ50" s="3345">
        <v>0</v>
      </c>
      <c r="AR50" s="3345"/>
      <c r="AS50" s="3345"/>
      <c r="AT50" s="3346">
        <f t="shared" si="6"/>
        <v>320740</v>
      </c>
      <c r="AU50" s="3347">
        <f t="shared" si="7"/>
        <v>0</v>
      </c>
      <c r="AV50" s="3348">
        <f t="shared" si="4"/>
        <v>64148</v>
      </c>
      <c r="AW50" s="3349">
        <f t="shared" si="2"/>
        <v>320740</v>
      </c>
      <c r="AY50" s="3336" t="b">
        <f t="shared" si="3"/>
        <v>1</v>
      </c>
      <c r="AZ50" s="3350">
        <f>AW50-K50</f>
        <v>0</v>
      </c>
      <c r="BC50" s="3350"/>
    </row>
    <row r="51" spans="1:55" outlineLevel="1">
      <c r="B51" s="3351" t="s">
        <v>331</v>
      </c>
      <c r="C51" s="3352"/>
      <c r="D51" s="3353"/>
      <c r="E51" s="3354"/>
      <c r="F51" s="3355"/>
      <c r="G51" s="3355"/>
      <c r="H51" s="3355"/>
      <c r="I51" s="3355"/>
      <c r="J51" s="3356"/>
      <c r="K51" s="3357"/>
      <c r="L51" s="3356" t="s">
        <v>5524</v>
      </c>
      <c r="M51" s="3356"/>
      <c r="N51" s="3358">
        <f t="shared" si="5"/>
        <v>2.5070000000000001</v>
      </c>
      <c r="O51" s="3358">
        <v>2.5070000000000001</v>
      </c>
      <c r="P51" s="3360">
        <f>$P$4</f>
        <v>0</v>
      </c>
      <c r="Q51" s="3360" t="s">
        <v>5386</v>
      </c>
      <c r="R51" s="3361">
        <f>SUM(R50:$AQ50)*$N51/100</f>
        <v>8040.9518000000007</v>
      </c>
      <c r="S51" s="3361">
        <f>SUM(S50:$AQ50)*$N51/100</f>
        <v>7121.9858800000002</v>
      </c>
      <c r="T51" s="3361">
        <f>SUM(T50:$AQ50)*$N51/100</f>
        <v>6203.0199600000005</v>
      </c>
      <c r="U51" s="3361">
        <f>SUM(U50:$AQ50)*$N51/100</f>
        <v>5284.05404</v>
      </c>
      <c r="V51" s="3361">
        <f>SUM(V50:$AQ50)*$N51/100</f>
        <v>4365.0881200000003</v>
      </c>
      <c r="W51" s="3361">
        <f>SUM(W50:$AQ50)*$N51/100</f>
        <v>3446.1222000000002</v>
      </c>
      <c r="X51" s="3361">
        <f>SUM(X50:$AQ50)*$N51/100</f>
        <v>2527.1562800000002</v>
      </c>
      <c r="Y51" s="3361">
        <f>SUM(Y50:$AQ50)*$N51/100</f>
        <v>1608.1903600000003</v>
      </c>
      <c r="Z51" s="3361">
        <f>SUM(Z50:$AQ50)*$N51/100</f>
        <v>689.22444000000007</v>
      </c>
      <c r="AA51" s="3361">
        <v>0</v>
      </c>
      <c r="AB51" s="3361">
        <v>0</v>
      </c>
      <c r="AC51" s="3361">
        <v>0</v>
      </c>
      <c r="AD51" s="3361">
        <v>0</v>
      </c>
      <c r="AE51" s="3361">
        <v>0</v>
      </c>
      <c r="AF51" s="3361">
        <v>0</v>
      </c>
      <c r="AG51" s="3361">
        <v>0</v>
      </c>
      <c r="AH51" s="3361">
        <v>0</v>
      </c>
      <c r="AI51" s="3361">
        <v>0</v>
      </c>
      <c r="AJ51" s="3361">
        <v>0</v>
      </c>
      <c r="AK51" s="3361">
        <v>0</v>
      </c>
      <c r="AL51" s="3361">
        <v>0</v>
      </c>
      <c r="AM51" s="3361">
        <v>0</v>
      </c>
      <c r="AN51" s="3361">
        <v>0</v>
      </c>
      <c r="AO51" s="3361">
        <v>0</v>
      </c>
      <c r="AP51" s="3361">
        <v>0</v>
      </c>
      <c r="AQ51" s="3361">
        <v>0</v>
      </c>
      <c r="AR51" s="3361"/>
      <c r="AS51" s="3361"/>
      <c r="AT51" s="3362">
        <f t="shared" si="6"/>
        <v>39285.793080000003</v>
      </c>
      <c r="AU51" s="3347">
        <f t="shared" si="7"/>
        <v>0</v>
      </c>
      <c r="AV51" s="3363">
        <f t="shared" si="4"/>
        <v>2297.4148000000005</v>
      </c>
      <c r="AW51" s="3364">
        <f t="shared" si="2"/>
        <v>39285.793080000003</v>
      </c>
      <c r="AY51" s="3336" t="b">
        <f t="shared" si="3"/>
        <v>1</v>
      </c>
      <c r="BC51" s="3350"/>
    </row>
    <row r="52" spans="1:55" s="3336" customFormat="1" outlineLevel="1">
      <c r="B52" s="3337" t="s">
        <v>775</v>
      </c>
      <c r="C52" s="3338">
        <v>24</v>
      </c>
      <c r="D52" s="3339" t="s">
        <v>5525</v>
      </c>
      <c r="E52" s="3340" t="s">
        <v>5526</v>
      </c>
      <c r="F52" s="3341" t="s">
        <v>5527</v>
      </c>
      <c r="G52" s="3341" t="s">
        <v>5528</v>
      </c>
      <c r="H52" s="3341" t="s">
        <v>5529</v>
      </c>
      <c r="I52" s="3341" t="s">
        <v>5382</v>
      </c>
      <c r="J52" s="3342">
        <v>583938.46</v>
      </c>
      <c r="K52" s="3343">
        <v>441952</v>
      </c>
      <c r="L52" s="3343"/>
      <c r="M52" s="3343"/>
      <c r="N52" s="3365"/>
      <c r="O52" s="3365"/>
      <c r="P52" s="3344"/>
      <c r="Q52" s="3344" t="s">
        <v>5383</v>
      </c>
      <c r="R52" s="3345">
        <v>31568</v>
      </c>
      <c r="S52" s="3345">
        <v>31568</v>
      </c>
      <c r="T52" s="3345">
        <v>31568</v>
      </c>
      <c r="U52" s="3345">
        <v>31568</v>
      </c>
      <c r="V52" s="3345">
        <v>31568</v>
      </c>
      <c r="W52" s="3345">
        <v>31568</v>
      </c>
      <c r="X52" s="3345">
        <v>31568</v>
      </c>
      <c r="Y52" s="3345">
        <v>31568</v>
      </c>
      <c r="Z52" s="3345">
        <v>31568</v>
      </c>
      <c r="AA52" s="3345">
        <v>31568</v>
      </c>
      <c r="AB52" s="3345">
        <v>31568</v>
      </c>
      <c r="AC52" s="3345">
        <v>31568</v>
      </c>
      <c r="AD52" s="3345">
        <v>31568</v>
      </c>
      <c r="AE52" s="3345">
        <v>31568</v>
      </c>
      <c r="AF52" s="3345">
        <v>0</v>
      </c>
      <c r="AG52" s="3345">
        <v>0</v>
      </c>
      <c r="AH52" s="3345">
        <v>0</v>
      </c>
      <c r="AI52" s="3345">
        <v>0</v>
      </c>
      <c r="AJ52" s="3345">
        <v>0</v>
      </c>
      <c r="AK52" s="3345">
        <v>0</v>
      </c>
      <c r="AL52" s="3345">
        <v>0</v>
      </c>
      <c r="AM52" s="3345">
        <v>0</v>
      </c>
      <c r="AN52" s="3345">
        <v>0</v>
      </c>
      <c r="AO52" s="3345">
        <v>0</v>
      </c>
      <c r="AP52" s="3345">
        <v>0</v>
      </c>
      <c r="AQ52" s="3345">
        <v>0</v>
      </c>
      <c r="AR52" s="3345"/>
      <c r="AS52" s="3345"/>
      <c r="AT52" s="3346">
        <f t="shared" si="6"/>
        <v>441952</v>
      </c>
      <c r="AU52" s="3347">
        <f t="shared" si="7"/>
        <v>0</v>
      </c>
      <c r="AV52" s="3348">
        <f t="shared" si="4"/>
        <v>220976</v>
      </c>
      <c r="AW52" s="3349">
        <f t="shared" si="2"/>
        <v>441952</v>
      </c>
      <c r="AY52" s="3336" t="b">
        <f t="shared" si="3"/>
        <v>1</v>
      </c>
      <c r="AZ52" s="3350">
        <f>AW52-K52</f>
        <v>0</v>
      </c>
      <c r="BC52" s="3350"/>
    </row>
    <row r="53" spans="1:55" outlineLevel="1">
      <c r="B53" s="3351" t="s">
        <v>775</v>
      </c>
      <c r="C53" s="3352"/>
      <c r="D53" s="3353"/>
      <c r="E53" s="3354"/>
      <c r="F53" s="3355"/>
      <c r="G53" s="3355"/>
      <c r="H53" s="3355"/>
      <c r="I53" s="3355"/>
      <c r="J53" s="3356"/>
      <c r="K53" s="3357"/>
      <c r="L53" s="3356" t="s">
        <v>5530</v>
      </c>
      <c r="M53" s="3356"/>
      <c r="N53" s="3358">
        <f t="shared" si="5"/>
        <v>2.5169999999999999</v>
      </c>
      <c r="O53" s="3358">
        <v>2.5169999999999999</v>
      </c>
      <c r="P53" s="3360">
        <f>$P$4</f>
        <v>0</v>
      </c>
      <c r="Q53" s="3360" t="s">
        <v>5386</v>
      </c>
      <c r="R53" s="3361">
        <f>SUM(R52:$AQ52)*$N53/100</f>
        <v>11123.931839999999</v>
      </c>
      <c r="S53" s="3361">
        <f>SUM(S52:$AQ52)*$N53/100</f>
        <v>10329.36528</v>
      </c>
      <c r="T53" s="3361">
        <f>SUM(T52:$AQ52)*$N53/100</f>
        <v>9534.7987199999989</v>
      </c>
      <c r="U53" s="3361">
        <f>SUM(U52:$AQ52)*$N53/100</f>
        <v>8740.2321599999996</v>
      </c>
      <c r="V53" s="3361">
        <f>SUM(V52:$AQ52)*$N53/100</f>
        <v>7945.6655999999994</v>
      </c>
      <c r="W53" s="3361">
        <f>SUM(W52:$AQ52)*$N53/100</f>
        <v>7151.0990400000001</v>
      </c>
      <c r="X53" s="3361">
        <f>SUM(X52:$AQ52)*$N53/100</f>
        <v>6356.5324799999999</v>
      </c>
      <c r="Y53" s="3361">
        <f>SUM(Y52:$AQ52)*$N53/100</f>
        <v>5561.9659199999996</v>
      </c>
      <c r="Z53" s="3361">
        <f>SUM(Z52:$AQ52)*$N53/100</f>
        <v>4767.3993599999994</v>
      </c>
      <c r="AA53" s="3361">
        <f>SUM(AA52:$AQ52)*$N53/100</f>
        <v>3972.8327999999997</v>
      </c>
      <c r="AB53" s="3361">
        <f>SUM(AB52:$AQ52)*$N53/100</f>
        <v>3178.2662399999999</v>
      </c>
      <c r="AC53" s="3361">
        <f>SUM(AC52:$AQ52)*$N53/100</f>
        <v>2383.6996799999997</v>
      </c>
      <c r="AD53" s="3361">
        <f>SUM(AD52:$AQ52)*$N53/100</f>
        <v>1589.13312</v>
      </c>
      <c r="AE53" s="3361">
        <f>SUM(AE52:$AQ52)*$N53/100</f>
        <v>794.56655999999998</v>
      </c>
      <c r="AF53" s="3361">
        <v>0</v>
      </c>
      <c r="AG53" s="3361">
        <v>0</v>
      </c>
      <c r="AH53" s="3361">
        <v>0</v>
      </c>
      <c r="AI53" s="3361">
        <v>0</v>
      </c>
      <c r="AJ53" s="3361">
        <v>0</v>
      </c>
      <c r="AK53" s="3361">
        <v>0</v>
      </c>
      <c r="AL53" s="3361">
        <v>0</v>
      </c>
      <c r="AM53" s="3361">
        <v>0</v>
      </c>
      <c r="AN53" s="3361">
        <v>0</v>
      </c>
      <c r="AO53" s="3361">
        <v>0</v>
      </c>
      <c r="AP53" s="3361">
        <v>0</v>
      </c>
      <c r="AQ53" s="3361">
        <v>0</v>
      </c>
      <c r="AR53" s="3361"/>
      <c r="AS53" s="3361"/>
      <c r="AT53" s="3362">
        <f t="shared" si="6"/>
        <v>83429.488800000006</v>
      </c>
      <c r="AU53" s="3347">
        <f t="shared" si="7"/>
        <v>0</v>
      </c>
      <c r="AV53" s="3363">
        <f t="shared" si="4"/>
        <v>22247.863679999995</v>
      </c>
      <c r="AW53" s="3364">
        <f t="shared" si="2"/>
        <v>83429.488799999992</v>
      </c>
      <c r="AY53" s="3336" t="b">
        <f t="shared" si="3"/>
        <v>1</v>
      </c>
      <c r="BC53" s="3350"/>
    </row>
    <row r="54" spans="1:55" s="3336" customFormat="1" outlineLevel="1">
      <c r="B54" s="3337" t="s">
        <v>331</v>
      </c>
      <c r="C54" s="3376">
        <v>25</v>
      </c>
      <c r="D54" s="3339" t="s">
        <v>5531</v>
      </c>
      <c r="E54" s="3340" t="s">
        <v>5532</v>
      </c>
      <c r="F54" s="3341" t="s">
        <v>5533</v>
      </c>
      <c r="G54" s="3341" t="s">
        <v>5534</v>
      </c>
      <c r="H54" s="3341" t="s">
        <v>5535</v>
      </c>
      <c r="I54" s="3341" t="s">
        <v>5382</v>
      </c>
      <c r="J54" s="3342">
        <v>2556845.52</v>
      </c>
      <c r="K54" s="3343">
        <v>2147587.52</v>
      </c>
      <c r="L54" s="3343"/>
      <c r="M54" s="3343"/>
      <c r="N54" s="3365"/>
      <c r="O54" s="3365"/>
      <c r="P54" s="3344"/>
      <c r="Q54" s="3377" t="s">
        <v>5383</v>
      </c>
      <c r="R54" s="3378">
        <v>96316</v>
      </c>
      <c r="S54" s="3345">
        <v>96316</v>
      </c>
      <c r="T54" s="3345">
        <v>96316</v>
      </c>
      <c r="U54" s="3345">
        <v>96316</v>
      </c>
      <c r="V54" s="3345">
        <v>96316</v>
      </c>
      <c r="W54" s="3345">
        <v>96316</v>
      </c>
      <c r="X54" s="3345">
        <v>96316</v>
      </c>
      <c r="Y54" s="3345">
        <v>96316</v>
      </c>
      <c r="Z54" s="3345">
        <v>96316</v>
      </c>
      <c r="AA54" s="3345">
        <v>96316</v>
      </c>
      <c r="AB54" s="3345">
        <v>96316</v>
      </c>
      <c r="AC54" s="3345">
        <v>96316</v>
      </c>
      <c r="AD54" s="3345">
        <v>96316</v>
      </c>
      <c r="AE54" s="3345">
        <v>96316</v>
      </c>
      <c r="AF54" s="3345">
        <v>96316</v>
      </c>
      <c r="AG54" s="3345">
        <v>96316</v>
      </c>
      <c r="AH54" s="3345">
        <v>96316</v>
      </c>
      <c r="AI54" s="3345">
        <v>96316</v>
      </c>
      <c r="AJ54" s="3345">
        <v>96316</v>
      </c>
      <c r="AK54" s="3345">
        <v>96316</v>
      </c>
      <c r="AL54" s="3345">
        <v>96316</v>
      </c>
      <c r="AM54" s="3345">
        <v>96316</v>
      </c>
      <c r="AN54" s="3345">
        <v>28635.52</v>
      </c>
      <c r="AO54" s="3345">
        <v>0</v>
      </c>
      <c r="AP54" s="3345">
        <v>0</v>
      </c>
      <c r="AQ54" s="3345">
        <v>0</v>
      </c>
      <c r="AR54" s="3345"/>
      <c r="AS54" s="3345"/>
      <c r="AT54" s="3346">
        <f t="shared" si="6"/>
        <v>2147587.52</v>
      </c>
      <c r="AU54" s="3347">
        <f t="shared" si="7"/>
        <v>0</v>
      </c>
      <c r="AV54" s="3348">
        <f t="shared" si="4"/>
        <v>1473375.52</v>
      </c>
      <c r="AW54" s="3349">
        <f t="shared" si="2"/>
        <v>2147587.52</v>
      </c>
      <c r="AY54" s="3336" t="b">
        <f t="shared" si="3"/>
        <v>1</v>
      </c>
      <c r="AZ54" s="3350">
        <f>AW54-K54</f>
        <v>0</v>
      </c>
      <c r="BC54" s="3350"/>
    </row>
    <row r="55" spans="1:55" outlineLevel="1">
      <c r="B55" s="3351" t="s">
        <v>331</v>
      </c>
      <c r="C55" s="3352"/>
      <c r="D55" s="3353"/>
      <c r="E55" s="3354"/>
      <c r="F55" s="3355"/>
      <c r="G55" s="3355"/>
      <c r="H55" s="3355"/>
      <c r="I55" s="3355"/>
      <c r="J55" s="3356"/>
      <c r="K55" s="3357"/>
      <c r="L55" s="3356" t="s">
        <v>5536</v>
      </c>
      <c r="M55" s="3356"/>
      <c r="N55" s="3358">
        <f t="shared" si="5"/>
        <v>4.2089999999999996</v>
      </c>
      <c r="O55" s="3358">
        <v>4.2089999999999996</v>
      </c>
      <c r="P55" s="3360">
        <f>$P$4</f>
        <v>0</v>
      </c>
      <c r="Q55" s="3379" t="s">
        <v>5386</v>
      </c>
      <c r="R55" s="3361">
        <f>SUM(R54:$AQ54)*$N55/100</f>
        <v>90391.958716799985</v>
      </c>
      <c r="S55" s="3361">
        <f>SUM(S54:$AQ54)*$N55/100</f>
        <v>86338.018276799994</v>
      </c>
      <c r="T55" s="3361">
        <f>SUM(T54:$AQ54)*$N55/100</f>
        <v>82284.077836799988</v>
      </c>
      <c r="U55" s="3361">
        <f>SUM(U54:$AQ54)*$N55/100</f>
        <v>78230.137396799997</v>
      </c>
      <c r="V55" s="3361">
        <f>SUM(V54:$AQ54)*$N55/100</f>
        <v>74176.196956800006</v>
      </c>
      <c r="W55" s="3361">
        <f>SUM(W54:$AQ54)*$N55/100</f>
        <v>70122.256516799986</v>
      </c>
      <c r="X55" s="3361">
        <f>SUM(X54:$AQ54)*$N55/100</f>
        <v>66068.316076799994</v>
      </c>
      <c r="Y55" s="3361">
        <f>SUM(Y54:$AQ54)*$N55/100</f>
        <v>62014.375636799996</v>
      </c>
      <c r="Z55" s="3361">
        <f>SUM(Z54:$AQ54)*$N55/100</f>
        <v>57960.435196799997</v>
      </c>
      <c r="AA55" s="3361">
        <f>SUM(AA54:$AQ54)*$N55/100</f>
        <v>53906.494756799992</v>
      </c>
      <c r="AB55" s="3361">
        <f>SUM(AB54:$AQ54)*$N55/100</f>
        <v>49852.554316799993</v>
      </c>
      <c r="AC55" s="3361">
        <f>SUM(AC54:$AQ54)*$N55/100</f>
        <v>45798.613876799995</v>
      </c>
      <c r="AD55" s="3361">
        <f>SUM(AD54:$AQ54)*$N55/100</f>
        <v>41744.673436799996</v>
      </c>
      <c r="AE55" s="3361">
        <f>SUM(AE54:$AQ54)*$N55/100</f>
        <v>37690.732996799998</v>
      </c>
      <c r="AF55" s="3361">
        <f>SUM(AF54:$AQ54)*$N55/100</f>
        <v>33636.792556799999</v>
      </c>
      <c r="AG55" s="3361">
        <f>SUM(AG54:$AQ54)*$N55/100</f>
        <v>29582.852116799997</v>
      </c>
      <c r="AH55" s="3361">
        <f>SUM(AH54:$AQ54)*$N55/100</f>
        <v>25528.911676799999</v>
      </c>
      <c r="AI55" s="3361">
        <f>SUM(AI54:$AQ54)*$N55/100</f>
        <v>21474.971236799996</v>
      </c>
      <c r="AJ55" s="3361">
        <f>SUM(AJ54:$AQ54)*$N55/100</f>
        <v>17421.030796799998</v>
      </c>
      <c r="AK55" s="3361">
        <f>SUM(AK54:$AQ54)*$N55/100</f>
        <v>13367.090356799999</v>
      </c>
      <c r="AL55" s="3361">
        <f>SUM(AL54:$AQ54)*$N55/100</f>
        <v>9313.1499167999991</v>
      </c>
      <c r="AM55" s="3361">
        <f>SUM(AM54:$AQ54)*$N55/100</f>
        <v>5259.2094767999997</v>
      </c>
      <c r="AN55" s="3361">
        <f>SUM(AN54:$AQ54)*$N55/100</f>
        <v>1205.2690367999999</v>
      </c>
      <c r="AO55" s="3361">
        <v>0</v>
      </c>
      <c r="AP55" s="3361">
        <v>0</v>
      </c>
      <c r="AQ55" s="3361">
        <v>0</v>
      </c>
      <c r="AR55" s="3361"/>
      <c r="AS55" s="3361"/>
      <c r="AT55" s="3362">
        <f t="shared" si="6"/>
        <v>1053368.1191663998</v>
      </c>
      <c r="AU55" s="3347">
        <f t="shared" si="7"/>
        <v>0</v>
      </c>
      <c r="AV55" s="3363">
        <f t="shared" si="4"/>
        <v>505757.1573888</v>
      </c>
      <c r="AW55" s="3364">
        <f t="shared" si="2"/>
        <v>1053368.1191664001</v>
      </c>
      <c r="AY55" s="3336" t="b">
        <f t="shared" si="3"/>
        <v>1</v>
      </c>
      <c r="BC55" s="3350"/>
    </row>
    <row r="56" spans="1:55" s="3336" customFormat="1" outlineLevel="1">
      <c r="B56" s="3337" t="s">
        <v>331</v>
      </c>
      <c r="C56" s="3338">
        <v>26</v>
      </c>
      <c r="D56" s="3339" t="s">
        <v>5537</v>
      </c>
      <c r="E56" s="3340" t="s">
        <v>5538</v>
      </c>
      <c r="F56" s="3341" t="s">
        <v>5539</v>
      </c>
      <c r="G56" s="3341" t="s">
        <v>5540</v>
      </c>
      <c r="H56" s="3341" t="s">
        <v>5541</v>
      </c>
      <c r="I56" s="3341" t="s">
        <v>5382</v>
      </c>
      <c r="J56" s="3342">
        <v>1410783</v>
      </c>
      <c r="K56" s="3343">
        <v>838698</v>
      </c>
      <c r="L56" s="3343"/>
      <c r="M56" s="3343"/>
      <c r="N56" s="3365"/>
      <c r="O56" s="3365"/>
      <c r="P56" s="3344"/>
      <c r="Q56" s="3344" t="s">
        <v>5383</v>
      </c>
      <c r="R56" s="3345">
        <v>88284</v>
      </c>
      <c r="S56" s="3345">
        <v>88284</v>
      </c>
      <c r="T56" s="3345">
        <v>88284</v>
      </c>
      <c r="U56" s="3345">
        <v>88284</v>
      </c>
      <c r="V56" s="3345">
        <v>88284</v>
      </c>
      <c r="W56" s="3345">
        <v>88284</v>
      </c>
      <c r="X56" s="3345">
        <v>88284</v>
      </c>
      <c r="Y56" s="3345">
        <v>88284</v>
      </c>
      <c r="Z56" s="3345">
        <v>88284</v>
      </c>
      <c r="AA56" s="3345">
        <v>44142</v>
      </c>
      <c r="AB56" s="3345">
        <v>0</v>
      </c>
      <c r="AC56" s="3345">
        <v>0</v>
      </c>
      <c r="AD56" s="3345">
        <v>0</v>
      </c>
      <c r="AE56" s="3345">
        <v>0</v>
      </c>
      <c r="AF56" s="3345">
        <v>0</v>
      </c>
      <c r="AG56" s="3345">
        <v>0</v>
      </c>
      <c r="AH56" s="3345">
        <v>0</v>
      </c>
      <c r="AI56" s="3345">
        <v>0</v>
      </c>
      <c r="AJ56" s="3345">
        <v>0</v>
      </c>
      <c r="AK56" s="3345">
        <v>0</v>
      </c>
      <c r="AL56" s="3345">
        <v>0</v>
      </c>
      <c r="AM56" s="3345">
        <v>0</v>
      </c>
      <c r="AN56" s="3345">
        <v>0</v>
      </c>
      <c r="AO56" s="3345">
        <v>0</v>
      </c>
      <c r="AP56" s="3345">
        <v>0</v>
      </c>
      <c r="AQ56" s="3345">
        <v>0</v>
      </c>
      <c r="AR56" s="3345"/>
      <c r="AS56" s="3345"/>
      <c r="AT56" s="3346">
        <f t="shared" si="6"/>
        <v>838698</v>
      </c>
      <c r="AU56" s="3347">
        <f t="shared" si="7"/>
        <v>0</v>
      </c>
      <c r="AV56" s="3348">
        <f t="shared" si="4"/>
        <v>220710</v>
      </c>
      <c r="AW56" s="3349">
        <f t="shared" si="2"/>
        <v>838698</v>
      </c>
      <c r="AY56" s="3336" t="b">
        <f t="shared" si="3"/>
        <v>1</v>
      </c>
      <c r="AZ56" s="3350">
        <f>AW56-K56</f>
        <v>0</v>
      </c>
      <c r="BC56" s="3350"/>
    </row>
    <row r="57" spans="1:55" outlineLevel="1">
      <c r="B57" s="3351" t="s">
        <v>331</v>
      </c>
      <c r="C57" s="3352"/>
      <c r="D57" s="3353"/>
      <c r="E57" s="3354"/>
      <c r="F57" s="3355"/>
      <c r="G57" s="3355"/>
      <c r="H57" s="3355"/>
      <c r="I57" s="3355"/>
      <c r="J57" s="3356"/>
      <c r="K57" s="3357"/>
      <c r="L57" s="3356" t="s">
        <v>5542</v>
      </c>
      <c r="M57" s="3356"/>
      <c r="N57" s="3358">
        <f t="shared" si="5"/>
        <v>2.8119999999999998</v>
      </c>
      <c r="O57" s="3358">
        <v>2.8119999999999998</v>
      </c>
      <c r="P57" s="3360">
        <f>$P$4</f>
        <v>0</v>
      </c>
      <c r="Q57" s="3360" t="s">
        <v>5386</v>
      </c>
      <c r="R57" s="3361">
        <f>SUM(R56:$AQ56)*$N57/100</f>
        <v>23584.187760000001</v>
      </c>
      <c r="S57" s="3361">
        <f>SUM(S56:$AQ56)*$N57/100</f>
        <v>21101.641680000001</v>
      </c>
      <c r="T57" s="3361">
        <f>SUM(T56:$AQ56)*$N57/100</f>
        <v>18619.095599999997</v>
      </c>
      <c r="U57" s="3361">
        <f>SUM(U56:$AQ56)*$N57/100</f>
        <v>16136.549519999999</v>
      </c>
      <c r="V57" s="3361">
        <f>SUM(V56:$AQ56)*$N57/100</f>
        <v>13654.003439999999</v>
      </c>
      <c r="W57" s="3361">
        <f>SUM(W56:$AQ56)*$N57/100</f>
        <v>11171.45736</v>
      </c>
      <c r="X57" s="3361">
        <f>SUM(X56:$AQ56)*$N57/100</f>
        <v>8688.9112799999984</v>
      </c>
      <c r="Y57" s="3361">
        <f>SUM(Y56:$AQ56)*$N57/100</f>
        <v>6206.3652000000002</v>
      </c>
      <c r="Z57" s="3361">
        <f>SUM(Z56:$AQ56)*$N57/100</f>
        <v>3723.8191199999997</v>
      </c>
      <c r="AA57" s="3361">
        <f>SUM(AA56:$AQ56)*$N57/100</f>
        <v>1241.2730399999998</v>
      </c>
      <c r="AB57" s="3361">
        <v>0</v>
      </c>
      <c r="AC57" s="3361">
        <v>0</v>
      </c>
      <c r="AD57" s="3361">
        <v>0</v>
      </c>
      <c r="AE57" s="3361">
        <v>0</v>
      </c>
      <c r="AF57" s="3361">
        <v>0</v>
      </c>
      <c r="AG57" s="3361">
        <v>0</v>
      </c>
      <c r="AH57" s="3361">
        <v>0</v>
      </c>
      <c r="AI57" s="3361">
        <v>0</v>
      </c>
      <c r="AJ57" s="3361">
        <v>0</v>
      </c>
      <c r="AK57" s="3361">
        <v>0</v>
      </c>
      <c r="AL57" s="3361">
        <v>0</v>
      </c>
      <c r="AM57" s="3361">
        <v>0</v>
      </c>
      <c r="AN57" s="3361">
        <v>0</v>
      </c>
      <c r="AO57" s="3361">
        <v>0</v>
      </c>
      <c r="AP57" s="3361">
        <v>0</v>
      </c>
      <c r="AQ57" s="3361">
        <v>0</v>
      </c>
      <c r="AR57" s="3361"/>
      <c r="AS57" s="3361"/>
      <c r="AT57" s="3362">
        <f t="shared" si="6"/>
        <v>124127.304</v>
      </c>
      <c r="AU57" s="3347">
        <f t="shared" si="7"/>
        <v>0</v>
      </c>
      <c r="AV57" s="3363">
        <f t="shared" si="4"/>
        <v>11171.45736</v>
      </c>
      <c r="AW57" s="3364">
        <f t="shared" si="2"/>
        <v>124127.304</v>
      </c>
      <c r="AY57" s="3336" t="b">
        <f t="shared" si="3"/>
        <v>1</v>
      </c>
      <c r="BC57" s="3350"/>
    </row>
    <row r="58" spans="1:55" s="3336" customFormat="1" outlineLevel="1">
      <c r="A58" s="3336" t="s">
        <v>5393</v>
      </c>
      <c r="B58" s="3337" t="s">
        <v>775</v>
      </c>
      <c r="C58" s="3338">
        <v>27</v>
      </c>
      <c r="D58" s="3339" t="s">
        <v>5543</v>
      </c>
      <c r="E58" s="3340" t="s">
        <v>5544</v>
      </c>
      <c r="F58" s="3341" t="s">
        <v>5545</v>
      </c>
      <c r="G58" s="3341" t="s">
        <v>5546</v>
      </c>
      <c r="H58" s="3341" t="s">
        <v>5547</v>
      </c>
      <c r="I58" s="3341" t="s">
        <v>5382</v>
      </c>
      <c r="J58" s="3342">
        <v>824810</v>
      </c>
      <c r="K58" s="3343">
        <v>735669</v>
      </c>
      <c r="L58" s="3343"/>
      <c r="M58" s="3343"/>
      <c r="N58" s="3365"/>
      <c r="O58" s="3365"/>
      <c r="P58" s="3344"/>
      <c r="Q58" s="3344" t="s">
        <v>5383</v>
      </c>
      <c r="R58" s="3345">
        <v>29724</v>
      </c>
      <c r="S58" s="3345">
        <v>29724</v>
      </c>
      <c r="T58" s="3345">
        <v>29724</v>
      </c>
      <c r="U58" s="3345">
        <v>29724</v>
      </c>
      <c r="V58" s="3345">
        <v>29724</v>
      </c>
      <c r="W58" s="3345">
        <v>29724</v>
      </c>
      <c r="X58" s="3345">
        <v>29724</v>
      </c>
      <c r="Y58" s="3345">
        <v>29724</v>
      </c>
      <c r="Z58" s="3345">
        <v>29724</v>
      </c>
      <c r="AA58" s="3345">
        <v>29724</v>
      </c>
      <c r="AB58" s="3345">
        <v>29724</v>
      </c>
      <c r="AC58" s="3345">
        <v>29724</v>
      </c>
      <c r="AD58" s="3345">
        <v>29724</v>
      </c>
      <c r="AE58" s="3345">
        <v>29724</v>
      </c>
      <c r="AF58" s="3345">
        <v>29724</v>
      </c>
      <c r="AG58" s="3345">
        <v>29724</v>
      </c>
      <c r="AH58" s="3345">
        <v>29724</v>
      </c>
      <c r="AI58" s="3345">
        <v>29724</v>
      </c>
      <c r="AJ58" s="3345">
        <v>29724</v>
      </c>
      <c r="AK58" s="3345">
        <v>29724</v>
      </c>
      <c r="AL58" s="3345">
        <v>29724</v>
      </c>
      <c r="AM58" s="3345">
        <v>29724</v>
      </c>
      <c r="AN58" s="3345">
        <v>29724</v>
      </c>
      <c r="AO58" s="3345">
        <v>29724</v>
      </c>
      <c r="AP58" s="3345">
        <v>22293</v>
      </c>
      <c r="AQ58" s="3345">
        <v>0</v>
      </c>
      <c r="AR58" s="3345"/>
      <c r="AS58" s="3345"/>
      <c r="AT58" s="3346">
        <f t="shared" si="6"/>
        <v>735669</v>
      </c>
      <c r="AU58" s="3347">
        <f t="shared" si="7"/>
        <v>0</v>
      </c>
      <c r="AV58" s="3348">
        <f t="shared" si="4"/>
        <v>527601</v>
      </c>
      <c r="AW58" s="3349">
        <f t="shared" si="2"/>
        <v>735669</v>
      </c>
      <c r="AY58" s="3336" t="b">
        <f t="shared" si="3"/>
        <v>1</v>
      </c>
      <c r="AZ58" s="3350">
        <f>AW58-K58</f>
        <v>0</v>
      </c>
      <c r="BC58" s="3350"/>
    </row>
    <row r="59" spans="1:55" outlineLevel="1">
      <c r="A59" s="3336" t="s">
        <v>5393</v>
      </c>
      <c r="B59" s="3351" t="s">
        <v>775</v>
      </c>
      <c r="C59" s="3352"/>
      <c r="D59" s="3353" t="s">
        <v>5548</v>
      </c>
      <c r="E59" s="3354"/>
      <c r="F59" s="3355"/>
      <c r="G59" s="3355"/>
      <c r="H59" s="3355"/>
      <c r="I59" s="3355"/>
      <c r="J59" s="3356"/>
      <c r="K59" s="3357"/>
      <c r="L59" s="3356" t="s">
        <v>5549</v>
      </c>
      <c r="M59" s="3356"/>
      <c r="N59" s="3358">
        <f t="shared" si="5"/>
        <v>3.1080000000000001</v>
      </c>
      <c r="O59" s="3358">
        <v>3.1080000000000001</v>
      </c>
      <c r="P59" s="3360">
        <f>$P$4</f>
        <v>0</v>
      </c>
      <c r="Q59" s="3360" t="s">
        <v>5386</v>
      </c>
      <c r="R59" s="3361">
        <f>SUM(R58:$AQ58)*$N59/100</f>
        <v>22864.592519999998</v>
      </c>
      <c r="S59" s="3361">
        <f>SUM(S58:$AQ58)*$N59/100</f>
        <v>21940.7706</v>
      </c>
      <c r="T59" s="3361">
        <f>SUM(T58:$AQ58)*$N59/100</f>
        <v>21016.948680000001</v>
      </c>
      <c r="U59" s="3361">
        <f>SUM(U58:$AQ58)*$N59/100</f>
        <v>20093.126759999999</v>
      </c>
      <c r="V59" s="3361">
        <f>SUM(V58:$AQ58)*$N59/100</f>
        <v>19169.304840000001</v>
      </c>
      <c r="W59" s="3361">
        <f>SUM(W58:$AQ58)*$N59/100</f>
        <v>18245.482920000002</v>
      </c>
      <c r="X59" s="3361">
        <f>SUM(X58:$AQ58)*$N59/100</f>
        <v>17321.661</v>
      </c>
      <c r="Y59" s="3361">
        <f>SUM(Y58:$AQ58)*$N59/100</f>
        <v>16397.839080000002</v>
      </c>
      <c r="Z59" s="3361">
        <f>SUM(Z58:$AQ58)*$N59/100</f>
        <v>15474.017159999999</v>
      </c>
      <c r="AA59" s="3361">
        <f>SUM(AA58:$AQ58)*$N59/100</f>
        <v>14550.195239999999</v>
      </c>
      <c r="AB59" s="3361">
        <f>SUM(AB58:$AQ58)*$N59/100</f>
        <v>13626.373319999999</v>
      </c>
      <c r="AC59" s="3361">
        <f>SUM(AC58:$AQ58)*$N59/100</f>
        <v>12702.551400000002</v>
      </c>
      <c r="AD59" s="3361">
        <f>SUM(AD58:$AQ58)*$N59/100</f>
        <v>11778.729480000002</v>
      </c>
      <c r="AE59" s="3361">
        <f>SUM(AE58:$AQ58)*$N59/100</f>
        <v>10854.90756</v>
      </c>
      <c r="AF59" s="3361">
        <f>SUM(AF58:$AQ58)*$N59/100</f>
        <v>9931.0856399999993</v>
      </c>
      <c r="AG59" s="3361">
        <f>SUM(AG58:$AQ58)*$N59/100</f>
        <v>9007.263719999999</v>
      </c>
      <c r="AH59" s="3361">
        <f>SUM(AH58:$AQ58)*$N59/100</f>
        <v>8083.4418000000005</v>
      </c>
      <c r="AI59" s="3361">
        <f>SUM(AI58:$AQ58)*$N59/100</f>
        <v>7159.6198800000002</v>
      </c>
      <c r="AJ59" s="3361">
        <f>SUM(AJ58:$AQ58)*$N59/100</f>
        <v>6235.7979599999999</v>
      </c>
      <c r="AK59" s="3361">
        <f>SUM(AK58:$AQ58)*$N59/100</f>
        <v>5311.9760400000005</v>
      </c>
      <c r="AL59" s="3361">
        <f>SUM(AL58:$AQ58)*$N59/100</f>
        <v>4388.1541200000001</v>
      </c>
      <c r="AM59" s="3361">
        <f>SUM(AM58:$AQ58)*$N59/100</f>
        <v>3464.3322000000003</v>
      </c>
      <c r="AN59" s="3361">
        <f>SUM(AN58:$AQ58)*$N59/100</f>
        <v>2540.5102800000004</v>
      </c>
      <c r="AO59" s="3361">
        <f>SUM(AO58:$AQ58)*$N59/100</f>
        <v>1616.6883600000001</v>
      </c>
      <c r="AP59" s="3361">
        <f>SUM(AP58:$AQ58)*$N59/100</f>
        <v>692.86644000000001</v>
      </c>
      <c r="AQ59" s="3361">
        <v>0</v>
      </c>
      <c r="AR59" s="3361"/>
      <c r="AS59" s="3361"/>
      <c r="AT59" s="3362">
        <f t="shared" si="6"/>
        <v>294468.23699999996</v>
      </c>
      <c r="AU59" s="3347">
        <f t="shared" si="7"/>
        <v>0</v>
      </c>
      <c r="AV59" s="3363">
        <f t="shared" si="4"/>
        <v>153816.34968000001</v>
      </c>
      <c r="AW59" s="3364">
        <f t="shared" si="2"/>
        <v>294468.23699999996</v>
      </c>
      <c r="AY59" s="3336" t="b">
        <f t="shared" si="3"/>
        <v>1</v>
      </c>
      <c r="BC59" s="3350"/>
    </row>
    <row r="60" spans="1:55" s="3336" customFormat="1" outlineLevel="1">
      <c r="B60" s="3337" t="s">
        <v>775</v>
      </c>
      <c r="C60" s="3338">
        <v>28</v>
      </c>
      <c r="D60" s="3339" t="s">
        <v>5550</v>
      </c>
      <c r="E60" s="3340" t="s">
        <v>5551</v>
      </c>
      <c r="F60" s="3341" t="s">
        <v>5552</v>
      </c>
      <c r="G60" s="3341" t="s">
        <v>5546</v>
      </c>
      <c r="H60" s="3341" t="s">
        <v>5553</v>
      </c>
      <c r="I60" s="3341" t="s">
        <v>5382</v>
      </c>
      <c r="J60" s="3342">
        <v>347420.04</v>
      </c>
      <c r="K60" s="3343">
        <v>272338.03999999998</v>
      </c>
      <c r="L60" s="3343"/>
      <c r="M60" s="3343"/>
      <c r="N60" s="3365"/>
      <c r="O60" s="3365"/>
      <c r="P60" s="3344"/>
      <c r="Q60" s="3344" t="s">
        <v>5383</v>
      </c>
      <c r="R60" s="3345">
        <v>18788</v>
      </c>
      <c r="S60" s="3345">
        <v>18788</v>
      </c>
      <c r="T60" s="3345">
        <v>18788</v>
      </c>
      <c r="U60" s="3345">
        <v>18788</v>
      </c>
      <c r="V60" s="3345">
        <v>18788</v>
      </c>
      <c r="W60" s="3345">
        <v>18788</v>
      </c>
      <c r="X60" s="3345">
        <v>18788</v>
      </c>
      <c r="Y60" s="3345">
        <v>18788</v>
      </c>
      <c r="Z60" s="3345">
        <v>18788</v>
      </c>
      <c r="AA60" s="3345">
        <v>18788</v>
      </c>
      <c r="AB60" s="3345">
        <v>18788</v>
      </c>
      <c r="AC60" s="3345">
        <v>18788</v>
      </c>
      <c r="AD60" s="3345">
        <v>18788</v>
      </c>
      <c r="AE60" s="3345">
        <v>18788</v>
      </c>
      <c r="AF60" s="3345">
        <v>9306.0400000000009</v>
      </c>
      <c r="AG60" s="3345">
        <v>0</v>
      </c>
      <c r="AH60" s="3345">
        <v>0</v>
      </c>
      <c r="AI60" s="3345">
        <v>0</v>
      </c>
      <c r="AJ60" s="3345">
        <v>0</v>
      </c>
      <c r="AK60" s="3345">
        <v>0</v>
      </c>
      <c r="AL60" s="3345">
        <v>0</v>
      </c>
      <c r="AM60" s="3345">
        <v>0</v>
      </c>
      <c r="AN60" s="3345">
        <v>0</v>
      </c>
      <c r="AO60" s="3345">
        <v>0</v>
      </c>
      <c r="AP60" s="3345">
        <v>0</v>
      </c>
      <c r="AQ60" s="3345">
        <v>0</v>
      </c>
      <c r="AR60" s="3345"/>
      <c r="AS60" s="3345"/>
      <c r="AT60" s="3346">
        <f t="shared" si="6"/>
        <v>272338.03999999998</v>
      </c>
      <c r="AU60" s="3347">
        <f t="shared" si="7"/>
        <v>0</v>
      </c>
      <c r="AV60" s="3348">
        <f t="shared" si="4"/>
        <v>140822.04</v>
      </c>
      <c r="AW60" s="3349">
        <f t="shared" si="2"/>
        <v>272338.04000000004</v>
      </c>
      <c r="AY60" s="3336" t="b">
        <f t="shared" si="3"/>
        <v>1</v>
      </c>
      <c r="AZ60" s="3350">
        <f>AW60-K60</f>
        <v>0</v>
      </c>
      <c r="BC60" s="3350"/>
    </row>
    <row r="61" spans="1:55" outlineLevel="1">
      <c r="B61" s="3351" t="s">
        <v>775</v>
      </c>
      <c r="C61" s="3352"/>
      <c r="D61" s="3353" t="s">
        <v>5554</v>
      </c>
      <c r="E61" s="3354"/>
      <c r="F61" s="3355"/>
      <c r="G61" s="3355"/>
      <c r="H61" s="3355"/>
      <c r="I61" s="3355"/>
      <c r="J61" s="3356"/>
      <c r="K61" s="3357"/>
      <c r="L61" s="3356" t="s">
        <v>5549</v>
      </c>
      <c r="M61" s="3356"/>
      <c r="N61" s="3358">
        <f t="shared" si="5"/>
        <v>2.88</v>
      </c>
      <c r="O61" s="3358">
        <v>2.88</v>
      </c>
      <c r="P61" s="3360">
        <f>$P$4</f>
        <v>0</v>
      </c>
      <c r="Q61" s="3360" t="s">
        <v>5386</v>
      </c>
      <c r="R61" s="3361">
        <f>SUM(R60:$AQ60)*$N61/100</f>
        <v>7843.3355519999996</v>
      </c>
      <c r="S61" s="3361">
        <f>SUM(S60:$AQ60)*$N61/100</f>
        <v>7302.2411519999996</v>
      </c>
      <c r="T61" s="3361">
        <f>SUM(T60:$AQ60)*$N61/100</f>
        <v>6761.1467520000006</v>
      </c>
      <c r="U61" s="3361">
        <f>SUM(U60:$AQ60)*$N61/100</f>
        <v>6220.0523519999997</v>
      </c>
      <c r="V61" s="3361">
        <f>SUM(V60:$AQ60)*$N61/100</f>
        <v>5678.9579520000007</v>
      </c>
      <c r="W61" s="3361">
        <f>SUM(W60:$AQ60)*$N61/100</f>
        <v>5137.8635519999998</v>
      </c>
      <c r="X61" s="3361">
        <f>SUM(X60:$AQ60)*$N61/100</f>
        <v>4596.7691519999998</v>
      </c>
      <c r="Y61" s="3361">
        <f>SUM(Y60:$AQ60)*$N61/100</f>
        <v>4055.6747519999999</v>
      </c>
      <c r="Z61" s="3361">
        <f>SUM(Z60:$AQ60)*$N61/100</f>
        <v>3514.5803519999999</v>
      </c>
      <c r="AA61" s="3361">
        <f>SUM(AA60:$AQ60)*$N61/100</f>
        <v>2973.4859520000005</v>
      </c>
      <c r="AB61" s="3361">
        <f>SUM(AB60:$AQ60)*$N61/100</f>
        <v>2432.391552</v>
      </c>
      <c r="AC61" s="3361">
        <f>SUM(AC60:$AQ60)*$N61/100</f>
        <v>1891.2971520000001</v>
      </c>
      <c r="AD61" s="3361">
        <f>SUM(AD60:$AQ60)*$N61/100</f>
        <v>1350.2027520000001</v>
      </c>
      <c r="AE61" s="3361">
        <f>SUM(AE60:$AQ60)*$N61/100</f>
        <v>809.10835199999997</v>
      </c>
      <c r="AF61" s="3361">
        <f>SUM(AF60:$AQ60)*$N61/100</f>
        <v>268.01395200000002</v>
      </c>
      <c r="AG61" s="3361">
        <v>0</v>
      </c>
      <c r="AH61" s="3361">
        <v>0</v>
      </c>
      <c r="AI61" s="3361">
        <v>0</v>
      </c>
      <c r="AJ61" s="3361">
        <v>0</v>
      </c>
      <c r="AK61" s="3361">
        <v>0</v>
      </c>
      <c r="AL61" s="3361">
        <v>0</v>
      </c>
      <c r="AM61" s="3361">
        <v>0</v>
      </c>
      <c r="AN61" s="3361">
        <v>0</v>
      </c>
      <c r="AO61" s="3361">
        <v>0</v>
      </c>
      <c r="AP61" s="3361">
        <v>0</v>
      </c>
      <c r="AQ61" s="3361">
        <v>0</v>
      </c>
      <c r="AR61" s="3361"/>
      <c r="AS61" s="3361"/>
      <c r="AT61" s="3362">
        <f t="shared" si="6"/>
        <v>60835.121280000007</v>
      </c>
      <c r="AU61" s="3347">
        <f t="shared" si="7"/>
        <v>0</v>
      </c>
      <c r="AV61" s="3363">
        <f t="shared" si="4"/>
        <v>17294.754816000001</v>
      </c>
      <c r="AW61" s="3364">
        <f t="shared" si="2"/>
        <v>60835.121280000007</v>
      </c>
      <c r="AY61" s="3336" t="b">
        <f t="shared" si="3"/>
        <v>1</v>
      </c>
      <c r="BC61" s="3350"/>
    </row>
    <row r="62" spans="1:55" s="3336" customFormat="1" outlineLevel="1">
      <c r="B62" s="3337" t="s">
        <v>775</v>
      </c>
      <c r="C62" s="3338">
        <v>29</v>
      </c>
      <c r="D62" s="3339" t="s">
        <v>5555</v>
      </c>
      <c r="E62" s="3340" t="s">
        <v>5556</v>
      </c>
      <c r="F62" s="3341" t="s">
        <v>5557</v>
      </c>
      <c r="G62" s="3341" t="s">
        <v>5558</v>
      </c>
      <c r="H62" s="3341" t="s">
        <v>5559</v>
      </c>
      <c r="I62" s="3341" t="s">
        <v>5382</v>
      </c>
      <c r="J62" s="3342">
        <v>9703992</v>
      </c>
      <c r="K62" s="3343">
        <v>8627007.9199999999</v>
      </c>
      <c r="L62" s="3343"/>
      <c r="M62" s="3343"/>
      <c r="N62" s="3365"/>
      <c r="O62" s="3365"/>
      <c r="P62" s="3344"/>
      <c r="Q62" s="3344" t="s">
        <v>5383</v>
      </c>
      <c r="R62" s="3380">
        <v>343508</v>
      </c>
      <c r="S62" s="3345">
        <v>343508</v>
      </c>
      <c r="T62" s="3345">
        <v>343508</v>
      </c>
      <c r="U62" s="3345">
        <v>343508</v>
      </c>
      <c r="V62" s="3345">
        <v>343508</v>
      </c>
      <c r="W62" s="3345">
        <v>343508</v>
      </c>
      <c r="X62" s="3345">
        <v>343508</v>
      </c>
      <c r="Y62" s="3345">
        <v>343508</v>
      </c>
      <c r="Z62" s="3345">
        <v>343508</v>
      </c>
      <c r="AA62" s="3345">
        <v>343508</v>
      </c>
      <c r="AB62" s="3345">
        <v>343508</v>
      </c>
      <c r="AC62" s="3345">
        <v>343508</v>
      </c>
      <c r="AD62" s="3345">
        <v>343508</v>
      </c>
      <c r="AE62" s="3345">
        <v>343508</v>
      </c>
      <c r="AF62" s="3345">
        <v>343508</v>
      </c>
      <c r="AG62" s="3345">
        <v>343508</v>
      </c>
      <c r="AH62" s="3345">
        <v>343508</v>
      </c>
      <c r="AI62" s="3345">
        <v>343508</v>
      </c>
      <c r="AJ62" s="3345">
        <v>343508</v>
      </c>
      <c r="AK62" s="3345">
        <v>343508</v>
      </c>
      <c r="AL62" s="3345">
        <v>343508</v>
      </c>
      <c r="AM62" s="3345">
        <v>343508</v>
      </c>
      <c r="AN62" s="3345">
        <v>343508</v>
      </c>
      <c r="AO62" s="3345">
        <v>343508</v>
      </c>
      <c r="AP62" s="3345">
        <v>343508</v>
      </c>
      <c r="AQ62" s="3345">
        <v>39307.919999999998</v>
      </c>
      <c r="AR62" s="3345"/>
      <c r="AS62" s="3345"/>
      <c r="AT62" s="3346">
        <f t="shared" si="6"/>
        <v>8627007.9199999999</v>
      </c>
      <c r="AU62" s="3347">
        <f t="shared" si="7"/>
        <v>0</v>
      </c>
      <c r="AV62" s="3348">
        <f t="shared" si="4"/>
        <v>6222451.9199999999</v>
      </c>
      <c r="AW62" s="3349">
        <f t="shared" si="2"/>
        <v>8627007.9199999999</v>
      </c>
      <c r="AY62" s="3336" t="b">
        <f t="shared" si="3"/>
        <v>1</v>
      </c>
      <c r="AZ62" s="3350">
        <f>AW62-K62</f>
        <v>0</v>
      </c>
      <c r="BC62" s="3350"/>
    </row>
    <row r="63" spans="1:55" outlineLevel="1">
      <c r="B63" s="3351" t="s">
        <v>775</v>
      </c>
      <c r="C63" s="3352"/>
      <c r="D63" s="3353"/>
      <c r="E63" s="3354"/>
      <c r="F63" s="3355"/>
      <c r="G63" s="3355"/>
      <c r="H63" s="3355"/>
      <c r="I63" s="3355"/>
      <c r="J63" s="3356"/>
      <c r="K63" s="3357"/>
      <c r="L63" s="3356" t="s">
        <v>5560</v>
      </c>
      <c r="M63" s="3356"/>
      <c r="N63" s="3358">
        <f t="shared" si="5"/>
        <v>3.2919999999999998</v>
      </c>
      <c r="O63" s="3358">
        <v>3.2919999999999998</v>
      </c>
      <c r="P63" s="3360">
        <f>$P$4</f>
        <v>0</v>
      </c>
      <c r="Q63" s="3360" t="s">
        <v>5386</v>
      </c>
      <c r="R63" s="3361">
        <f>SUM(R62:$AQ62)*$N63/100-10000</f>
        <v>274001.10072639998</v>
      </c>
      <c r="S63" s="3361">
        <f>SUM(S62:$AQ62)*$N63/100</f>
        <v>272692.81736639998</v>
      </c>
      <c r="T63" s="3361">
        <f>SUM(T62:$AQ62)*$N63/100</f>
        <v>261384.5340064</v>
      </c>
      <c r="U63" s="3361">
        <f>SUM(U62:$AQ62)*$N63/100</f>
        <v>250076.25064639997</v>
      </c>
      <c r="V63" s="3361">
        <f>SUM(V62:$AQ62)*$N63/100</f>
        <v>238767.96728639997</v>
      </c>
      <c r="W63" s="3361">
        <f>SUM(W62:$AQ62)*$N63/100</f>
        <v>227459.68392639997</v>
      </c>
      <c r="X63" s="3361">
        <f>SUM(X62:$AQ62)*$N63/100</f>
        <v>216151.4005664</v>
      </c>
      <c r="Y63" s="3361">
        <f>SUM(Y62:$AQ62)*$N63/100</f>
        <v>204843.1172064</v>
      </c>
      <c r="Z63" s="3361">
        <f>SUM(Z62:$AQ62)*$N63/100</f>
        <v>193534.83384639997</v>
      </c>
      <c r="AA63" s="3361">
        <f>SUM(AA62:$AQ62)*$N63/100</f>
        <v>182226.55048639997</v>
      </c>
      <c r="AB63" s="3361">
        <f>SUM(AB62:$AQ62)*$N63/100</f>
        <v>170918.26712639999</v>
      </c>
      <c r="AC63" s="3361">
        <f>SUM(AC62:$AQ62)*$N63/100</f>
        <v>159609.98376639999</v>
      </c>
      <c r="AD63" s="3361">
        <f>SUM(AD62:$AQ62)*$N63/100</f>
        <v>148301.70040639999</v>
      </c>
      <c r="AE63" s="3361">
        <f>SUM(AE62:$AQ62)*$N63/100</f>
        <v>136993.41704639999</v>
      </c>
      <c r="AF63" s="3361">
        <f>SUM(AF62:$AQ62)*$N63/100</f>
        <v>125685.13368639997</v>
      </c>
      <c r="AG63" s="3361">
        <f>SUM(AG62:$AQ62)*$N63/100</f>
        <v>114376.85032639999</v>
      </c>
      <c r="AH63" s="3361">
        <f>SUM(AH62:$AQ62)*$N63/100</f>
        <v>103068.5669664</v>
      </c>
      <c r="AI63" s="3361">
        <f>SUM(AI62:$AQ62)*$N63/100</f>
        <v>91760.283606399986</v>
      </c>
      <c r="AJ63" s="3361">
        <f>SUM(AJ62:$AQ62)*$N63/100</f>
        <v>80452.000246399999</v>
      </c>
      <c r="AK63" s="3361">
        <f>SUM(AK62:$AQ62)*$N63/100</f>
        <v>69143.716886399998</v>
      </c>
      <c r="AL63" s="3361">
        <f>SUM(AL62:$AQ62)*$N63/100</f>
        <v>57835.433526399989</v>
      </c>
      <c r="AM63" s="3361">
        <f>SUM(AM62:$AQ62)*$N63/100</f>
        <v>46527.150166399988</v>
      </c>
      <c r="AN63" s="3361">
        <f>SUM(AN62:$AQ62)*$N63/100</f>
        <v>35218.866806399994</v>
      </c>
      <c r="AO63" s="3361">
        <f>SUM(AO62:$AQ62)*$N63/100</f>
        <v>23910.583446399996</v>
      </c>
      <c r="AP63" s="3361">
        <f>SUM(AP62:$AQ62)*$N63/100</f>
        <v>12602.300086399999</v>
      </c>
      <c r="AQ63" s="3361">
        <f>SUM(AQ62:$AQ62)*$N63/100</f>
        <v>1294.0167263999999</v>
      </c>
      <c r="AR63" s="3361"/>
      <c r="AS63" s="3361"/>
      <c r="AT63" s="3362">
        <f t="shared" si="6"/>
        <v>3698836.526886398</v>
      </c>
      <c r="AU63" s="3347">
        <f t="shared" si="7"/>
        <v>0</v>
      </c>
      <c r="AV63" s="3363">
        <f t="shared" si="4"/>
        <v>1958302.7723616001</v>
      </c>
      <c r="AW63" s="3364">
        <f t="shared" si="2"/>
        <v>3698836.5268863998</v>
      </c>
      <c r="AY63" s="3336" t="b">
        <f t="shared" si="3"/>
        <v>1</v>
      </c>
      <c r="BC63" s="3350"/>
    </row>
    <row r="64" spans="1:55" s="3372" customFormat="1" outlineLevel="1">
      <c r="B64" s="3368" t="s">
        <v>775</v>
      </c>
      <c r="C64" s="3369">
        <v>30</v>
      </c>
      <c r="D64" s="3370" t="s">
        <v>5561</v>
      </c>
      <c r="E64" s="3340" t="s">
        <v>5562</v>
      </c>
      <c r="F64" s="3340" t="s">
        <v>5563</v>
      </c>
      <c r="G64" s="3340" t="s">
        <v>5558</v>
      </c>
      <c r="H64" s="3340" t="s">
        <v>5564</v>
      </c>
      <c r="I64" s="3340" t="s">
        <v>5382</v>
      </c>
      <c r="J64" s="3342">
        <v>43430</v>
      </c>
      <c r="K64" s="3343">
        <v>4452</v>
      </c>
      <c r="L64" s="3343"/>
      <c r="M64" s="3343"/>
      <c r="N64" s="3381"/>
      <c r="O64" s="3381"/>
      <c r="P64" s="3344"/>
      <c r="Q64" s="3344" t="s">
        <v>5383</v>
      </c>
      <c r="R64" s="3382">
        <v>848</v>
      </c>
      <c r="S64" s="3382">
        <v>848</v>
      </c>
      <c r="T64" s="3382">
        <v>848</v>
      </c>
      <c r="U64" s="3382">
        <v>848</v>
      </c>
      <c r="V64" s="3382">
        <v>848</v>
      </c>
      <c r="W64" s="3382">
        <v>212</v>
      </c>
      <c r="X64" s="3345">
        <v>0</v>
      </c>
      <c r="Y64" s="3345">
        <v>0</v>
      </c>
      <c r="Z64" s="3345">
        <v>0</v>
      </c>
      <c r="AA64" s="3345">
        <v>0</v>
      </c>
      <c r="AB64" s="3345">
        <v>0</v>
      </c>
      <c r="AC64" s="3345">
        <v>0</v>
      </c>
      <c r="AD64" s="3345">
        <v>0</v>
      </c>
      <c r="AE64" s="3345">
        <v>0</v>
      </c>
      <c r="AF64" s="3345">
        <v>0</v>
      </c>
      <c r="AG64" s="3345">
        <v>0</v>
      </c>
      <c r="AH64" s="3345">
        <v>0</v>
      </c>
      <c r="AI64" s="3345">
        <v>0</v>
      </c>
      <c r="AJ64" s="3345">
        <v>0</v>
      </c>
      <c r="AK64" s="3345">
        <v>0</v>
      </c>
      <c r="AL64" s="3345">
        <v>0</v>
      </c>
      <c r="AM64" s="3345">
        <v>0</v>
      </c>
      <c r="AN64" s="3345">
        <v>0</v>
      </c>
      <c r="AO64" s="3345">
        <v>0</v>
      </c>
      <c r="AP64" s="3345">
        <v>0</v>
      </c>
      <c r="AQ64" s="3345">
        <v>0</v>
      </c>
      <c r="AR64" s="3345"/>
      <c r="AS64" s="3345"/>
      <c r="AT64" s="3349">
        <f t="shared" si="6"/>
        <v>4452</v>
      </c>
      <c r="AU64" s="3371">
        <f t="shared" si="7"/>
        <v>0</v>
      </c>
      <c r="AV64" s="3348">
        <f t="shared" si="4"/>
        <v>0</v>
      </c>
      <c r="AW64" s="3349">
        <f t="shared" si="2"/>
        <v>4452</v>
      </c>
      <c r="AY64" s="3372" t="b">
        <f t="shared" si="3"/>
        <v>1</v>
      </c>
      <c r="AZ64" s="3350">
        <f>AW64-K64</f>
        <v>0</v>
      </c>
      <c r="BC64" s="3350"/>
    </row>
    <row r="65" spans="2:55" s="3318" customFormat="1" outlineLevel="1">
      <c r="B65" s="3373" t="s">
        <v>775</v>
      </c>
      <c r="C65" s="3374"/>
      <c r="D65" s="3375"/>
      <c r="E65" s="3354"/>
      <c r="F65" s="3354"/>
      <c r="G65" s="3354"/>
      <c r="H65" s="3354"/>
      <c r="I65" s="3354"/>
      <c r="J65" s="3356"/>
      <c r="K65" s="3357"/>
      <c r="L65" s="3356">
        <v>0</v>
      </c>
      <c r="M65" s="3356" t="s">
        <v>5565</v>
      </c>
      <c r="N65" s="3358">
        <f>SUM(O65:P65)</f>
        <v>0.25</v>
      </c>
      <c r="O65" s="3358">
        <v>0.25</v>
      </c>
      <c r="P65" s="3360">
        <f>$P$4</f>
        <v>0</v>
      </c>
      <c r="Q65" s="3360" t="s">
        <v>5386</v>
      </c>
      <c r="R65" s="3361">
        <f>SUM(R64:$AQ64)*$N65/100</f>
        <v>11.13</v>
      </c>
      <c r="S65" s="3361">
        <f>SUM(S64:$AQ64)*$N65/100</f>
        <v>9.01</v>
      </c>
      <c r="T65" s="3361">
        <f>SUM(T64:$AQ64)*$N65/100</f>
        <v>6.89</v>
      </c>
      <c r="U65" s="3361">
        <f>SUM(U64:$AQ64)*$N65/100</f>
        <v>4.7699999999999996</v>
      </c>
      <c r="V65" s="3361">
        <f>SUM(V64:$AQ64)*$N65/100</f>
        <v>2.65</v>
      </c>
      <c r="W65" s="3361">
        <f>SUM(W64:$AQ64)*$N65/100</f>
        <v>0.53</v>
      </c>
      <c r="X65" s="3361">
        <v>0</v>
      </c>
      <c r="Y65" s="3361">
        <v>0</v>
      </c>
      <c r="Z65" s="3361">
        <v>0</v>
      </c>
      <c r="AA65" s="3361">
        <v>0</v>
      </c>
      <c r="AB65" s="3361">
        <v>0</v>
      </c>
      <c r="AC65" s="3361">
        <v>0</v>
      </c>
      <c r="AD65" s="3361">
        <v>0</v>
      </c>
      <c r="AE65" s="3361">
        <v>0</v>
      </c>
      <c r="AF65" s="3361">
        <v>0</v>
      </c>
      <c r="AG65" s="3361">
        <v>0</v>
      </c>
      <c r="AH65" s="3361">
        <v>0</v>
      </c>
      <c r="AI65" s="3361">
        <v>0</v>
      </c>
      <c r="AJ65" s="3361">
        <v>0</v>
      </c>
      <c r="AK65" s="3361">
        <v>0</v>
      </c>
      <c r="AL65" s="3361">
        <v>0</v>
      </c>
      <c r="AM65" s="3361">
        <v>0</v>
      </c>
      <c r="AN65" s="3361">
        <v>0</v>
      </c>
      <c r="AO65" s="3361">
        <v>0</v>
      </c>
      <c r="AP65" s="3361">
        <v>0</v>
      </c>
      <c r="AQ65" s="3361">
        <v>0</v>
      </c>
      <c r="AR65" s="3361"/>
      <c r="AS65" s="3361"/>
      <c r="AT65" s="3364">
        <f t="shared" si="6"/>
        <v>34.980000000000004</v>
      </c>
      <c r="AU65" s="3371">
        <f t="shared" si="7"/>
        <v>0</v>
      </c>
      <c r="AV65" s="3363">
        <f t="shared" si="4"/>
        <v>0</v>
      </c>
      <c r="AW65" s="3364">
        <f t="shared" si="2"/>
        <v>34.980000000000004</v>
      </c>
      <c r="AY65" s="3372" t="b">
        <f t="shared" si="3"/>
        <v>1</v>
      </c>
      <c r="AZ65" s="3316"/>
      <c r="BC65" s="3350"/>
    </row>
    <row r="66" spans="2:55" s="3336" customFormat="1" outlineLevel="1">
      <c r="B66" s="3337" t="s">
        <v>775</v>
      </c>
      <c r="C66" s="3338">
        <v>31</v>
      </c>
      <c r="D66" s="3339" t="s">
        <v>5566</v>
      </c>
      <c r="E66" s="3340" t="s">
        <v>5567</v>
      </c>
      <c r="F66" s="3341" t="s">
        <v>5568</v>
      </c>
      <c r="G66" s="3341" t="s">
        <v>5569</v>
      </c>
      <c r="H66" s="3341" t="s">
        <v>5570</v>
      </c>
      <c r="I66" s="3341" t="s">
        <v>5382</v>
      </c>
      <c r="J66" s="3342">
        <v>400000</v>
      </c>
      <c r="K66" s="3343">
        <v>345319</v>
      </c>
      <c r="L66" s="3343"/>
      <c r="M66" s="3343"/>
      <c r="N66" s="3365"/>
      <c r="O66" s="3365"/>
      <c r="P66" s="3344"/>
      <c r="Q66" s="3344" t="s">
        <v>5383</v>
      </c>
      <c r="R66" s="3345">
        <v>13676</v>
      </c>
      <c r="S66" s="3345">
        <v>13676</v>
      </c>
      <c r="T66" s="3345">
        <v>13676</v>
      </c>
      <c r="U66" s="3345">
        <v>13676</v>
      </c>
      <c r="V66" s="3345">
        <v>13676</v>
      </c>
      <c r="W66" s="3345">
        <v>13676</v>
      </c>
      <c r="X66" s="3345">
        <v>13676</v>
      </c>
      <c r="Y66" s="3345">
        <v>13676</v>
      </c>
      <c r="Z66" s="3345">
        <v>13676</v>
      </c>
      <c r="AA66" s="3345">
        <v>13676</v>
      </c>
      <c r="AB66" s="3345">
        <v>13676</v>
      </c>
      <c r="AC66" s="3345">
        <v>13676</v>
      </c>
      <c r="AD66" s="3345">
        <v>13676</v>
      </c>
      <c r="AE66" s="3345">
        <v>13676</v>
      </c>
      <c r="AF66" s="3345">
        <v>13676</v>
      </c>
      <c r="AG66" s="3345">
        <v>13676</v>
      </c>
      <c r="AH66" s="3345">
        <v>13676</v>
      </c>
      <c r="AI66" s="3345">
        <v>13676</v>
      </c>
      <c r="AJ66" s="3345">
        <v>13676</v>
      </c>
      <c r="AK66" s="3345">
        <v>13676</v>
      </c>
      <c r="AL66" s="3345">
        <v>13676</v>
      </c>
      <c r="AM66" s="3345">
        <v>13676</v>
      </c>
      <c r="AN66" s="3345">
        <v>13676</v>
      </c>
      <c r="AO66" s="3345">
        <v>13676</v>
      </c>
      <c r="AP66" s="3345">
        <v>13676</v>
      </c>
      <c r="AQ66" s="3345">
        <v>3419</v>
      </c>
      <c r="AR66" s="3345"/>
      <c r="AS66" s="3345"/>
      <c r="AT66" s="3346">
        <f t="shared" si="6"/>
        <v>345319</v>
      </c>
      <c r="AU66" s="3347">
        <f t="shared" si="7"/>
        <v>0</v>
      </c>
      <c r="AV66" s="3348">
        <f t="shared" si="4"/>
        <v>249587</v>
      </c>
      <c r="AW66" s="3349">
        <f t="shared" si="2"/>
        <v>345319</v>
      </c>
      <c r="AY66" s="3336" t="b">
        <f t="shared" si="3"/>
        <v>1</v>
      </c>
      <c r="AZ66" s="3350">
        <f>AW66-K66</f>
        <v>0</v>
      </c>
      <c r="BC66" s="3350"/>
    </row>
    <row r="67" spans="2:55" outlineLevel="1">
      <c r="B67" s="3351" t="s">
        <v>775</v>
      </c>
      <c r="C67" s="3352"/>
      <c r="D67" s="3353" t="s">
        <v>5571</v>
      </c>
      <c r="E67" s="3354"/>
      <c r="F67" s="3355"/>
      <c r="G67" s="3355"/>
      <c r="H67" s="3355"/>
      <c r="I67" s="3355"/>
      <c r="J67" s="3356"/>
      <c r="K67" s="3357"/>
      <c r="L67" s="3356" t="s">
        <v>5572</v>
      </c>
      <c r="M67" s="3356"/>
      <c r="N67" s="3358">
        <f>SUM(O67:P67)</f>
        <v>3.0630000000000002</v>
      </c>
      <c r="O67" s="3358">
        <v>3.0630000000000002</v>
      </c>
      <c r="P67" s="3360">
        <f>$P$4</f>
        <v>0</v>
      </c>
      <c r="Q67" s="3360" t="s">
        <v>5386</v>
      </c>
      <c r="R67" s="3361">
        <f>SUM(R66:$AQ66)*$N67/100</f>
        <v>10577.12097</v>
      </c>
      <c r="S67" s="3361">
        <f>SUM(S66:$AQ66)*$N67/100</f>
        <v>10158.22509</v>
      </c>
      <c r="T67" s="3361">
        <f>SUM(T66:$AQ66)*$N67/100</f>
        <v>9739.3292100000017</v>
      </c>
      <c r="U67" s="3361">
        <f>SUM(U66:$AQ66)*$N67/100</f>
        <v>9320.4333300000017</v>
      </c>
      <c r="V67" s="3361">
        <f>SUM(V66:$AQ66)*$N67/100</f>
        <v>8901.5374499999998</v>
      </c>
      <c r="W67" s="3361">
        <f>SUM(W66:$AQ66)*$N67/100</f>
        <v>8482.6415699999998</v>
      </c>
      <c r="X67" s="3361">
        <f>SUM(X66:$AQ66)*$N67/100</f>
        <v>8063.7456899999997</v>
      </c>
      <c r="Y67" s="3361">
        <f>SUM(Y66:$AQ66)*$N67/100</f>
        <v>7644.8498100000006</v>
      </c>
      <c r="Z67" s="3361">
        <f>SUM(Z66:$AQ66)*$N67/100</f>
        <v>7225.9539300000006</v>
      </c>
      <c r="AA67" s="3361">
        <f>SUM(AA66:$AQ66)*$N67/100</f>
        <v>6807.0580500000005</v>
      </c>
      <c r="AB67" s="3361">
        <f>SUM(AB66:$AQ66)*$N67/100</f>
        <v>6388.1621700000005</v>
      </c>
      <c r="AC67" s="3361">
        <f>SUM(AC66:$AQ66)*$N67/100</f>
        <v>5969.2662900000005</v>
      </c>
      <c r="AD67" s="3361">
        <f>SUM(AD66:$AQ66)*$N67/100</f>
        <v>5550.3704100000004</v>
      </c>
      <c r="AE67" s="3361">
        <f>SUM(AE66:$AQ66)*$N67/100</f>
        <v>5131.4745300000004</v>
      </c>
      <c r="AF67" s="3361">
        <f>SUM(AF66:$AQ66)*$N67/100</f>
        <v>4712.5786500000004</v>
      </c>
      <c r="AG67" s="3361">
        <f>SUM(AG66:$AQ66)*$N67/100</f>
        <v>4293.6827700000003</v>
      </c>
      <c r="AH67" s="3361">
        <f>SUM(AH66:$AQ66)*$N67/100</f>
        <v>3874.7868900000003</v>
      </c>
      <c r="AI67" s="3361">
        <f>SUM(AI66:$AQ66)*$N67/100</f>
        <v>3455.8910100000003</v>
      </c>
      <c r="AJ67" s="3361">
        <f>SUM(AJ66:$AQ66)*$N67/100</f>
        <v>3036.9951300000002</v>
      </c>
      <c r="AK67" s="3361">
        <f>SUM(AK66:$AQ66)*$N67/100</f>
        <v>2618.0992500000002</v>
      </c>
      <c r="AL67" s="3361">
        <f>SUM(AL66:$AQ66)*$N67/100</f>
        <v>2199.2033700000002</v>
      </c>
      <c r="AM67" s="3361">
        <f>SUM(AM66:$AQ66)*$N67/100</f>
        <v>1780.3074900000001</v>
      </c>
      <c r="AN67" s="3361">
        <f>SUM(AN66:$AQ66)*$N67/100</f>
        <v>1361.4116100000001</v>
      </c>
      <c r="AO67" s="3361">
        <f>SUM(AO66:$AQ66)*$N67/100</f>
        <v>942.51573000000008</v>
      </c>
      <c r="AP67" s="3361">
        <f>SUM(AP66:$AQ66)*$N67/100</f>
        <v>523.61985000000004</v>
      </c>
      <c r="AQ67" s="3361">
        <f>SUM(AQ66:$AQ66)*$N67/100</f>
        <v>104.72397000000001</v>
      </c>
      <c r="AR67" s="3361"/>
      <c r="AS67" s="3361"/>
      <c r="AT67" s="3362">
        <f t="shared" si="6"/>
        <v>138863.98422000004</v>
      </c>
      <c r="AU67" s="3347">
        <f t="shared" si="7"/>
        <v>0</v>
      </c>
      <c r="AV67" s="3363">
        <f t="shared" si="4"/>
        <v>73620.950910000029</v>
      </c>
      <c r="AW67" s="3364">
        <f t="shared" si="2"/>
        <v>138863.98422000004</v>
      </c>
      <c r="AY67" s="3336" t="b">
        <f t="shared" si="3"/>
        <v>1</v>
      </c>
      <c r="BC67" s="3350"/>
    </row>
    <row r="68" spans="2:55" s="3336" customFormat="1" outlineLevel="1" collapsed="1">
      <c r="B68" s="3337" t="s">
        <v>775</v>
      </c>
      <c r="C68" s="3338">
        <v>32</v>
      </c>
      <c r="D68" s="3339" t="s">
        <v>5573</v>
      </c>
      <c r="E68" s="3340" t="s">
        <v>5574</v>
      </c>
      <c r="F68" s="3341" t="s">
        <v>5575</v>
      </c>
      <c r="G68" s="3341" t="s">
        <v>5576</v>
      </c>
      <c r="H68" s="3341" t="s">
        <v>5577</v>
      </c>
      <c r="I68" s="3341" t="s">
        <v>5382</v>
      </c>
      <c r="J68" s="3342">
        <v>279650</v>
      </c>
      <c r="K68" s="3343">
        <v>241491</v>
      </c>
      <c r="L68" s="3343"/>
      <c r="M68" s="3343"/>
      <c r="N68" s="3365"/>
      <c r="O68" s="3365"/>
      <c r="P68" s="3344"/>
      <c r="Q68" s="3344" t="s">
        <v>5383</v>
      </c>
      <c r="R68" s="3345">
        <v>9564</v>
      </c>
      <c r="S68" s="3345">
        <v>9564</v>
      </c>
      <c r="T68" s="3345">
        <v>9564</v>
      </c>
      <c r="U68" s="3345">
        <v>9564</v>
      </c>
      <c r="V68" s="3345">
        <v>9564</v>
      </c>
      <c r="W68" s="3345">
        <v>9564</v>
      </c>
      <c r="X68" s="3345">
        <v>9564</v>
      </c>
      <c r="Y68" s="3345">
        <v>9564</v>
      </c>
      <c r="Z68" s="3345">
        <v>9564</v>
      </c>
      <c r="AA68" s="3345">
        <v>9564</v>
      </c>
      <c r="AB68" s="3345">
        <v>9564</v>
      </c>
      <c r="AC68" s="3345">
        <v>9564</v>
      </c>
      <c r="AD68" s="3345">
        <v>9564</v>
      </c>
      <c r="AE68" s="3345">
        <v>9564</v>
      </c>
      <c r="AF68" s="3345">
        <v>9564</v>
      </c>
      <c r="AG68" s="3345">
        <v>9564</v>
      </c>
      <c r="AH68" s="3345">
        <v>9564</v>
      </c>
      <c r="AI68" s="3345">
        <v>9564</v>
      </c>
      <c r="AJ68" s="3345">
        <v>9564</v>
      </c>
      <c r="AK68" s="3345">
        <v>9564</v>
      </c>
      <c r="AL68" s="3345">
        <v>9564</v>
      </c>
      <c r="AM68" s="3345">
        <v>9564</v>
      </c>
      <c r="AN68" s="3345">
        <v>9564</v>
      </c>
      <c r="AO68" s="3345">
        <v>9564</v>
      </c>
      <c r="AP68" s="3345">
        <v>9564</v>
      </c>
      <c r="AQ68" s="3345">
        <v>2391</v>
      </c>
      <c r="AR68" s="3345"/>
      <c r="AS68" s="3345"/>
      <c r="AT68" s="3346">
        <f t="shared" si="6"/>
        <v>241491</v>
      </c>
      <c r="AU68" s="3347">
        <f t="shared" si="7"/>
        <v>0</v>
      </c>
      <c r="AV68" s="3348">
        <f t="shared" si="4"/>
        <v>174543</v>
      </c>
      <c r="AW68" s="3349">
        <f t="shared" si="2"/>
        <v>241491</v>
      </c>
      <c r="AY68" s="3336" t="b">
        <f t="shared" si="3"/>
        <v>1</v>
      </c>
      <c r="AZ68" s="3350">
        <f>AW68-K68</f>
        <v>0</v>
      </c>
      <c r="BC68" s="3350"/>
    </row>
    <row r="69" spans="2:55" outlineLevel="1">
      <c r="B69" s="3351" t="s">
        <v>775</v>
      </c>
      <c r="C69" s="3352"/>
      <c r="D69" s="3353"/>
      <c r="E69" s="3354"/>
      <c r="F69" s="3355"/>
      <c r="G69" s="3355"/>
      <c r="H69" s="3355"/>
      <c r="I69" s="3355"/>
      <c r="J69" s="3356"/>
      <c r="K69" s="3357"/>
      <c r="L69" s="3356" t="s">
        <v>5578</v>
      </c>
      <c r="M69" s="3356"/>
      <c r="N69" s="3358">
        <f>SUM(O69:P69)</f>
        <v>2.835</v>
      </c>
      <c r="O69" s="3358">
        <v>2.835</v>
      </c>
      <c r="P69" s="3360">
        <f>$P$4</f>
        <v>0</v>
      </c>
      <c r="Q69" s="3360" t="s">
        <v>5386</v>
      </c>
      <c r="R69" s="3361">
        <f>SUM(R68:$AQ68)*$N69/100</f>
        <v>6846.2698499999997</v>
      </c>
      <c r="S69" s="3361">
        <f>SUM(S68:$AQ68)*$N69/100</f>
        <v>6575.1304500000006</v>
      </c>
      <c r="T69" s="3361">
        <f>SUM(T68:$AQ68)*$N69/100</f>
        <v>6303.9910499999996</v>
      </c>
      <c r="U69" s="3361">
        <f>SUM(U68:$AQ68)*$N69/100</f>
        <v>6032.8516500000005</v>
      </c>
      <c r="V69" s="3361">
        <f>SUM(V68:$AQ68)*$N69/100</f>
        <v>5761.7122499999996</v>
      </c>
      <c r="W69" s="3361">
        <f>SUM(W68:$AQ68)*$N69/100</f>
        <v>5490.5728500000005</v>
      </c>
      <c r="X69" s="3361">
        <f>SUM(X68:$AQ68)*$N69/100</f>
        <v>5219.4334499999995</v>
      </c>
      <c r="Y69" s="3361">
        <f>SUM(Y68:$AQ68)*$N69/100</f>
        <v>4948.2940499999995</v>
      </c>
      <c r="Z69" s="3361">
        <f>SUM(Z68:$AQ68)*$N69/100</f>
        <v>4677.1546499999995</v>
      </c>
      <c r="AA69" s="3361">
        <f>SUM(AA68:$AQ68)*$N69/100</f>
        <v>4406.0152500000004</v>
      </c>
      <c r="AB69" s="3361">
        <f>SUM(AB68:$AQ68)*$N69/100</f>
        <v>4134.8758500000004</v>
      </c>
      <c r="AC69" s="3361">
        <f>SUM(AC68:$AQ68)*$N69/100</f>
        <v>3863.7364500000003</v>
      </c>
      <c r="AD69" s="3361">
        <f>SUM(AD68:$AQ68)*$N69/100</f>
        <v>3592.5970500000003</v>
      </c>
      <c r="AE69" s="3361">
        <f>SUM(AE68:$AQ68)*$N69/100</f>
        <v>3321.4576500000003</v>
      </c>
      <c r="AF69" s="3361">
        <f>SUM(AF68:$AQ68)*$N69/100</f>
        <v>3050.3182500000003</v>
      </c>
      <c r="AG69" s="3361">
        <f>SUM(AG68:$AQ68)*$N69/100</f>
        <v>2779.1788500000002</v>
      </c>
      <c r="AH69" s="3361">
        <f>SUM(AH68:$AQ68)*$N69/100</f>
        <v>2508.0394500000002</v>
      </c>
      <c r="AI69" s="3361">
        <f>SUM(AI68:$AQ68)*$N69/100</f>
        <v>2236.9000500000002</v>
      </c>
      <c r="AJ69" s="3361">
        <f>SUM(AJ68:$AQ68)*$N69/100</f>
        <v>1965.7606499999999</v>
      </c>
      <c r="AK69" s="3361">
        <f>SUM(AK68:$AQ68)*$N69/100</f>
        <v>1694.6212499999999</v>
      </c>
      <c r="AL69" s="3361">
        <f>SUM(AL68:$AQ68)*$N69/100</f>
        <v>1423.4818499999999</v>
      </c>
      <c r="AM69" s="3361">
        <f>SUM(AM68:$AQ68)*$N69/100</f>
        <v>1152.3424499999999</v>
      </c>
      <c r="AN69" s="3361">
        <f>SUM(AN68:$AQ68)*$N69/100</f>
        <v>881.20304999999996</v>
      </c>
      <c r="AO69" s="3361">
        <f>SUM(AO68:$AQ68)*$N69/100</f>
        <v>610.06364999999994</v>
      </c>
      <c r="AP69" s="3361">
        <f>SUM(AP68:$AQ68)*$N69/100</f>
        <v>338.92425000000003</v>
      </c>
      <c r="AQ69" s="3361">
        <f>SUM(AQ68:$AQ68)*$N69/100</f>
        <v>67.784849999999992</v>
      </c>
      <c r="AR69" s="3361"/>
      <c r="AS69" s="3361"/>
      <c r="AT69" s="3362">
        <f t="shared" si="6"/>
        <v>89882.711099999942</v>
      </c>
      <c r="AU69" s="3347">
        <f t="shared" si="7"/>
        <v>0</v>
      </c>
      <c r="AV69" s="3363">
        <f t="shared" si="4"/>
        <v>47652.749549999964</v>
      </c>
      <c r="AW69" s="3364">
        <f t="shared" si="2"/>
        <v>89882.711099999957</v>
      </c>
      <c r="AY69" s="3336" t="b">
        <f t="shared" si="3"/>
        <v>0</v>
      </c>
      <c r="BC69" s="3350"/>
    </row>
    <row r="70" spans="2:55" s="3336" customFormat="1" outlineLevel="1">
      <c r="B70" s="3337" t="s">
        <v>775</v>
      </c>
      <c r="C70" s="3338">
        <v>33</v>
      </c>
      <c r="D70" s="3339" t="s">
        <v>5579</v>
      </c>
      <c r="E70" s="3340" t="s">
        <v>5580</v>
      </c>
      <c r="F70" s="3341" t="s">
        <v>5581</v>
      </c>
      <c r="G70" s="3341" t="s">
        <v>5582</v>
      </c>
      <c r="H70" s="3341" t="s">
        <v>5583</v>
      </c>
      <c r="I70" s="3341" t="s">
        <v>5382</v>
      </c>
      <c r="J70" s="3342">
        <v>2075409</v>
      </c>
      <c r="K70" s="3343">
        <v>1159750</v>
      </c>
      <c r="L70" s="3343"/>
      <c r="M70" s="3343"/>
      <c r="N70" s="3365"/>
      <c r="O70" s="3365"/>
      <c r="P70" s="3344"/>
      <c r="Q70" s="3344" t="s">
        <v>5383</v>
      </c>
      <c r="R70" s="3345">
        <v>121648</v>
      </c>
      <c r="S70" s="3345">
        <v>117000</v>
      </c>
      <c r="T70" s="3345">
        <v>117000</v>
      </c>
      <c r="U70" s="3345">
        <v>117000</v>
      </c>
      <c r="V70" s="3345">
        <v>117000</v>
      </c>
      <c r="W70" s="3345">
        <v>110320</v>
      </c>
      <c r="X70" s="3345">
        <v>91212</v>
      </c>
      <c r="Y70" s="3345">
        <v>82616</v>
      </c>
      <c r="Z70" s="3345">
        <v>82616</v>
      </c>
      <c r="AA70" s="3345">
        <v>82616</v>
      </c>
      <c r="AB70" s="3345">
        <v>75860</v>
      </c>
      <c r="AC70" s="3345">
        <v>36908</v>
      </c>
      <c r="AD70" s="3345">
        <v>7954</v>
      </c>
      <c r="AE70" s="3345">
        <v>0</v>
      </c>
      <c r="AF70" s="3345">
        <v>0</v>
      </c>
      <c r="AG70" s="3345">
        <v>0</v>
      </c>
      <c r="AH70" s="3345">
        <v>0</v>
      </c>
      <c r="AI70" s="3345">
        <v>0</v>
      </c>
      <c r="AJ70" s="3345">
        <v>0</v>
      </c>
      <c r="AK70" s="3345">
        <v>0</v>
      </c>
      <c r="AL70" s="3345">
        <v>0</v>
      </c>
      <c r="AM70" s="3345">
        <v>0</v>
      </c>
      <c r="AN70" s="3345">
        <v>0</v>
      </c>
      <c r="AO70" s="3345">
        <v>0</v>
      </c>
      <c r="AP70" s="3345">
        <v>0</v>
      </c>
      <c r="AQ70" s="3345">
        <v>0</v>
      </c>
      <c r="AR70" s="3345"/>
      <c r="AS70" s="3345"/>
      <c r="AT70" s="3346">
        <f t="shared" si="6"/>
        <v>1159750</v>
      </c>
      <c r="AU70" s="3347">
        <f t="shared" si="7"/>
        <v>0</v>
      </c>
      <c r="AV70" s="3348">
        <f t="shared" si="4"/>
        <v>368570</v>
      </c>
      <c r="AW70" s="3349">
        <f t="shared" si="2"/>
        <v>1159750</v>
      </c>
      <c r="AY70" s="3336" t="b">
        <f t="shared" si="3"/>
        <v>1</v>
      </c>
      <c r="AZ70" s="3350">
        <f>AW70-K70</f>
        <v>0</v>
      </c>
      <c r="BC70" s="3350"/>
    </row>
    <row r="71" spans="2:55" outlineLevel="1">
      <c r="B71" s="3351" t="s">
        <v>775</v>
      </c>
      <c r="C71" s="3352"/>
      <c r="D71" s="3353" t="s">
        <v>5584</v>
      </c>
      <c r="E71" s="3354"/>
      <c r="F71" s="3355"/>
      <c r="G71" s="3355"/>
      <c r="H71" s="3355"/>
      <c r="I71" s="3355"/>
      <c r="J71" s="3356"/>
      <c r="K71" s="3357"/>
      <c r="L71" s="3356" t="s">
        <v>5585</v>
      </c>
      <c r="M71" s="3356"/>
      <c r="N71" s="3358">
        <f>SUM(O71:P71)</f>
        <v>2.2999999999999998</v>
      </c>
      <c r="O71" s="3359">
        <v>2.2999999999999998</v>
      </c>
      <c r="P71" s="3360">
        <f>$P$4</f>
        <v>0</v>
      </c>
      <c r="Q71" s="3360" t="s">
        <v>5386</v>
      </c>
      <c r="R71" s="3361">
        <f>SUM(R70:$AQ70)*$N71/100</f>
        <v>26674.25</v>
      </c>
      <c r="S71" s="3361">
        <f>SUM(S70:$AQ70)*$N71/100</f>
        <v>23876.345999999998</v>
      </c>
      <c r="T71" s="3361">
        <f>SUM(T70:$AQ70)*$N71/100</f>
        <v>21185.345999999998</v>
      </c>
      <c r="U71" s="3361">
        <f>SUM(U70:$AQ70)*$N71/100</f>
        <v>18494.345999999998</v>
      </c>
      <c r="V71" s="3361">
        <f>SUM(V70:$AQ70)*$N71/100</f>
        <v>15803.345999999998</v>
      </c>
      <c r="W71" s="3361">
        <f>SUM(W70:$AQ70)*$N71/100</f>
        <v>13112.345999999998</v>
      </c>
      <c r="X71" s="3361">
        <f>SUM(X70:$AQ70)*$N71/100</f>
        <v>10574.985999999999</v>
      </c>
      <c r="Y71" s="3361">
        <f>SUM(Y70:$AQ70)*$N71/100</f>
        <v>8477.1099999999988</v>
      </c>
      <c r="Z71" s="3361">
        <f>SUM(Z70:$AQ70)*$N71/100</f>
        <v>6576.9419999999991</v>
      </c>
      <c r="AA71" s="3361">
        <f>SUM(AA70:$AQ70)*$N71/100</f>
        <v>4676.7739999999994</v>
      </c>
      <c r="AB71" s="3361">
        <f>SUM(AB70:$AQ70)*$N71/100</f>
        <v>2776.6059999999998</v>
      </c>
      <c r="AC71" s="3361">
        <f>SUM(AC70:$AQ70)*$N71/100</f>
        <v>1031.826</v>
      </c>
      <c r="AD71" s="3361">
        <f>SUM(AD70:$AQ70)*$N71/100</f>
        <v>182.94199999999998</v>
      </c>
      <c r="AE71" s="3361">
        <v>0</v>
      </c>
      <c r="AF71" s="3361">
        <v>0</v>
      </c>
      <c r="AG71" s="3361">
        <v>0</v>
      </c>
      <c r="AH71" s="3361">
        <v>0</v>
      </c>
      <c r="AI71" s="3361">
        <v>0</v>
      </c>
      <c r="AJ71" s="3361">
        <v>0</v>
      </c>
      <c r="AK71" s="3361">
        <v>0</v>
      </c>
      <c r="AL71" s="3361">
        <v>0</v>
      </c>
      <c r="AM71" s="3361">
        <v>0</v>
      </c>
      <c r="AN71" s="3361">
        <v>0</v>
      </c>
      <c r="AO71" s="3361">
        <v>0</v>
      </c>
      <c r="AP71" s="3361">
        <v>0</v>
      </c>
      <c r="AQ71" s="3361">
        <v>0</v>
      </c>
      <c r="AR71" s="3361"/>
      <c r="AS71" s="3361"/>
      <c r="AT71" s="3362">
        <f t="shared" si="6"/>
        <v>153443.166</v>
      </c>
      <c r="AU71" s="3347">
        <f t="shared" si="7"/>
        <v>0</v>
      </c>
      <c r="AV71" s="3363">
        <f t="shared" si="4"/>
        <v>23722.199999999997</v>
      </c>
      <c r="AW71" s="3364">
        <f t="shared" ref="AW71:AW129" si="8">SUM(R71:X71,AV71)</f>
        <v>153443.16599999997</v>
      </c>
      <c r="AY71" s="3336" t="b">
        <f t="shared" ref="AY71:AY135" si="9">AT71=AW71</f>
        <v>1</v>
      </c>
      <c r="BC71" s="3350"/>
    </row>
    <row r="72" spans="2:55" s="3336" customFormat="1" outlineLevel="1">
      <c r="B72" s="3337" t="s">
        <v>775</v>
      </c>
      <c r="C72" s="3338">
        <v>34</v>
      </c>
      <c r="D72" s="3339" t="s">
        <v>5586</v>
      </c>
      <c r="E72" s="3340" t="s">
        <v>5587</v>
      </c>
      <c r="F72" s="3341" t="s">
        <v>5588</v>
      </c>
      <c r="G72" s="3341" t="s">
        <v>5589</v>
      </c>
      <c r="H72" s="3341" t="s">
        <v>5590</v>
      </c>
      <c r="I72" s="3341" t="s">
        <v>5382</v>
      </c>
      <c r="J72" s="3342">
        <v>617703</v>
      </c>
      <c r="K72" s="3343">
        <v>533970</v>
      </c>
      <c r="L72" s="3343"/>
      <c r="M72" s="3343"/>
      <c r="N72" s="3365"/>
      <c r="O72" s="3365"/>
      <c r="P72" s="3344"/>
      <c r="Q72" s="3344" t="s">
        <v>5383</v>
      </c>
      <c r="R72" s="3345">
        <v>20940</v>
      </c>
      <c r="S72" s="3345">
        <v>20940</v>
      </c>
      <c r="T72" s="3345">
        <v>20940</v>
      </c>
      <c r="U72" s="3345">
        <v>20940</v>
      </c>
      <c r="V72" s="3345">
        <v>20940</v>
      </c>
      <c r="W72" s="3345">
        <v>20940</v>
      </c>
      <c r="X72" s="3345">
        <v>20940</v>
      </c>
      <c r="Y72" s="3345">
        <v>20940</v>
      </c>
      <c r="Z72" s="3345">
        <v>20940</v>
      </c>
      <c r="AA72" s="3345">
        <v>20940</v>
      </c>
      <c r="AB72" s="3345">
        <v>20940</v>
      </c>
      <c r="AC72" s="3345">
        <v>20940</v>
      </c>
      <c r="AD72" s="3345">
        <v>20940</v>
      </c>
      <c r="AE72" s="3345">
        <v>20940</v>
      </c>
      <c r="AF72" s="3345">
        <v>20940</v>
      </c>
      <c r="AG72" s="3345">
        <v>20940</v>
      </c>
      <c r="AH72" s="3345">
        <v>20940</v>
      </c>
      <c r="AI72" s="3345">
        <v>20940</v>
      </c>
      <c r="AJ72" s="3345">
        <v>20940</v>
      </c>
      <c r="AK72" s="3345">
        <v>20940</v>
      </c>
      <c r="AL72" s="3345">
        <v>20940</v>
      </c>
      <c r="AM72" s="3345">
        <v>20940</v>
      </c>
      <c r="AN72" s="3345">
        <v>20940</v>
      </c>
      <c r="AO72" s="3345">
        <v>20940</v>
      </c>
      <c r="AP72" s="3345">
        <v>20940</v>
      </c>
      <c r="AQ72" s="3345">
        <v>10470</v>
      </c>
      <c r="AR72" s="3345"/>
      <c r="AS72" s="3345"/>
      <c r="AT72" s="3346">
        <f t="shared" si="6"/>
        <v>533970</v>
      </c>
      <c r="AU72" s="3347">
        <f t="shared" si="7"/>
        <v>0</v>
      </c>
      <c r="AV72" s="3348">
        <f t="shared" ref="AV72:AV129" si="10">SUM(Y72:AS72)</f>
        <v>387390</v>
      </c>
      <c r="AW72" s="3349">
        <f t="shared" si="8"/>
        <v>533970</v>
      </c>
      <c r="AY72" s="3336" t="b">
        <f t="shared" si="9"/>
        <v>1</v>
      </c>
      <c r="AZ72" s="3350">
        <f>AW72-K72</f>
        <v>0</v>
      </c>
      <c r="BC72" s="3350"/>
    </row>
    <row r="73" spans="2:55" outlineLevel="1">
      <c r="B73" s="3351" t="s">
        <v>775</v>
      </c>
      <c r="C73" s="3352"/>
      <c r="D73" s="3353"/>
      <c r="E73" s="3354"/>
      <c r="F73" s="3355"/>
      <c r="G73" s="3355"/>
      <c r="H73" s="3355"/>
      <c r="I73" s="3355"/>
      <c r="J73" s="3356"/>
      <c r="K73" s="3357"/>
      <c r="L73" s="3356" t="s">
        <v>5591</v>
      </c>
      <c r="M73" s="3356"/>
      <c r="N73" s="3358">
        <f>SUM(O73:P73)</f>
        <v>2.7010000000000001</v>
      </c>
      <c r="O73" s="3358">
        <v>2.7010000000000001</v>
      </c>
      <c r="P73" s="3360">
        <f>$P$4</f>
        <v>0</v>
      </c>
      <c r="Q73" s="3360" t="s">
        <v>5386</v>
      </c>
      <c r="R73" s="3361">
        <f>SUM(R72:$AQ72)*$N73/100</f>
        <v>14422.529699999999</v>
      </c>
      <c r="S73" s="3361">
        <f>SUM(S72:$AQ72)*$N73/100</f>
        <v>13856.9403</v>
      </c>
      <c r="T73" s="3361">
        <f>SUM(T72:$AQ72)*$N73/100</f>
        <v>13291.350900000001</v>
      </c>
      <c r="U73" s="3361">
        <f>SUM(U72:$AQ72)*$N73/100</f>
        <v>12725.761500000001</v>
      </c>
      <c r="V73" s="3361">
        <f>SUM(V72:$AQ72)*$N73/100</f>
        <v>12160.1721</v>
      </c>
      <c r="W73" s="3361">
        <f>SUM(W72:$AQ72)*$N73/100</f>
        <v>11594.582700000001</v>
      </c>
      <c r="X73" s="3361">
        <f>SUM(X72:$AQ72)*$N73/100</f>
        <v>11028.9933</v>
      </c>
      <c r="Y73" s="3361">
        <f>SUM(Y72:$AQ72)*$N73/100</f>
        <v>10463.403899999999</v>
      </c>
      <c r="Z73" s="3361">
        <f>SUM(Z72:$AQ72)*$N73/100</f>
        <v>9897.8145000000004</v>
      </c>
      <c r="AA73" s="3361">
        <f>SUM(AA72:$AQ72)*$N73/100</f>
        <v>9332.2250999999997</v>
      </c>
      <c r="AB73" s="3361">
        <f>SUM(AB72:$AQ72)*$N73/100</f>
        <v>8766.6357000000007</v>
      </c>
      <c r="AC73" s="3361">
        <f>SUM(AC72:$AQ72)*$N73/100</f>
        <v>8201.0463</v>
      </c>
      <c r="AD73" s="3361">
        <f>SUM(AD72:$AQ72)*$N73/100</f>
        <v>7635.456900000001</v>
      </c>
      <c r="AE73" s="3361">
        <f>SUM(AE72:$AQ72)*$N73/100</f>
        <v>7069.8675000000003</v>
      </c>
      <c r="AF73" s="3361">
        <f>SUM(AF72:$AQ72)*$N73/100</f>
        <v>6504.2781000000004</v>
      </c>
      <c r="AG73" s="3361">
        <f>SUM(AG72:$AQ72)*$N73/100</f>
        <v>5938.6886999999997</v>
      </c>
      <c r="AH73" s="3361">
        <f>SUM(AH72:$AQ72)*$N73/100</f>
        <v>5373.0993000000008</v>
      </c>
      <c r="AI73" s="3361">
        <f>SUM(AI72:$AQ72)*$N73/100</f>
        <v>4807.5099</v>
      </c>
      <c r="AJ73" s="3361">
        <f>SUM(AJ72:$AQ72)*$N73/100</f>
        <v>4241.9205000000002</v>
      </c>
      <c r="AK73" s="3361">
        <f>SUM(AK72:$AQ72)*$N73/100</f>
        <v>3676.3310999999999</v>
      </c>
      <c r="AL73" s="3361">
        <f>SUM(AL72:$AQ72)*$N73/100</f>
        <v>3110.7417</v>
      </c>
      <c r="AM73" s="3361">
        <f>SUM(AM72:$AQ72)*$N73/100</f>
        <v>2545.1523000000002</v>
      </c>
      <c r="AN73" s="3361">
        <f>SUM(AN72:$AQ72)*$N73/100</f>
        <v>1979.5629000000001</v>
      </c>
      <c r="AO73" s="3361">
        <f>SUM(AO72:$AQ72)*$N73/100</f>
        <v>1413.9735000000001</v>
      </c>
      <c r="AP73" s="3361">
        <f>SUM(AP72:$AQ72)*$N73/100</f>
        <v>848.38409999999999</v>
      </c>
      <c r="AQ73" s="3361">
        <f>SUM(AQ72:$AQ72)*$N73/100</f>
        <v>282.79470000000003</v>
      </c>
      <c r="AR73" s="3361"/>
      <c r="AS73" s="3361"/>
      <c r="AT73" s="3362">
        <f t="shared" si="6"/>
        <v>191169.21719999998</v>
      </c>
      <c r="AU73" s="3347">
        <f t="shared" si="7"/>
        <v>0</v>
      </c>
      <c r="AV73" s="3363">
        <f t="shared" si="10"/>
        <v>102088.8867</v>
      </c>
      <c r="AW73" s="3364">
        <f t="shared" si="8"/>
        <v>191169.21720000001</v>
      </c>
      <c r="AY73" s="3336" t="b">
        <f t="shared" si="9"/>
        <v>1</v>
      </c>
      <c r="BC73" s="3350"/>
    </row>
    <row r="74" spans="2:55" s="3336" customFormat="1" outlineLevel="1">
      <c r="B74" s="3337" t="s">
        <v>775</v>
      </c>
      <c r="C74" s="3338">
        <v>35</v>
      </c>
      <c r="D74" s="3339" t="s">
        <v>5592</v>
      </c>
      <c r="E74" s="3340" t="s">
        <v>5593</v>
      </c>
      <c r="F74" s="3341" t="s">
        <v>5594</v>
      </c>
      <c r="G74" s="3341" t="s">
        <v>5595</v>
      </c>
      <c r="H74" s="3341" t="s">
        <v>5596</v>
      </c>
      <c r="I74" s="3341" t="s">
        <v>5382</v>
      </c>
      <c r="J74" s="3342">
        <v>131926.07</v>
      </c>
      <c r="K74" s="3343">
        <v>104865.07</v>
      </c>
      <c r="L74" s="3343"/>
      <c r="M74" s="3343"/>
      <c r="N74" s="3365"/>
      <c r="O74" s="3365"/>
      <c r="P74" s="3344"/>
      <c r="Q74" s="3344" t="s">
        <v>5383</v>
      </c>
      <c r="R74" s="3345">
        <v>6772</v>
      </c>
      <c r="S74" s="3345">
        <v>6772</v>
      </c>
      <c r="T74" s="3345">
        <v>6772</v>
      </c>
      <c r="U74" s="3345">
        <v>6772</v>
      </c>
      <c r="V74" s="3345">
        <v>6772</v>
      </c>
      <c r="W74" s="3345">
        <v>6772</v>
      </c>
      <c r="X74" s="3345">
        <v>6772</v>
      </c>
      <c r="Y74" s="3345">
        <v>6772</v>
      </c>
      <c r="Z74" s="3345">
        <v>6772</v>
      </c>
      <c r="AA74" s="3345">
        <v>6772</v>
      </c>
      <c r="AB74" s="3345">
        <v>6772</v>
      </c>
      <c r="AC74" s="3345">
        <v>6772</v>
      </c>
      <c r="AD74" s="3345">
        <v>6772</v>
      </c>
      <c r="AE74" s="3345">
        <v>6772</v>
      </c>
      <c r="AF74" s="3345">
        <v>6772</v>
      </c>
      <c r="AG74" s="3345">
        <v>3285.0699999999997</v>
      </c>
      <c r="AH74" s="3345">
        <v>0</v>
      </c>
      <c r="AI74" s="3345">
        <v>0</v>
      </c>
      <c r="AJ74" s="3345">
        <v>0</v>
      </c>
      <c r="AK74" s="3345">
        <v>0</v>
      </c>
      <c r="AL74" s="3345">
        <v>0</v>
      </c>
      <c r="AM74" s="3345">
        <v>0</v>
      </c>
      <c r="AN74" s="3345">
        <v>0</v>
      </c>
      <c r="AO74" s="3345">
        <v>0</v>
      </c>
      <c r="AP74" s="3345">
        <v>0</v>
      </c>
      <c r="AQ74" s="3345">
        <v>0</v>
      </c>
      <c r="AR74" s="3345"/>
      <c r="AS74" s="3345"/>
      <c r="AT74" s="3346">
        <f t="shared" si="6"/>
        <v>104865.07</v>
      </c>
      <c r="AU74" s="3347">
        <f t="shared" si="7"/>
        <v>0</v>
      </c>
      <c r="AV74" s="3348">
        <f t="shared" si="10"/>
        <v>57461.07</v>
      </c>
      <c r="AW74" s="3349">
        <f t="shared" si="8"/>
        <v>104865.07</v>
      </c>
      <c r="AY74" s="3336" t="b">
        <f t="shared" si="9"/>
        <v>1</v>
      </c>
      <c r="AZ74" s="3350">
        <f>AW74-K74</f>
        <v>0</v>
      </c>
      <c r="BC74" s="3350"/>
    </row>
    <row r="75" spans="2:55" outlineLevel="1">
      <c r="B75" s="3351" t="s">
        <v>775</v>
      </c>
      <c r="C75" s="3352"/>
      <c r="D75" s="3353"/>
      <c r="E75" s="3354"/>
      <c r="F75" s="3355"/>
      <c r="G75" s="3355"/>
      <c r="H75" s="3355"/>
      <c r="I75" s="3355"/>
      <c r="J75" s="3356"/>
      <c r="K75" s="3357"/>
      <c r="L75" s="3356" t="s">
        <v>5597</v>
      </c>
      <c r="M75" s="3356"/>
      <c r="N75" s="3358">
        <f>SUM(O75:P75)</f>
        <v>2.5369999999999999</v>
      </c>
      <c r="O75" s="3358">
        <v>2.5369999999999999</v>
      </c>
      <c r="P75" s="3360">
        <f>$P$4</f>
        <v>0</v>
      </c>
      <c r="Q75" s="3360" t="s">
        <v>5386</v>
      </c>
      <c r="R75" s="3361">
        <f>SUM(R74:$AQ74)*$N75/100</f>
        <v>2660.4268259</v>
      </c>
      <c r="S75" s="3361">
        <f>SUM(S74:$AQ74)*$N75/100</f>
        <v>2488.6211859</v>
      </c>
      <c r="T75" s="3361">
        <f>SUM(T74:$AQ74)*$N75/100</f>
        <v>2316.8155459</v>
      </c>
      <c r="U75" s="3361">
        <f>SUM(U74:$AQ74)*$N75/100</f>
        <v>2145.0099058999999</v>
      </c>
      <c r="V75" s="3361">
        <f>SUM(V74:$AQ74)*$N75/100</f>
        <v>1973.2042659000001</v>
      </c>
      <c r="W75" s="3361">
        <f>SUM(W74:$AQ74)*$N75/100</f>
        <v>1801.3986259000001</v>
      </c>
      <c r="X75" s="3361">
        <f>SUM(X74:$AQ74)*$N75/100</f>
        <v>1629.5929858999998</v>
      </c>
      <c r="Y75" s="3361">
        <f>SUM(Y74:$AQ74)*$N75/100</f>
        <v>1457.7873459</v>
      </c>
      <c r="Z75" s="3361">
        <f>SUM(Z74:$AQ74)*$N75/100</f>
        <v>1285.9817059</v>
      </c>
      <c r="AA75" s="3361">
        <f>SUM(AA74:$AQ74)*$N75/100</f>
        <v>1114.1760658999999</v>
      </c>
      <c r="AB75" s="3361">
        <f>SUM(AB74:$AQ74)*$N75/100</f>
        <v>942.37042589999999</v>
      </c>
      <c r="AC75" s="3361">
        <f>SUM(AC74:$AQ74)*$N75/100</f>
        <v>770.56478589999995</v>
      </c>
      <c r="AD75" s="3361">
        <f>SUM(AD74:$AQ74)*$N75/100</f>
        <v>598.75914590000002</v>
      </c>
      <c r="AE75" s="3361">
        <f>SUM(AE74:$AQ74)*$N75/100</f>
        <v>426.95350589999993</v>
      </c>
      <c r="AF75" s="3361">
        <f>SUM(AF74:$AQ74)*$N75/100</f>
        <v>255.1478659</v>
      </c>
      <c r="AG75" s="3361">
        <f>SUM(AG74:$AQ74)*$N75/100</f>
        <v>83.342225899999988</v>
      </c>
      <c r="AH75" s="3361">
        <v>0</v>
      </c>
      <c r="AI75" s="3361">
        <v>0</v>
      </c>
      <c r="AJ75" s="3361">
        <v>0</v>
      </c>
      <c r="AK75" s="3361">
        <v>0</v>
      </c>
      <c r="AL75" s="3361">
        <v>0</v>
      </c>
      <c r="AM75" s="3361">
        <v>0</v>
      </c>
      <c r="AN75" s="3361">
        <v>0</v>
      </c>
      <c r="AO75" s="3361">
        <v>0</v>
      </c>
      <c r="AP75" s="3361">
        <v>0</v>
      </c>
      <c r="AQ75" s="3361">
        <v>0</v>
      </c>
      <c r="AR75" s="3361"/>
      <c r="AS75" s="3361"/>
      <c r="AT75" s="3362">
        <f t="shared" si="6"/>
        <v>21950.152414399996</v>
      </c>
      <c r="AU75" s="3347">
        <f t="shared" si="7"/>
        <v>0</v>
      </c>
      <c r="AV75" s="3363">
        <f t="shared" si="10"/>
        <v>6935.0830730999996</v>
      </c>
      <c r="AW75" s="3364">
        <f t="shared" si="8"/>
        <v>21950.152414399996</v>
      </c>
      <c r="AY75" s="3336" t="b">
        <f t="shared" si="9"/>
        <v>1</v>
      </c>
      <c r="BC75" s="3350"/>
    </row>
    <row r="76" spans="2:55" s="3336" customFormat="1" outlineLevel="1">
      <c r="B76" s="3337" t="s">
        <v>775</v>
      </c>
      <c r="C76" s="3338">
        <v>36</v>
      </c>
      <c r="D76" s="3339" t="s">
        <v>5598</v>
      </c>
      <c r="E76" s="3340" t="s">
        <v>5599</v>
      </c>
      <c r="F76" s="3341" t="s">
        <v>5600</v>
      </c>
      <c r="G76" s="3341" t="s">
        <v>5595</v>
      </c>
      <c r="H76" s="3341" t="s">
        <v>5596</v>
      </c>
      <c r="I76" s="3341" t="s">
        <v>5382</v>
      </c>
      <c r="J76" s="3342">
        <v>145332</v>
      </c>
      <c r="K76" s="3343">
        <v>115568</v>
      </c>
      <c r="L76" s="3343"/>
      <c r="M76" s="3343"/>
      <c r="N76" s="3365"/>
      <c r="O76" s="3365"/>
      <c r="P76" s="3344"/>
      <c r="Q76" s="3344" t="s">
        <v>5383</v>
      </c>
      <c r="R76" s="3345">
        <v>7456</v>
      </c>
      <c r="S76" s="3345">
        <v>7456</v>
      </c>
      <c r="T76" s="3345">
        <v>7456</v>
      </c>
      <c r="U76" s="3345">
        <v>7456</v>
      </c>
      <c r="V76" s="3345">
        <v>7456</v>
      </c>
      <c r="W76" s="3345">
        <v>7456</v>
      </c>
      <c r="X76" s="3345">
        <v>7456</v>
      </c>
      <c r="Y76" s="3345">
        <v>7456</v>
      </c>
      <c r="Z76" s="3345">
        <v>7456</v>
      </c>
      <c r="AA76" s="3345">
        <v>7456</v>
      </c>
      <c r="AB76" s="3345">
        <v>7456</v>
      </c>
      <c r="AC76" s="3345">
        <v>7456</v>
      </c>
      <c r="AD76" s="3345">
        <v>7456</v>
      </c>
      <c r="AE76" s="3345">
        <v>7456</v>
      </c>
      <c r="AF76" s="3345">
        <v>7456</v>
      </c>
      <c r="AG76" s="3345">
        <v>3728</v>
      </c>
      <c r="AH76" s="3345">
        <v>0</v>
      </c>
      <c r="AI76" s="3345">
        <v>0</v>
      </c>
      <c r="AJ76" s="3345">
        <v>0</v>
      </c>
      <c r="AK76" s="3345">
        <v>0</v>
      </c>
      <c r="AL76" s="3345">
        <v>0</v>
      </c>
      <c r="AM76" s="3345">
        <v>0</v>
      </c>
      <c r="AN76" s="3345">
        <v>0</v>
      </c>
      <c r="AO76" s="3345">
        <v>0</v>
      </c>
      <c r="AP76" s="3345">
        <v>0</v>
      </c>
      <c r="AQ76" s="3345">
        <v>0</v>
      </c>
      <c r="AR76" s="3345"/>
      <c r="AS76" s="3345"/>
      <c r="AT76" s="3346">
        <f t="shared" si="6"/>
        <v>115568</v>
      </c>
      <c r="AU76" s="3347">
        <f t="shared" si="7"/>
        <v>0</v>
      </c>
      <c r="AV76" s="3348">
        <f t="shared" si="10"/>
        <v>63376</v>
      </c>
      <c r="AW76" s="3349">
        <f t="shared" si="8"/>
        <v>115568</v>
      </c>
      <c r="AY76" s="3336" t="b">
        <f t="shared" si="9"/>
        <v>1</v>
      </c>
      <c r="AZ76" s="3350">
        <f>AW76-K76</f>
        <v>0</v>
      </c>
      <c r="BC76" s="3350"/>
    </row>
    <row r="77" spans="2:55" outlineLevel="1">
      <c r="B77" s="3351" t="s">
        <v>775</v>
      </c>
      <c r="C77" s="3352"/>
      <c r="D77" s="3353" t="s">
        <v>5601</v>
      </c>
      <c r="E77" s="3354"/>
      <c r="F77" s="3355"/>
      <c r="G77" s="3355"/>
      <c r="H77" s="3355"/>
      <c r="I77" s="3355"/>
      <c r="J77" s="3356"/>
      <c r="K77" s="3357"/>
      <c r="L77" s="3356" t="s">
        <v>5597</v>
      </c>
      <c r="M77" s="3356"/>
      <c r="N77" s="3358">
        <f>SUM(O77:P77)</f>
        <v>2.5369999999999999</v>
      </c>
      <c r="O77" s="3358">
        <v>2.5369999999999999</v>
      </c>
      <c r="P77" s="3360">
        <f>$P$4</f>
        <v>0</v>
      </c>
      <c r="Q77" s="3360" t="s">
        <v>5386</v>
      </c>
      <c r="R77" s="3361">
        <f>SUM(R76:$AQ76)*$N77/100</f>
        <v>2931.9601600000001</v>
      </c>
      <c r="S77" s="3361">
        <f>SUM(S76:$AQ76)*$N77/100</f>
        <v>2742.8014399999997</v>
      </c>
      <c r="T77" s="3361">
        <f>SUM(T76:$AQ76)*$N77/100</f>
        <v>2553.6427199999998</v>
      </c>
      <c r="U77" s="3361">
        <f>SUM(U76:$AQ76)*$N77/100</f>
        <v>2364.4839999999999</v>
      </c>
      <c r="V77" s="3361">
        <f>SUM(V76:$AQ76)*$N77/100</f>
        <v>2175.32528</v>
      </c>
      <c r="W77" s="3361">
        <f>SUM(W76:$AQ76)*$N77/100</f>
        <v>1986.1665599999999</v>
      </c>
      <c r="X77" s="3361">
        <f>SUM(X76:$AQ76)*$N77/100</f>
        <v>1797.0078399999998</v>
      </c>
      <c r="Y77" s="3361">
        <f>SUM(Y76:$AQ76)*$N77/100</f>
        <v>1607.8491199999999</v>
      </c>
      <c r="Z77" s="3361">
        <f>SUM(Z76:$AQ76)*$N77/100</f>
        <v>1418.6904000000002</v>
      </c>
      <c r="AA77" s="3361">
        <f>SUM(AA76:$AQ76)*$N77/100</f>
        <v>1229.5316799999998</v>
      </c>
      <c r="AB77" s="3361">
        <f>SUM(AB76:$AQ76)*$N77/100</f>
        <v>1040.3729599999999</v>
      </c>
      <c r="AC77" s="3361">
        <f>SUM(AC76:$AQ76)*$N77/100</f>
        <v>851.21424000000002</v>
      </c>
      <c r="AD77" s="3361">
        <f>SUM(AD76:$AQ76)*$N77/100</f>
        <v>662.05552</v>
      </c>
      <c r="AE77" s="3361">
        <f>SUM(AE76:$AQ76)*$N77/100</f>
        <v>472.89679999999998</v>
      </c>
      <c r="AF77" s="3361">
        <f>SUM(AF76:$AQ76)*$N77/100</f>
        <v>283.73808000000002</v>
      </c>
      <c r="AG77" s="3361">
        <f>SUM(AG76:$AQ76)*$N77/100</f>
        <v>94.579359999999994</v>
      </c>
      <c r="AH77" s="3361">
        <v>0</v>
      </c>
      <c r="AI77" s="3361">
        <v>0</v>
      </c>
      <c r="AJ77" s="3361">
        <v>0</v>
      </c>
      <c r="AK77" s="3361">
        <v>0</v>
      </c>
      <c r="AL77" s="3361">
        <v>0</v>
      </c>
      <c r="AM77" s="3361">
        <v>0</v>
      </c>
      <c r="AN77" s="3361">
        <v>0</v>
      </c>
      <c r="AO77" s="3361">
        <v>0</v>
      </c>
      <c r="AP77" s="3361">
        <v>0</v>
      </c>
      <c r="AQ77" s="3361">
        <v>0</v>
      </c>
      <c r="AR77" s="3361"/>
      <c r="AS77" s="3361"/>
      <c r="AT77" s="3362">
        <f t="shared" si="6"/>
        <v>24212.316159999998</v>
      </c>
      <c r="AU77" s="3347">
        <f t="shared" si="7"/>
        <v>0</v>
      </c>
      <c r="AV77" s="3363">
        <f t="shared" si="10"/>
        <v>7660.9281600000004</v>
      </c>
      <c r="AW77" s="3364">
        <f t="shared" si="8"/>
        <v>24212.316159999998</v>
      </c>
      <c r="AY77" s="3336" t="b">
        <f t="shared" si="9"/>
        <v>1</v>
      </c>
      <c r="BC77" s="3350"/>
    </row>
    <row r="78" spans="2:55" s="3336" customFormat="1" outlineLevel="1">
      <c r="B78" s="3337" t="s">
        <v>331</v>
      </c>
      <c r="C78" s="3338">
        <v>37</v>
      </c>
      <c r="D78" s="3339" t="s">
        <v>5602</v>
      </c>
      <c r="E78" s="3340" t="s">
        <v>5603</v>
      </c>
      <c r="F78" s="3341" t="s">
        <v>5604</v>
      </c>
      <c r="G78" s="3341" t="s">
        <v>5605</v>
      </c>
      <c r="H78" s="3341" t="s">
        <v>5606</v>
      </c>
      <c r="I78" s="3341" t="s">
        <v>5382</v>
      </c>
      <c r="J78" s="3342">
        <v>141294</v>
      </c>
      <c r="K78" s="3343">
        <v>22311</v>
      </c>
      <c r="L78" s="3343"/>
      <c r="M78" s="3343"/>
      <c r="N78" s="3365"/>
      <c r="O78" s="3365"/>
      <c r="P78" s="3344"/>
      <c r="Q78" s="3344" t="s">
        <v>5383</v>
      </c>
      <c r="R78" s="3345">
        <v>22311</v>
      </c>
      <c r="S78" s="3345">
        <v>0</v>
      </c>
      <c r="T78" s="3345">
        <v>0</v>
      </c>
      <c r="U78" s="3345">
        <v>0</v>
      </c>
      <c r="V78" s="3345">
        <v>0</v>
      </c>
      <c r="W78" s="3345">
        <v>0</v>
      </c>
      <c r="X78" s="3345">
        <v>0</v>
      </c>
      <c r="Y78" s="3345">
        <v>0</v>
      </c>
      <c r="Z78" s="3345">
        <v>0</v>
      </c>
      <c r="AA78" s="3345">
        <v>0</v>
      </c>
      <c r="AB78" s="3345">
        <v>0</v>
      </c>
      <c r="AC78" s="3345">
        <v>0</v>
      </c>
      <c r="AD78" s="3345">
        <v>0</v>
      </c>
      <c r="AE78" s="3345">
        <v>0</v>
      </c>
      <c r="AF78" s="3345">
        <v>0</v>
      </c>
      <c r="AG78" s="3345">
        <v>0</v>
      </c>
      <c r="AH78" s="3345">
        <v>0</v>
      </c>
      <c r="AI78" s="3345">
        <v>0</v>
      </c>
      <c r="AJ78" s="3345">
        <v>0</v>
      </c>
      <c r="AK78" s="3345">
        <v>0</v>
      </c>
      <c r="AL78" s="3345">
        <v>0</v>
      </c>
      <c r="AM78" s="3345">
        <v>0</v>
      </c>
      <c r="AN78" s="3345">
        <v>0</v>
      </c>
      <c r="AO78" s="3345">
        <v>0</v>
      </c>
      <c r="AP78" s="3345">
        <v>0</v>
      </c>
      <c r="AQ78" s="3345">
        <v>0</v>
      </c>
      <c r="AR78" s="3345"/>
      <c r="AS78" s="3345"/>
      <c r="AT78" s="3346">
        <f t="shared" si="6"/>
        <v>22311</v>
      </c>
      <c r="AU78" s="3347">
        <f t="shared" si="7"/>
        <v>0</v>
      </c>
      <c r="AV78" s="3348">
        <f t="shared" si="10"/>
        <v>0</v>
      </c>
      <c r="AW78" s="3349">
        <f t="shared" si="8"/>
        <v>22311</v>
      </c>
      <c r="AY78" s="3336" t="b">
        <f t="shared" si="9"/>
        <v>1</v>
      </c>
      <c r="AZ78" s="3350">
        <f>AW78-K78</f>
        <v>0</v>
      </c>
      <c r="BC78" s="3350"/>
    </row>
    <row r="79" spans="2:55" outlineLevel="1">
      <c r="B79" s="3351" t="s">
        <v>331</v>
      </c>
      <c r="C79" s="3352"/>
      <c r="D79" s="3353"/>
      <c r="E79" s="3354"/>
      <c r="F79" s="3355"/>
      <c r="G79" s="3355"/>
      <c r="H79" s="3355"/>
      <c r="I79" s="3355"/>
      <c r="J79" s="3356"/>
      <c r="K79" s="3357"/>
      <c r="L79" s="3356">
        <v>0</v>
      </c>
      <c r="M79" s="3356" t="s">
        <v>5565</v>
      </c>
      <c r="N79" s="3358">
        <f>SUM(O79:P79)</f>
        <v>0.25</v>
      </c>
      <c r="O79" s="3358">
        <v>0.25</v>
      </c>
      <c r="P79" s="3360">
        <f>$P$4</f>
        <v>0</v>
      </c>
      <c r="Q79" s="3360" t="s">
        <v>5386</v>
      </c>
      <c r="R79" s="3361">
        <f>SUM(R78:$AQ78)*$N79/100</f>
        <v>55.777500000000003</v>
      </c>
      <c r="S79" s="3361">
        <v>0</v>
      </c>
      <c r="T79" s="3361">
        <v>0</v>
      </c>
      <c r="U79" s="3361">
        <v>0</v>
      </c>
      <c r="V79" s="3361">
        <v>0</v>
      </c>
      <c r="W79" s="3361">
        <v>0</v>
      </c>
      <c r="X79" s="3361">
        <v>0</v>
      </c>
      <c r="Y79" s="3361">
        <v>0</v>
      </c>
      <c r="Z79" s="3361">
        <v>0</v>
      </c>
      <c r="AA79" s="3361">
        <v>0</v>
      </c>
      <c r="AB79" s="3361">
        <v>0</v>
      </c>
      <c r="AC79" s="3361">
        <v>0</v>
      </c>
      <c r="AD79" s="3361">
        <v>0</v>
      </c>
      <c r="AE79" s="3361">
        <v>0</v>
      </c>
      <c r="AF79" s="3361">
        <v>0</v>
      </c>
      <c r="AG79" s="3361">
        <v>0</v>
      </c>
      <c r="AH79" s="3361">
        <v>0</v>
      </c>
      <c r="AI79" s="3361">
        <v>0</v>
      </c>
      <c r="AJ79" s="3361">
        <v>0</v>
      </c>
      <c r="AK79" s="3361">
        <v>0</v>
      </c>
      <c r="AL79" s="3361">
        <v>0</v>
      </c>
      <c r="AM79" s="3361">
        <v>0</v>
      </c>
      <c r="AN79" s="3361">
        <v>0</v>
      </c>
      <c r="AO79" s="3361">
        <v>0</v>
      </c>
      <c r="AP79" s="3361">
        <v>0</v>
      </c>
      <c r="AQ79" s="3361">
        <v>0</v>
      </c>
      <c r="AR79" s="3361"/>
      <c r="AS79" s="3361"/>
      <c r="AT79" s="3362">
        <f t="shared" si="6"/>
        <v>55.777500000000003</v>
      </c>
      <c r="AU79" s="3347">
        <f t="shared" si="7"/>
        <v>0</v>
      </c>
      <c r="AV79" s="3363">
        <f t="shared" si="10"/>
        <v>0</v>
      </c>
      <c r="AW79" s="3364">
        <f t="shared" si="8"/>
        <v>55.777500000000003</v>
      </c>
      <c r="AY79" s="3336" t="b">
        <f t="shared" si="9"/>
        <v>1</v>
      </c>
      <c r="BC79" s="3350"/>
    </row>
    <row r="80" spans="2:55" s="3336" customFormat="1" outlineLevel="1">
      <c r="B80" s="3337" t="s">
        <v>331</v>
      </c>
      <c r="C80" s="3338">
        <v>38</v>
      </c>
      <c r="D80" s="3339" t="s">
        <v>5607</v>
      </c>
      <c r="E80" s="3340" t="s">
        <v>5608</v>
      </c>
      <c r="F80" s="3341" t="s">
        <v>5609</v>
      </c>
      <c r="G80" s="3341" t="s">
        <v>5610</v>
      </c>
      <c r="H80" s="3341" t="s">
        <v>5611</v>
      </c>
      <c r="I80" s="3341" t="s">
        <v>5382</v>
      </c>
      <c r="J80" s="3342">
        <v>186392</v>
      </c>
      <c r="K80" s="3343">
        <v>23512.46</v>
      </c>
      <c r="L80" s="3343"/>
      <c r="M80" s="3343"/>
      <c r="N80" s="3365"/>
      <c r="O80" s="3365"/>
      <c r="P80" s="3344"/>
      <c r="Q80" s="3344" t="s">
        <v>5383</v>
      </c>
      <c r="R80" s="3345">
        <v>8240</v>
      </c>
      <c r="S80" s="3345">
        <v>8240</v>
      </c>
      <c r="T80" s="3345">
        <f>8240-1208</f>
        <v>7032</v>
      </c>
      <c r="U80" s="3345"/>
      <c r="V80" s="3345"/>
      <c r="W80" s="3345"/>
      <c r="X80" s="3345"/>
      <c r="Y80" s="3345"/>
      <c r="Z80" s="3345"/>
      <c r="AA80" s="3345"/>
      <c r="AB80" s="3345"/>
      <c r="AC80" s="3345"/>
      <c r="AD80" s="3345"/>
      <c r="AE80" s="3345"/>
      <c r="AF80" s="3345"/>
      <c r="AG80" s="3345">
        <v>0</v>
      </c>
      <c r="AH80" s="3345">
        <v>0</v>
      </c>
      <c r="AI80" s="3345">
        <v>0</v>
      </c>
      <c r="AJ80" s="3345">
        <v>0</v>
      </c>
      <c r="AK80" s="3345">
        <v>0</v>
      </c>
      <c r="AL80" s="3345">
        <v>0</v>
      </c>
      <c r="AM80" s="3345">
        <v>0</v>
      </c>
      <c r="AN80" s="3345">
        <v>0</v>
      </c>
      <c r="AO80" s="3345">
        <v>0</v>
      </c>
      <c r="AP80" s="3345">
        <v>0</v>
      </c>
      <c r="AQ80" s="3345">
        <v>0</v>
      </c>
      <c r="AR80" s="3345"/>
      <c r="AS80" s="3345"/>
      <c r="AT80" s="3346">
        <f t="shared" si="6"/>
        <v>23512</v>
      </c>
      <c r="AU80" s="3347">
        <f t="shared" si="7"/>
        <v>0</v>
      </c>
      <c r="AV80" s="3348">
        <f t="shared" si="10"/>
        <v>0</v>
      </c>
      <c r="AW80" s="3349">
        <f t="shared" si="8"/>
        <v>23512</v>
      </c>
      <c r="AY80" s="3336" t="b">
        <f t="shared" si="9"/>
        <v>1</v>
      </c>
      <c r="AZ80" s="3350">
        <f>AW80-K80</f>
        <v>-0.45999999999912689</v>
      </c>
      <c r="BC80" s="3350"/>
    </row>
    <row r="81" spans="2:55" outlineLevel="1">
      <c r="B81" s="3351" t="s">
        <v>331</v>
      </c>
      <c r="C81" s="3352"/>
      <c r="D81" s="3353" t="s">
        <v>5612</v>
      </c>
      <c r="E81" s="3354"/>
      <c r="F81" s="3355"/>
      <c r="G81" s="3355"/>
      <c r="H81" s="3355"/>
      <c r="I81" s="3355"/>
      <c r="J81" s="3356"/>
      <c r="K81" s="3357"/>
      <c r="L81" s="3356" t="s">
        <v>5613</v>
      </c>
      <c r="M81" s="3356"/>
      <c r="N81" s="3358">
        <f>SUM(O81:P81)</f>
        <v>2.831</v>
      </c>
      <c r="O81" s="3358">
        <v>2.831</v>
      </c>
      <c r="P81" s="3360">
        <f>$P$4</f>
        <v>0</v>
      </c>
      <c r="Q81" s="3360" t="s">
        <v>5386</v>
      </c>
      <c r="R81" s="3361">
        <f>SUM(R80:$AQ80)*$N81/100</f>
        <v>665.62471999999991</v>
      </c>
      <c r="S81" s="3361">
        <f>SUM(S80:$AQ80)*$N81/100</f>
        <v>432.35032000000001</v>
      </c>
      <c r="T81" s="3361">
        <f>SUM(T80:$AQ80)*$N81/100</f>
        <v>199.07592</v>
      </c>
      <c r="U81" s="3361">
        <f>SUM(U80:$AQ80)*$N81/100</f>
        <v>0</v>
      </c>
      <c r="V81" s="3361">
        <f>SUM(V80:$AQ80)*$N81/100</f>
        <v>0</v>
      </c>
      <c r="W81" s="3361">
        <f>SUM(W80:$AQ80)*$N81/100</f>
        <v>0</v>
      </c>
      <c r="X81" s="3361">
        <f>SUM(X80:$AQ80)*$N81/100</f>
        <v>0</v>
      </c>
      <c r="Y81" s="3361">
        <f>SUM(Y80:$AQ80)*$N81/100</f>
        <v>0</v>
      </c>
      <c r="Z81" s="3361">
        <f>SUM(Z80:$AQ80)*$N81/100</f>
        <v>0</v>
      </c>
      <c r="AA81" s="3361">
        <f>SUM(AA80:$AQ80)*$N81/100</f>
        <v>0</v>
      </c>
      <c r="AB81" s="3361">
        <f>SUM(AB80:$AQ80)*$N81/100</f>
        <v>0</v>
      </c>
      <c r="AC81" s="3361">
        <f>SUM(AC80:$AQ80)*$N81/100</f>
        <v>0</v>
      </c>
      <c r="AD81" s="3361">
        <f>SUM(AD80:$AQ80)*$N81/100</f>
        <v>0</v>
      </c>
      <c r="AE81" s="3361">
        <f>SUM(AE80:$AQ80)*$N81/100</f>
        <v>0</v>
      </c>
      <c r="AF81" s="3361">
        <f>SUM(AF80:$AQ80)*$N81/100</f>
        <v>0</v>
      </c>
      <c r="AG81" s="3361">
        <v>0</v>
      </c>
      <c r="AH81" s="3361">
        <v>0</v>
      </c>
      <c r="AI81" s="3361">
        <v>0</v>
      </c>
      <c r="AJ81" s="3361">
        <v>0</v>
      </c>
      <c r="AK81" s="3361">
        <v>0</v>
      </c>
      <c r="AL81" s="3361">
        <v>0</v>
      </c>
      <c r="AM81" s="3361">
        <v>0</v>
      </c>
      <c r="AN81" s="3361">
        <v>0</v>
      </c>
      <c r="AO81" s="3361">
        <v>0</v>
      </c>
      <c r="AP81" s="3361">
        <v>0</v>
      </c>
      <c r="AQ81" s="3361">
        <v>0</v>
      </c>
      <c r="AR81" s="3361"/>
      <c r="AS81" s="3361"/>
      <c r="AT81" s="3362">
        <f t="shared" si="6"/>
        <v>1297.0509599999998</v>
      </c>
      <c r="AU81" s="3347">
        <f t="shared" si="7"/>
        <v>0</v>
      </c>
      <c r="AV81" s="3363">
        <f t="shared" si="10"/>
        <v>0</v>
      </c>
      <c r="AW81" s="3364">
        <f t="shared" si="8"/>
        <v>1297.0509599999998</v>
      </c>
      <c r="AY81" s="3336" t="b">
        <f t="shared" si="9"/>
        <v>1</v>
      </c>
      <c r="BC81" s="3350"/>
    </row>
    <row r="82" spans="2:55" s="3336" customFormat="1" outlineLevel="1">
      <c r="B82" s="3337" t="s">
        <v>331</v>
      </c>
      <c r="C82" s="3338">
        <v>39</v>
      </c>
      <c r="D82" s="3339" t="s">
        <v>5614</v>
      </c>
      <c r="E82" s="3340" t="s">
        <v>5615</v>
      </c>
      <c r="F82" s="3341" t="s">
        <v>5616</v>
      </c>
      <c r="G82" s="3341" t="s">
        <v>5610</v>
      </c>
      <c r="H82" s="3341" t="s">
        <v>5617</v>
      </c>
      <c r="I82" s="3341" t="s">
        <v>5382</v>
      </c>
      <c r="J82" s="3342">
        <v>697002</v>
      </c>
      <c r="K82" s="3343">
        <v>440232</v>
      </c>
      <c r="L82" s="3343"/>
      <c r="M82" s="3343"/>
      <c r="N82" s="3365"/>
      <c r="O82" s="3365"/>
      <c r="P82" s="3344"/>
      <c r="Q82" s="3344" t="s">
        <v>5383</v>
      </c>
      <c r="R82" s="3345">
        <v>73372</v>
      </c>
      <c r="S82" s="3345">
        <v>73372</v>
      </c>
      <c r="T82" s="3345">
        <v>73372</v>
      </c>
      <c r="U82" s="3345">
        <v>73372</v>
      </c>
      <c r="V82" s="3345">
        <v>73372</v>
      </c>
      <c r="W82" s="3345">
        <v>73372</v>
      </c>
      <c r="X82" s="3345">
        <v>0</v>
      </c>
      <c r="Y82" s="3345">
        <v>0</v>
      </c>
      <c r="Z82" s="3345">
        <v>0</v>
      </c>
      <c r="AA82" s="3345">
        <v>0</v>
      </c>
      <c r="AB82" s="3345">
        <v>0</v>
      </c>
      <c r="AC82" s="3345">
        <v>0</v>
      </c>
      <c r="AD82" s="3345">
        <v>0</v>
      </c>
      <c r="AE82" s="3345">
        <v>0</v>
      </c>
      <c r="AF82" s="3345">
        <v>0</v>
      </c>
      <c r="AG82" s="3345">
        <v>0</v>
      </c>
      <c r="AH82" s="3345">
        <v>0</v>
      </c>
      <c r="AI82" s="3345">
        <v>0</v>
      </c>
      <c r="AJ82" s="3345">
        <v>0</v>
      </c>
      <c r="AK82" s="3345">
        <v>0</v>
      </c>
      <c r="AL82" s="3345">
        <v>0</v>
      </c>
      <c r="AM82" s="3345">
        <v>0</v>
      </c>
      <c r="AN82" s="3345">
        <v>0</v>
      </c>
      <c r="AO82" s="3345">
        <v>0</v>
      </c>
      <c r="AP82" s="3345">
        <v>0</v>
      </c>
      <c r="AQ82" s="3345">
        <v>0</v>
      </c>
      <c r="AR82" s="3345"/>
      <c r="AS82" s="3345"/>
      <c r="AT82" s="3346">
        <f t="shared" si="6"/>
        <v>440232</v>
      </c>
      <c r="AU82" s="3347">
        <f t="shared" si="7"/>
        <v>0</v>
      </c>
      <c r="AV82" s="3348">
        <f t="shared" si="10"/>
        <v>0</v>
      </c>
      <c r="AW82" s="3349">
        <f t="shared" si="8"/>
        <v>440232</v>
      </c>
      <c r="AY82" s="3336" t="b">
        <f t="shared" si="9"/>
        <v>1</v>
      </c>
      <c r="AZ82" s="3350">
        <f>AW82-K82</f>
        <v>0</v>
      </c>
      <c r="BC82" s="3350"/>
    </row>
    <row r="83" spans="2:55" outlineLevel="1">
      <c r="B83" s="3351" t="s">
        <v>331</v>
      </c>
      <c r="C83" s="3352"/>
      <c r="D83" s="3353"/>
      <c r="E83" s="3354"/>
      <c r="F83" s="3355"/>
      <c r="G83" s="3355"/>
      <c r="H83" s="3355"/>
      <c r="I83" s="3355"/>
      <c r="J83" s="3356"/>
      <c r="K83" s="3357"/>
      <c r="L83" s="3356" t="s">
        <v>5613</v>
      </c>
      <c r="M83" s="3356"/>
      <c r="N83" s="3358">
        <f>SUM(O83:P83)</f>
        <v>2.6869999999999998</v>
      </c>
      <c r="O83" s="3358">
        <v>2.6869999999999998</v>
      </c>
      <c r="P83" s="3360">
        <f>$P$4</f>
        <v>0</v>
      </c>
      <c r="Q83" s="3360" t="s">
        <v>5386</v>
      </c>
      <c r="R83" s="3361">
        <f>SUM(R82:$AQ82)*$N83/100</f>
        <v>11829.033839999998</v>
      </c>
      <c r="S83" s="3361">
        <f>SUM(S82:$AQ82)*$N83/100</f>
        <v>9857.5281999999988</v>
      </c>
      <c r="T83" s="3361">
        <f>SUM(T82:$AQ82)*$N83/100</f>
        <v>7886.0225599999994</v>
      </c>
      <c r="U83" s="3361">
        <f>SUM(U82:$AQ82)*$N83/100</f>
        <v>5914.5169199999991</v>
      </c>
      <c r="V83" s="3361">
        <f>SUM(V82:$AQ82)*$N83/100</f>
        <v>3943.0112799999997</v>
      </c>
      <c r="W83" s="3361">
        <f>SUM(W82:$AQ82)*$N83/100</f>
        <v>1971.5056399999999</v>
      </c>
      <c r="X83" s="3361">
        <v>0</v>
      </c>
      <c r="Y83" s="3361">
        <v>0</v>
      </c>
      <c r="Z83" s="3361">
        <v>0</v>
      </c>
      <c r="AA83" s="3361">
        <v>0</v>
      </c>
      <c r="AB83" s="3361">
        <v>0</v>
      </c>
      <c r="AC83" s="3361">
        <v>0</v>
      </c>
      <c r="AD83" s="3361">
        <v>0</v>
      </c>
      <c r="AE83" s="3361">
        <v>0</v>
      </c>
      <c r="AF83" s="3361">
        <v>0</v>
      </c>
      <c r="AG83" s="3361">
        <v>0</v>
      </c>
      <c r="AH83" s="3361">
        <v>0</v>
      </c>
      <c r="AI83" s="3361">
        <v>0</v>
      </c>
      <c r="AJ83" s="3361">
        <v>0</v>
      </c>
      <c r="AK83" s="3361">
        <v>0</v>
      </c>
      <c r="AL83" s="3361">
        <v>0</v>
      </c>
      <c r="AM83" s="3361">
        <v>0</v>
      </c>
      <c r="AN83" s="3361">
        <v>0</v>
      </c>
      <c r="AO83" s="3361">
        <v>0</v>
      </c>
      <c r="AP83" s="3361">
        <v>0</v>
      </c>
      <c r="AQ83" s="3361">
        <v>0</v>
      </c>
      <c r="AR83" s="3361"/>
      <c r="AS83" s="3361"/>
      <c r="AT83" s="3362">
        <f t="shared" si="6"/>
        <v>41401.618439999998</v>
      </c>
      <c r="AU83" s="3347">
        <f t="shared" si="7"/>
        <v>0</v>
      </c>
      <c r="AV83" s="3363">
        <f t="shared" si="10"/>
        <v>0</v>
      </c>
      <c r="AW83" s="3364">
        <f t="shared" si="8"/>
        <v>41401.618439999998</v>
      </c>
      <c r="AY83" s="3336" t="b">
        <f t="shared" si="9"/>
        <v>1</v>
      </c>
      <c r="BC83" s="3350"/>
    </row>
    <row r="84" spans="2:55" s="3336" customFormat="1" outlineLevel="1">
      <c r="B84" s="3337" t="s">
        <v>331</v>
      </c>
      <c r="C84" s="3338">
        <v>40</v>
      </c>
      <c r="D84" s="3339" t="s">
        <v>5618</v>
      </c>
      <c r="E84" s="3340" t="s">
        <v>5619</v>
      </c>
      <c r="F84" s="3341" t="s">
        <v>5620</v>
      </c>
      <c r="G84" s="3341" t="s">
        <v>5610</v>
      </c>
      <c r="H84" s="3341" t="s">
        <v>5617</v>
      </c>
      <c r="I84" s="3341" t="s">
        <v>5382</v>
      </c>
      <c r="J84" s="3342">
        <v>559121.98</v>
      </c>
      <c r="K84" s="3343">
        <v>326575.86</v>
      </c>
      <c r="L84" s="3343"/>
      <c r="M84" s="3343"/>
      <c r="N84" s="3365"/>
      <c r="O84" s="3365"/>
      <c r="P84" s="3344"/>
      <c r="Q84" s="3344" t="s">
        <v>5383</v>
      </c>
      <c r="R84" s="3345">
        <v>58116</v>
      </c>
      <c r="S84" s="3345">
        <v>58116</v>
      </c>
      <c r="T84" s="3345">
        <v>58116</v>
      </c>
      <c r="U84" s="3345">
        <v>58116</v>
      </c>
      <c r="V84" s="3345">
        <v>58116</v>
      </c>
      <c r="W84" s="3345">
        <v>35995.86</v>
      </c>
      <c r="X84" s="3345">
        <v>0</v>
      </c>
      <c r="Y84" s="3345">
        <v>0</v>
      </c>
      <c r="Z84" s="3345">
        <v>0</v>
      </c>
      <c r="AA84" s="3345">
        <v>0</v>
      </c>
      <c r="AB84" s="3345">
        <v>0</v>
      </c>
      <c r="AC84" s="3345">
        <v>0</v>
      </c>
      <c r="AD84" s="3345">
        <v>0</v>
      </c>
      <c r="AE84" s="3345">
        <v>0</v>
      </c>
      <c r="AF84" s="3345">
        <v>0</v>
      </c>
      <c r="AG84" s="3345">
        <v>0</v>
      </c>
      <c r="AH84" s="3345">
        <v>0</v>
      </c>
      <c r="AI84" s="3345">
        <v>0</v>
      </c>
      <c r="AJ84" s="3345">
        <v>0</v>
      </c>
      <c r="AK84" s="3345">
        <v>0</v>
      </c>
      <c r="AL84" s="3345">
        <v>0</v>
      </c>
      <c r="AM84" s="3345">
        <v>0</v>
      </c>
      <c r="AN84" s="3345">
        <v>0</v>
      </c>
      <c r="AO84" s="3345">
        <v>0</v>
      </c>
      <c r="AP84" s="3345">
        <v>0</v>
      </c>
      <c r="AQ84" s="3345">
        <v>0</v>
      </c>
      <c r="AR84" s="3345"/>
      <c r="AS84" s="3345"/>
      <c r="AT84" s="3346">
        <f t="shared" si="6"/>
        <v>326575.86</v>
      </c>
      <c r="AU84" s="3347">
        <f t="shared" si="7"/>
        <v>0</v>
      </c>
      <c r="AV84" s="3348">
        <f t="shared" si="10"/>
        <v>0</v>
      </c>
      <c r="AW84" s="3349">
        <f t="shared" si="8"/>
        <v>326575.86</v>
      </c>
      <c r="AY84" s="3336" t="b">
        <f t="shared" si="9"/>
        <v>1</v>
      </c>
      <c r="AZ84" s="3350">
        <f>AW84-K84</f>
        <v>0</v>
      </c>
      <c r="BC84" s="3350"/>
    </row>
    <row r="85" spans="2:55" outlineLevel="1">
      <c r="B85" s="3351" t="s">
        <v>331</v>
      </c>
      <c r="C85" s="3352"/>
      <c r="D85" s="3353"/>
      <c r="E85" s="3354"/>
      <c r="F85" s="3355"/>
      <c r="G85" s="3355"/>
      <c r="H85" s="3355"/>
      <c r="I85" s="3355"/>
      <c r="J85" s="3356"/>
      <c r="K85" s="3357"/>
      <c r="L85" s="3356" t="s">
        <v>5613</v>
      </c>
      <c r="M85" s="3356"/>
      <c r="N85" s="3358">
        <f>SUM(O85:P85)</f>
        <v>2.6869999999999998</v>
      </c>
      <c r="O85" s="3358">
        <v>2.6869999999999998</v>
      </c>
      <c r="P85" s="3360">
        <f>$P$4</f>
        <v>0</v>
      </c>
      <c r="Q85" s="3360" t="s">
        <v>5386</v>
      </c>
      <c r="R85" s="3361">
        <f>SUM(R84:$AQ84)*$N85/100</f>
        <v>8775.0933581999998</v>
      </c>
      <c r="S85" s="3361">
        <f>SUM(S84:$AQ84)*$N85/100</f>
        <v>7213.5164381999984</v>
      </c>
      <c r="T85" s="3361">
        <f>SUM(T84:$AQ84)*$N85/100</f>
        <v>5651.9395181999998</v>
      </c>
      <c r="U85" s="3361">
        <f>SUM(U84:$AQ84)*$N85/100</f>
        <v>4090.3625981999994</v>
      </c>
      <c r="V85" s="3361">
        <f>SUM(V84:$AQ84)*$N85/100</f>
        <v>2528.7856781999999</v>
      </c>
      <c r="W85" s="3361">
        <f>SUM(W84:$AQ84)*$N85/100</f>
        <v>967.20875820000003</v>
      </c>
      <c r="X85" s="3361">
        <v>0</v>
      </c>
      <c r="Y85" s="3361">
        <v>0</v>
      </c>
      <c r="Z85" s="3361">
        <v>0</v>
      </c>
      <c r="AA85" s="3361">
        <v>0</v>
      </c>
      <c r="AB85" s="3361">
        <v>0</v>
      </c>
      <c r="AC85" s="3361">
        <v>0</v>
      </c>
      <c r="AD85" s="3361">
        <v>0</v>
      </c>
      <c r="AE85" s="3361">
        <v>0</v>
      </c>
      <c r="AF85" s="3361">
        <v>0</v>
      </c>
      <c r="AG85" s="3361">
        <v>0</v>
      </c>
      <c r="AH85" s="3361">
        <v>0</v>
      </c>
      <c r="AI85" s="3361">
        <v>0</v>
      </c>
      <c r="AJ85" s="3361">
        <v>0</v>
      </c>
      <c r="AK85" s="3361">
        <v>0</v>
      </c>
      <c r="AL85" s="3361">
        <v>0</v>
      </c>
      <c r="AM85" s="3361">
        <v>0</v>
      </c>
      <c r="AN85" s="3361">
        <v>0</v>
      </c>
      <c r="AO85" s="3361">
        <v>0</v>
      </c>
      <c r="AP85" s="3361">
        <v>0</v>
      </c>
      <c r="AQ85" s="3361">
        <v>0</v>
      </c>
      <c r="AR85" s="3361"/>
      <c r="AS85" s="3361"/>
      <c r="AT85" s="3362">
        <f t="shared" si="6"/>
        <v>29226.906349199995</v>
      </c>
      <c r="AU85" s="3347">
        <f t="shared" si="7"/>
        <v>0</v>
      </c>
      <c r="AV85" s="3363">
        <f t="shared" si="10"/>
        <v>0</v>
      </c>
      <c r="AW85" s="3364">
        <f t="shared" si="8"/>
        <v>29226.906349199995</v>
      </c>
      <c r="AY85" s="3336" t="b">
        <f t="shared" si="9"/>
        <v>1</v>
      </c>
      <c r="BC85" s="3350"/>
    </row>
    <row r="86" spans="2:55" s="3336" customFormat="1" outlineLevel="1">
      <c r="B86" s="3337" t="s">
        <v>775</v>
      </c>
      <c r="C86" s="3338">
        <v>41</v>
      </c>
      <c r="D86" s="3339" t="s">
        <v>5621</v>
      </c>
      <c r="E86" s="3340" t="s">
        <v>5622</v>
      </c>
      <c r="F86" s="3341" t="s">
        <v>5623</v>
      </c>
      <c r="G86" s="3341" t="s">
        <v>5624</v>
      </c>
      <c r="H86" s="3341" t="s">
        <v>5625</v>
      </c>
      <c r="I86" s="3341" t="s">
        <v>5382</v>
      </c>
      <c r="J86" s="3342">
        <v>247902</v>
      </c>
      <c r="K86" s="3343">
        <v>61976</v>
      </c>
      <c r="L86" s="3343"/>
      <c r="M86" s="3343"/>
      <c r="N86" s="3365"/>
      <c r="O86" s="3365"/>
      <c r="P86" s="3344"/>
      <c r="Q86" s="3344" t="s">
        <v>5383</v>
      </c>
      <c r="R86" s="3345">
        <v>61976</v>
      </c>
      <c r="S86" s="3345">
        <v>0</v>
      </c>
      <c r="T86" s="3345">
        <v>0</v>
      </c>
      <c r="U86" s="3345">
        <v>0</v>
      </c>
      <c r="V86" s="3345">
        <v>0</v>
      </c>
      <c r="W86" s="3345">
        <v>0</v>
      </c>
      <c r="X86" s="3345">
        <v>0</v>
      </c>
      <c r="Y86" s="3345">
        <v>0</v>
      </c>
      <c r="Z86" s="3345">
        <v>0</v>
      </c>
      <c r="AA86" s="3345">
        <v>0</v>
      </c>
      <c r="AB86" s="3345">
        <v>0</v>
      </c>
      <c r="AC86" s="3345">
        <v>0</v>
      </c>
      <c r="AD86" s="3345">
        <v>0</v>
      </c>
      <c r="AE86" s="3345">
        <v>0</v>
      </c>
      <c r="AF86" s="3345">
        <v>0</v>
      </c>
      <c r="AG86" s="3345">
        <v>0</v>
      </c>
      <c r="AH86" s="3345">
        <v>0</v>
      </c>
      <c r="AI86" s="3345">
        <v>0</v>
      </c>
      <c r="AJ86" s="3345">
        <v>0</v>
      </c>
      <c r="AK86" s="3345">
        <v>0</v>
      </c>
      <c r="AL86" s="3345">
        <v>0</v>
      </c>
      <c r="AM86" s="3345">
        <v>0</v>
      </c>
      <c r="AN86" s="3345">
        <v>0</v>
      </c>
      <c r="AO86" s="3345">
        <v>0</v>
      </c>
      <c r="AP86" s="3345">
        <v>0</v>
      </c>
      <c r="AQ86" s="3345">
        <v>0</v>
      </c>
      <c r="AR86" s="3345"/>
      <c r="AS86" s="3345"/>
      <c r="AT86" s="3346">
        <f t="shared" si="6"/>
        <v>61976</v>
      </c>
      <c r="AU86" s="3347">
        <f t="shared" si="7"/>
        <v>0</v>
      </c>
      <c r="AV86" s="3348">
        <f t="shared" si="10"/>
        <v>0</v>
      </c>
      <c r="AW86" s="3349">
        <f t="shared" si="8"/>
        <v>61976</v>
      </c>
      <c r="AY86" s="3336" t="b">
        <f t="shared" si="9"/>
        <v>1</v>
      </c>
      <c r="AZ86" s="3350">
        <f>AW86-K86</f>
        <v>0</v>
      </c>
      <c r="BC86" s="3350"/>
    </row>
    <row r="87" spans="2:55" outlineLevel="1">
      <c r="B87" s="3351" t="s">
        <v>775</v>
      </c>
      <c r="C87" s="3352"/>
      <c r="D87" s="3353" t="s">
        <v>5626</v>
      </c>
      <c r="E87" s="3354"/>
      <c r="F87" s="3355"/>
      <c r="G87" s="3355"/>
      <c r="H87" s="3355"/>
      <c r="I87" s="3355"/>
      <c r="J87" s="3356"/>
      <c r="K87" s="3357"/>
      <c r="L87" s="3356" t="s">
        <v>5627</v>
      </c>
      <c r="M87" s="3356"/>
      <c r="N87" s="3358">
        <f>SUM(O87:P87)</f>
        <v>2.7040000000000002</v>
      </c>
      <c r="O87" s="3358">
        <v>2.7040000000000002</v>
      </c>
      <c r="P87" s="3360">
        <f>$P$4</f>
        <v>0</v>
      </c>
      <c r="Q87" s="3360" t="s">
        <v>5386</v>
      </c>
      <c r="R87" s="3361">
        <f>SUM(R86:$AQ86)*$N87/100</f>
        <v>1675.8310400000003</v>
      </c>
      <c r="S87" s="3361">
        <f>SUM(S86:$AQ86)*$N87/100</f>
        <v>0</v>
      </c>
      <c r="T87" s="3361">
        <v>0</v>
      </c>
      <c r="U87" s="3361">
        <v>0</v>
      </c>
      <c r="V87" s="3361">
        <v>0</v>
      </c>
      <c r="W87" s="3361">
        <v>0</v>
      </c>
      <c r="X87" s="3361">
        <v>0</v>
      </c>
      <c r="Y87" s="3361">
        <v>0</v>
      </c>
      <c r="Z87" s="3361">
        <v>0</v>
      </c>
      <c r="AA87" s="3361">
        <v>0</v>
      </c>
      <c r="AB87" s="3361">
        <v>0</v>
      </c>
      <c r="AC87" s="3361">
        <v>0</v>
      </c>
      <c r="AD87" s="3361">
        <v>0</v>
      </c>
      <c r="AE87" s="3361">
        <v>0</v>
      </c>
      <c r="AF87" s="3361">
        <v>0</v>
      </c>
      <c r="AG87" s="3361">
        <v>0</v>
      </c>
      <c r="AH87" s="3361">
        <v>0</v>
      </c>
      <c r="AI87" s="3361">
        <v>0</v>
      </c>
      <c r="AJ87" s="3361">
        <v>0</v>
      </c>
      <c r="AK87" s="3361">
        <v>0</v>
      </c>
      <c r="AL87" s="3361">
        <v>0</v>
      </c>
      <c r="AM87" s="3361">
        <v>0</v>
      </c>
      <c r="AN87" s="3361">
        <v>0</v>
      </c>
      <c r="AO87" s="3361">
        <v>0</v>
      </c>
      <c r="AP87" s="3361">
        <v>0</v>
      </c>
      <c r="AQ87" s="3361">
        <v>0</v>
      </c>
      <c r="AR87" s="3361"/>
      <c r="AS87" s="3361"/>
      <c r="AT87" s="3362">
        <f t="shared" si="6"/>
        <v>1675.8310400000003</v>
      </c>
      <c r="AU87" s="3347">
        <f t="shared" si="7"/>
        <v>0</v>
      </c>
      <c r="AV87" s="3363">
        <f t="shared" si="10"/>
        <v>0</v>
      </c>
      <c r="AW87" s="3364">
        <f t="shared" si="8"/>
        <v>1675.8310400000003</v>
      </c>
      <c r="AY87" s="3336" t="b">
        <f t="shared" si="9"/>
        <v>1</v>
      </c>
      <c r="BC87" s="3350"/>
    </row>
    <row r="88" spans="2:55" s="3336" customFormat="1" outlineLevel="1">
      <c r="B88" s="3337" t="s">
        <v>775</v>
      </c>
      <c r="C88" s="3338">
        <v>42</v>
      </c>
      <c r="D88" s="3339" t="s">
        <v>5628</v>
      </c>
      <c r="E88" s="3340" t="s">
        <v>5629</v>
      </c>
      <c r="F88" s="3341" t="s">
        <v>5630</v>
      </c>
      <c r="G88" s="3341" t="s">
        <v>5631</v>
      </c>
      <c r="H88" s="3341" t="s">
        <v>5632</v>
      </c>
      <c r="I88" s="3341" t="s">
        <v>5382</v>
      </c>
      <c r="J88" s="3342">
        <v>178121</v>
      </c>
      <c r="K88" s="3343">
        <v>68283.520000000004</v>
      </c>
      <c r="L88" s="3343"/>
      <c r="M88" s="3343"/>
      <c r="N88" s="3365"/>
      <c r="O88" s="3365"/>
      <c r="P88" s="3344"/>
      <c r="Q88" s="3344" t="s">
        <v>5383</v>
      </c>
      <c r="R88" s="3345">
        <v>12500</v>
      </c>
      <c r="S88" s="3345">
        <v>12500</v>
      </c>
      <c r="T88" s="3345">
        <v>12500</v>
      </c>
      <c r="U88" s="3345">
        <v>12500</v>
      </c>
      <c r="V88" s="3345">
        <v>12500</v>
      </c>
      <c r="W88" s="3345">
        <v>5783.52</v>
      </c>
      <c r="X88" s="3345">
        <v>0</v>
      </c>
      <c r="Y88" s="3345">
        <v>0</v>
      </c>
      <c r="Z88" s="3345">
        <v>0</v>
      </c>
      <c r="AA88" s="3345">
        <v>0</v>
      </c>
      <c r="AB88" s="3345">
        <v>0</v>
      </c>
      <c r="AC88" s="3345">
        <v>0</v>
      </c>
      <c r="AD88" s="3345">
        <v>0</v>
      </c>
      <c r="AE88" s="3345">
        <v>0</v>
      </c>
      <c r="AF88" s="3345">
        <v>0</v>
      </c>
      <c r="AG88" s="3345">
        <v>0</v>
      </c>
      <c r="AH88" s="3345">
        <v>0</v>
      </c>
      <c r="AI88" s="3345">
        <v>0</v>
      </c>
      <c r="AJ88" s="3345">
        <v>0</v>
      </c>
      <c r="AK88" s="3345">
        <v>0</v>
      </c>
      <c r="AL88" s="3345">
        <v>0</v>
      </c>
      <c r="AM88" s="3345">
        <v>0</v>
      </c>
      <c r="AN88" s="3345">
        <v>0</v>
      </c>
      <c r="AO88" s="3345">
        <v>0</v>
      </c>
      <c r="AP88" s="3345">
        <v>0</v>
      </c>
      <c r="AQ88" s="3345">
        <v>0</v>
      </c>
      <c r="AR88" s="3345"/>
      <c r="AS88" s="3345"/>
      <c r="AT88" s="3346">
        <f t="shared" si="6"/>
        <v>68283.520000000004</v>
      </c>
      <c r="AU88" s="3347">
        <f t="shared" si="7"/>
        <v>0</v>
      </c>
      <c r="AV88" s="3348">
        <f t="shared" si="10"/>
        <v>0</v>
      </c>
      <c r="AW88" s="3349">
        <f t="shared" si="8"/>
        <v>68283.520000000004</v>
      </c>
      <c r="AY88" s="3336" t="b">
        <f t="shared" si="9"/>
        <v>1</v>
      </c>
      <c r="AZ88" s="3350">
        <f>AW88-K88</f>
        <v>0</v>
      </c>
      <c r="BC88" s="3350"/>
    </row>
    <row r="89" spans="2:55" outlineLevel="1">
      <c r="B89" s="3351" t="s">
        <v>775</v>
      </c>
      <c r="C89" s="3352"/>
      <c r="D89" s="3353" t="s">
        <v>5633</v>
      </c>
      <c r="E89" s="3354"/>
      <c r="F89" s="3355"/>
      <c r="G89" s="3355"/>
      <c r="H89" s="3355"/>
      <c r="I89" s="3355"/>
      <c r="J89" s="3356"/>
      <c r="K89" s="3357"/>
      <c r="L89" s="3356" t="s">
        <v>5634</v>
      </c>
      <c r="M89" s="3356"/>
      <c r="N89" s="3358">
        <f>SUM(O89:P89)</f>
        <v>3.0070000000000001</v>
      </c>
      <c r="O89" s="3358">
        <v>3.0070000000000001</v>
      </c>
      <c r="P89" s="3360">
        <f>$P$4</f>
        <v>0</v>
      </c>
      <c r="Q89" s="3360" t="s">
        <v>5386</v>
      </c>
      <c r="R89" s="3361">
        <f>SUM(R88:$AQ88)*$N89/100</f>
        <v>2053.2854464000002</v>
      </c>
      <c r="S89" s="3361">
        <f>SUM(S88:$AQ88)*$N89/100</f>
        <v>1677.4104464000002</v>
      </c>
      <c r="T89" s="3361">
        <f>SUM(T88:$AQ88)*$N89/100</f>
        <v>1301.5354464000002</v>
      </c>
      <c r="U89" s="3361">
        <f>SUM(U88:$AQ88)*$N89/100</f>
        <v>925.66044640000007</v>
      </c>
      <c r="V89" s="3361">
        <f>SUM(V88:$AQ88)*$N89/100</f>
        <v>549.78544639999996</v>
      </c>
      <c r="W89" s="3361">
        <f>SUM(W88:$AQ88)*$N89/100</f>
        <v>173.91044640000004</v>
      </c>
      <c r="X89" s="3361">
        <v>0</v>
      </c>
      <c r="Y89" s="3361">
        <v>0</v>
      </c>
      <c r="Z89" s="3361">
        <v>0</v>
      </c>
      <c r="AA89" s="3361">
        <v>0</v>
      </c>
      <c r="AB89" s="3361">
        <v>0</v>
      </c>
      <c r="AC89" s="3361">
        <v>0</v>
      </c>
      <c r="AD89" s="3361">
        <v>0</v>
      </c>
      <c r="AE89" s="3361">
        <v>0</v>
      </c>
      <c r="AF89" s="3361">
        <v>0</v>
      </c>
      <c r="AG89" s="3361">
        <v>0</v>
      </c>
      <c r="AH89" s="3361">
        <v>0</v>
      </c>
      <c r="AI89" s="3361">
        <v>0</v>
      </c>
      <c r="AJ89" s="3361">
        <v>0</v>
      </c>
      <c r="AK89" s="3361">
        <v>0</v>
      </c>
      <c r="AL89" s="3361">
        <v>0</v>
      </c>
      <c r="AM89" s="3361">
        <v>0</v>
      </c>
      <c r="AN89" s="3361">
        <v>0</v>
      </c>
      <c r="AO89" s="3361">
        <v>0</v>
      </c>
      <c r="AP89" s="3361">
        <v>0</v>
      </c>
      <c r="AQ89" s="3361">
        <v>0</v>
      </c>
      <c r="AR89" s="3361"/>
      <c r="AS89" s="3361"/>
      <c r="AT89" s="3362">
        <f t="shared" si="6"/>
        <v>6681.5876784000011</v>
      </c>
      <c r="AU89" s="3347">
        <f t="shared" si="7"/>
        <v>0</v>
      </c>
      <c r="AV89" s="3363">
        <f t="shared" si="10"/>
        <v>0</v>
      </c>
      <c r="AW89" s="3364">
        <f t="shared" si="8"/>
        <v>6681.5876784000011</v>
      </c>
      <c r="AY89" s="3336" t="b">
        <f t="shared" si="9"/>
        <v>1</v>
      </c>
      <c r="BC89" s="3350"/>
    </row>
    <row r="90" spans="2:55" s="3336" customFormat="1" outlineLevel="1">
      <c r="B90" s="3337" t="s">
        <v>331</v>
      </c>
      <c r="C90" s="3376">
        <v>43</v>
      </c>
      <c r="D90" s="3339" t="s">
        <v>5635</v>
      </c>
      <c r="E90" s="3340" t="s">
        <v>5636</v>
      </c>
      <c r="F90" s="3341" t="s">
        <v>5637</v>
      </c>
      <c r="G90" s="3341" t="s">
        <v>5638</v>
      </c>
      <c r="H90" s="3341" t="s">
        <v>5639</v>
      </c>
      <c r="I90" s="3341" t="s">
        <v>5382</v>
      </c>
      <c r="J90" s="3342">
        <v>1230506</v>
      </c>
      <c r="K90" s="3343">
        <v>715727.24</v>
      </c>
      <c r="L90" s="3343"/>
      <c r="M90" s="3343"/>
      <c r="N90" s="3365"/>
      <c r="O90" s="3365"/>
      <c r="P90" s="3344"/>
      <c r="Q90" s="3344" t="s">
        <v>5383</v>
      </c>
      <c r="R90" s="3345">
        <f>21588*4</f>
        <v>86352</v>
      </c>
      <c r="S90" s="3345">
        <v>86352</v>
      </c>
      <c r="T90" s="3345">
        <v>86352</v>
      </c>
      <c r="U90" s="3345">
        <v>86352</v>
      </c>
      <c r="V90" s="3345">
        <v>86352</v>
      </c>
      <c r="W90" s="3345">
        <v>86352</v>
      </c>
      <c r="X90" s="3345">
        <v>86352</v>
      </c>
      <c r="Y90" s="3345">
        <v>86352</v>
      </c>
      <c r="Z90" s="3345">
        <f>21588+3323</f>
        <v>24911</v>
      </c>
      <c r="AA90" s="3345"/>
      <c r="AB90" s="3345"/>
      <c r="AC90" s="3345"/>
      <c r="AD90" s="3345">
        <v>0</v>
      </c>
      <c r="AE90" s="3345">
        <v>0</v>
      </c>
      <c r="AF90" s="3345">
        <v>0</v>
      </c>
      <c r="AG90" s="3345">
        <v>0</v>
      </c>
      <c r="AH90" s="3345">
        <v>0</v>
      </c>
      <c r="AI90" s="3345">
        <v>0</v>
      </c>
      <c r="AJ90" s="3345">
        <v>0</v>
      </c>
      <c r="AK90" s="3345">
        <v>0</v>
      </c>
      <c r="AL90" s="3345">
        <v>0</v>
      </c>
      <c r="AM90" s="3345">
        <v>0</v>
      </c>
      <c r="AN90" s="3345">
        <v>0</v>
      </c>
      <c r="AO90" s="3345">
        <v>0</v>
      </c>
      <c r="AP90" s="3345">
        <v>0</v>
      </c>
      <c r="AQ90" s="3345">
        <v>0</v>
      </c>
      <c r="AR90" s="3345"/>
      <c r="AS90" s="3345"/>
      <c r="AT90" s="3346">
        <f t="shared" si="6"/>
        <v>715727</v>
      </c>
      <c r="AU90" s="3347">
        <f t="shared" si="7"/>
        <v>0</v>
      </c>
      <c r="AV90" s="3348">
        <f t="shared" si="10"/>
        <v>111263</v>
      </c>
      <c r="AW90" s="3349">
        <f t="shared" si="8"/>
        <v>715727</v>
      </c>
      <c r="AY90" s="3336" t="b">
        <f t="shared" si="9"/>
        <v>1</v>
      </c>
      <c r="AZ90" s="3350">
        <f>AW90-K90</f>
        <v>-0.23999999999068677</v>
      </c>
      <c r="BC90" s="3350"/>
    </row>
    <row r="91" spans="2:55" outlineLevel="1">
      <c r="B91" s="3351" t="s">
        <v>331</v>
      </c>
      <c r="C91" s="3352"/>
      <c r="D91" s="3353" t="s">
        <v>5640</v>
      </c>
      <c r="E91" s="3354"/>
      <c r="F91" s="3355"/>
      <c r="G91" s="3355"/>
      <c r="H91" s="3355"/>
      <c r="I91" s="3355"/>
      <c r="J91" s="3356"/>
      <c r="K91" s="3357"/>
      <c r="L91" s="3356" t="s">
        <v>5641</v>
      </c>
      <c r="M91" s="3356"/>
      <c r="N91" s="3358">
        <f>SUM(O91:P91)</f>
        <v>3.1779999999999999</v>
      </c>
      <c r="O91" s="3358">
        <v>3.1779999999999999</v>
      </c>
      <c r="P91" s="3360">
        <f>$P$4</f>
        <v>0</v>
      </c>
      <c r="Q91" s="3360" t="s">
        <v>5386</v>
      </c>
      <c r="R91" s="3361">
        <f>SUM(R90:$AQ90)*$N91/100</f>
        <v>22745.804059999999</v>
      </c>
      <c r="S91" s="3361">
        <f>SUM(S90:$AQ90)*$N91/100</f>
        <v>20001.537499999999</v>
      </c>
      <c r="T91" s="3361">
        <f>SUM(T90:$AQ90)*$N91/100</f>
        <v>17257.270940000002</v>
      </c>
      <c r="U91" s="3361">
        <f>SUM(U90:$AQ90)*$N91/100</f>
        <v>14513.00438</v>
      </c>
      <c r="V91" s="3361">
        <f>SUM(V90:$AQ90)*$N91/100</f>
        <v>11768.737819999998</v>
      </c>
      <c r="W91" s="3361">
        <f>SUM(W90:$AQ90)*$N91/100</f>
        <v>9024.4712599999984</v>
      </c>
      <c r="X91" s="3361">
        <f>SUM(X90:$AQ90)*$N91/100</f>
        <v>6280.2046999999993</v>
      </c>
      <c r="Y91" s="3361">
        <f>SUM(Y90:$AQ90)*$N91/100</f>
        <v>3535.9381400000002</v>
      </c>
      <c r="Z91" s="3361">
        <f>SUM(Z90:$AQ90)*$N91/100</f>
        <v>791.67157999999995</v>
      </c>
      <c r="AA91" s="3361">
        <f>SUM(AA90:$AQ90)*$N91/100</f>
        <v>0</v>
      </c>
      <c r="AB91" s="3361">
        <f>SUM(AB90:$AQ90)*$N91/100</f>
        <v>0</v>
      </c>
      <c r="AC91" s="3361">
        <f>SUM(AC90:$AQ90)*$N91/100</f>
        <v>0</v>
      </c>
      <c r="AD91" s="3361">
        <v>0</v>
      </c>
      <c r="AE91" s="3361">
        <v>0</v>
      </c>
      <c r="AF91" s="3361">
        <v>0</v>
      </c>
      <c r="AG91" s="3361">
        <v>0</v>
      </c>
      <c r="AH91" s="3361">
        <v>0</v>
      </c>
      <c r="AI91" s="3361">
        <v>0</v>
      </c>
      <c r="AJ91" s="3361">
        <v>0</v>
      </c>
      <c r="AK91" s="3361">
        <v>0</v>
      </c>
      <c r="AL91" s="3361">
        <v>0</v>
      </c>
      <c r="AM91" s="3361">
        <v>0</v>
      </c>
      <c r="AN91" s="3361">
        <v>0</v>
      </c>
      <c r="AO91" s="3361">
        <v>0</v>
      </c>
      <c r="AP91" s="3361">
        <v>0</v>
      </c>
      <c r="AQ91" s="3361">
        <v>0</v>
      </c>
      <c r="AR91" s="3361"/>
      <c r="AS91" s="3361"/>
      <c r="AT91" s="3362">
        <f t="shared" si="6"/>
        <v>105918.64037999998</v>
      </c>
      <c r="AU91" s="3347">
        <f t="shared" si="7"/>
        <v>0</v>
      </c>
      <c r="AV91" s="3363">
        <f t="shared" si="10"/>
        <v>4327.6097200000004</v>
      </c>
      <c r="AW91" s="3364">
        <f t="shared" si="8"/>
        <v>105918.64038</v>
      </c>
      <c r="AY91" s="3336" t="b">
        <f t="shared" si="9"/>
        <v>1</v>
      </c>
      <c r="BC91" s="3350"/>
    </row>
    <row r="92" spans="2:55" s="3336" customFormat="1" outlineLevel="1">
      <c r="B92" s="3337" t="s">
        <v>331</v>
      </c>
      <c r="C92" s="3338">
        <v>44</v>
      </c>
      <c r="D92" s="3339" t="s">
        <v>5642</v>
      </c>
      <c r="E92" s="3340" t="s">
        <v>5643</v>
      </c>
      <c r="F92" s="3341" t="s">
        <v>5644</v>
      </c>
      <c r="G92" s="3341" t="s">
        <v>5645</v>
      </c>
      <c r="H92" s="3341" t="s">
        <v>5646</v>
      </c>
      <c r="I92" s="3341" t="s">
        <v>5382</v>
      </c>
      <c r="J92" s="3342">
        <v>156436.10999999999</v>
      </c>
      <c r="K92" s="3343">
        <v>45213.11</v>
      </c>
      <c r="L92" s="3343"/>
      <c r="M92" s="3343"/>
      <c r="N92" s="3365"/>
      <c r="O92" s="3365"/>
      <c r="P92" s="3344"/>
      <c r="Q92" s="3344" t="s">
        <v>5383</v>
      </c>
      <c r="R92" s="3345">
        <v>37076</v>
      </c>
      <c r="S92" s="3345">
        <v>8137.11</v>
      </c>
      <c r="T92" s="3345">
        <v>0</v>
      </c>
      <c r="U92" s="3345">
        <v>0</v>
      </c>
      <c r="V92" s="3345">
        <v>0</v>
      </c>
      <c r="W92" s="3345">
        <v>0</v>
      </c>
      <c r="X92" s="3345">
        <v>0</v>
      </c>
      <c r="Y92" s="3345">
        <v>0</v>
      </c>
      <c r="Z92" s="3345">
        <v>0</v>
      </c>
      <c r="AA92" s="3345">
        <v>0</v>
      </c>
      <c r="AB92" s="3345">
        <v>0</v>
      </c>
      <c r="AC92" s="3345">
        <v>0</v>
      </c>
      <c r="AD92" s="3345">
        <v>0</v>
      </c>
      <c r="AE92" s="3345">
        <v>0</v>
      </c>
      <c r="AF92" s="3345">
        <v>0</v>
      </c>
      <c r="AG92" s="3345">
        <v>0</v>
      </c>
      <c r="AH92" s="3345">
        <v>0</v>
      </c>
      <c r="AI92" s="3345">
        <v>0</v>
      </c>
      <c r="AJ92" s="3345">
        <v>0</v>
      </c>
      <c r="AK92" s="3345">
        <v>0</v>
      </c>
      <c r="AL92" s="3345">
        <v>0</v>
      </c>
      <c r="AM92" s="3345">
        <v>0</v>
      </c>
      <c r="AN92" s="3345">
        <v>0</v>
      </c>
      <c r="AO92" s="3345">
        <v>0</v>
      </c>
      <c r="AP92" s="3345">
        <v>0</v>
      </c>
      <c r="AQ92" s="3345">
        <v>0</v>
      </c>
      <c r="AR92" s="3345"/>
      <c r="AS92" s="3345"/>
      <c r="AT92" s="3346">
        <f t="shared" si="6"/>
        <v>45213.11</v>
      </c>
      <c r="AU92" s="3347">
        <f t="shared" si="7"/>
        <v>0</v>
      </c>
      <c r="AV92" s="3348">
        <f t="shared" si="10"/>
        <v>0</v>
      </c>
      <c r="AW92" s="3349">
        <f t="shared" si="8"/>
        <v>45213.11</v>
      </c>
      <c r="AY92" s="3336" t="b">
        <f t="shared" si="9"/>
        <v>1</v>
      </c>
      <c r="AZ92" s="3350">
        <f>AW92-K92</f>
        <v>0</v>
      </c>
      <c r="BC92" s="3350"/>
    </row>
    <row r="93" spans="2:55" outlineLevel="1">
      <c r="B93" s="3351" t="s">
        <v>331</v>
      </c>
      <c r="C93" s="3352"/>
      <c r="D93" s="3353"/>
      <c r="E93" s="3354"/>
      <c r="F93" s="3355"/>
      <c r="G93" s="3355"/>
      <c r="H93" s="3355"/>
      <c r="I93" s="3355"/>
      <c r="J93" s="3356"/>
      <c r="K93" s="3357"/>
      <c r="L93" s="3356" t="s">
        <v>5647</v>
      </c>
      <c r="M93" s="3356"/>
      <c r="N93" s="3358">
        <f>SUM(O93:P93)</f>
        <v>2.9620000000000002</v>
      </c>
      <c r="O93" s="3358">
        <v>2.9620000000000002</v>
      </c>
      <c r="P93" s="3360">
        <f>$P$4</f>
        <v>0</v>
      </c>
      <c r="Q93" s="3360" t="s">
        <v>5386</v>
      </c>
      <c r="R93" s="3361">
        <f>SUM(R92:$AQ92)*$N93/100</f>
        <v>1339.2123182000003</v>
      </c>
      <c r="S93" s="3361">
        <f>SUM(S92:$AQ92)*$N93/100</f>
        <v>241.02119819999999</v>
      </c>
      <c r="T93" s="3361">
        <v>0</v>
      </c>
      <c r="U93" s="3361">
        <v>0</v>
      </c>
      <c r="V93" s="3361">
        <v>0</v>
      </c>
      <c r="W93" s="3361">
        <v>0</v>
      </c>
      <c r="X93" s="3361">
        <v>0</v>
      </c>
      <c r="Y93" s="3361">
        <v>0</v>
      </c>
      <c r="Z93" s="3361">
        <v>0</v>
      </c>
      <c r="AA93" s="3361">
        <v>0</v>
      </c>
      <c r="AB93" s="3361">
        <v>0</v>
      </c>
      <c r="AC93" s="3361">
        <v>0</v>
      </c>
      <c r="AD93" s="3361">
        <v>0</v>
      </c>
      <c r="AE93" s="3361">
        <v>0</v>
      </c>
      <c r="AF93" s="3361">
        <v>0</v>
      </c>
      <c r="AG93" s="3361">
        <v>0</v>
      </c>
      <c r="AH93" s="3361">
        <v>0</v>
      </c>
      <c r="AI93" s="3361">
        <v>0</v>
      </c>
      <c r="AJ93" s="3361">
        <v>0</v>
      </c>
      <c r="AK93" s="3361">
        <v>0</v>
      </c>
      <c r="AL93" s="3361">
        <v>0</v>
      </c>
      <c r="AM93" s="3361">
        <v>0</v>
      </c>
      <c r="AN93" s="3361">
        <v>0</v>
      </c>
      <c r="AO93" s="3361">
        <v>0</v>
      </c>
      <c r="AP93" s="3361">
        <v>0</v>
      </c>
      <c r="AQ93" s="3361">
        <v>0</v>
      </c>
      <c r="AR93" s="3361"/>
      <c r="AS93" s="3361"/>
      <c r="AT93" s="3362">
        <f t="shared" si="6"/>
        <v>1580.2335164000003</v>
      </c>
      <c r="AU93" s="3347">
        <f t="shared" si="7"/>
        <v>0</v>
      </c>
      <c r="AV93" s="3363">
        <f t="shared" si="10"/>
        <v>0</v>
      </c>
      <c r="AW93" s="3364">
        <f t="shared" si="8"/>
        <v>1580.2335164000003</v>
      </c>
      <c r="AY93" s="3336" t="b">
        <f t="shared" si="9"/>
        <v>1</v>
      </c>
      <c r="BC93" s="3350"/>
    </row>
    <row r="94" spans="2:55" s="3336" customFormat="1" outlineLevel="1">
      <c r="B94" s="3337" t="s">
        <v>331</v>
      </c>
      <c r="C94" s="3338">
        <v>45</v>
      </c>
      <c r="D94" s="3339" t="s">
        <v>5648</v>
      </c>
      <c r="E94" s="3340" t="s">
        <v>5649</v>
      </c>
      <c r="F94" s="3341" t="s">
        <v>5650</v>
      </c>
      <c r="G94" s="3341" t="s">
        <v>5651</v>
      </c>
      <c r="H94" s="3341" t="s">
        <v>5652</v>
      </c>
      <c r="I94" s="3341" t="s">
        <v>5382</v>
      </c>
      <c r="J94" s="3342">
        <v>90861.19</v>
      </c>
      <c r="K94" s="3343">
        <v>29726.19</v>
      </c>
      <c r="L94" s="3343"/>
      <c r="M94" s="3343"/>
      <c r="N94" s="3365"/>
      <c r="O94" s="3365"/>
      <c r="P94" s="3344"/>
      <c r="Q94" s="3344" t="s">
        <v>5383</v>
      </c>
      <c r="R94" s="3345">
        <v>20380</v>
      </c>
      <c r="S94" s="3345">
        <v>9346.1899999999987</v>
      </c>
      <c r="T94" s="3345">
        <v>0</v>
      </c>
      <c r="U94" s="3345">
        <v>0</v>
      </c>
      <c r="V94" s="3345">
        <v>0</v>
      </c>
      <c r="W94" s="3345">
        <v>0</v>
      </c>
      <c r="X94" s="3345">
        <v>0</v>
      </c>
      <c r="Y94" s="3345">
        <v>0</v>
      </c>
      <c r="Z94" s="3345">
        <v>0</v>
      </c>
      <c r="AA94" s="3345">
        <v>0</v>
      </c>
      <c r="AB94" s="3345">
        <v>0</v>
      </c>
      <c r="AC94" s="3345">
        <v>0</v>
      </c>
      <c r="AD94" s="3345">
        <v>0</v>
      </c>
      <c r="AE94" s="3345">
        <v>0</v>
      </c>
      <c r="AF94" s="3345">
        <v>0</v>
      </c>
      <c r="AG94" s="3345">
        <v>0</v>
      </c>
      <c r="AH94" s="3345">
        <v>0</v>
      </c>
      <c r="AI94" s="3345">
        <v>0</v>
      </c>
      <c r="AJ94" s="3345">
        <v>0</v>
      </c>
      <c r="AK94" s="3345">
        <v>0</v>
      </c>
      <c r="AL94" s="3345">
        <v>0</v>
      </c>
      <c r="AM94" s="3345">
        <v>0</v>
      </c>
      <c r="AN94" s="3345">
        <v>0</v>
      </c>
      <c r="AO94" s="3345">
        <v>0</v>
      </c>
      <c r="AP94" s="3345">
        <v>0</v>
      </c>
      <c r="AQ94" s="3345">
        <v>0</v>
      </c>
      <c r="AR94" s="3345"/>
      <c r="AS94" s="3345"/>
      <c r="AT94" s="3346">
        <f t="shared" si="6"/>
        <v>29726.19</v>
      </c>
      <c r="AU94" s="3347">
        <f t="shared" si="7"/>
        <v>0</v>
      </c>
      <c r="AV94" s="3348">
        <f t="shared" si="10"/>
        <v>0</v>
      </c>
      <c r="AW94" s="3349">
        <f t="shared" si="8"/>
        <v>29726.19</v>
      </c>
      <c r="AY94" s="3336" t="b">
        <f t="shared" si="9"/>
        <v>1</v>
      </c>
      <c r="AZ94" s="3350">
        <f>AW94-K94</f>
        <v>0</v>
      </c>
      <c r="BC94" s="3350"/>
    </row>
    <row r="95" spans="2:55" outlineLevel="1">
      <c r="B95" s="3351" t="s">
        <v>331</v>
      </c>
      <c r="C95" s="3352"/>
      <c r="D95" s="3353" t="s">
        <v>5653</v>
      </c>
      <c r="E95" s="3354"/>
      <c r="F95" s="3355"/>
      <c r="G95" s="3355"/>
      <c r="H95" s="3355"/>
      <c r="I95" s="3355"/>
      <c r="J95" s="3356"/>
      <c r="K95" s="3357"/>
      <c r="L95" s="3356" t="s">
        <v>5654</v>
      </c>
      <c r="M95" s="3356"/>
      <c r="N95" s="3358">
        <f>SUM(O95:P95)</f>
        <v>3.165</v>
      </c>
      <c r="O95" s="3358">
        <v>3.165</v>
      </c>
      <c r="P95" s="3360">
        <f>$P$4</f>
        <v>0</v>
      </c>
      <c r="Q95" s="3360" t="s">
        <v>5386</v>
      </c>
      <c r="R95" s="3361">
        <f>SUM(R94:$AQ94)*$N95/100</f>
        <v>940.83391349999988</v>
      </c>
      <c r="S95" s="3361">
        <f>SUM(S94:$AQ94)*$N95/100</f>
        <v>295.80691349999995</v>
      </c>
      <c r="T95" s="3361">
        <v>0</v>
      </c>
      <c r="U95" s="3361">
        <v>0</v>
      </c>
      <c r="V95" s="3361">
        <v>0</v>
      </c>
      <c r="W95" s="3361">
        <v>0</v>
      </c>
      <c r="X95" s="3361">
        <v>0</v>
      </c>
      <c r="Y95" s="3361">
        <v>0</v>
      </c>
      <c r="Z95" s="3361">
        <v>0</v>
      </c>
      <c r="AA95" s="3361">
        <v>0</v>
      </c>
      <c r="AB95" s="3361">
        <v>0</v>
      </c>
      <c r="AC95" s="3361">
        <v>0</v>
      </c>
      <c r="AD95" s="3361">
        <v>0</v>
      </c>
      <c r="AE95" s="3361">
        <v>0</v>
      </c>
      <c r="AF95" s="3361">
        <v>0</v>
      </c>
      <c r="AG95" s="3361">
        <v>0</v>
      </c>
      <c r="AH95" s="3361">
        <v>0</v>
      </c>
      <c r="AI95" s="3361">
        <v>0</v>
      </c>
      <c r="AJ95" s="3361">
        <v>0</v>
      </c>
      <c r="AK95" s="3361">
        <v>0</v>
      </c>
      <c r="AL95" s="3361">
        <v>0</v>
      </c>
      <c r="AM95" s="3361">
        <v>0</v>
      </c>
      <c r="AN95" s="3361">
        <v>0</v>
      </c>
      <c r="AO95" s="3361">
        <v>0</v>
      </c>
      <c r="AP95" s="3361">
        <v>0</v>
      </c>
      <c r="AQ95" s="3361">
        <v>0</v>
      </c>
      <c r="AR95" s="3361"/>
      <c r="AS95" s="3361"/>
      <c r="AT95" s="3362">
        <f t="shared" si="6"/>
        <v>1236.6408269999997</v>
      </c>
      <c r="AU95" s="3347">
        <f t="shared" si="7"/>
        <v>0</v>
      </c>
      <c r="AV95" s="3363">
        <f t="shared" si="10"/>
        <v>0</v>
      </c>
      <c r="AW95" s="3364">
        <f t="shared" si="8"/>
        <v>1236.6408269999997</v>
      </c>
      <c r="AY95" s="3336" t="b">
        <f t="shared" si="9"/>
        <v>1</v>
      </c>
      <c r="BC95" s="3350"/>
    </row>
    <row r="96" spans="2:55" s="3336" customFormat="1" outlineLevel="1">
      <c r="B96" s="3337" t="s">
        <v>331</v>
      </c>
      <c r="C96" s="3376">
        <v>46</v>
      </c>
      <c r="D96" s="3339" t="s">
        <v>5655</v>
      </c>
      <c r="E96" s="3340" t="s">
        <v>5656</v>
      </c>
      <c r="F96" s="3341" t="s">
        <v>5657</v>
      </c>
      <c r="G96" s="3341" t="s">
        <v>5658</v>
      </c>
      <c r="H96" s="3341" t="s">
        <v>5659</v>
      </c>
      <c r="I96" s="3341" t="s">
        <v>5382</v>
      </c>
      <c r="J96" s="3342">
        <v>496340</v>
      </c>
      <c r="K96" s="3343">
        <v>362205</v>
      </c>
      <c r="L96" s="3343"/>
      <c r="M96" s="3343"/>
      <c r="N96" s="3365"/>
      <c r="O96" s="3365"/>
      <c r="P96" s="3344"/>
      <c r="Q96" s="3377" t="s">
        <v>5383</v>
      </c>
      <c r="R96" s="3378">
        <v>53660</v>
      </c>
      <c r="S96" s="3345">
        <v>53660</v>
      </c>
      <c r="T96" s="3345">
        <v>53660</v>
      </c>
      <c r="U96" s="3345">
        <v>53660</v>
      </c>
      <c r="V96" s="3345">
        <v>53660</v>
      </c>
      <c r="W96" s="3345">
        <v>53660</v>
      </c>
      <c r="X96" s="3345">
        <v>40245</v>
      </c>
      <c r="Y96" s="3345">
        <v>0</v>
      </c>
      <c r="Z96" s="3345">
        <v>0</v>
      </c>
      <c r="AA96" s="3345">
        <v>0</v>
      </c>
      <c r="AB96" s="3345">
        <v>0</v>
      </c>
      <c r="AC96" s="3345">
        <v>0</v>
      </c>
      <c r="AD96" s="3345">
        <v>0</v>
      </c>
      <c r="AE96" s="3345">
        <v>0</v>
      </c>
      <c r="AF96" s="3345">
        <v>0</v>
      </c>
      <c r="AG96" s="3345">
        <v>0</v>
      </c>
      <c r="AH96" s="3345">
        <v>0</v>
      </c>
      <c r="AI96" s="3345">
        <v>0</v>
      </c>
      <c r="AJ96" s="3345">
        <v>0</v>
      </c>
      <c r="AK96" s="3345">
        <v>0</v>
      </c>
      <c r="AL96" s="3345">
        <v>0</v>
      </c>
      <c r="AM96" s="3345">
        <v>0</v>
      </c>
      <c r="AN96" s="3345">
        <v>0</v>
      </c>
      <c r="AO96" s="3345">
        <v>0</v>
      </c>
      <c r="AP96" s="3345">
        <v>0</v>
      </c>
      <c r="AQ96" s="3345">
        <v>0</v>
      </c>
      <c r="AR96" s="3345"/>
      <c r="AS96" s="3345"/>
      <c r="AT96" s="3346">
        <f t="shared" si="6"/>
        <v>362205</v>
      </c>
      <c r="AU96" s="3347">
        <f t="shared" si="7"/>
        <v>0</v>
      </c>
      <c r="AV96" s="3348">
        <f t="shared" si="10"/>
        <v>0</v>
      </c>
      <c r="AW96" s="3349">
        <f t="shared" si="8"/>
        <v>362205</v>
      </c>
      <c r="AY96" s="3336" t="b">
        <f t="shared" si="9"/>
        <v>1</v>
      </c>
      <c r="AZ96" s="3350">
        <f>AW96-K96</f>
        <v>0</v>
      </c>
      <c r="BC96" s="3350"/>
    </row>
    <row r="97" spans="2:55" outlineLevel="1">
      <c r="B97" s="3351" t="s">
        <v>331</v>
      </c>
      <c r="C97" s="3352"/>
      <c r="D97" s="3353" t="s">
        <v>5660</v>
      </c>
      <c r="E97" s="3354"/>
      <c r="F97" s="3355"/>
      <c r="G97" s="3355"/>
      <c r="H97" s="3355"/>
      <c r="I97" s="3355"/>
      <c r="J97" s="3356"/>
      <c r="K97" s="3357"/>
      <c r="L97" s="3356" t="s">
        <v>5661</v>
      </c>
      <c r="M97" s="3356"/>
      <c r="N97" s="3358">
        <f>SUM(O97:P97)</f>
        <v>3.597</v>
      </c>
      <c r="O97" s="3358">
        <v>3.597</v>
      </c>
      <c r="P97" s="3360">
        <f>$P$4</f>
        <v>0</v>
      </c>
      <c r="Q97" s="3379" t="s">
        <v>5386</v>
      </c>
      <c r="R97" s="3361">
        <f>SUM(R96:$AQ96)*$N97/100</f>
        <v>13028.513849999999</v>
      </c>
      <c r="S97" s="3361">
        <f>SUM(S96:$AQ96)*$N97/100</f>
        <v>11098.363649999999</v>
      </c>
      <c r="T97" s="3361">
        <f>SUM(T96:$AQ96)*$N97/100</f>
        <v>9168.2134499999993</v>
      </c>
      <c r="U97" s="3361">
        <f>SUM(U96:$AQ96)*$N97/100</f>
        <v>7238.0632499999992</v>
      </c>
      <c r="V97" s="3361">
        <f>SUM(V96:$AQ96)*$N97/100</f>
        <v>5307.9130500000001</v>
      </c>
      <c r="W97" s="3361">
        <f>SUM(W96:$AQ96)*$N97/100</f>
        <v>3377.7628499999996</v>
      </c>
      <c r="X97" s="3361">
        <f>SUM(X96:$AQ96)*$N97/100</f>
        <v>1447.6126499999998</v>
      </c>
      <c r="Y97" s="3361">
        <v>0</v>
      </c>
      <c r="Z97" s="3361">
        <v>0</v>
      </c>
      <c r="AA97" s="3361">
        <v>0</v>
      </c>
      <c r="AB97" s="3361">
        <v>0</v>
      </c>
      <c r="AC97" s="3361">
        <v>0</v>
      </c>
      <c r="AD97" s="3361">
        <v>0</v>
      </c>
      <c r="AE97" s="3361">
        <v>0</v>
      </c>
      <c r="AF97" s="3361">
        <v>0</v>
      </c>
      <c r="AG97" s="3361">
        <v>0</v>
      </c>
      <c r="AH97" s="3361">
        <v>0</v>
      </c>
      <c r="AI97" s="3361">
        <v>0</v>
      </c>
      <c r="AJ97" s="3361">
        <v>0</v>
      </c>
      <c r="AK97" s="3361">
        <v>0</v>
      </c>
      <c r="AL97" s="3361">
        <v>0</v>
      </c>
      <c r="AM97" s="3361">
        <v>0</v>
      </c>
      <c r="AN97" s="3361">
        <v>0</v>
      </c>
      <c r="AO97" s="3361">
        <v>0</v>
      </c>
      <c r="AP97" s="3361">
        <v>0</v>
      </c>
      <c r="AQ97" s="3361">
        <v>0</v>
      </c>
      <c r="AR97" s="3361"/>
      <c r="AS97" s="3361"/>
      <c r="AT97" s="3362">
        <f t="shared" si="6"/>
        <v>50666.442750000002</v>
      </c>
      <c r="AU97" s="3347">
        <f t="shared" si="7"/>
        <v>0</v>
      </c>
      <c r="AV97" s="3363">
        <f t="shared" si="10"/>
        <v>0</v>
      </c>
      <c r="AW97" s="3364">
        <f t="shared" si="8"/>
        <v>50666.442750000002</v>
      </c>
      <c r="AY97" s="3336" t="b">
        <f t="shared" si="9"/>
        <v>1</v>
      </c>
      <c r="BC97" s="3350"/>
    </row>
    <row r="98" spans="2:55" s="3372" customFormat="1" outlineLevel="1">
      <c r="B98" s="3368" t="s">
        <v>775</v>
      </c>
      <c r="C98" s="3383">
        <v>47</v>
      </c>
      <c r="D98" s="3370" t="s">
        <v>5662</v>
      </c>
      <c r="E98" s="3340" t="s">
        <v>5663</v>
      </c>
      <c r="F98" s="3340" t="s">
        <v>5664</v>
      </c>
      <c r="G98" s="3340" t="s">
        <v>5665</v>
      </c>
      <c r="H98" s="3340" t="s">
        <v>5666</v>
      </c>
      <c r="I98" s="3340" t="s">
        <v>5382</v>
      </c>
      <c r="J98" s="3342">
        <v>6469</v>
      </c>
      <c r="K98" s="3343">
        <v>3480</v>
      </c>
      <c r="L98" s="3343"/>
      <c r="M98" s="3343"/>
      <c r="N98" s="3365"/>
      <c r="O98" s="3365"/>
      <c r="P98" s="3344"/>
      <c r="Q98" s="3377" t="s">
        <v>5383</v>
      </c>
      <c r="R98" s="3384">
        <f>928+305</f>
        <v>1233</v>
      </c>
      <c r="S98" s="3378">
        <v>928</v>
      </c>
      <c r="T98" s="3378">
        <v>928</v>
      </c>
      <c r="U98" s="3378">
        <v>696</v>
      </c>
      <c r="V98" s="3345">
        <v>0</v>
      </c>
      <c r="W98" s="3345">
        <v>0</v>
      </c>
      <c r="X98" s="3345">
        <v>0</v>
      </c>
      <c r="Y98" s="3345">
        <v>0</v>
      </c>
      <c r="Z98" s="3345">
        <v>0</v>
      </c>
      <c r="AA98" s="3345">
        <v>0</v>
      </c>
      <c r="AB98" s="3345">
        <v>0</v>
      </c>
      <c r="AC98" s="3345">
        <v>0</v>
      </c>
      <c r="AD98" s="3345">
        <v>0</v>
      </c>
      <c r="AE98" s="3345">
        <v>0</v>
      </c>
      <c r="AF98" s="3345">
        <v>0</v>
      </c>
      <c r="AG98" s="3345">
        <v>0</v>
      </c>
      <c r="AH98" s="3345">
        <v>0</v>
      </c>
      <c r="AI98" s="3345">
        <v>0</v>
      </c>
      <c r="AJ98" s="3345">
        <v>0</v>
      </c>
      <c r="AK98" s="3345">
        <v>0</v>
      </c>
      <c r="AL98" s="3345">
        <v>0</v>
      </c>
      <c r="AM98" s="3345">
        <v>0</v>
      </c>
      <c r="AN98" s="3345">
        <v>0</v>
      </c>
      <c r="AO98" s="3345">
        <v>0</v>
      </c>
      <c r="AP98" s="3345">
        <v>0</v>
      </c>
      <c r="AQ98" s="3345">
        <v>0</v>
      </c>
      <c r="AR98" s="3345"/>
      <c r="AS98" s="3345"/>
      <c r="AT98" s="3349">
        <f t="shared" si="6"/>
        <v>3785</v>
      </c>
      <c r="AU98" s="3371">
        <f t="shared" si="7"/>
        <v>0</v>
      </c>
      <c r="AV98" s="3348">
        <f t="shared" si="10"/>
        <v>0</v>
      </c>
      <c r="AW98" s="3349">
        <f t="shared" si="8"/>
        <v>3785</v>
      </c>
      <c r="AY98" s="3372" t="b">
        <f t="shared" si="9"/>
        <v>1</v>
      </c>
      <c r="AZ98" s="3350">
        <f>AW98-K98</f>
        <v>305</v>
      </c>
      <c r="BC98" s="3350"/>
    </row>
    <row r="99" spans="2:55" s="3318" customFormat="1" outlineLevel="1">
      <c r="B99" s="3373" t="s">
        <v>775</v>
      </c>
      <c r="C99" s="3374"/>
      <c r="D99" s="3375" t="s">
        <v>5667</v>
      </c>
      <c r="E99" s="3354"/>
      <c r="F99" s="3354"/>
      <c r="G99" s="3354"/>
      <c r="H99" s="3354"/>
      <c r="I99" s="3354"/>
      <c r="J99" s="3356"/>
      <c r="K99" s="3357"/>
      <c r="L99" s="3356" t="s">
        <v>5668</v>
      </c>
      <c r="M99" s="3356"/>
      <c r="N99" s="3358">
        <f>SUM(O99:P99)</f>
        <v>3.5019999999999998</v>
      </c>
      <c r="O99" s="3358">
        <v>3.5019999999999998</v>
      </c>
      <c r="P99" s="3360">
        <f>$P$4</f>
        <v>0</v>
      </c>
      <c r="Q99" s="3379" t="s">
        <v>5386</v>
      </c>
      <c r="R99" s="3361">
        <f>SUM(R98:$AQ98)*$N99/100</f>
        <v>132.55070000000001</v>
      </c>
      <c r="S99" s="3361">
        <f>SUM(S98:$AQ98)*$N99/100</f>
        <v>89.371039999999994</v>
      </c>
      <c r="T99" s="3361">
        <f>SUM(T98:$AQ98)*$N99/100</f>
        <v>56.872479999999996</v>
      </c>
      <c r="U99" s="3361">
        <f>SUM(U98:$AQ98)*$N99/100</f>
        <v>24.373919999999998</v>
      </c>
      <c r="V99" s="3361">
        <v>0</v>
      </c>
      <c r="W99" s="3361">
        <v>0</v>
      </c>
      <c r="X99" s="3361">
        <v>0</v>
      </c>
      <c r="Y99" s="3361">
        <v>0</v>
      </c>
      <c r="Z99" s="3361">
        <v>0</v>
      </c>
      <c r="AA99" s="3361">
        <v>0</v>
      </c>
      <c r="AB99" s="3361">
        <v>0</v>
      </c>
      <c r="AC99" s="3361">
        <v>0</v>
      </c>
      <c r="AD99" s="3361">
        <v>0</v>
      </c>
      <c r="AE99" s="3361">
        <v>0</v>
      </c>
      <c r="AF99" s="3361">
        <v>0</v>
      </c>
      <c r="AG99" s="3361">
        <v>0</v>
      </c>
      <c r="AH99" s="3361">
        <v>0</v>
      </c>
      <c r="AI99" s="3361">
        <v>0</v>
      </c>
      <c r="AJ99" s="3361">
        <v>0</v>
      </c>
      <c r="AK99" s="3361">
        <v>0</v>
      </c>
      <c r="AL99" s="3361">
        <v>0</v>
      </c>
      <c r="AM99" s="3361">
        <v>0</v>
      </c>
      <c r="AN99" s="3361">
        <v>0</v>
      </c>
      <c r="AO99" s="3361">
        <v>0</v>
      </c>
      <c r="AP99" s="3361">
        <v>0</v>
      </c>
      <c r="AQ99" s="3361">
        <v>0</v>
      </c>
      <c r="AR99" s="3361"/>
      <c r="AS99" s="3361"/>
      <c r="AT99" s="3364">
        <f t="shared" si="6"/>
        <v>303.16813999999999</v>
      </c>
      <c r="AU99" s="3371">
        <f t="shared" si="7"/>
        <v>0</v>
      </c>
      <c r="AV99" s="3363">
        <f t="shared" si="10"/>
        <v>0</v>
      </c>
      <c r="AW99" s="3364">
        <f t="shared" si="8"/>
        <v>303.16813999999999</v>
      </c>
      <c r="AY99" s="3372" t="b">
        <f t="shared" si="9"/>
        <v>1</v>
      </c>
      <c r="AZ99" s="3316"/>
      <c r="BC99" s="3350"/>
    </row>
    <row r="100" spans="2:55" s="3336" customFormat="1" outlineLevel="1">
      <c r="B100" s="3337" t="s">
        <v>775</v>
      </c>
      <c r="C100" s="3376">
        <v>48</v>
      </c>
      <c r="D100" s="3339" t="s">
        <v>5669</v>
      </c>
      <c r="E100" s="3340" t="s">
        <v>5670</v>
      </c>
      <c r="F100" s="3341" t="s">
        <v>5671</v>
      </c>
      <c r="G100" s="3341" t="s">
        <v>5672</v>
      </c>
      <c r="H100" s="3341" t="s">
        <v>5673</v>
      </c>
      <c r="I100" s="3341" t="s">
        <v>5382</v>
      </c>
      <c r="J100" s="3342">
        <v>503660</v>
      </c>
      <c r="K100" s="3343">
        <v>424176</v>
      </c>
      <c r="L100" s="3343"/>
      <c r="M100" s="3343"/>
      <c r="N100" s="3365"/>
      <c r="O100" s="3365"/>
      <c r="P100" s="3344"/>
      <c r="Q100" s="3377" t="s">
        <v>5383</v>
      </c>
      <c r="R100" s="3378">
        <v>35348</v>
      </c>
      <c r="S100" s="3345">
        <v>35348</v>
      </c>
      <c r="T100" s="3345">
        <v>35348</v>
      </c>
      <c r="U100" s="3345">
        <v>35348</v>
      </c>
      <c r="V100" s="3345">
        <v>35348</v>
      </c>
      <c r="W100" s="3345">
        <v>35348</v>
      </c>
      <c r="X100" s="3345">
        <v>35348</v>
      </c>
      <c r="Y100" s="3345">
        <v>35348</v>
      </c>
      <c r="Z100" s="3345">
        <v>35348</v>
      </c>
      <c r="AA100" s="3345">
        <v>35348</v>
      </c>
      <c r="AB100" s="3345">
        <v>35348</v>
      </c>
      <c r="AC100" s="3345">
        <v>35348</v>
      </c>
      <c r="AD100" s="3345">
        <v>0</v>
      </c>
      <c r="AE100" s="3345">
        <v>0</v>
      </c>
      <c r="AF100" s="3345">
        <v>0</v>
      </c>
      <c r="AG100" s="3345">
        <v>0</v>
      </c>
      <c r="AH100" s="3345">
        <v>0</v>
      </c>
      <c r="AI100" s="3345">
        <v>0</v>
      </c>
      <c r="AJ100" s="3345">
        <v>0</v>
      </c>
      <c r="AK100" s="3345">
        <v>0</v>
      </c>
      <c r="AL100" s="3345">
        <v>0</v>
      </c>
      <c r="AM100" s="3345">
        <v>0</v>
      </c>
      <c r="AN100" s="3345">
        <v>0</v>
      </c>
      <c r="AO100" s="3345">
        <v>0</v>
      </c>
      <c r="AP100" s="3345">
        <v>0</v>
      </c>
      <c r="AQ100" s="3345">
        <v>0</v>
      </c>
      <c r="AR100" s="3345"/>
      <c r="AS100" s="3345"/>
      <c r="AT100" s="3346">
        <f t="shared" ref="AT100:AT129" si="11">SUM(R100:AS100)</f>
        <v>424176</v>
      </c>
      <c r="AU100" s="3347">
        <f t="shared" ref="AU100:AU127" si="12">AT100-SUM(R100:AS100)</f>
        <v>0</v>
      </c>
      <c r="AV100" s="3348">
        <f t="shared" si="10"/>
        <v>176740</v>
      </c>
      <c r="AW100" s="3349">
        <f t="shared" si="8"/>
        <v>424176</v>
      </c>
      <c r="AY100" s="3336" t="b">
        <f t="shared" si="9"/>
        <v>1</v>
      </c>
      <c r="AZ100" s="3350">
        <f>AW100-K100</f>
        <v>0</v>
      </c>
      <c r="BC100" s="3350"/>
    </row>
    <row r="101" spans="2:55" outlineLevel="1">
      <c r="B101" s="3351" t="s">
        <v>775</v>
      </c>
      <c r="C101" s="3352"/>
      <c r="D101" s="3353" t="s">
        <v>5674</v>
      </c>
      <c r="E101" s="3354"/>
      <c r="F101" s="3355"/>
      <c r="G101" s="3355"/>
      <c r="H101" s="3355"/>
      <c r="I101" s="3355"/>
      <c r="J101" s="3356"/>
      <c r="K101" s="3357"/>
      <c r="L101" s="3356">
        <v>0</v>
      </c>
      <c r="M101" s="3356"/>
      <c r="N101" s="3358">
        <f>SUM(O101:P101)</f>
        <v>3.41</v>
      </c>
      <c r="O101" s="3358">
        <v>3.41</v>
      </c>
      <c r="P101" s="3360">
        <f>$P$4</f>
        <v>0</v>
      </c>
      <c r="Q101" s="3360" t="s">
        <v>5386</v>
      </c>
      <c r="R101" s="3361">
        <f>SUM(R100:$AQ100)*$N101/100</f>
        <v>14464.401600000001</v>
      </c>
      <c r="S101" s="3361">
        <f>SUM(S100:$AQ100)*$N101/100</f>
        <v>13259.034799999999</v>
      </c>
      <c r="T101" s="3361">
        <f>SUM(T100:$AQ100)*$N101/100</f>
        <v>12053.668</v>
      </c>
      <c r="U101" s="3361">
        <f>SUM(U100:$AQ100)*$N101/100</f>
        <v>10848.301200000002</v>
      </c>
      <c r="V101" s="3361">
        <f>SUM(V100:$AQ100)*$N101/100</f>
        <v>9642.9344000000001</v>
      </c>
      <c r="W101" s="3361">
        <f>SUM(W100:$AQ100)*$N101/100</f>
        <v>8437.5676000000003</v>
      </c>
      <c r="X101" s="3361">
        <f>SUM(X100:$AQ100)*$N101/100</f>
        <v>7232.2008000000005</v>
      </c>
      <c r="Y101" s="3361">
        <f>SUM(Y100:$AQ100)*$N101/100</f>
        <v>6026.8339999999998</v>
      </c>
      <c r="Z101" s="3361">
        <f>SUM(Z100:$AQ100)*$N101/100</f>
        <v>4821.4672</v>
      </c>
      <c r="AA101" s="3361">
        <f>SUM(AA100:$AQ100)*$N101/100</f>
        <v>3616.1004000000003</v>
      </c>
      <c r="AB101" s="3361">
        <f>SUM(AB100:$AQ100)*$N101/100</f>
        <v>2410.7336</v>
      </c>
      <c r="AC101" s="3361">
        <f>SUM(AC100:$AQ100)*$N101/100</f>
        <v>1205.3668</v>
      </c>
      <c r="AD101" s="3361">
        <v>0</v>
      </c>
      <c r="AE101" s="3361">
        <v>0</v>
      </c>
      <c r="AF101" s="3361">
        <v>0</v>
      </c>
      <c r="AG101" s="3361">
        <v>0</v>
      </c>
      <c r="AH101" s="3361">
        <v>0</v>
      </c>
      <c r="AI101" s="3361">
        <v>0</v>
      </c>
      <c r="AJ101" s="3361">
        <v>0</v>
      </c>
      <c r="AK101" s="3361">
        <v>0</v>
      </c>
      <c r="AL101" s="3361">
        <v>0</v>
      </c>
      <c r="AM101" s="3361">
        <v>0</v>
      </c>
      <c r="AN101" s="3361">
        <v>0</v>
      </c>
      <c r="AO101" s="3361">
        <v>0</v>
      </c>
      <c r="AP101" s="3361">
        <v>0</v>
      </c>
      <c r="AQ101" s="3361">
        <v>0</v>
      </c>
      <c r="AR101" s="3361"/>
      <c r="AS101" s="3361"/>
      <c r="AT101" s="3362">
        <f t="shared" si="11"/>
        <v>94018.610400000005</v>
      </c>
      <c r="AU101" s="3347">
        <f t="shared" si="12"/>
        <v>0</v>
      </c>
      <c r="AV101" s="3363">
        <f t="shared" si="10"/>
        <v>18080.502</v>
      </c>
      <c r="AW101" s="3364">
        <f t="shared" si="8"/>
        <v>94018.610400000005</v>
      </c>
      <c r="AY101" s="3336" t="b">
        <f t="shared" si="9"/>
        <v>1</v>
      </c>
      <c r="BC101" s="3350"/>
    </row>
    <row r="102" spans="2:55" s="3336" customFormat="1" outlineLevel="1">
      <c r="B102" s="3337" t="s">
        <v>775</v>
      </c>
      <c r="C102" s="3338">
        <v>49</v>
      </c>
      <c r="D102" s="3339" t="s">
        <v>5669</v>
      </c>
      <c r="E102" s="3340" t="s">
        <v>5675</v>
      </c>
      <c r="F102" s="3341" t="s">
        <v>5676</v>
      </c>
      <c r="G102" s="3341" t="s">
        <v>5672</v>
      </c>
      <c r="H102" s="3341" t="s">
        <v>5677</v>
      </c>
      <c r="I102" s="3341" t="s">
        <v>5382</v>
      </c>
      <c r="J102" s="3342">
        <v>300000</v>
      </c>
      <c r="K102" s="3343">
        <v>227052</v>
      </c>
      <c r="L102" s="3343"/>
      <c r="M102" s="3343"/>
      <c r="N102" s="3365"/>
      <c r="O102" s="3365"/>
      <c r="P102" s="3344"/>
      <c r="Q102" s="3344" t="s">
        <v>5383</v>
      </c>
      <c r="R102" s="3378">
        <v>32436</v>
      </c>
      <c r="S102" s="3345">
        <v>32436</v>
      </c>
      <c r="T102" s="3345">
        <v>32436</v>
      </c>
      <c r="U102" s="3345">
        <v>32436</v>
      </c>
      <c r="V102" s="3345">
        <v>32436</v>
      </c>
      <c r="W102" s="3345">
        <v>32436</v>
      </c>
      <c r="X102" s="3345">
        <v>32436</v>
      </c>
      <c r="Y102" s="3345">
        <v>0</v>
      </c>
      <c r="Z102" s="3345">
        <v>0</v>
      </c>
      <c r="AA102" s="3345">
        <v>0</v>
      </c>
      <c r="AB102" s="3345">
        <v>0</v>
      </c>
      <c r="AC102" s="3345">
        <v>0</v>
      </c>
      <c r="AD102" s="3345">
        <v>0</v>
      </c>
      <c r="AE102" s="3345">
        <v>0</v>
      </c>
      <c r="AF102" s="3345">
        <v>0</v>
      </c>
      <c r="AG102" s="3345">
        <v>0</v>
      </c>
      <c r="AH102" s="3345">
        <v>0</v>
      </c>
      <c r="AI102" s="3345">
        <v>0</v>
      </c>
      <c r="AJ102" s="3345">
        <v>0</v>
      </c>
      <c r="AK102" s="3345">
        <v>0</v>
      </c>
      <c r="AL102" s="3345">
        <v>0</v>
      </c>
      <c r="AM102" s="3345">
        <v>0</v>
      </c>
      <c r="AN102" s="3345">
        <v>0</v>
      </c>
      <c r="AO102" s="3345">
        <v>0</v>
      </c>
      <c r="AP102" s="3345">
        <v>0</v>
      </c>
      <c r="AQ102" s="3345">
        <v>0</v>
      </c>
      <c r="AR102" s="3345"/>
      <c r="AS102" s="3345"/>
      <c r="AT102" s="3346">
        <f t="shared" si="11"/>
        <v>227052</v>
      </c>
      <c r="AU102" s="3347">
        <f t="shared" si="12"/>
        <v>0</v>
      </c>
      <c r="AV102" s="3348">
        <f t="shared" si="10"/>
        <v>0</v>
      </c>
      <c r="AW102" s="3349">
        <f t="shared" si="8"/>
        <v>227052</v>
      </c>
      <c r="AY102" s="3336" t="b">
        <f t="shared" si="9"/>
        <v>1</v>
      </c>
      <c r="AZ102" s="3350">
        <f>AW102-K102</f>
        <v>0</v>
      </c>
      <c r="BC102" s="3350"/>
    </row>
    <row r="103" spans="2:55" outlineLevel="1">
      <c r="B103" s="3351" t="s">
        <v>775</v>
      </c>
      <c r="C103" s="3352"/>
      <c r="D103" s="3353" t="s">
        <v>5678</v>
      </c>
      <c r="E103" s="3354"/>
      <c r="F103" s="3355"/>
      <c r="G103" s="3355"/>
      <c r="H103" s="3355"/>
      <c r="I103" s="3355"/>
      <c r="J103" s="3356"/>
      <c r="K103" s="3357"/>
      <c r="L103" s="3356">
        <v>0</v>
      </c>
      <c r="M103" s="3356"/>
      <c r="N103" s="3358">
        <f>SUM(O103:P103)</f>
        <v>3.2160000000000002</v>
      </c>
      <c r="O103" s="3358">
        <v>3.2160000000000002</v>
      </c>
      <c r="P103" s="3360">
        <f>$P$4</f>
        <v>0</v>
      </c>
      <c r="Q103" s="3360" t="s">
        <v>5386</v>
      </c>
      <c r="R103" s="3361">
        <f>SUM(R102:$AQ102)*$N103/100</f>
        <v>7301.9923200000012</v>
      </c>
      <c r="S103" s="3361">
        <f>SUM(S102:$AQ102)*$N103/100</f>
        <v>6258.8505599999999</v>
      </c>
      <c r="T103" s="3361">
        <f>SUM(T102:$AQ102)*$N103/100</f>
        <v>5215.7088000000003</v>
      </c>
      <c r="U103" s="3361">
        <f>SUM(U102:$AQ102)*$N103/100</f>
        <v>4172.5670399999999</v>
      </c>
      <c r="V103" s="3361">
        <f>SUM(V102:$AQ102)*$N103/100</f>
        <v>3129.4252799999999</v>
      </c>
      <c r="W103" s="3361">
        <f>SUM(W102:$AQ102)*$N103/100</f>
        <v>2086.28352</v>
      </c>
      <c r="X103" s="3361">
        <f>SUM(X102:$AQ102)*$N103/100</f>
        <v>1043.14176</v>
      </c>
      <c r="Y103" s="3361">
        <v>0</v>
      </c>
      <c r="Z103" s="3361">
        <v>0</v>
      </c>
      <c r="AA103" s="3361">
        <v>0</v>
      </c>
      <c r="AB103" s="3361">
        <v>0</v>
      </c>
      <c r="AC103" s="3361">
        <v>0</v>
      </c>
      <c r="AD103" s="3361">
        <v>0</v>
      </c>
      <c r="AE103" s="3361">
        <v>0</v>
      </c>
      <c r="AF103" s="3361">
        <v>0</v>
      </c>
      <c r="AG103" s="3361">
        <v>0</v>
      </c>
      <c r="AH103" s="3361">
        <v>0</v>
      </c>
      <c r="AI103" s="3361">
        <v>0</v>
      </c>
      <c r="AJ103" s="3361">
        <v>0</v>
      </c>
      <c r="AK103" s="3361">
        <v>0</v>
      </c>
      <c r="AL103" s="3361">
        <v>0</v>
      </c>
      <c r="AM103" s="3361">
        <v>0</v>
      </c>
      <c r="AN103" s="3361">
        <v>0</v>
      </c>
      <c r="AO103" s="3361">
        <v>0</v>
      </c>
      <c r="AP103" s="3361">
        <v>0</v>
      </c>
      <c r="AQ103" s="3361">
        <v>0</v>
      </c>
      <c r="AR103" s="3361"/>
      <c r="AS103" s="3361"/>
      <c r="AT103" s="3362">
        <f t="shared" si="11"/>
        <v>29207.969279999998</v>
      </c>
      <c r="AU103" s="3347">
        <f t="shared" si="12"/>
        <v>0</v>
      </c>
      <c r="AV103" s="3363">
        <f t="shared" si="10"/>
        <v>0</v>
      </c>
      <c r="AW103" s="3364">
        <f t="shared" si="8"/>
        <v>29207.969279999998</v>
      </c>
      <c r="AY103" s="3336" t="b">
        <f t="shared" si="9"/>
        <v>1</v>
      </c>
      <c r="BC103" s="3350"/>
    </row>
    <row r="104" spans="2:55" s="3336" customFormat="1" outlineLevel="1">
      <c r="B104" s="3337" t="s">
        <v>331</v>
      </c>
      <c r="C104" s="3338">
        <v>50</v>
      </c>
      <c r="D104" s="3339" t="s">
        <v>5679</v>
      </c>
      <c r="E104" s="3340" t="s">
        <v>5680</v>
      </c>
      <c r="F104" s="3341" t="s">
        <v>5681</v>
      </c>
      <c r="G104" s="3341" t="s">
        <v>5682</v>
      </c>
      <c r="H104" s="3341" t="s">
        <v>5683</v>
      </c>
      <c r="I104" s="3341" t="s">
        <v>5382</v>
      </c>
      <c r="J104" s="3342">
        <v>292889</v>
      </c>
      <c r="K104" s="3343">
        <v>173884.25</v>
      </c>
      <c r="L104" s="3343"/>
      <c r="M104" s="3343"/>
      <c r="N104" s="3365"/>
      <c r="O104" s="3365"/>
      <c r="P104" s="3344"/>
      <c r="Q104" s="3344" t="s">
        <v>5383</v>
      </c>
      <c r="R104" s="3345">
        <v>20200</v>
      </c>
      <c r="S104" s="3345">
        <v>20200</v>
      </c>
      <c r="T104" s="3345">
        <v>20200</v>
      </c>
      <c r="U104" s="3345">
        <v>20200</v>
      </c>
      <c r="V104" s="3345">
        <v>20200</v>
      </c>
      <c r="W104" s="3345">
        <v>20200</v>
      </c>
      <c r="X104" s="3345">
        <v>20200</v>
      </c>
      <c r="Y104" s="3345">
        <v>20200</v>
      </c>
      <c r="Z104" s="3345">
        <f>20200-7916</f>
        <v>12284</v>
      </c>
      <c r="AA104" s="3345"/>
      <c r="AB104" s="3345"/>
      <c r="AC104" s="3345"/>
      <c r="AD104" s="3345">
        <v>0</v>
      </c>
      <c r="AE104" s="3345">
        <v>0</v>
      </c>
      <c r="AF104" s="3345">
        <v>0</v>
      </c>
      <c r="AG104" s="3345">
        <v>0</v>
      </c>
      <c r="AH104" s="3345">
        <v>0</v>
      </c>
      <c r="AI104" s="3345">
        <v>0</v>
      </c>
      <c r="AJ104" s="3345">
        <v>0</v>
      </c>
      <c r="AK104" s="3345">
        <v>0</v>
      </c>
      <c r="AL104" s="3345">
        <v>0</v>
      </c>
      <c r="AM104" s="3345">
        <v>0</v>
      </c>
      <c r="AN104" s="3345">
        <v>0</v>
      </c>
      <c r="AO104" s="3345">
        <v>0</v>
      </c>
      <c r="AP104" s="3345">
        <v>0</v>
      </c>
      <c r="AQ104" s="3345">
        <v>0</v>
      </c>
      <c r="AR104" s="3345"/>
      <c r="AS104" s="3345"/>
      <c r="AT104" s="3346">
        <f t="shared" si="11"/>
        <v>173884</v>
      </c>
      <c r="AU104" s="3347">
        <f t="shared" si="12"/>
        <v>0</v>
      </c>
      <c r="AV104" s="3348">
        <f t="shared" si="10"/>
        <v>32484</v>
      </c>
      <c r="AW104" s="3349">
        <f t="shared" si="8"/>
        <v>173884</v>
      </c>
      <c r="AY104" s="3336" t="b">
        <f t="shared" si="9"/>
        <v>1</v>
      </c>
      <c r="AZ104" s="3350">
        <f>AW104-K104</f>
        <v>-0.25</v>
      </c>
      <c r="BC104" s="3350"/>
    </row>
    <row r="105" spans="2:55" outlineLevel="1">
      <c r="B105" s="3351" t="s">
        <v>331</v>
      </c>
      <c r="C105" s="3352"/>
      <c r="D105" s="3353" t="s">
        <v>5684</v>
      </c>
      <c r="E105" s="3354"/>
      <c r="F105" s="3355"/>
      <c r="G105" s="3355"/>
      <c r="H105" s="3355"/>
      <c r="I105" s="3355"/>
      <c r="J105" s="3356"/>
      <c r="K105" s="3357"/>
      <c r="L105" s="3356">
        <v>0</v>
      </c>
      <c r="M105" s="3356"/>
      <c r="N105" s="3358">
        <f>SUM(O105:P105)</f>
        <v>3.41</v>
      </c>
      <c r="O105" s="3358">
        <v>3.41</v>
      </c>
      <c r="P105" s="3360">
        <f>$P$4</f>
        <v>0</v>
      </c>
      <c r="Q105" s="3360" t="s">
        <v>5386</v>
      </c>
      <c r="R105" s="3361">
        <f>SUM(R104:$AQ104)*$N105/100</f>
        <v>5929.4444000000003</v>
      </c>
      <c r="S105" s="3361">
        <f>SUM(S104:$AQ104)*$N105/100</f>
        <v>5240.6243999999997</v>
      </c>
      <c r="T105" s="3361">
        <f>SUM(T104:$AQ104)*$N105/100</f>
        <v>4551.8044</v>
      </c>
      <c r="U105" s="3361">
        <f>SUM(U104:$AQ104)*$N105/100</f>
        <v>3862.9843999999998</v>
      </c>
      <c r="V105" s="3361">
        <f>SUM(V104:$AQ104)*$N105/100</f>
        <v>3174.1644000000001</v>
      </c>
      <c r="W105" s="3361">
        <f>SUM(W104:$AQ104)*$N105/100</f>
        <v>2485.3444</v>
      </c>
      <c r="X105" s="3361">
        <f>SUM(X104:$AQ104)*$N105/100</f>
        <v>1796.5244</v>
      </c>
      <c r="Y105" s="3361">
        <f>SUM(Y104:$AQ104)*$N105/100</f>
        <v>1107.7044000000001</v>
      </c>
      <c r="Z105" s="3361">
        <f>SUM(Z104:$AQ104)*$N105/100</f>
        <v>418.88440000000003</v>
      </c>
      <c r="AA105" s="3361">
        <f>SUM(AA104:$AQ104)*$N105/100</f>
        <v>0</v>
      </c>
      <c r="AB105" s="3361">
        <f>SUM(AB104:$AQ104)*$N105/100</f>
        <v>0</v>
      </c>
      <c r="AC105" s="3361">
        <f>SUM(AC104:$AQ104)*$N105/100</f>
        <v>0</v>
      </c>
      <c r="AD105" s="3361">
        <v>0</v>
      </c>
      <c r="AE105" s="3361">
        <v>0</v>
      </c>
      <c r="AF105" s="3361">
        <v>0</v>
      </c>
      <c r="AG105" s="3361">
        <v>0</v>
      </c>
      <c r="AH105" s="3361">
        <v>0</v>
      </c>
      <c r="AI105" s="3361">
        <v>0</v>
      </c>
      <c r="AJ105" s="3361">
        <v>0</v>
      </c>
      <c r="AK105" s="3361">
        <v>0</v>
      </c>
      <c r="AL105" s="3361">
        <v>0</v>
      </c>
      <c r="AM105" s="3361">
        <v>0</v>
      </c>
      <c r="AN105" s="3361">
        <v>0</v>
      </c>
      <c r="AO105" s="3361">
        <v>0</v>
      </c>
      <c r="AP105" s="3361">
        <v>0</v>
      </c>
      <c r="AQ105" s="3361">
        <v>0</v>
      </c>
      <c r="AR105" s="3361"/>
      <c r="AS105" s="3361"/>
      <c r="AT105" s="3362">
        <f t="shared" si="11"/>
        <v>28567.479600000002</v>
      </c>
      <c r="AU105" s="3347">
        <f t="shared" si="12"/>
        <v>0</v>
      </c>
      <c r="AV105" s="3363">
        <f t="shared" si="10"/>
        <v>1526.5888</v>
      </c>
      <c r="AW105" s="3364">
        <f t="shared" si="8"/>
        <v>28567.479600000006</v>
      </c>
      <c r="AY105" s="3336" t="b">
        <f t="shared" si="9"/>
        <v>1</v>
      </c>
      <c r="BC105" s="3350"/>
    </row>
    <row r="106" spans="2:55" s="3336" customFormat="1" outlineLevel="1">
      <c r="B106" s="3337" t="s">
        <v>775</v>
      </c>
      <c r="C106" s="3338">
        <v>51</v>
      </c>
      <c r="D106" s="3339" t="s">
        <v>5685</v>
      </c>
      <c r="E106" s="3340" t="s">
        <v>5686</v>
      </c>
      <c r="F106" s="3341" t="s">
        <v>5687</v>
      </c>
      <c r="G106" s="3341" t="s">
        <v>5688</v>
      </c>
      <c r="H106" s="3341" t="s">
        <v>5583</v>
      </c>
      <c r="I106" s="3341" t="s">
        <v>5382</v>
      </c>
      <c r="J106" s="3342">
        <v>495501</v>
      </c>
      <c r="K106" s="3385">
        <v>434650</v>
      </c>
      <c r="L106" s="3343"/>
      <c r="M106" s="3343"/>
      <c r="N106" s="3365"/>
      <c r="O106" s="3365"/>
      <c r="P106" s="3344"/>
      <c r="Q106" s="3344" t="s">
        <v>5383</v>
      </c>
      <c r="R106" s="3378">
        <v>34772</v>
      </c>
      <c r="S106" s="3345">
        <v>34772</v>
      </c>
      <c r="T106" s="3345">
        <v>34772</v>
      </c>
      <c r="U106" s="3345">
        <v>34772</v>
      </c>
      <c r="V106" s="3345">
        <v>34772</v>
      </c>
      <c r="W106" s="3345">
        <v>34772</v>
      </c>
      <c r="X106" s="3345">
        <v>34772</v>
      </c>
      <c r="Y106" s="3345">
        <v>34772</v>
      </c>
      <c r="Z106" s="3345">
        <v>34772</v>
      </c>
      <c r="AA106" s="3345">
        <v>34772</v>
      </c>
      <c r="AB106" s="3345">
        <v>34772</v>
      </c>
      <c r="AC106" s="3345">
        <v>34772</v>
      </c>
      <c r="AD106" s="3345">
        <v>17386</v>
      </c>
      <c r="AE106" s="3345">
        <v>0</v>
      </c>
      <c r="AF106" s="3345">
        <v>0</v>
      </c>
      <c r="AG106" s="3345">
        <v>0</v>
      </c>
      <c r="AH106" s="3345">
        <v>0</v>
      </c>
      <c r="AI106" s="3345">
        <v>0</v>
      </c>
      <c r="AJ106" s="3345">
        <v>0</v>
      </c>
      <c r="AK106" s="3345">
        <v>0</v>
      </c>
      <c r="AL106" s="3345">
        <v>0</v>
      </c>
      <c r="AM106" s="3345">
        <v>0</v>
      </c>
      <c r="AN106" s="3345">
        <v>0</v>
      </c>
      <c r="AO106" s="3345">
        <v>0</v>
      </c>
      <c r="AP106" s="3345">
        <v>0</v>
      </c>
      <c r="AQ106" s="3345">
        <v>0</v>
      </c>
      <c r="AR106" s="3345"/>
      <c r="AS106" s="3345"/>
      <c r="AT106" s="3346">
        <f t="shared" si="11"/>
        <v>434650</v>
      </c>
      <c r="AU106" s="3347">
        <f t="shared" si="12"/>
        <v>0</v>
      </c>
      <c r="AV106" s="3348">
        <f t="shared" si="10"/>
        <v>191246</v>
      </c>
      <c r="AW106" s="3349">
        <f t="shared" si="8"/>
        <v>434650</v>
      </c>
      <c r="AY106" s="3336" t="b">
        <f t="shared" si="9"/>
        <v>1</v>
      </c>
      <c r="AZ106" s="3350">
        <f>AW106-K106</f>
        <v>0</v>
      </c>
      <c r="BC106" s="3350"/>
    </row>
    <row r="107" spans="2:55" outlineLevel="1">
      <c r="B107" s="3351" t="s">
        <v>775</v>
      </c>
      <c r="C107" s="3352"/>
      <c r="D107" s="3353" t="s">
        <v>5689</v>
      </c>
      <c r="E107" s="3354"/>
      <c r="F107" s="3355"/>
      <c r="G107" s="3355"/>
      <c r="H107" s="3355"/>
      <c r="I107" s="3355"/>
      <c r="J107" s="3356"/>
      <c r="K107" s="3386"/>
      <c r="L107" s="3356" t="s">
        <v>5690</v>
      </c>
      <c r="M107" s="3356"/>
      <c r="N107" s="3358">
        <f>SUM(O107:P107)</f>
        <v>3.4969999999999999</v>
      </c>
      <c r="O107" s="3358">
        <v>3.4969999999999999</v>
      </c>
      <c r="P107" s="3360">
        <f>$P$4</f>
        <v>0</v>
      </c>
      <c r="Q107" s="3360" t="s">
        <v>5386</v>
      </c>
      <c r="R107" s="3361">
        <f>SUM(R106:$AQ106)*$N107/100</f>
        <v>15199.710500000001</v>
      </c>
      <c r="S107" s="3361">
        <f>SUM(S106:$AQ106)*$N107/100</f>
        <v>13983.73366</v>
      </c>
      <c r="T107" s="3361">
        <f>SUM(T106:$AQ106)*$N107/100</f>
        <v>12767.756820000001</v>
      </c>
      <c r="U107" s="3361">
        <f>SUM(U106:$AQ106)*$N107/100</f>
        <v>11551.779979999999</v>
      </c>
      <c r="V107" s="3361">
        <f>SUM(V106:$AQ106)*$N107/100</f>
        <v>10335.80314</v>
      </c>
      <c r="W107" s="3361">
        <f>SUM(W106:$AQ106)*$N107/100</f>
        <v>9119.8263000000006</v>
      </c>
      <c r="X107" s="3361">
        <f>SUM(X106:$AQ106)*$N107/100</f>
        <v>7903.8494600000004</v>
      </c>
      <c r="Y107" s="3361">
        <f>SUM(Y106:$AQ106)*$N107/100</f>
        <v>6687.8726200000001</v>
      </c>
      <c r="Z107" s="3361">
        <f>SUM(Z106:$AQ106)*$N107/100</f>
        <v>5471.8957799999998</v>
      </c>
      <c r="AA107" s="3361">
        <f>SUM(AA106:$AQ106)*$N107/100</f>
        <v>4255.9189399999996</v>
      </c>
      <c r="AB107" s="3361">
        <f>SUM(AB106:$AQ106)*$N107/100</f>
        <v>3039.9420999999998</v>
      </c>
      <c r="AC107" s="3361">
        <f>SUM(AC106:$AQ106)*$N107/100</f>
        <v>1823.9652599999999</v>
      </c>
      <c r="AD107" s="3361">
        <f>SUM(AD106:$AQ106)*$N107/100</f>
        <v>607.98842000000002</v>
      </c>
      <c r="AE107" s="3361">
        <v>0</v>
      </c>
      <c r="AF107" s="3361">
        <v>0</v>
      </c>
      <c r="AG107" s="3361">
        <v>0</v>
      </c>
      <c r="AH107" s="3361">
        <v>0</v>
      </c>
      <c r="AI107" s="3361">
        <v>0</v>
      </c>
      <c r="AJ107" s="3361">
        <v>0</v>
      </c>
      <c r="AK107" s="3361">
        <v>0</v>
      </c>
      <c r="AL107" s="3361">
        <v>0</v>
      </c>
      <c r="AM107" s="3361">
        <v>0</v>
      </c>
      <c r="AN107" s="3361">
        <v>0</v>
      </c>
      <c r="AO107" s="3361">
        <v>0</v>
      </c>
      <c r="AP107" s="3361">
        <v>0</v>
      </c>
      <c r="AQ107" s="3361">
        <v>0</v>
      </c>
      <c r="AR107" s="3361"/>
      <c r="AS107" s="3361"/>
      <c r="AT107" s="3362">
        <f t="shared" si="11"/>
        <v>102750.04298</v>
      </c>
      <c r="AU107" s="3347">
        <f t="shared" si="12"/>
        <v>0</v>
      </c>
      <c r="AV107" s="3363">
        <f t="shared" si="10"/>
        <v>21887.583120000003</v>
      </c>
      <c r="AW107" s="3364">
        <f t="shared" si="8"/>
        <v>102750.04298</v>
      </c>
      <c r="AY107" s="3336" t="b">
        <f t="shared" si="9"/>
        <v>1</v>
      </c>
      <c r="BC107" s="3350"/>
    </row>
    <row r="108" spans="2:55" s="3372" customFormat="1">
      <c r="B108" s="3368" t="s">
        <v>331</v>
      </c>
      <c r="C108" s="3369">
        <v>52</v>
      </c>
      <c r="D108" s="3370" t="s">
        <v>5691</v>
      </c>
      <c r="E108" s="3340" t="s">
        <v>5692</v>
      </c>
      <c r="F108" s="3340" t="s">
        <v>5693</v>
      </c>
      <c r="G108" s="3387">
        <v>45159</v>
      </c>
      <c r="H108" s="3340" t="s">
        <v>5694</v>
      </c>
      <c r="I108" s="3340" t="s">
        <v>5382</v>
      </c>
      <c r="J108" s="3342">
        <v>165176</v>
      </c>
      <c r="K108" s="3343">
        <v>118549.93</v>
      </c>
      <c r="L108" s="3343"/>
      <c r="M108" s="3343"/>
      <c r="N108" s="3365"/>
      <c r="O108" s="3365"/>
      <c r="P108" s="3344"/>
      <c r="Q108" s="3344" t="s">
        <v>5383</v>
      </c>
      <c r="R108" s="3345">
        <v>31084</v>
      </c>
      <c r="S108" s="3345">
        <v>31084</v>
      </c>
      <c r="T108" s="3345">
        <v>31084</v>
      </c>
      <c r="U108" s="3345">
        <f>31084-5786</f>
        <v>25298</v>
      </c>
      <c r="V108" s="3345"/>
      <c r="W108" s="3345"/>
      <c r="X108" s="3345"/>
      <c r="Y108" s="3345"/>
      <c r="Z108" s="3345"/>
      <c r="AA108" s="3345"/>
      <c r="AB108" s="3345"/>
      <c r="AC108" s="3345"/>
      <c r="AD108" s="3345"/>
      <c r="AE108" s="3345"/>
      <c r="AF108" s="3345"/>
      <c r="AG108" s="3345"/>
      <c r="AH108" s="3345"/>
      <c r="AI108" s="3345"/>
      <c r="AJ108" s="3345"/>
      <c r="AK108" s="3345"/>
      <c r="AL108" s="3345"/>
      <c r="AM108" s="3345"/>
      <c r="AN108" s="3345"/>
      <c r="AO108" s="3345"/>
      <c r="AP108" s="3345"/>
      <c r="AQ108" s="3345"/>
      <c r="AR108" s="3345"/>
      <c r="AS108" s="3345"/>
      <c r="AT108" s="3346">
        <f t="shared" si="11"/>
        <v>118550</v>
      </c>
      <c r="AU108" s="3347">
        <f t="shared" si="12"/>
        <v>0</v>
      </c>
      <c r="AV108" s="3348">
        <f t="shared" si="10"/>
        <v>0</v>
      </c>
      <c r="AW108" s="3349">
        <f t="shared" si="8"/>
        <v>118550</v>
      </c>
      <c r="AY108" s="3372" t="b">
        <f t="shared" si="9"/>
        <v>1</v>
      </c>
      <c r="AZ108" s="3350">
        <f>AW108-K108</f>
        <v>7.0000000006984919E-2</v>
      </c>
      <c r="BC108" s="3350"/>
    </row>
    <row r="109" spans="2:55" s="3318" customFormat="1">
      <c r="B109" s="3373" t="s">
        <v>331</v>
      </c>
      <c r="C109" s="3374"/>
      <c r="D109" s="3375" t="s">
        <v>5695</v>
      </c>
      <c r="E109" s="3354"/>
      <c r="F109" s="3354"/>
      <c r="G109" s="3354"/>
      <c r="H109" s="3354"/>
      <c r="I109" s="3354"/>
      <c r="J109" s="3356"/>
      <c r="K109" s="3357"/>
      <c r="L109" s="3356" t="s">
        <v>5696</v>
      </c>
      <c r="M109" s="3356"/>
      <c r="N109" s="3358">
        <f>SUM(O109:P109)</f>
        <v>3.1520000000000001</v>
      </c>
      <c r="O109" s="3358">
        <v>3.1520000000000001</v>
      </c>
      <c r="P109" s="3360">
        <f>$P$4</f>
        <v>0</v>
      </c>
      <c r="Q109" s="3360" t="s">
        <v>5386</v>
      </c>
      <c r="R109" s="3361">
        <f>SUM(R108:$AQ108)*$N109/100</f>
        <v>3736.6960000000004</v>
      </c>
      <c r="S109" s="3361">
        <f>SUM(S108:$AQ108)*$N109/100</f>
        <v>2756.92832</v>
      </c>
      <c r="T109" s="3361">
        <f>SUM(T108:$AQ108)*$N109/100</f>
        <v>1777.1606400000001</v>
      </c>
      <c r="U109" s="3361">
        <f>SUM(U108:$AQ108)*$N109/100</f>
        <v>797.39296000000002</v>
      </c>
      <c r="V109" s="3361"/>
      <c r="W109" s="3361"/>
      <c r="X109" s="3361"/>
      <c r="Y109" s="3361"/>
      <c r="Z109" s="3361"/>
      <c r="AA109" s="3361"/>
      <c r="AB109" s="3361"/>
      <c r="AC109" s="3361"/>
      <c r="AD109" s="3361"/>
      <c r="AE109" s="3361"/>
      <c r="AF109" s="3361"/>
      <c r="AG109" s="3361"/>
      <c r="AH109" s="3361"/>
      <c r="AI109" s="3361"/>
      <c r="AJ109" s="3361"/>
      <c r="AK109" s="3361"/>
      <c r="AL109" s="3361"/>
      <c r="AM109" s="3361"/>
      <c r="AN109" s="3361"/>
      <c r="AO109" s="3361"/>
      <c r="AP109" s="3361"/>
      <c r="AQ109" s="3361"/>
      <c r="AR109" s="3361"/>
      <c r="AS109" s="3361"/>
      <c r="AT109" s="3362">
        <f t="shared" si="11"/>
        <v>9068.1779200000001</v>
      </c>
      <c r="AU109" s="3347">
        <f t="shared" si="12"/>
        <v>0</v>
      </c>
      <c r="AV109" s="3363">
        <f t="shared" si="10"/>
        <v>0</v>
      </c>
      <c r="AW109" s="3364">
        <f t="shared" si="8"/>
        <v>9068.1779200000001</v>
      </c>
      <c r="AY109" s="3372" t="b">
        <f t="shared" si="9"/>
        <v>1</v>
      </c>
      <c r="AZ109" s="3316"/>
      <c r="BC109" s="3350"/>
    </row>
    <row r="110" spans="2:55" s="3372" customFormat="1">
      <c r="B110" s="3368" t="s">
        <v>331</v>
      </c>
      <c r="C110" s="3369">
        <v>53</v>
      </c>
      <c r="D110" s="3370" t="s">
        <v>5697</v>
      </c>
      <c r="E110" s="3340" t="s">
        <v>5698</v>
      </c>
      <c r="F110" s="3340" t="s">
        <v>5699</v>
      </c>
      <c r="G110" s="3387">
        <v>45215</v>
      </c>
      <c r="H110" s="3387">
        <v>49572</v>
      </c>
      <c r="I110" s="3340" t="s">
        <v>5382</v>
      </c>
      <c r="J110" s="3388">
        <v>345038</v>
      </c>
      <c r="K110" s="3343">
        <v>284822</v>
      </c>
      <c r="L110" s="3343"/>
      <c r="M110" s="3343"/>
      <c r="N110" s="3365"/>
      <c r="O110" s="3365"/>
      <c r="P110" s="3344"/>
      <c r="Q110" s="3344" t="s">
        <v>5383</v>
      </c>
      <c r="R110" s="3345">
        <f t="shared" ref="R110:Z110" si="13">7527*4</f>
        <v>30108</v>
      </c>
      <c r="S110" s="3345">
        <f t="shared" si="13"/>
        <v>30108</v>
      </c>
      <c r="T110" s="3345">
        <f t="shared" si="13"/>
        <v>30108</v>
      </c>
      <c r="U110" s="3345">
        <f t="shared" si="13"/>
        <v>30108</v>
      </c>
      <c r="V110" s="3345">
        <f t="shared" si="13"/>
        <v>30108</v>
      </c>
      <c r="W110" s="3345">
        <f t="shared" si="13"/>
        <v>30108</v>
      </c>
      <c r="X110" s="3345">
        <f t="shared" si="13"/>
        <v>30108</v>
      </c>
      <c r="Y110" s="3345">
        <f t="shared" si="13"/>
        <v>30108</v>
      </c>
      <c r="Z110" s="3345">
        <f t="shared" si="13"/>
        <v>30108</v>
      </c>
      <c r="AA110" s="3345">
        <f>7527*2+7508-8712</f>
        <v>13850</v>
      </c>
      <c r="AB110" s="3345"/>
      <c r="AC110" s="3345"/>
      <c r="AD110" s="3345"/>
      <c r="AE110" s="3345"/>
      <c r="AF110" s="3345"/>
      <c r="AG110" s="3345"/>
      <c r="AH110" s="3345"/>
      <c r="AI110" s="3345"/>
      <c r="AJ110" s="3345"/>
      <c r="AK110" s="3345"/>
      <c r="AL110" s="3345"/>
      <c r="AM110" s="3345"/>
      <c r="AN110" s="3345"/>
      <c r="AO110" s="3345"/>
      <c r="AP110" s="3345"/>
      <c r="AQ110" s="3345"/>
      <c r="AR110" s="3345"/>
      <c r="AS110" s="3345"/>
      <c r="AT110" s="3346">
        <f t="shared" si="11"/>
        <v>284822</v>
      </c>
      <c r="AU110" s="3347">
        <f t="shared" si="12"/>
        <v>0</v>
      </c>
      <c r="AV110" s="3348">
        <f t="shared" si="10"/>
        <v>74066</v>
      </c>
      <c r="AW110" s="3349">
        <f t="shared" si="8"/>
        <v>284822</v>
      </c>
      <c r="AY110" s="3372" t="b">
        <f t="shared" si="9"/>
        <v>1</v>
      </c>
      <c r="AZ110" s="3350">
        <f>AW110-K110</f>
        <v>0</v>
      </c>
      <c r="BC110" s="3350"/>
    </row>
    <row r="111" spans="2:55" s="3318" customFormat="1">
      <c r="B111" s="3373" t="s">
        <v>331</v>
      </c>
      <c r="C111" s="3374"/>
      <c r="D111" s="3375" t="s">
        <v>5700</v>
      </c>
      <c r="E111" s="3354"/>
      <c r="F111" s="3354"/>
      <c r="G111" s="3354"/>
      <c r="H111" s="3354"/>
      <c r="I111" s="3354"/>
      <c r="J111" s="3366"/>
      <c r="K111" s="3357"/>
      <c r="L111" s="3356"/>
      <c r="M111" s="3356"/>
      <c r="N111" s="3358">
        <f>SUM(O111:P111)</f>
        <v>3.294</v>
      </c>
      <c r="O111" s="3358">
        <v>3.294</v>
      </c>
      <c r="P111" s="3360"/>
      <c r="Q111" s="3360" t="s">
        <v>5386</v>
      </c>
      <c r="R111" s="3361">
        <f>SUM(R110:$AQ110)*$N111/100</f>
        <v>9382.0366800000011</v>
      </c>
      <c r="S111" s="3361">
        <f>SUM(S110:$AQ110)*$N111/100</f>
        <v>8390.27916</v>
      </c>
      <c r="T111" s="3361">
        <f>SUM(T110:$AQ110)*$N111/100</f>
        <v>7398.5216399999999</v>
      </c>
      <c r="U111" s="3361">
        <f>SUM(U110:$AQ110)*$N111/100</f>
        <v>6406.7641199999998</v>
      </c>
      <c r="V111" s="3361">
        <f>SUM(V110:$AQ110)*$N111/100</f>
        <v>5415.0066000000006</v>
      </c>
      <c r="W111" s="3361">
        <f>SUM(W110:$AQ110)*$N111/100</f>
        <v>4423.2490799999996</v>
      </c>
      <c r="X111" s="3361">
        <f>SUM(X110:$AQ110)*$N111/100</f>
        <v>3431.4915600000004</v>
      </c>
      <c r="Y111" s="3361">
        <f>SUM(Y110:$AQ110)*$N111/100</f>
        <v>2439.7340400000003</v>
      </c>
      <c r="Z111" s="3361">
        <f>SUM(Z110:$AQ110)*$N111/100</f>
        <v>1447.9765199999999</v>
      </c>
      <c r="AA111" s="3361">
        <f>SUM(AA110:$AQ110)*$N111/100</f>
        <v>456.21899999999999</v>
      </c>
      <c r="AB111" s="3361"/>
      <c r="AC111" s="3361"/>
      <c r="AD111" s="3361"/>
      <c r="AE111" s="3361"/>
      <c r="AF111" s="3361"/>
      <c r="AG111" s="3361"/>
      <c r="AH111" s="3361"/>
      <c r="AI111" s="3361"/>
      <c r="AJ111" s="3361"/>
      <c r="AK111" s="3361"/>
      <c r="AL111" s="3361"/>
      <c r="AM111" s="3361"/>
      <c r="AN111" s="3361"/>
      <c r="AO111" s="3361"/>
      <c r="AP111" s="3361"/>
      <c r="AQ111" s="3361"/>
      <c r="AR111" s="3361"/>
      <c r="AS111" s="3361"/>
      <c r="AT111" s="3362">
        <f t="shared" si="11"/>
        <v>49191.278400000003</v>
      </c>
      <c r="AU111" s="3347">
        <f t="shared" si="12"/>
        <v>0</v>
      </c>
      <c r="AV111" s="3363">
        <f t="shared" si="10"/>
        <v>4343.9295600000005</v>
      </c>
      <c r="AW111" s="3364">
        <f t="shared" si="8"/>
        <v>49191.27840000001</v>
      </c>
      <c r="AY111" s="3372" t="b">
        <f t="shared" si="9"/>
        <v>1</v>
      </c>
      <c r="AZ111" s="3316"/>
      <c r="BC111" s="3350"/>
    </row>
    <row r="112" spans="2:55" s="3372" customFormat="1">
      <c r="B112" s="3368" t="s">
        <v>331</v>
      </c>
      <c r="C112" s="3383">
        <v>54</v>
      </c>
      <c r="D112" s="3370" t="s">
        <v>5701</v>
      </c>
      <c r="E112" s="3340" t="s">
        <v>5702</v>
      </c>
      <c r="F112" s="3340" t="s">
        <v>5703</v>
      </c>
      <c r="G112" s="3387">
        <v>45561</v>
      </c>
      <c r="H112" s="3387">
        <v>49207</v>
      </c>
      <c r="I112" s="3340" t="s">
        <v>5382</v>
      </c>
      <c r="J112" s="3388">
        <v>729424</v>
      </c>
      <c r="K112" s="3343">
        <v>689994</v>
      </c>
      <c r="L112" s="3343"/>
      <c r="M112" s="3343"/>
      <c r="N112" s="3365"/>
      <c r="O112" s="3365"/>
      <c r="P112" s="3344"/>
      <c r="Q112" s="3344" t="s">
        <v>5383</v>
      </c>
      <c r="R112" s="3345">
        <f>19715*4</f>
        <v>78860</v>
      </c>
      <c r="S112" s="3345">
        <f t="shared" ref="S112:Y112" si="14">19715*4</f>
        <v>78860</v>
      </c>
      <c r="T112" s="3345">
        <f t="shared" si="14"/>
        <v>78860</v>
      </c>
      <c r="U112" s="3345">
        <f t="shared" si="14"/>
        <v>78860</v>
      </c>
      <c r="V112" s="3345">
        <f t="shared" si="14"/>
        <v>78860</v>
      </c>
      <c r="W112" s="3345">
        <f t="shared" si="14"/>
        <v>78860</v>
      </c>
      <c r="X112" s="3345">
        <f t="shared" si="14"/>
        <v>78860</v>
      </c>
      <c r="Y112" s="3345">
        <f t="shared" si="14"/>
        <v>78860</v>
      </c>
      <c r="Z112" s="3345">
        <v>59114</v>
      </c>
      <c r="AA112" s="3345"/>
      <c r="AB112" s="3345"/>
      <c r="AC112" s="3345"/>
      <c r="AD112" s="3345"/>
      <c r="AE112" s="3345"/>
      <c r="AF112" s="3345"/>
      <c r="AG112" s="3345"/>
      <c r="AH112" s="3345"/>
      <c r="AI112" s="3345"/>
      <c r="AJ112" s="3345"/>
      <c r="AK112" s="3345"/>
      <c r="AL112" s="3345"/>
      <c r="AM112" s="3345"/>
      <c r="AN112" s="3345"/>
      <c r="AO112" s="3345"/>
      <c r="AP112" s="3345"/>
      <c r="AQ112" s="3345"/>
      <c r="AR112" s="3345"/>
      <c r="AS112" s="3345"/>
      <c r="AT112" s="3346">
        <f t="shared" si="11"/>
        <v>689994</v>
      </c>
      <c r="AU112" s="3347">
        <f t="shared" si="12"/>
        <v>0</v>
      </c>
      <c r="AV112" s="3348">
        <f t="shared" si="10"/>
        <v>137974</v>
      </c>
      <c r="AW112" s="3349">
        <f t="shared" si="8"/>
        <v>689994</v>
      </c>
      <c r="AY112" s="3372" t="b">
        <f>AT112=AW112</f>
        <v>1</v>
      </c>
      <c r="AZ112" s="3350">
        <f>AW112-K112</f>
        <v>0</v>
      </c>
      <c r="BC112" s="3350"/>
    </row>
    <row r="113" spans="2:55" s="3318" customFormat="1" ht="14.25" customHeight="1">
      <c r="B113" s="3373" t="s">
        <v>331</v>
      </c>
      <c r="C113" s="3374"/>
      <c r="D113" s="3375" t="s">
        <v>5704</v>
      </c>
      <c r="E113" s="3354"/>
      <c r="F113" s="3354"/>
      <c r="G113" s="3354"/>
      <c r="H113" s="3354"/>
      <c r="I113" s="3354"/>
      <c r="J113" s="3366"/>
      <c r="K113" s="3357"/>
      <c r="L113" s="3356" t="s">
        <v>5705</v>
      </c>
      <c r="M113" s="3356"/>
      <c r="N113" s="3358">
        <f>SUM(O113:P113)</f>
        <v>3.379</v>
      </c>
      <c r="O113" s="3358">
        <v>3.379</v>
      </c>
      <c r="P113" s="3360">
        <f>$P$4</f>
        <v>0</v>
      </c>
      <c r="Q113" s="3360" t="s">
        <v>5386</v>
      </c>
      <c r="R113" s="3361">
        <f>SUM(R112:$AQ112)*$N113/100</f>
        <v>23314.897259999998</v>
      </c>
      <c r="S113" s="3361">
        <f>SUM(S112:$AQ112)*$N113/100</f>
        <v>20650.217860000001</v>
      </c>
      <c r="T113" s="3361">
        <f>SUM(T112:$AQ112)*$N113/100</f>
        <v>17985.53846</v>
      </c>
      <c r="U113" s="3361">
        <f>SUM(U112:$AQ112)*$N113/100</f>
        <v>15320.859059999999</v>
      </c>
      <c r="V113" s="3361">
        <f>SUM(V112:$AQ112)*$N113/100</f>
        <v>12656.17966</v>
      </c>
      <c r="W113" s="3361">
        <f>SUM(W112:$AQ112)*$N113/100</f>
        <v>9991.5002599999989</v>
      </c>
      <c r="X113" s="3361">
        <f>SUM(X112:$AQ112)*$N113/100</f>
        <v>7326.8208599999998</v>
      </c>
      <c r="Y113" s="3361">
        <f>SUM(Y112:$AQ112)*$N113/100</f>
        <v>4662.1414599999998</v>
      </c>
      <c r="Z113" s="3361">
        <f>SUM(Z112:$AQ112)*$N113/100</f>
        <v>1997.4620600000001</v>
      </c>
      <c r="AA113" s="3361"/>
      <c r="AB113" s="3361"/>
      <c r="AC113" s="3361"/>
      <c r="AD113" s="3361"/>
      <c r="AE113" s="3361"/>
      <c r="AF113" s="3361"/>
      <c r="AG113" s="3361"/>
      <c r="AH113" s="3361"/>
      <c r="AI113" s="3361"/>
      <c r="AJ113" s="3361"/>
      <c r="AK113" s="3361"/>
      <c r="AL113" s="3361"/>
      <c r="AM113" s="3361"/>
      <c r="AN113" s="3361"/>
      <c r="AO113" s="3361"/>
      <c r="AP113" s="3361"/>
      <c r="AQ113" s="3361"/>
      <c r="AR113" s="3361"/>
      <c r="AS113" s="3361"/>
      <c r="AT113" s="3362">
        <f t="shared" si="11"/>
        <v>113905.61694000001</v>
      </c>
      <c r="AU113" s="3347">
        <f t="shared" si="12"/>
        <v>0</v>
      </c>
      <c r="AV113" s="3363">
        <f t="shared" si="10"/>
        <v>6659.6035199999997</v>
      </c>
      <c r="AW113" s="3364">
        <f t="shared" si="8"/>
        <v>113905.61694000001</v>
      </c>
      <c r="AY113" s="3372" t="b">
        <f>AT113=AW113</f>
        <v>1</v>
      </c>
      <c r="AZ113" s="3316"/>
      <c r="BC113" s="3350"/>
    </row>
    <row r="114" spans="2:55" s="3318" customFormat="1">
      <c r="B114" s="3368" t="s">
        <v>331</v>
      </c>
      <c r="C114" s="3369">
        <v>55</v>
      </c>
      <c r="D114" s="3370" t="s">
        <v>5706</v>
      </c>
      <c r="E114" s="3340" t="s">
        <v>5707</v>
      </c>
      <c r="F114" s="3340" t="s">
        <v>5708</v>
      </c>
      <c r="G114" s="3387">
        <v>45616</v>
      </c>
      <c r="H114" s="3387">
        <v>47411</v>
      </c>
      <c r="I114" s="3340" t="s">
        <v>5382</v>
      </c>
      <c r="J114" s="3388">
        <v>123379.93</v>
      </c>
      <c r="K114" s="3343">
        <v>59450.57</v>
      </c>
      <c r="L114" s="3388"/>
      <c r="M114" s="3388"/>
      <c r="N114" s="3389"/>
      <c r="O114" s="3389"/>
      <c r="P114" s="3390"/>
      <c r="Q114" s="3381" t="s">
        <v>5383</v>
      </c>
      <c r="R114" s="3382">
        <f>6494*4</f>
        <v>25976</v>
      </c>
      <c r="S114" s="3382">
        <f>6494*4</f>
        <v>25976</v>
      </c>
      <c r="T114" s="3382">
        <f>6494*4-18477</f>
        <v>7499</v>
      </c>
      <c r="U114" s="3382">
        <f>6494*3+6488-25970</f>
        <v>0</v>
      </c>
      <c r="V114" s="3382"/>
      <c r="W114" s="3382"/>
      <c r="X114" s="3382"/>
      <c r="Y114" s="3382"/>
      <c r="Z114" s="3382"/>
      <c r="AA114" s="3382"/>
      <c r="AB114" s="3382"/>
      <c r="AC114" s="3382"/>
      <c r="AD114" s="3382"/>
      <c r="AE114" s="3382"/>
      <c r="AF114" s="3382"/>
      <c r="AG114" s="3382"/>
      <c r="AH114" s="3382"/>
      <c r="AI114" s="3382"/>
      <c r="AJ114" s="3382"/>
      <c r="AK114" s="3382"/>
      <c r="AL114" s="3382"/>
      <c r="AM114" s="3382"/>
      <c r="AN114" s="3382"/>
      <c r="AO114" s="3382"/>
      <c r="AP114" s="3382"/>
      <c r="AQ114" s="3382"/>
      <c r="AR114" s="3382"/>
      <c r="AS114" s="3382"/>
      <c r="AT114" s="3349">
        <f t="shared" si="11"/>
        <v>59451</v>
      </c>
      <c r="AU114" s="3371">
        <f t="shared" si="12"/>
        <v>0</v>
      </c>
      <c r="AV114" s="3391">
        <f t="shared" si="10"/>
        <v>0</v>
      </c>
      <c r="AW114" s="3349">
        <f t="shared" si="8"/>
        <v>59451</v>
      </c>
      <c r="AY114" s="3372" t="b">
        <f>AT114=AW114</f>
        <v>1</v>
      </c>
      <c r="AZ114" s="3350">
        <f>AW114-K114</f>
        <v>0.43000000000029104</v>
      </c>
      <c r="BC114" s="3350"/>
    </row>
    <row r="115" spans="2:55" s="3318" customFormat="1">
      <c r="B115" s="3373" t="s">
        <v>331</v>
      </c>
      <c r="C115" s="3392"/>
      <c r="D115" s="3375"/>
      <c r="E115" s="3354"/>
      <c r="F115" s="3354"/>
      <c r="G115" s="3354"/>
      <c r="H115" s="3354"/>
      <c r="I115" s="3354"/>
      <c r="J115" s="3366"/>
      <c r="K115" s="3386"/>
      <c r="L115" s="3366" t="s">
        <v>5709</v>
      </c>
      <c r="M115" s="3366"/>
      <c r="N115" s="3358">
        <f>SUM(O115:P115)</f>
        <v>3.177</v>
      </c>
      <c r="O115" s="3358">
        <v>3.177</v>
      </c>
      <c r="P115" s="3358">
        <f>$P$4</f>
        <v>0</v>
      </c>
      <c r="Q115" s="3358" t="s">
        <v>5386</v>
      </c>
      <c r="R115" s="3393">
        <f>SUM(R114:$AQ114)*$N115/100</f>
        <v>1888.7582699999998</v>
      </c>
      <c r="S115" s="3393">
        <f>SUM(S114:$AQ114)*$N115/100</f>
        <v>1063.5007499999999</v>
      </c>
      <c r="T115" s="3393">
        <f>SUM(T114:$AQ114)*$N115/100</f>
        <v>238.24323000000001</v>
      </c>
      <c r="U115" s="3393">
        <f>SUM(U114:$AQ114)*$N115/100</f>
        <v>0</v>
      </c>
      <c r="V115" s="3393"/>
      <c r="W115" s="3393"/>
      <c r="X115" s="3393"/>
      <c r="Y115" s="3393"/>
      <c r="Z115" s="3393"/>
      <c r="AA115" s="3393"/>
      <c r="AB115" s="3393"/>
      <c r="AC115" s="3393"/>
      <c r="AD115" s="3393"/>
      <c r="AE115" s="3393"/>
      <c r="AF115" s="3393"/>
      <c r="AG115" s="3393"/>
      <c r="AH115" s="3393"/>
      <c r="AI115" s="3393"/>
      <c r="AJ115" s="3393"/>
      <c r="AK115" s="3393"/>
      <c r="AL115" s="3393"/>
      <c r="AM115" s="3393"/>
      <c r="AN115" s="3393"/>
      <c r="AO115" s="3393"/>
      <c r="AP115" s="3393"/>
      <c r="AQ115" s="3393"/>
      <c r="AR115" s="3393"/>
      <c r="AS115" s="3393"/>
      <c r="AT115" s="3364">
        <f t="shared" si="11"/>
        <v>3190.5022499999995</v>
      </c>
      <c r="AU115" s="3371">
        <f t="shared" si="12"/>
        <v>0</v>
      </c>
      <c r="AV115" s="3394">
        <f t="shared" si="10"/>
        <v>0</v>
      </c>
      <c r="AW115" s="3364">
        <f t="shared" si="8"/>
        <v>3190.5022499999995</v>
      </c>
      <c r="AY115" s="3372" t="b">
        <f>AT115=AW115</f>
        <v>1</v>
      </c>
      <c r="AZ115" s="3316"/>
      <c r="BC115" s="3350"/>
    </row>
    <row r="116" spans="2:55" s="3409" customFormat="1">
      <c r="B116" s="3395" t="s">
        <v>775</v>
      </c>
      <c r="C116" s="3396">
        <v>56</v>
      </c>
      <c r="D116" s="3397" t="s">
        <v>5710</v>
      </c>
      <c r="E116" s="3398" t="s">
        <v>5711</v>
      </c>
      <c r="F116" s="3398" t="s">
        <v>5712</v>
      </c>
      <c r="G116" s="3399">
        <v>45915</v>
      </c>
      <c r="H116" s="3399">
        <v>47715</v>
      </c>
      <c r="I116" s="3398" t="s">
        <v>5382</v>
      </c>
      <c r="J116" s="3400">
        <v>223584</v>
      </c>
      <c r="K116" s="3401"/>
      <c r="L116" s="3402"/>
      <c r="M116" s="3402"/>
      <c r="N116" s="3389"/>
      <c r="O116" s="3389"/>
      <c r="P116" s="3403"/>
      <c r="Q116" s="3404" t="s">
        <v>5383</v>
      </c>
      <c r="R116" s="3405">
        <f>13152*2</f>
        <v>26304</v>
      </c>
      <c r="S116" s="3405">
        <f>13152*4</f>
        <v>52608</v>
      </c>
      <c r="T116" s="3405">
        <f t="shared" ref="T116:U116" si="15">13152*4</f>
        <v>52608</v>
      </c>
      <c r="U116" s="3405">
        <f t="shared" si="15"/>
        <v>52608</v>
      </c>
      <c r="V116" s="3405">
        <f>13152*3</f>
        <v>39456</v>
      </c>
      <c r="W116" s="3405"/>
      <c r="X116" s="3405"/>
      <c r="Y116" s="3405"/>
      <c r="Z116" s="3405"/>
      <c r="AA116" s="3405"/>
      <c r="AB116" s="3405"/>
      <c r="AC116" s="3405"/>
      <c r="AD116" s="3405"/>
      <c r="AE116" s="3405"/>
      <c r="AF116" s="3405"/>
      <c r="AG116" s="3405"/>
      <c r="AH116" s="3405"/>
      <c r="AI116" s="3405"/>
      <c r="AJ116" s="3405"/>
      <c r="AK116" s="3405"/>
      <c r="AL116" s="3405"/>
      <c r="AM116" s="3405"/>
      <c r="AN116" s="3405"/>
      <c r="AO116" s="3405"/>
      <c r="AP116" s="3405"/>
      <c r="AQ116" s="3405"/>
      <c r="AR116" s="3405"/>
      <c r="AS116" s="3405"/>
      <c r="AT116" s="3406">
        <f t="shared" si="11"/>
        <v>223584</v>
      </c>
      <c r="AU116" s="3407">
        <f t="shared" si="12"/>
        <v>0</v>
      </c>
      <c r="AV116" s="3408">
        <f t="shared" si="10"/>
        <v>0</v>
      </c>
      <c r="AW116" s="3406">
        <f t="shared" si="8"/>
        <v>223584</v>
      </c>
      <c r="AY116" s="3410" t="b">
        <f t="shared" si="9"/>
        <v>1</v>
      </c>
      <c r="AZ116" s="3411">
        <f>AW116-J116</f>
        <v>0</v>
      </c>
      <c r="BC116" s="3411"/>
    </row>
    <row r="117" spans="2:55" s="3409" customFormat="1">
      <c r="B117" s="3412" t="s">
        <v>775</v>
      </c>
      <c r="C117" s="3413"/>
      <c r="D117" s="3414" t="s">
        <v>5713</v>
      </c>
      <c r="E117" s="3415"/>
      <c r="F117" s="3415"/>
      <c r="G117" s="3415"/>
      <c r="H117" s="3415"/>
      <c r="I117" s="3415"/>
      <c r="J117" s="3416"/>
      <c r="K117" s="3357"/>
      <c r="L117" s="3417"/>
      <c r="M117" s="3417"/>
      <c r="N117" s="3358">
        <f>SUM(O117:P117)</f>
        <v>2.8180000000000001</v>
      </c>
      <c r="O117" s="3358">
        <v>2.8180000000000001</v>
      </c>
      <c r="P117" s="3418">
        <f>$P$4</f>
        <v>0</v>
      </c>
      <c r="Q117" s="3418" t="s">
        <v>5386</v>
      </c>
      <c r="R117" s="3419">
        <f>SUM(R116:$AQ116)*$N117/100</f>
        <v>6300.5971200000004</v>
      </c>
      <c r="S117" s="3419">
        <f>SUM(S116:$AQ116)*$N117/100</f>
        <v>5559.3504000000003</v>
      </c>
      <c r="T117" s="3419">
        <f>SUM(T116:$AQ116)*$N117/100</f>
        <v>4076.8569600000001</v>
      </c>
      <c r="U117" s="3419">
        <f>SUM(U116:$AQ116)*$N117/100</f>
        <v>2594.3635200000003</v>
      </c>
      <c r="V117" s="3419">
        <f>SUM(V116:$AQ116)*$N117/100</f>
        <v>1111.8700799999999</v>
      </c>
      <c r="W117" s="3419"/>
      <c r="X117" s="3419"/>
      <c r="Y117" s="3419"/>
      <c r="Z117" s="3419"/>
      <c r="AA117" s="3419"/>
      <c r="AB117" s="3419"/>
      <c r="AC117" s="3419"/>
      <c r="AD117" s="3419"/>
      <c r="AE117" s="3419"/>
      <c r="AF117" s="3419"/>
      <c r="AG117" s="3419"/>
      <c r="AH117" s="3419"/>
      <c r="AI117" s="3419"/>
      <c r="AJ117" s="3419"/>
      <c r="AK117" s="3419"/>
      <c r="AL117" s="3419"/>
      <c r="AM117" s="3419"/>
      <c r="AN117" s="3419"/>
      <c r="AO117" s="3419"/>
      <c r="AP117" s="3419"/>
      <c r="AQ117" s="3419"/>
      <c r="AR117" s="3419"/>
      <c r="AS117" s="3419"/>
      <c r="AT117" s="3420">
        <f t="shared" si="11"/>
        <v>19643.038080000002</v>
      </c>
      <c r="AU117" s="3407">
        <f t="shared" si="12"/>
        <v>0</v>
      </c>
      <c r="AV117" s="3421">
        <f t="shared" si="10"/>
        <v>0</v>
      </c>
      <c r="AW117" s="3420">
        <f t="shared" si="8"/>
        <v>19643.038080000002</v>
      </c>
      <c r="AY117" s="3410" t="b">
        <f t="shared" si="9"/>
        <v>1</v>
      </c>
      <c r="BC117" s="3411"/>
    </row>
    <row r="118" spans="2:55" s="3409" customFormat="1">
      <c r="B118" s="3395" t="s">
        <v>775</v>
      </c>
      <c r="C118" s="3396">
        <v>57</v>
      </c>
      <c r="D118" s="3422" t="s">
        <v>5714</v>
      </c>
      <c r="E118" s="3423" t="s">
        <v>5715</v>
      </c>
      <c r="F118" s="3398" t="s">
        <v>5716</v>
      </c>
      <c r="G118" s="3399">
        <v>45922</v>
      </c>
      <c r="H118" s="3399">
        <v>51399</v>
      </c>
      <c r="I118" s="3398" t="s">
        <v>5382</v>
      </c>
      <c r="J118" s="3400">
        <v>2691272</v>
      </c>
      <c r="K118" s="3401"/>
      <c r="L118" s="3402"/>
      <c r="M118" s="3402"/>
      <c r="N118" s="3389"/>
      <c r="O118" s="3389"/>
      <c r="P118" s="3403"/>
      <c r="Q118" s="3404" t="s">
        <v>5383</v>
      </c>
      <c r="R118" s="3405">
        <v>390462</v>
      </c>
      <c r="S118" s="3405"/>
      <c r="T118" s="3405">
        <f>52771*4</f>
        <v>211084</v>
      </c>
      <c r="U118" s="3405">
        <f t="shared" ref="U118:AC118" si="16">52771*4</f>
        <v>211084</v>
      </c>
      <c r="V118" s="3405">
        <f t="shared" si="16"/>
        <v>211084</v>
      </c>
      <c r="W118" s="3405">
        <f t="shared" si="16"/>
        <v>211084</v>
      </c>
      <c r="X118" s="3405">
        <f t="shared" si="16"/>
        <v>211084</v>
      </c>
      <c r="Y118" s="3405">
        <f t="shared" si="16"/>
        <v>211084</v>
      </c>
      <c r="Z118" s="3405">
        <f t="shared" si="16"/>
        <v>211084</v>
      </c>
      <c r="AA118" s="3405">
        <f t="shared" si="16"/>
        <v>211084</v>
      </c>
      <c r="AB118" s="3405">
        <f t="shared" si="16"/>
        <v>211084</v>
      </c>
      <c r="AC118" s="3405">
        <f t="shared" si="16"/>
        <v>211084</v>
      </c>
      <c r="AD118" s="3405">
        <f>52771*4-21114</f>
        <v>189970</v>
      </c>
      <c r="AE118" s="3405">
        <f>52771*4-211084</f>
        <v>0</v>
      </c>
      <c r="AF118" s="3405">
        <f>52771*3-158313</f>
        <v>0</v>
      </c>
      <c r="AG118" s="3405"/>
      <c r="AH118" s="3405"/>
      <c r="AI118" s="3405"/>
      <c r="AJ118" s="3405"/>
      <c r="AK118" s="3405"/>
      <c r="AL118" s="3405"/>
      <c r="AM118" s="3405"/>
      <c r="AN118" s="3405"/>
      <c r="AO118" s="3405"/>
      <c r="AP118" s="3405"/>
      <c r="AQ118" s="3405"/>
      <c r="AR118" s="3405"/>
      <c r="AS118" s="3405"/>
      <c r="AT118" s="3406">
        <f t="shared" si="11"/>
        <v>2691272</v>
      </c>
      <c r="AU118" s="3407">
        <f t="shared" si="12"/>
        <v>0</v>
      </c>
      <c r="AV118" s="3408">
        <f t="shared" si="10"/>
        <v>1245390</v>
      </c>
      <c r="AW118" s="3406">
        <f t="shared" si="8"/>
        <v>2691272</v>
      </c>
      <c r="AX118" s="3410" t="b">
        <f>J118=AT118</f>
        <v>1</v>
      </c>
      <c r="AY118" s="3410" t="b">
        <f t="shared" si="9"/>
        <v>1</v>
      </c>
      <c r="AZ118" s="3411">
        <f>AW118-J118</f>
        <v>0</v>
      </c>
      <c r="BC118" s="3411"/>
    </row>
    <row r="119" spans="2:55" s="3409" customFormat="1">
      <c r="B119" s="3412" t="s">
        <v>775</v>
      </c>
      <c r="C119" s="3413"/>
      <c r="D119" s="3424" t="s">
        <v>5717</v>
      </c>
      <c r="E119" s="3425"/>
      <c r="F119" s="3415"/>
      <c r="G119" s="3415"/>
      <c r="H119" s="3415"/>
      <c r="I119" s="3415"/>
      <c r="J119" s="3415"/>
      <c r="K119" s="3357"/>
      <c r="L119" s="3417"/>
      <c r="M119" s="3417"/>
      <c r="N119" s="3358">
        <f>SUM(O119:P119)</f>
        <v>3.282</v>
      </c>
      <c r="O119" s="3358">
        <v>3.282</v>
      </c>
      <c r="P119" s="3418">
        <f>$P$4</f>
        <v>0</v>
      </c>
      <c r="Q119" s="3418" t="s">
        <v>5386</v>
      </c>
      <c r="R119" s="3419">
        <f>SUM(R118:$AQ118)*$N119/100/4</f>
        <v>22081.886760000001</v>
      </c>
      <c r="S119" s="3419">
        <f>SUM(S118:$AQ118)*$N119/100</f>
        <v>75512.584199999998</v>
      </c>
      <c r="T119" s="3419">
        <f>SUM(T118:$AQ118)*$N119/100</f>
        <v>75512.584199999998</v>
      </c>
      <c r="U119" s="3419">
        <f>SUM(U118:$AQ118)*$N119/100</f>
        <v>68584.807319999993</v>
      </c>
      <c r="V119" s="3419">
        <f>SUM(V118:$AQ118)*$N119/100</f>
        <v>61657.030439999995</v>
      </c>
      <c r="W119" s="3419">
        <f>SUM(W118:$AQ118)*$N119/100</f>
        <v>54729.253559999997</v>
      </c>
      <c r="X119" s="3419">
        <f>SUM(X118:$AQ118)*$N119/100</f>
        <v>47801.476679999992</v>
      </c>
      <c r="Y119" s="3419">
        <f>SUM(Y118:$AQ118)*$N119/100</f>
        <v>40873.699800000002</v>
      </c>
      <c r="Z119" s="3419">
        <f>SUM(Z118:$AQ118)*$N119/100</f>
        <v>33945.922919999997</v>
      </c>
      <c r="AA119" s="3419">
        <f>SUM(AA118:$AQ118)*$N119/100</f>
        <v>27018.14604</v>
      </c>
      <c r="AB119" s="3419">
        <f>SUM(AB118:$AQ118)*$N119/100</f>
        <v>20090.369159999998</v>
      </c>
      <c r="AC119" s="3419">
        <f>SUM(AC118:$AQ118)*$N119/100</f>
        <v>13162.592280000001</v>
      </c>
      <c r="AD119" s="3419">
        <f>SUM(AD118:$AQ118)*$N119/100</f>
        <v>6234.8154000000004</v>
      </c>
      <c r="AE119" s="3419">
        <f>SUM(AE118:$AQ118)*$N119/100</f>
        <v>0</v>
      </c>
      <c r="AF119" s="3419">
        <f>SUM(AF118:$AQ118)*$N119/100</f>
        <v>0</v>
      </c>
      <c r="AG119" s="3419">
        <f>SUM(AG118:$AQ118)*$N119/100</f>
        <v>0</v>
      </c>
      <c r="AH119" s="3419"/>
      <c r="AI119" s="3419"/>
      <c r="AJ119" s="3419"/>
      <c r="AK119" s="3419"/>
      <c r="AL119" s="3419"/>
      <c r="AM119" s="3419"/>
      <c r="AN119" s="3419"/>
      <c r="AO119" s="3419"/>
      <c r="AP119" s="3419"/>
      <c r="AQ119" s="3419"/>
      <c r="AR119" s="3419"/>
      <c r="AS119" s="3419"/>
      <c r="AT119" s="3420">
        <f t="shared" si="11"/>
        <v>547205.16875999991</v>
      </c>
      <c r="AU119" s="3407">
        <f t="shared" si="12"/>
        <v>0</v>
      </c>
      <c r="AV119" s="3421">
        <f t="shared" si="10"/>
        <v>141325.54560000001</v>
      </c>
      <c r="AW119" s="3420">
        <f t="shared" si="8"/>
        <v>547205.16876000003</v>
      </c>
      <c r="AY119" s="3410" t="b">
        <f t="shared" si="9"/>
        <v>1</v>
      </c>
      <c r="BC119" s="3411"/>
    </row>
    <row r="120" spans="2:55" s="3409" customFormat="1">
      <c r="B120" s="3395" t="s">
        <v>331</v>
      </c>
      <c r="C120" s="3396">
        <v>58</v>
      </c>
      <c r="D120" s="3422" t="s">
        <v>2547</v>
      </c>
      <c r="E120" s="3423" t="s">
        <v>5718</v>
      </c>
      <c r="F120" s="3398" t="s">
        <v>5719</v>
      </c>
      <c r="G120" s="3399">
        <v>45992</v>
      </c>
      <c r="H120" s="3399">
        <v>49633</v>
      </c>
      <c r="I120" s="3398" t="s">
        <v>5382</v>
      </c>
      <c r="J120" s="3400">
        <v>231105</v>
      </c>
      <c r="K120" s="3401"/>
      <c r="L120" s="3402"/>
      <c r="M120" s="3402"/>
      <c r="N120" s="3403"/>
      <c r="O120" s="3403"/>
      <c r="P120" s="3403"/>
      <c r="Q120" s="3404" t="s">
        <v>5383</v>
      </c>
      <c r="R120" s="3405">
        <f>6082*2</f>
        <v>12164</v>
      </c>
      <c r="S120" s="3405">
        <f>6082*4</f>
        <v>24328</v>
      </c>
      <c r="T120" s="3405">
        <f t="shared" ref="T120:Z120" si="17">6082*4</f>
        <v>24328</v>
      </c>
      <c r="U120" s="3405">
        <f t="shared" si="17"/>
        <v>24328</v>
      </c>
      <c r="V120" s="3405">
        <f t="shared" si="17"/>
        <v>24328</v>
      </c>
      <c r="W120" s="3405">
        <f t="shared" si="17"/>
        <v>24328</v>
      </c>
      <c r="X120" s="3405">
        <f t="shared" si="17"/>
        <v>24328</v>
      </c>
      <c r="Y120" s="3405">
        <f t="shared" si="17"/>
        <v>24328</v>
      </c>
      <c r="Z120" s="3405">
        <f t="shared" si="17"/>
        <v>24328</v>
      </c>
      <c r="AA120" s="3405">
        <f>6082*3+6071</f>
        <v>24317</v>
      </c>
      <c r="AB120" s="3405"/>
      <c r="AC120" s="3405"/>
      <c r="AD120" s="3405"/>
      <c r="AE120" s="3405"/>
      <c r="AF120" s="3405"/>
      <c r="AG120" s="3405"/>
      <c r="AH120" s="3405"/>
      <c r="AI120" s="3405"/>
      <c r="AJ120" s="3405"/>
      <c r="AK120" s="3405"/>
      <c r="AL120" s="3405"/>
      <c r="AM120" s="3405"/>
      <c r="AN120" s="3405"/>
      <c r="AO120" s="3405"/>
      <c r="AP120" s="3405"/>
      <c r="AQ120" s="3405"/>
      <c r="AR120" s="3405"/>
      <c r="AS120" s="3405"/>
      <c r="AT120" s="3406">
        <f>SUM(R120:AS120)</f>
        <v>231105</v>
      </c>
      <c r="AU120" s="3407"/>
      <c r="AV120" s="3408">
        <f>SUM(Y120:AS120)</f>
        <v>72973</v>
      </c>
      <c r="AW120" s="3406">
        <f>SUM(R120:X120,AV120)</f>
        <v>231105</v>
      </c>
      <c r="AX120" s="3410" t="b">
        <f>J120=AT120</f>
        <v>1</v>
      </c>
      <c r="AY120" s="3410" t="b">
        <f>AT120=AW120</f>
        <v>1</v>
      </c>
      <c r="AZ120" s="3411">
        <f>AW120-J120</f>
        <v>0</v>
      </c>
      <c r="BC120" s="3411"/>
    </row>
    <row r="121" spans="2:55" s="3409" customFormat="1">
      <c r="B121" s="3412" t="s">
        <v>331</v>
      </c>
      <c r="C121" s="3413"/>
      <c r="D121" s="3424"/>
      <c r="E121" s="3425"/>
      <c r="F121" s="3415"/>
      <c r="G121" s="3415"/>
      <c r="H121" s="3415"/>
      <c r="I121" s="3415"/>
      <c r="J121" s="3415"/>
      <c r="K121" s="3357"/>
      <c r="L121" s="3417"/>
      <c r="M121" s="3417"/>
      <c r="N121" s="3418">
        <f>SUM(O121:P121)</f>
        <v>3.0670000000000002</v>
      </c>
      <c r="O121" s="3418">
        <v>3.0670000000000002</v>
      </c>
      <c r="P121" s="3418">
        <f>$P$4</f>
        <v>0</v>
      </c>
      <c r="Q121" s="3418" t="s">
        <v>5386</v>
      </c>
      <c r="R121" s="3419">
        <f>SUM(R120:$AQ120)*$N121/100</f>
        <v>7087.99035</v>
      </c>
      <c r="S121" s="3419">
        <f>SUM(S120:$AQ120)*$N121/100</f>
        <v>6714.92047</v>
      </c>
      <c r="T121" s="3419">
        <f>SUM(T120:$AQ120)*$N121/100</f>
        <v>5968.78071</v>
      </c>
      <c r="U121" s="3419">
        <f>SUM(U120:$AQ120)*$N121/100</f>
        <v>5222.64095</v>
      </c>
      <c r="V121" s="3419">
        <f>SUM(V120:$AQ120)*$N121/100</f>
        <v>4476.50119</v>
      </c>
      <c r="W121" s="3419">
        <f>SUM(W120:$AQ120)*$N121/100</f>
        <v>3730.3614300000004</v>
      </c>
      <c r="X121" s="3419">
        <f>SUM(X120:$AQ120)*$N121/100</f>
        <v>2984.2216700000004</v>
      </c>
      <c r="Y121" s="3419">
        <f>SUM(Y120:$AQ120)*$N121/100</f>
        <v>2238.0819100000003</v>
      </c>
      <c r="Z121" s="3419">
        <f>SUM(Z120:$AQ120)*$N121/100</f>
        <v>1491.9421499999999</v>
      </c>
      <c r="AA121" s="3419">
        <f>SUM(AA120:$AQ120)*$N121/100</f>
        <v>745.80239000000006</v>
      </c>
      <c r="AB121" s="3419"/>
      <c r="AC121" s="3419"/>
      <c r="AD121" s="3419"/>
      <c r="AE121" s="3419"/>
      <c r="AF121" s="3419"/>
      <c r="AG121" s="3419"/>
      <c r="AH121" s="3419"/>
      <c r="AI121" s="3419"/>
      <c r="AJ121" s="3419"/>
      <c r="AK121" s="3419"/>
      <c r="AL121" s="3419"/>
      <c r="AM121" s="3419"/>
      <c r="AN121" s="3419"/>
      <c r="AO121" s="3419"/>
      <c r="AP121" s="3419"/>
      <c r="AQ121" s="3419"/>
      <c r="AR121" s="3419"/>
      <c r="AS121" s="3419"/>
      <c r="AT121" s="3420">
        <f>SUM(R121:AS121)</f>
        <v>40661.243219999997</v>
      </c>
      <c r="AU121" s="3407"/>
      <c r="AV121" s="3421">
        <f>SUM(Y121:AS121)</f>
        <v>4475.8264500000005</v>
      </c>
      <c r="AW121" s="3420">
        <f>SUM(R121:X121,AV121)</f>
        <v>40661.243219999997</v>
      </c>
      <c r="AY121" s="3410" t="b">
        <f>AT121=AW121</f>
        <v>1</v>
      </c>
      <c r="BC121" s="3411"/>
    </row>
    <row r="122" spans="2:55" s="3409" customFormat="1">
      <c r="B122" s="3395" t="s">
        <v>775</v>
      </c>
      <c r="C122" s="3396">
        <v>59</v>
      </c>
      <c r="D122" s="3422" t="s">
        <v>5720</v>
      </c>
      <c r="E122" s="3423" t="s">
        <v>5721</v>
      </c>
      <c r="F122" s="3398" t="s">
        <v>5722</v>
      </c>
      <c r="G122" s="3399">
        <v>46006</v>
      </c>
      <c r="H122" s="3399">
        <v>50729</v>
      </c>
      <c r="I122" s="3398" t="s">
        <v>5382</v>
      </c>
      <c r="J122" s="3400">
        <v>512760</v>
      </c>
      <c r="K122" s="3401"/>
      <c r="L122" s="3402"/>
      <c r="M122" s="3402"/>
      <c r="N122" s="3403"/>
      <c r="O122" s="3403"/>
      <c r="P122" s="3403"/>
      <c r="Q122" s="3404" t="s">
        <v>5383</v>
      </c>
      <c r="R122" s="3405">
        <f>10256*2</f>
        <v>20512</v>
      </c>
      <c r="S122" s="3405">
        <f>10256*4</f>
        <v>41024</v>
      </c>
      <c r="T122" s="3405">
        <f t="shared" ref="T122:AC122" si="18">10256*4</f>
        <v>41024</v>
      </c>
      <c r="U122" s="3405">
        <f t="shared" si="18"/>
        <v>41024</v>
      </c>
      <c r="V122" s="3405">
        <f t="shared" si="18"/>
        <v>41024</v>
      </c>
      <c r="W122" s="3405">
        <f t="shared" si="18"/>
        <v>41024</v>
      </c>
      <c r="X122" s="3405">
        <f t="shared" si="18"/>
        <v>41024</v>
      </c>
      <c r="Y122" s="3405">
        <f t="shared" si="18"/>
        <v>41024</v>
      </c>
      <c r="Z122" s="3405">
        <f t="shared" si="18"/>
        <v>41024</v>
      </c>
      <c r="AA122" s="3405">
        <f t="shared" si="18"/>
        <v>41024</v>
      </c>
      <c r="AB122" s="3405">
        <f t="shared" si="18"/>
        <v>41024</v>
      </c>
      <c r="AC122" s="3405">
        <f t="shared" si="18"/>
        <v>41024</v>
      </c>
      <c r="AD122" s="3405">
        <v>40984</v>
      </c>
      <c r="AE122" s="3405"/>
      <c r="AF122" s="3405"/>
      <c r="AG122" s="3405"/>
      <c r="AH122" s="3405"/>
      <c r="AI122" s="3405"/>
      <c r="AJ122" s="3405"/>
      <c r="AK122" s="3405"/>
      <c r="AL122" s="3405"/>
      <c r="AM122" s="3405"/>
      <c r="AN122" s="3405"/>
      <c r="AO122" s="3405"/>
      <c r="AP122" s="3405"/>
      <c r="AQ122" s="3405"/>
      <c r="AR122" s="3405"/>
      <c r="AS122" s="3405"/>
      <c r="AT122" s="3406">
        <f>SUM(R122:AS122)</f>
        <v>512760</v>
      </c>
      <c r="AU122" s="3407">
        <f>AT122-SUM(R122:AS122)</f>
        <v>0</v>
      </c>
      <c r="AV122" s="3408">
        <f>SUM(Y122:AS122)</f>
        <v>246104</v>
      </c>
      <c r="AW122" s="3406">
        <f>SUM(R122:X122,AV122)</f>
        <v>512760</v>
      </c>
      <c r="AX122" s="3410" t="b">
        <f>J122=AT122</f>
        <v>1</v>
      </c>
      <c r="AY122" s="3410" t="b">
        <f>AT122=AW122</f>
        <v>1</v>
      </c>
      <c r="AZ122" s="3411">
        <f>AW122-J122</f>
        <v>0</v>
      </c>
      <c r="BC122" s="3411"/>
    </row>
    <row r="123" spans="2:55" s="3409" customFormat="1">
      <c r="B123" s="3412" t="s">
        <v>775</v>
      </c>
      <c r="C123" s="3413"/>
      <c r="D123" s="3414"/>
      <c r="E123" s="3415"/>
      <c r="F123" s="3415"/>
      <c r="G123" s="3415"/>
      <c r="H123" s="3415"/>
      <c r="I123" s="3415"/>
      <c r="J123" s="3415"/>
      <c r="K123" s="3357"/>
      <c r="L123" s="3417"/>
      <c r="M123" s="3417"/>
      <c r="N123" s="3418">
        <f>SUM(O123:P123)</f>
        <v>3.2869999999999999</v>
      </c>
      <c r="O123" s="3418">
        <v>3.2869999999999999</v>
      </c>
      <c r="P123" s="3418">
        <f>$P$4</f>
        <v>0</v>
      </c>
      <c r="Q123" s="3418" t="s">
        <v>5386</v>
      </c>
      <c r="R123" s="3419">
        <f>SUM(R122:$AQ122)*$N123/100</f>
        <v>16854.421199999997</v>
      </c>
      <c r="S123" s="3419">
        <f>SUM(S122:$AQ122)*$N123/100</f>
        <v>16180.19176</v>
      </c>
      <c r="T123" s="3419">
        <f>SUM(T122:$AQ122)*$N123/100</f>
        <v>14831.73288</v>
      </c>
      <c r="U123" s="3419">
        <f>SUM(U122:$AQ122)*$N123/100</f>
        <v>13483.273999999999</v>
      </c>
      <c r="V123" s="3419">
        <f>SUM(V122:$AQ122)*$N123/100</f>
        <v>12134.815119999999</v>
      </c>
      <c r="W123" s="3419">
        <f>SUM(W122:$AQ122)*$N123/100</f>
        <v>10786.356240000001</v>
      </c>
      <c r="X123" s="3419">
        <f>SUM(X122:$AQ122)*$N123/100</f>
        <v>9437.8973600000008</v>
      </c>
      <c r="Y123" s="3419">
        <f>SUM(Y122:$AQ122)*$N123/100</f>
        <v>8089.4384799999998</v>
      </c>
      <c r="Z123" s="3419">
        <f>SUM(Z122:$AQ122)*$N123/100</f>
        <v>6740.9795999999997</v>
      </c>
      <c r="AA123" s="3419">
        <f>SUM(AA122:$AQ122)*$N123/100</f>
        <v>5392.5207200000004</v>
      </c>
      <c r="AB123" s="3419">
        <f>SUM(AB122:$AQ122)*$N123/100</f>
        <v>4044.0618400000003</v>
      </c>
      <c r="AC123" s="3419">
        <f>SUM(AC122:$AQ122)*$N123/100</f>
        <v>2695.6029599999997</v>
      </c>
      <c r="AD123" s="3419">
        <f>SUM(AD122:$AQ122)*$N123/100</f>
        <v>1347.14408</v>
      </c>
      <c r="AE123" s="3419">
        <f>SUM(AE122:$AQ122)*$N123/100</f>
        <v>0</v>
      </c>
      <c r="AF123" s="3419">
        <f>SUM(AF122:$AQ122)*$N123/100</f>
        <v>0</v>
      </c>
      <c r="AG123" s="3419">
        <f>SUM(AG122:$AQ122)*$N123/100</f>
        <v>0</v>
      </c>
      <c r="AH123" s="3419">
        <f>SUM(AH122:$AQ122)*$N123/100</f>
        <v>0</v>
      </c>
      <c r="AI123" s="3419">
        <f>SUM(AI122:$AQ122)*$N123/100</f>
        <v>0</v>
      </c>
      <c r="AJ123" s="3419">
        <f>SUM(AJ122:$AQ122)*$N123/100</f>
        <v>0</v>
      </c>
      <c r="AK123" s="3419"/>
      <c r="AL123" s="3419"/>
      <c r="AM123" s="3419"/>
      <c r="AN123" s="3419"/>
      <c r="AO123" s="3419"/>
      <c r="AP123" s="3419"/>
      <c r="AQ123" s="3419"/>
      <c r="AR123" s="3419"/>
      <c r="AS123" s="3419"/>
      <c r="AT123" s="3420">
        <f>SUM(R123:AS123)</f>
        <v>122018.43623999998</v>
      </c>
      <c r="AU123" s="3407">
        <f>AT123-SUM(R123:AS123)</f>
        <v>0</v>
      </c>
      <c r="AV123" s="3421">
        <f>SUM(Y123:AS123)</f>
        <v>28309.74768</v>
      </c>
      <c r="AW123" s="3420">
        <f>SUM(R123:X123,AV123)</f>
        <v>122018.43623999998</v>
      </c>
      <c r="AY123" s="3410" t="b">
        <f>AT123=AW123</f>
        <v>1</v>
      </c>
      <c r="BC123" s="3411"/>
    </row>
    <row r="124" spans="2:55" s="3439" customFormat="1">
      <c r="B124" s="3426" t="s">
        <v>331</v>
      </c>
      <c r="C124" s="3427">
        <v>60</v>
      </c>
      <c r="D124" s="3428" t="s">
        <v>5723</v>
      </c>
      <c r="E124" s="3429" t="s">
        <v>5724</v>
      </c>
      <c r="F124" s="3429"/>
      <c r="G124" s="3429">
        <v>2026</v>
      </c>
      <c r="H124" s="3429">
        <v>2045</v>
      </c>
      <c r="I124" s="3429" t="s">
        <v>5382</v>
      </c>
      <c r="J124" s="3430">
        <v>9672043</v>
      </c>
      <c r="K124" s="3401"/>
      <c r="L124" s="3431"/>
      <c r="M124" s="3431"/>
      <c r="N124" s="3432"/>
      <c r="O124" s="3432"/>
      <c r="P124" s="3432"/>
      <c r="Q124" s="3433" t="s">
        <v>5383</v>
      </c>
      <c r="R124" s="3434"/>
      <c r="S124" s="3434">
        <f>$J$124/18/2</f>
        <v>268667.86111111112</v>
      </c>
      <c r="T124" s="3434">
        <f>$J$124/18</f>
        <v>537335.72222222225</v>
      </c>
      <c r="U124" s="3434">
        <f t="shared" ref="U124:AJ124" si="19">$J$124/18</f>
        <v>537335.72222222225</v>
      </c>
      <c r="V124" s="3434">
        <f t="shared" si="19"/>
        <v>537335.72222222225</v>
      </c>
      <c r="W124" s="3434">
        <f t="shared" si="19"/>
        <v>537335.72222222225</v>
      </c>
      <c r="X124" s="3434">
        <f t="shared" si="19"/>
        <v>537335.72222222225</v>
      </c>
      <c r="Y124" s="3434">
        <f t="shared" si="19"/>
        <v>537335.72222222225</v>
      </c>
      <c r="Z124" s="3434">
        <f t="shared" si="19"/>
        <v>537335.72222222225</v>
      </c>
      <c r="AA124" s="3434">
        <f t="shared" si="19"/>
        <v>537335.72222222225</v>
      </c>
      <c r="AB124" s="3434">
        <f t="shared" si="19"/>
        <v>537335.72222222225</v>
      </c>
      <c r="AC124" s="3434">
        <f t="shared" si="19"/>
        <v>537335.72222222225</v>
      </c>
      <c r="AD124" s="3434">
        <f t="shared" si="19"/>
        <v>537335.72222222225</v>
      </c>
      <c r="AE124" s="3434">
        <f t="shared" si="19"/>
        <v>537335.72222222225</v>
      </c>
      <c r="AF124" s="3434">
        <f t="shared" si="19"/>
        <v>537335.72222222225</v>
      </c>
      <c r="AG124" s="3434">
        <f t="shared" si="19"/>
        <v>537335.72222222225</v>
      </c>
      <c r="AH124" s="3434">
        <f t="shared" si="19"/>
        <v>537335.72222222225</v>
      </c>
      <c r="AI124" s="3434">
        <f t="shared" si="19"/>
        <v>537335.72222222225</v>
      </c>
      <c r="AJ124" s="3434">
        <f t="shared" si="19"/>
        <v>537335.72222222225</v>
      </c>
      <c r="AK124" s="3434">
        <f>$J$124/18/2</f>
        <v>268667.86111111112</v>
      </c>
      <c r="AL124" s="3434"/>
      <c r="AM124" s="3434"/>
      <c r="AN124" s="3434"/>
      <c r="AO124" s="3434"/>
      <c r="AP124" s="3434"/>
      <c r="AQ124" s="3434"/>
      <c r="AR124" s="3434"/>
      <c r="AS124" s="3434"/>
      <c r="AT124" s="3435">
        <f t="shared" si="11"/>
        <v>9672042.9999999981</v>
      </c>
      <c r="AU124" s="3436">
        <f t="shared" si="12"/>
        <v>0</v>
      </c>
      <c r="AV124" s="3437">
        <f t="shared" si="10"/>
        <v>6716696.5277777761</v>
      </c>
      <c r="AW124" s="3435">
        <f t="shared" si="8"/>
        <v>9672042.9999999981</v>
      </c>
      <c r="AX124" s="3438" t="b">
        <f>J124=AT124</f>
        <v>1</v>
      </c>
      <c r="AY124" s="3438" t="b">
        <f t="shared" si="9"/>
        <v>1</v>
      </c>
      <c r="AZ124" s="3350">
        <f>AW124-J124</f>
        <v>0</v>
      </c>
      <c r="BC124" s="3350"/>
    </row>
    <row r="125" spans="2:55" s="3439" customFormat="1">
      <c r="B125" s="3440" t="s">
        <v>331</v>
      </c>
      <c r="C125" s="3441"/>
      <c r="D125" s="3442"/>
      <c r="E125" s="3442"/>
      <c r="F125" s="3442"/>
      <c r="G125" s="3442"/>
      <c r="H125" s="3442"/>
      <c r="I125" s="3442"/>
      <c r="J125" s="3443"/>
      <c r="K125" s="3357"/>
      <c r="L125" s="3444"/>
      <c r="M125" s="3444"/>
      <c r="N125" s="3445">
        <f>SUM(O125:P125)</f>
        <v>3</v>
      </c>
      <c r="O125" s="3445">
        <v>3</v>
      </c>
      <c r="P125" s="3445">
        <f>$P$4</f>
        <v>0</v>
      </c>
      <c r="Q125" s="3445" t="s">
        <v>5386</v>
      </c>
      <c r="R125" s="3446">
        <f>SUM(R124:$AQ124)*$N125/100/3</f>
        <v>96720.429999999978</v>
      </c>
      <c r="S125" s="3446">
        <f>SUM(S124:$AQ124)*$N125/100</f>
        <v>290161.28999999992</v>
      </c>
      <c r="T125" s="3446">
        <f>SUM(T124:$AQ124)*$N125/100</f>
        <v>282101.25416666665</v>
      </c>
      <c r="U125" s="3446">
        <f>SUM(U124:$AQ124)*$N125/100</f>
        <v>265981.1825</v>
      </c>
      <c r="V125" s="3446">
        <f>SUM(V124:$AQ124)*$N125/100</f>
        <v>249861.11083333328</v>
      </c>
      <c r="W125" s="3446">
        <f>SUM(W124:$AQ124)*$N125/100</f>
        <v>233741.0391666666</v>
      </c>
      <c r="X125" s="3446">
        <f>SUM(X124:$AQ124)*$N125/100</f>
        <v>217620.96749999991</v>
      </c>
      <c r="Y125" s="3446">
        <f>SUM(Y124:$AQ124)*$N125/100</f>
        <v>201500.89583333328</v>
      </c>
      <c r="Z125" s="3446">
        <f>SUM(Z124:$AQ124)*$N125/100</f>
        <v>185380.82416666663</v>
      </c>
      <c r="AA125" s="3446">
        <f>SUM(AA124:$AQ124)*$N125/100</f>
        <v>169260.75249999997</v>
      </c>
      <c r="AB125" s="3446">
        <f>SUM(AB124:$AQ124)*$N125/100</f>
        <v>153140.68083333329</v>
      </c>
      <c r="AC125" s="3446">
        <f>SUM(AC124:$AQ124)*$N125/100</f>
        <v>137020.60916666663</v>
      </c>
      <c r="AD125" s="3446">
        <f>SUM(AD124:$AQ124)*$N125/100</f>
        <v>120900.53749999998</v>
      </c>
      <c r="AE125" s="3446">
        <f>SUM(AE124:$AQ124)*$N125/100</f>
        <v>104780.46583333332</v>
      </c>
      <c r="AF125" s="3446">
        <f>SUM(AF124:$AQ124)*$N125/100</f>
        <v>88660.394166666665</v>
      </c>
      <c r="AG125" s="3446">
        <f>SUM(AG124:$AQ124)*$N125/100</f>
        <v>72540.322499999995</v>
      </c>
      <c r="AH125" s="3446">
        <f>SUM(AH124:$AQ124)*$N125/100</f>
        <v>56420.250833333339</v>
      </c>
      <c r="AI125" s="3446">
        <f>SUM(AI124:$AQ124)*$N125/100</f>
        <v>40300.179166666669</v>
      </c>
      <c r="AJ125" s="3446">
        <f>SUM(AJ124:$AQ124)*$N125/100</f>
        <v>24180.107499999998</v>
      </c>
      <c r="AK125" s="3446">
        <f>SUM(AK124:$AQ124)*$N125/100</f>
        <v>8060.0358333333334</v>
      </c>
      <c r="AL125" s="3446"/>
      <c r="AM125" s="3446"/>
      <c r="AN125" s="3446"/>
      <c r="AO125" s="3446"/>
      <c r="AP125" s="3446"/>
      <c r="AQ125" s="3446"/>
      <c r="AR125" s="3446"/>
      <c r="AS125" s="3446"/>
      <c r="AT125" s="3447">
        <f t="shared" si="11"/>
        <v>2998333.3299999991</v>
      </c>
      <c r="AU125" s="3448">
        <f t="shared" si="12"/>
        <v>0</v>
      </c>
      <c r="AV125" s="3449">
        <f t="shared" si="10"/>
        <v>1362146.0558333329</v>
      </c>
      <c r="AW125" s="3447">
        <f t="shared" si="8"/>
        <v>2998333.3299999991</v>
      </c>
      <c r="AY125" s="3438" t="b">
        <f t="shared" si="9"/>
        <v>1</v>
      </c>
      <c r="AZ125" s="3316"/>
      <c r="BC125" s="3350"/>
    </row>
    <row r="126" spans="2:55" s="3439" customFormat="1">
      <c r="B126" s="3426" t="s">
        <v>331</v>
      </c>
      <c r="C126" s="3427">
        <v>61</v>
      </c>
      <c r="D126" s="3428" t="s">
        <v>5725</v>
      </c>
      <c r="E126" s="3429" t="s">
        <v>5724</v>
      </c>
      <c r="F126" s="3429"/>
      <c r="G126" s="3429">
        <v>2026</v>
      </c>
      <c r="H126" s="3429">
        <v>2036</v>
      </c>
      <c r="I126" s="3429" t="s">
        <v>5382</v>
      </c>
      <c r="J126" s="3430">
        <v>1514893.8</v>
      </c>
      <c r="K126" s="3401"/>
      <c r="L126" s="3431"/>
      <c r="M126" s="3431"/>
      <c r="N126" s="3432"/>
      <c r="O126" s="3432"/>
      <c r="P126" s="3432"/>
      <c r="Q126" s="3433" t="s">
        <v>5383</v>
      </c>
      <c r="R126" s="3434"/>
      <c r="S126" s="3434">
        <f>$J$126/8/2</f>
        <v>94680.862500000003</v>
      </c>
      <c r="T126" s="3434">
        <f>$J$126/8</f>
        <v>189361.72500000001</v>
      </c>
      <c r="U126" s="3434">
        <f t="shared" ref="U126:Z126" si="20">$J$126/8</f>
        <v>189361.72500000001</v>
      </c>
      <c r="V126" s="3434">
        <f t="shared" si="20"/>
        <v>189361.72500000001</v>
      </c>
      <c r="W126" s="3434">
        <f t="shared" si="20"/>
        <v>189361.72500000001</v>
      </c>
      <c r="X126" s="3434">
        <f t="shared" si="20"/>
        <v>189361.72500000001</v>
      </c>
      <c r="Y126" s="3434">
        <f t="shared" si="20"/>
        <v>189361.72500000001</v>
      </c>
      <c r="Z126" s="3434">
        <f t="shared" si="20"/>
        <v>189361.72500000001</v>
      </c>
      <c r="AA126" s="3434">
        <f>$J$126/8/2</f>
        <v>94680.862500000003</v>
      </c>
      <c r="AB126" s="3434"/>
      <c r="AC126" s="3434"/>
      <c r="AD126" s="3434"/>
      <c r="AE126" s="3434"/>
      <c r="AF126" s="3434"/>
      <c r="AG126" s="3434"/>
      <c r="AH126" s="3434"/>
      <c r="AI126" s="3434"/>
      <c r="AJ126" s="3434"/>
      <c r="AK126" s="3434"/>
      <c r="AL126" s="3434"/>
      <c r="AM126" s="3434"/>
      <c r="AN126" s="3434"/>
      <c r="AO126" s="3434"/>
      <c r="AP126" s="3434"/>
      <c r="AQ126" s="3434"/>
      <c r="AR126" s="3434"/>
      <c r="AS126" s="3434"/>
      <c r="AT126" s="3435">
        <f t="shared" si="11"/>
        <v>1514893.8</v>
      </c>
      <c r="AU126" s="3436">
        <f t="shared" si="12"/>
        <v>0</v>
      </c>
      <c r="AV126" s="3437">
        <f t="shared" si="10"/>
        <v>473404.3125</v>
      </c>
      <c r="AW126" s="3435">
        <f t="shared" si="8"/>
        <v>1514893.7999999998</v>
      </c>
      <c r="AX126" s="3438" t="b">
        <f>J126=AT126</f>
        <v>1</v>
      </c>
      <c r="AY126" s="3438" t="b">
        <f t="shared" si="9"/>
        <v>1</v>
      </c>
      <c r="AZ126" s="3350">
        <f>AW126-J126</f>
        <v>0</v>
      </c>
      <c r="BC126" s="3350"/>
    </row>
    <row r="127" spans="2:55" s="3439" customFormat="1">
      <c r="B127" s="3440" t="s">
        <v>331</v>
      </c>
      <c r="C127" s="3441"/>
      <c r="D127" s="3442"/>
      <c r="E127" s="3442"/>
      <c r="F127" s="3442"/>
      <c r="G127" s="3442"/>
      <c r="H127" s="3442"/>
      <c r="I127" s="3442"/>
      <c r="J127" s="3443"/>
      <c r="K127" s="3357"/>
      <c r="L127" s="3444"/>
      <c r="M127" s="3444"/>
      <c r="N127" s="3445">
        <f>SUM(O127:P127)</f>
        <v>3</v>
      </c>
      <c r="O127" s="3445">
        <v>3</v>
      </c>
      <c r="P127" s="3445">
        <f>$P$4</f>
        <v>0</v>
      </c>
      <c r="Q127" s="3445" t="s">
        <v>5386</v>
      </c>
      <c r="R127" s="3446">
        <f>SUM(R126:$AQ126)*$N127/100/2-6434</f>
        <v>16289.407000000003</v>
      </c>
      <c r="S127" s="3446">
        <f>SUM(S126:$AQ126)*$N127/100</f>
        <v>45446.814000000006</v>
      </c>
      <c r="T127" s="3446">
        <f>SUM(T126:$AQ126)*$N127/100</f>
        <v>42606.388125000012</v>
      </c>
      <c r="U127" s="3446">
        <f>SUM(U126:$AQ126)*$N127/100</f>
        <v>36925.536375000003</v>
      </c>
      <c r="V127" s="3446">
        <f>SUM(V126:$AQ126)*$N127/100</f>
        <v>31244.684625000005</v>
      </c>
      <c r="W127" s="3446">
        <f>SUM(W126:$AQ126)*$N127/100</f>
        <v>25563.832875</v>
      </c>
      <c r="X127" s="3446">
        <f>SUM(X126:$AQ126)*$N127/100</f>
        <v>19882.981125000002</v>
      </c>
      <c r="Y127" s="3446">
        <f>SUM(Y126:$AQ126)*$N127/100</f>
        <v>14202.129375</v>
      </c>
      <c r="Z127" s="3446">
        <f>SUM(Z126:$AQ126)*$N127/100</f>
        <v>8521.2776250000006</v>
      </c>
      <c r="AA127" s="3446">
        <f>SUM(AA126:$AQ126)*$N127/100</f>
        <v>2840.4258750000004</v>
      </c>
      <c r="AB127" s="3446"/>
      <c r="AC127" s="3446"/>
      <c r="AD127" s="3446"/>
      <c r="AE127" s="3446"/>
      <c r="AF127" s="3446"/>
      <c r="AG127" s="3446"/>
      <c r="AH127" s="3446"/>
      <c r="AI127" s="3446"/>
      <c r="AJ127" s="3446"/>
      <c r="AK127" s="3446"/>
      <c r="AL127" s="3446"/>
      <c r="AM127" s="3446"/>
      <c r="AN127" s="3446"/>
      <c r="AO127" s="3446"/>
      <c r="AP127" s="3446"/>
      <c r="AQ127" s="3446"/>
      <c r="AR127" s="3446"/>
      <c r="AS127" s="3446"/>
      <c r="AT127" s="3447">
        <f t="shared" si="11"/>
        <v>243523.47699999996</v>
      </c>
      <c r="AU127" s="3448">
        <f t="shared" si="12"/>
        <v>0</v>
      </c>
      <c r="AV127" s="3449">
        <f t="shared" si="10"/>
        <v>25563.832875</v>
      </c>
      <c r="AW127" s="3447">
        <f t="shared" si="8"/>
        <v>243523.47699999998</v>
      </c>
      <c r="AX127" s="3438"/>
      <c r="AY127" s="3438" t="b">
        <f t="shared" si="9"/>
        <v>1</v>
      </c>
      <c r="AZ127" s="3350"/>
      <c r="BC127" s="3350"/>
    </row>
    <row r="128" spans="2:55" s="3439" customFormat="1">
      <c r="B128" s="3426" t="s">
        <v>331</v>
      </c>
      <c r="C128" s="3427">
        <v>62</v>
      </c>
      <c r="D128" s="3428" t="s">
        <v>5726</v>
      </c>
      <c r="E128" s="3429" t="s">
        <v>5724</v>
      </c>
      <c r="F128" s="3429"/>
      <c r="G128" s="3429">
        <v>2026</v>
      </c>
      <c r="H128" s="3429">
        <v>2036</v>
      </c>
      <c r="I128" s="3429" t="s">
        <v>5382</v>
      </c>
      <c r="J128" s="3430">
        <v>240428.40000000014</v>
      </c>
      <c r="K128" s="3401"/>
      <c r="L128" s="3431"/>
      <c r="M128" s="3431"/>
      <c r="N128" s="3432"/>
      <c r="O128" s="3432"/>
      <c r="P128" s="3432"/>
      <c r="Q128" s="3433" t="s">
        <v>5383</v>
      </c>
      <c r="R128" s="3434"/>
      <c r="S128" s="3434">
        <f t="shared" ref="S128:AB128" si="21">$J$128/10</f>
        <v>24042.840000000015</v>
      </c>
      <c r="T128" s="3434">
        <f t="shared" si="21"/>
        <v>24042.840000000015</v>
      </c>
      <c r="U128" s="3434">
        <f t="shared" si="21"/>
        <v>24042.840000000015</v>
      </c>
      <c r="V128" s="3434">
        <f t="shared" si="21"/>
        <v>24042.840000000015</v>
      </c>
      <c r="W128" s="3434">
        <f t="shared" si="21"/>
        <v>24042.840000000015</v>
      </c>
      <c r="X128" s="3434">
        <f t="shared" si="21"/>
        <v>24042.840000000015</v>
      </c>
      <c r="Y128" s="3434">
        <f t="shared" si="21"/>
        <v>24042.840000000015</v>
      </c>
      <c r="Z128" s="3434">
        <f t="shared" si="21"/>
        <v>24042.840000000015</v>
      </c>
      <c r="AA128" s="3434">
        <f t="shared" si="21"/>
        <v>24042.840000000015</v>
      </c>
      <c r="AB128" s="3434">
        <f t="shared" si="21"/>
        <v>24042.840000000015</v>
      </c>
      <c r="AC128" s="3434"/>
      <c r="AD128" s="3434"/>
      <c r="AE128" s="3434"/>
      <c r="AF128" s="3434"/>
      <c r="AG128" s="3434"/>
      <c r="AH128" s="3434"/>
      <c r="AI128" s="3434"/>
      <c r="AJ128" s="3434"/>
      <c r="AK128" s="3434"/>
      <c r="AL128" s="3434"/>
      <c r="AM128" s="3434"/>
      <c r="AN128" s="3434"/>
      <c r="AO128" s="3434"/>
      <c r="AP128" s="3434"/>
      <c r="AQ128" s="3434"/>
      <c r="AR128" s="3434"/>
      <c r="AS128" s="3434"/>
      <c r="AT128" s="3435">
        <f t="shared" si="11"/>
        <v>240428.4000000002</v>
      </c>
      <c r="AU128" s="3436"/>
      <c r="AV128" s="3437">
        <f t="shared" si="10"/>
        <v>96171.360000000059</v>
      </c>
      <c r="AW128" s="3435">
        <f t="shared" si="8"/>
        <v>240428.40000000014</v>
      </c>
      <c r="AX128" s="3438" t="b">
        <f>J128=AT128</f>
        <v>1</v>
      </c>
      <c r="AY128" s="3438" t="b">
        <f t="shared" si="9"/>
        <v>1</v>
      </c>
      <c r="AZ128" s="3350">
        <f>AW128-J128</f>
        <v>0</v>
      </c>
      <c r="BC128" s="3350"/>
    </row>
    <row r="129" spans="2:55" s="3439" customFormat="1">
      <c r="B129" s="3440" t="s">
        <v>331</v>
      </c>
      <c r="C129" s="3441"/>
      <c r="D129" s="3442" t="s">
        <v>5727</v>
      </c>
      <c r="E129" s="3442"/>
      <c r="F129" s="3442"/>
      <c r="G129" s="3442"/>
      <c r="H129" s="3442"/>
      <c r="I129" s="3442"/>
      <c r="J129" s="3443"/>
      <c r="K129" s="3357"/>
      <c r="L129" s="3444"/>
      <c r="M129" s="3444"/>
      <c r="N129" s="3445">
        <f>SUM(O129:P129)</f>
        <v>3</v>
      </c>
      <c r="O129" s="3445">
        <v>3</v>
      </c>
      <c r="P129" s="3445">
        <f>$P$4</f>
        <v>0</v>
      </c>
      <c r="Q129" s="3445" t="s">
        <v>5386</v>
      </c>
      <c r="R129" s="3446">
        <f>SUM(R128:$AQ128)*$N129/100</f>
        <v>7212.8520000000062</v>
      </c>
      <c r="S129" s="3446">
        <f>SUM(S128:$AQ128)*$N129/100</f>
        <v>7212.8520000000062</v>
      </c>
      <c r="T129" s="3446">
        <f>SUM(T128:$AQ128)*$N129/100</f>
        <v>6491.5668000000051</v>
      </c>
      <c r="U129" s="3446">
        <f>SUM(U128:$AQ128)*$N129/100</f>
        <v>5770.2816000000039</v>
      </c>
      <c r="V129" s="3446">
        <f>SUM(V128:$AQ128)*$N129/100</f>
        <v>5048.9964000000036</v>
      </c>
      <c r="W129" s="3446">
        <f>SUM(W128:$AQ128)*$N129/100</f>
        <v>4327.7112000000025</v>
      </c>
      <c r="X129" s="3446">
        <f>SUM(X128:$AQ128)*$N129/100</f>
        <v>3606.4260000000022</v>
      </c>
      <c r="Y129" s="3446">
        <f>SUM(Y128:$AQ128)*$N129/100</f>
        <v>2885.1408000000019</v>
      </c>
      <c r="Z129" s="3446">
        <f>SUM(Z128:$AQ128)*$N129/100</f>
        <v>2163.8556000000012</v>
      </c>
      <c r="AA129" s="3446">
        <f>SUM(AA128:$AQ128)*$N129/100</f>
        <v>1442.570400000001</v>
      </c>
      <c r="AB129" s="3446">
        <f>SUM(AB128:$AQ128)*$N129/100</f>
        <v>721.28520000000049</v>
      </c>
      <c r="AC129" s="3446"/>
      <c r="AD129" s="3446"/>
      <c r="AE129" s="3446"/>
      <c r="AF129" s="3446"/>
      <c r="AG129" s="3446"/>
      <c r="AH129" s="3446"/>
      <c r="AI129" s="3446"/>
      <c r="AJ129" s="3446"/>
      <c r="AK129" s="3446"/>
      <c r="AL129" s="3446"/>
      <c r="AM129" s="3446"/>
      <c r="AN129" s="3446"/>
      <c r="AO129" s="3446"/>
      <c r="AP129" s="3446"/>
      <c r="AQ129" s="3446"/>
      <c r="AR129" s="3446"/>
      <c r="AS129" s="3446"/>
      <c r="AT129" s="3447">
        <f t="shared" si="11"/>
        <v>46883.538000000037</v>
      </c>
      <c r="AU129" s="3448"/>
      <c r="AV129" s="3449">
        <f t="shared" si="10"/>
        <v>7212.8520000000044</v>
      </c>
      <c r="AW129" s="3447">
        <f t="shared" si="8"/>
        <v>46883.538000000037</v>
      </c>
      <c r="AX129" s="3438"/>
      <c r="AY129" s="3438" t="b">
        <f t="shared" si="9"/>
        <v>1</v>
      </c>
      <c r="AZ129" s="3350"/>
      <c r="BC129" s="3350"/>
    </row>
    <row r="132" spans="2:55">
      <c r="J132" s="3450"/>
      <c r="K132" s="3450"/>
      <c r="L132" s="3450"/>
      <c r="M132" s="3450"/>
      <c r="N132" s="3451"/>
      <c r="O132" s="3451"/>
      <c r="P132" s="3451"/>
      <c r="Q132" s="3452"/>
      <c r="R132" s="3450"/>
      <c r="S132" s="3450"/>
      <c r="T132" s="3450"/>
      <c r="U132" s="3450"/>
      <c r="V132" s="3450"/>
      <c r="W132" s="3450"/>
      <c r="X132" s="3450"/>
      <c r="Y132" s="3450"/>
      <c r="Z132" s="3450"/>
      <c r="AA132" s="3450"/>
      <c r="AB132" s="3450"/>
      <c r="AC132" s="3450"/>
      <c r="AD132" s="3450"/>
      <c r="AE132" s="3450"/>
      <c r="AF132" s="3450"/>
      <c r="AG132" s="3450"/>
      <c r="AH132" s="3450"/>
      <c r="AI132" s="3450"/>
      <c r="AJ132" s="3450"/>
      <c r="AK132" s="3450"/>
      <c r="AL132" s="3450"/>
      <c r="AM132" s="3450"/>
      <c r="AN132" s="3450"/>
      <c r="AO132" s="3450"/>
      <c r="AP132" s="3450"/>
      <c r="AQ132" s="3450"/>
      <c r="AR132" s="3450"/>
      <c r="AS132" s="3450"/>
      <c r="AT132" s="3450"/>
      <c r="AU132" s="3448">
        <f t="shared" ref="AU132:AU136" si="22">AT132-SUM(R132:AS132)</f>
        <v>0</v>
      </c>
      <c r="AV132" s="3450">
        <f t="shared" ref="AV132" si="23">SUM(X132:AS132)</f>
        <v>0</v>
      </c>
      <c r="AW132" s="3450">
        <f>SUM(R132:W132,AV132)</f>
        <v>0</v>
      </c>
      <c r="AY132" s="3336" t="b">
        <f t="shared" si="9"/>
        <v>1</v>
      </c>
      <c r="BC132" s="3350"/>
    </row>
    <row r="133" spans="2:55" hidden="1" outlineLevel="1">
      <c r="J133" s="3453">
        <f>SUM(J6:J129)</f>
        <v>81924246.579999998</v>
      </c>
      <c r="K133" s="3450"/>
      <c r="L133" s="3450"/>
      <c r="M133" s="3450"/>
      <c r="N133" s="3451"/>
      <c r="O133" s="3451"/>
      <c r="P133" s="3451"/>
      <c r="Q133" s="3451"/>
      <c r="R133" s="3450"/>
      <c r="S133" s="3450"/>
      <c r="T133" s="3450"/>
      <c r="U133" s="3450"/>
      <c r="V133" s="3450"/>
      <c r="W133" s="3450"/>
      <c r="X133" s="3450"/>
      <c r="Y133" s="3450"/>
      <c r="Z133" s="3450"/>
      <c r="AA133" s="3450"/>
      <c r="AB133" s="3450"/>
      <c r="AC133" s="3450"/>
      <c r="AD133" s="3450"/>
      <c r="AE133" s="3450"/>
      <c r="AF133" s="3450"/>
      <c r="AG133" s="3450"/>
      <c r="AH133" s="3450"/>
      <c r="AI133" s="3450"/>
      <c r="AJ133" s="3450"/>
      <c r="AK133" s="3450"/>
      <c r="AL133" s="3450"/>
      <c r="AM133" s="3450"/>
      <c r="AN133" s="3450"/>
      <c r="AO133" s="3450"/>
      <c r="AP133" s="3450"/>
      <c r="AQ133" s="3450"/>
      <c r="AR133" s="3450"/>
      <c r="AS133" s="3450"/>
      <c r="AT133" s="3450"/>
      <c r="AU133" s="3448">
        <f t="shared" si="22"/>
        <v>0</v>
      </c>
      <c r="AV133" s="3450">
        <f>SUM(X133:AS133)</f>
        <v>0</v>
      </c>
      <c r="AW133" s="3450">
        <f>SUM(R133:W133,AV133)</f>
        <v>0</v>
      </c>
      <c r="AY133" s="3336"/>
      <c r="BC133" s="3350"/>
    </row>
    <row r="134" spans="2:55" s="3336" customFormat="1" collapsed="1">
      <c r="E134" s="3372"/>
      <c r="H134" s="3454"/>
      <c r="I134" s="3455"/>
      <c r="J134" s="3350"/>
      <c r="K134" s="3456">
        <f>SUM(K6:K129)</f>
        <v>44352623.920000002</v>
      </c>
      <c r="L134" s="3350"/>
      <c r="M134" s="3350"/>
      <c r="N134" s="3457">
        <f>AVERAGE(N7:N129)</f>
        <v>2.7567258064516125</v>
      </c>
      <c r="O134" s="3350"/>
      <c r="P134" s="3450"/>
      <c r="Q134" s="3458" t="s">
        <v>5383</v>
      </c>
      <c r="R134" s="3459">
        <f t="shared" ref="R134:AG135" si="24">SUMIF($Q$6:$Q$129,$Q134,R$6:R$129)</f>
        <v>3907497.16</v>
      </c>
      <c r="S134" s="3459">
        <f t="shared" si="24"/>
        <v>3804714.0236111106</v>
      </c>
      <c r="T134" s="3459">
        <f t="shared" si="24"/>
        <v>4320686.4472222216</v>
      </c>
      <c r="U134" s="3459">
        <f t="shared" si="24"/>
        <v>4242592.4472222216</v>
      </c>
      <c r="V134" s="3459">
        <f t="shared" si="24"/>
        <v>4175079.4472222221</v>
      </c>
      <c r="W134" s="3459">
        <f t="shared" si="24"/>
        <v>4088621.1072222223</v>
      </c>
      <c r="X134" s="3459">
        <f t="shared" si="24"/>
        <v>3429993.9972222219</v>
      </c>
      <c r="Y134" s="3459">
        <f t="shared" si="24"/>
        <v>3267262.037222222</v>
      </c>
      <c r="Z134" s="3459">
        <f t="shared" si="24"/>
        <v>2897527.0472222217</v>
      </c>
      <c r="AA134" s="3459">
        <f t="shared" si="24"/>
        <v>2598958.1847222219</v>
      </c>
      <c r="AB134" s="3459">
        <f t="shared" si="24"/>
        <v>2359563.2722222218</v>
      </c>
      <c r="AC134" s="3459">
        <f t="shared" si="24"/>
        <v>2224707.722222222</v>
      </c>
      <c r="AD134" s="3459">
        <f t="shared" si="24"/>
        <v>2089349.7222222222</v>
      </c>
      <c r="AE134" s="3459">
        <f t="shared" si="24"/>
        <v>1786267.7222222222</v>
      </c>
      <c r="AF134" s="3459">
        <f t="shared" si="24"/>
        <v>1745217.7622222223</v>
      </c>
      <c r="AG134" s="3459">
        <f t="shared" si="24"/>
        <v>1728696.7922222223</v>
      </c>
      <c r="AH134" s="3459">
        <f t="shared" ref="AH134:AS135" si="25">SUMIF($Q$6:$Q$129,$Q134,AH$6:AH$129)</f>
        <v>1721683.7222222222</v>
      </c>
      <c r="AI134" s="3459">
        <f t="shared" si="25"/>
        <v>1721683.7222222222</v>
      </c>
      <c r="AJ134" s="3459">
        <f t="shared" si="25"/>
        <v>1721683.7222222222</v>
      </c>
      <c r="AK134" s="3459">
        <f t="shared" si="25"/>
        <v>1453015.861111111</v>
      </c>
      <c r="AL134" s="3459">
        <f t="shared" si="25"/>
        <v>1184348</v>
      </c>
      <c r="AM134" s="3459">
        <f t="shared" si="25"/>
        <v>1184348</v>
      </c>
      <c r="AN134" s="3459">
        <f t="shared" si="25"/>
        <v>867315.83000000007</v>
      </c>
      <c r="AO134" s="3459">
        <f t="shared" si="25"/>
        <v>452632</v>
      </c>
      <c r="AP134" s="3459">
        <f t="shared" si="25"/>
        <v>409981</v>
      </c>
      <c r="AQ134" s="3459">
        <f t="shared" si="25"/>
        <v>55587.92</v>
      </c>
      <c r="AR134" s="3459">
        <f t="shared" si="25"/>
        <v>0</v>
      </c>
      <c r="AS134" s="3459">
        <f t="shared" si="25"/>
        <v>0</v>
      </c>
      <c r="AT134" s="3459">
        <f>SUM(R134:AS134)</f>
        <v>59439014.670000009</v>
      </c>
      <c r="AU134" s="3448">
        <f t="shared" si="22"/>
        <v>0</v>
      </c>
      <c r="AV134" s="3459">
        <f t="shared" ref="AV134:AV136" si="26">SUM(Y134:AS134)</f>
        <v>31469830.040277787</v>
      </c>
      <c r="AW134" s="3459">
        <f t="shared" ref="AW134:AW136" si="27">SUM(R134:X134,AV134)</f>
        <v>59439014.670000002</v>
      </c>
      <c r="AY134" s="3336" t="b">
        <f t="shared" si="9"/>
        <v>1</v>
      </c>
      <c r="AZ134" s="3350"/>
      <c r="BC134" s="3350"/>
    </row>
    <row r="135" spans="2:55">
      <c r="H135" s="3454"/>
      <c r="J135" s="3350"/>
      <c r="K135" s="3322"/>
      <c r="L135" s="3322"/>
      <c r="M135" s="3322"/>
      <c r="N135" s="3322"/>
      <c r="O135" s="3322"/>
      <c r="P135" s="3450"/>
      <c r="Q135" s="3460" t="s">
        <v>5386</v>
      </c>
      <c r="R135" s="3461">
        <f t="shared" si="24"/>
        <v>1402441.3806191001</v>
      </c>
      <c r="S135" s="3461">
        <f t="shared" si="24"/>
        <v>1591992.1008190999</v>
      </c>
      <c r="T135" s="3461">
        <f t="shared" si="24"/>
        <v>1485933.9172790668</v>
      </c>
      <c r="U135" s="3461">
        <f t="shared" si="24"/>
        <v>1363690.5418524002</v>
      </c>
      <c r="V135" s="3461">
        <f t="shared" si="24"/>
        <v>1243558.0301057333</v>
      </c>
      <c r="W135" s="3461">
        <f t="shared" si="24"/>
        <v>1125361.7590890669</v>
      </c>
      <c r="X135" s="3461">
        <f t="shared" si="24"/>
        <v>1009908.2707477999</v>
      </c>
      <c r="Y135" s="3461">
        <f t="shared" si="24"/>
        <v>910877.17210113339</v>
      </c>
      <c r="Z135" s="3461">
        <f t="shared" si="24"/>
        <v>816742.47685276659</v>
      </c>
      <c r="AA135" s="3461">
        <f t="shared" si="24"/>
        <v>732608.70351609983</v>
      </c>
      <c r="AB135" s="3461">
        <f t="shared" si="24"/>
        <v>657491.48546443321</v>
      </c>
      <c r="AC135" s="3461">
        <f t="shared" si="24"/>
        <v>589169.47291776678</v>
      </c>
      <c r="AD135" s="3461">
        <f t="shared" si="24"/>
        <v>524189.29861109995</v>
      </c>
      <c r="AE135" s="3461">
        <f t="shared" si="24"/>
        <v>463263.37428443332</v>
      </c>
      <c r="AF135" s="3461">
        <f t="shared" si="24"/>
        <v>411896.64937776665</v>
      </c>
      <c r="AG135" s="3461">
        <f t="shared" si="24"/>
        <v>361597.57147909998</v>
      </c>
      <c r="AH135" s="3461">
        <f t="shared" si="25"/>
        <v>311749.55030653335</v>
      </c>
      <c r="AI135" s="3461">
        <f t="shared" si="25"/>
        <v>262079.45071986661</v>
      </c>
      <c r="AJ135" s="3461">
        <f t="shared" si="25"/>
        <v>212409.35113319999</v>
      </c>
      <c r="AK135" s="3461">
        <f t="shared" si="25"/>
        <v>162739.25154653331</v>
      </c>
      <c r="AL135" s="3461">
        <f t="shared" si="25"/>
        <v>121129.18779319999</v>
      </c>
      <c r="AM135" s="3461">
        <f t="shared" si="25"/>
        <v>87579.159873199984</v>
      </c>
      <c r="AN135" s="3461">
        <f t="shared" si="25"/>
        <v>54029.131953199991</v>
      </c>
      <c r="AO135" s="3461">
        <f t="shared" si="25"/>
        <v>29303.884686399997</v>
      </c>
      <c r="AP135" s="3461">
        <f t="shared" si="25"/>
        <v>15006.094726399999</v>
      </c>
      <c r="AQ135" s="3461">
        <f t="shared" si="25"/>
        <v>1749.3202464000001</v>
      </c>
      <c r="AR135" s="3461">
        <f t="shared" si="25"/>
        <v>0</v>
      </c>
      <c r="AS135" s="3461">
        <f t="shared" si="25"/>
        <v>0</v>
      </c>
      <c r="AT135" s="3461">
        <f>SUM(R135:AS135)</f>
        <v>15948496.588101802</v>
      </c>
      <c r="AU135" s="3448">
        <f t="shared" si="22"/>
        <v>0</v>
      </c>
      <c r="AV135" s="3461">
        <f t="shared" si="26"/>
        <v>6725610.5875895349</v>
      </c>
      <c r="AW135" s="3461">
        <f t="shared" si="27"/>
        <v>15948496.588101801</v>
      </c>
      <c r="AY135" s="3336" t="b">
        <f t="shared" si="9"/>
        <v>1</v>
      </c>
      <c r="AZ135" s="3350"/>
      <c r="BC135" s="3350"/>
    </row>
    <row r="136" spans="2:55" s="3372" customFormat="1">
      <c r="H136" s="3454"/>
      <c r="J136" s="3350"/>
      <c r="O136" s="3462"/>
      <c r="P136" s="3450"/>
      <c r="Q136" s="3458" t="s">
        <v>5728</v>
      </c>
      <c r="R136" s="3463">
        <f t="shared" ref="R136:AS136" si="28">SUM(R134:R135)</f>
        <v>5309938.5406191004</v>
      </c>
      <c r="S136" s="3463">
        <f t="shared" si="28"/>
        <v>5396706.1244302103</v>
      </c>
      <c r="T136" s="3463">
        <f t="shared" si="28"/>
        <v>5806620.3645012882</v>
      </c>
      <c r="U136" s="3463">
        <f t="shared" si="28"/>
        <v>5606282.9890746213</v>
      </c>
      <c r="V136" s="3463">
        <f t="shared" si="28"/>
        <v>5418637.4773279559</v>
      </c>
      <c r="W136" s="3463">
        <f t="shared" si="28"/>
        <v>5213982.8663112894</v>
      </c>
      <c r="X136" s="3463">
        <f t="shared" si="28"/>
        <v>4439902.2679700218</v>
      </c>
      <c r="Y136" s="3463">
        <f t="shared" si="28"/>
        <v>4178139.2093233555</v>
      </c>
      <c r="Z136" s="3463">
        <f t="shared" si="28"/>
        <v>3714269.5240749884</v>
      </c>
      <c r="AA136" s="3463">
        <f t="shared" si="28"/>
        <v>3331566.888238322</v>
      </c>
      <c r="AB136" s="3463">
        <f t="shared" si="28"/>
        <v>3017054.757686655</v>
      </c>
      <c r="AC136" s="3463">
        <f t="shared" si="28"/>
        <v>2813877.1951399888</v>
      </c>
      <c r="AD136" s="3463">
        <f t="shared" si="28"/>
        <v>2613539.0208333223</v>
      </c>
      <c r="AE136" s="3463">
        <f t="shared" si="28"/>
        <v>2249531.0965066557</v>
      </c>
      <c r="AF136" s="3463">
        <f t="shared" si="28"/>
        <v>2157114.411599989</v>
      </c>
      <c r="AG136" s="3463">
        <f t="shared" si="28"/>
        <v>2090294.3637013223</v>
      </c>
      <c r="AH136" s="3463">
        <f t="shared" si="28"/>
        <v>2033433.2725287555</v>
      </c>
      <c r="AI136" s="3463">
        <f t="shared" si="28"/>
        <v>1983763.1729420889</v>
      </c>
      <c r="AJ136" s="3463">
        <f t="shared" si="28"/>
        <v>1934093.0733554224</v>
      </c>
      <c r="AK136" s="3463">
        <f t="shared" si="28"/>
        <v>1615755.1126576443</v>
      </c>
      <c r="AL136" s="3463">
        <f t="shared" si="28"/>
        <v>1305477.1877931999</v>
      </c>
      <c r="AM136" s="3463">
        <f t="shared" si="28"/>
        <v>1271927.1598731999</v>
      </c>
      <c r="AN136" s="3463">
        <f t="shared" si="28"/>
        <v>921344.96195320005</v>
      </c>
      <c r="AO136" s="3463">
        <f t="shared" si="28"/>
        <v>481935.88468640001</v>
      </c>
      <c r="AP136" s="3463">
        <f t="shared" si="28"/>
        <v>424987.09472639998</v>
      </c>
      <c r="AQ136" s="3463">
        <f t="shared" si="28"/>
        <v>57337.240246399997</v>
      </c>
      <c r="AR136" s="3463">
        <f t="shared" si="28"/>
        <v>0</v>
      </c>
      <c r="AS136" s="3463">
        <f t="shared" si="28"/>
        <v>0</v>
      </c>
      <c r="AT136" s="3463">
        <f>SUM(R136:AS136)</f>
        <v>75387511.258101776</v>
      </c>
      <c r="AU136" s="3448">
        <f t="shared" si="22"/>
        <v>0</v>
      </c>
      <c r="AV136" s="3463">
        <f t="shared" si="26"/>
        <v>38195440.627867319</v>
      </c>
      <c r="AW136" s="3463">
        <f t="shared" si="27"/>
        <v>75387511.258101821</v>
      </c>
      <c r="AY136" s="3336" t="b">
        <f>AT136=AW136</f>
        <v>1</v>
      </c>
      <c r="AZ136" s="3350"/>
      <c r="BA136" s="3462">
        <f>SUM(R6:AS129)</f>
        <v>75387511.258101687</v>
      </c>
      <c r="BC136" s="3350"/>
    </row>
    <row r="137" spans="2:55">
      <c r="K137" s="3372"/>
      <c r="R137" s="3464"/>
      <c r="S137" s="3464"/>
      <c r="T137" s="3322"/>
      <c r="U137" s="3322"/>
      <c r="V137" s="3322"/>
      <c r="AW137" s="3322"/>
      <c r="BA137" s="3322">
        <f>BA136-AW136</f>
        <v>-1.3411045074462891E-7</v>
      </c>
      <c r="BC137" s="3350"/>
    </row>
    <row r="138" spans="2:55">
      <c r="I138" s="3465"/>
      <c r="J138" s="3466"/>
      <c r="K138" s="3372"/>
      <c r="Q138" s="3316" t="s">
        <v>5383</v>
      </c>
      <c r="R138" s="3467">
        <v>3516730.16</v>
      </c>
      <c r="S138" s="3464" t="s">
        <v>5729</v>
      </c>
      <c r="T138" s="3468">
        <f>R134-R128-R126-R124</f>
        <v>3907497.16</v>
      </c>
      <c r="U138" s="3468">
        <f>T138-R138</f>
        <v>390767</v>
      </c>
      <c r="V138" s="3322"/>
      <c r="W138" s="3468"/>
      <c r="X138" s="3468"/>
      <c r="Y138" s="3468"/>
      <c r="Z138" s="3468"/>
      <c r="AA138" s="3468"/>
      <c r="AB138" s="3468"/>
      <c r="AC138" s="3468"/>
      <c r="AD138" s="3468"/>
      <c r="AE138" s="3468"/>
      <c r="AF138" s="3468"/>
      <c r="AG138" s="3468"/>
      <c r="AH138" s="3468"/>
      <c r="AI138" s="3468"/>
      <c r="AJ138" s="3468"/>
      <c r="AK138" s="3468"/>
      <c r="AL138" s="3468"/>
      <c r="AM138" s="3468"/>
      <c r="AN138" s="3468"/>
      <c r="AO138" s="3468"/>
      <c r="AP138" s="3468"/>
      <c r="AQ138" s="3468"/>
      <c r="AR138" s="3468"/>
      <c r="AS138" s="3468"/>
      <c r="AT138" s="3468"/>
      <c r="AU138" s="3468"/>
      <c r="AV138" s="3468"/>
      <c r="AW138" s="3468"/>
    </row>
    <row r="139" spans="2:55">
      <c r="I139" s="3465"/>
      <c r="J139" s="3466"/>
      <c r="K139" s="3372"/>
      <c r="Q139" s="3316" t="s">
        <v>5386</v>
      </c>
      <c r="R139" s="3467">
        <v>1239965.9399999995</v>
      </c>
      <c r="S139" s="3464" t="s">
        <v>5729</v>
      </c>
      <c r="T139" s="3322">
        <v>1402431</v>
      </c>
      <c r="U139" s="3322">
        <f>R135-T139</f>
        <v>10.380619100062177</v>
      </c>
      <c r="W139" s="3468"/>
      <c r="X139" s="3468"/>
      <c r="Y139" s="3468"/>
      <c r="Z139" s="3468"/>
      <c r="AA139" s="3468"/>
      <c r="AB139" s="3468"/>
      <c r="AC139" s="3468"/>
      <c r="AD139" s="3468"/>
      <c r="AE139" s="3468"/>
      <c r="AF139" s="3468"/>
      <c r="AG139" s="3468"/>
      <c r="AH139" s="3468"/>
      <c r="AI139" s="3468"/>
      <c r="AJ139" s="3468"/>
      <c r="AK139" s="3468"/>
      <c r="AL139" s="3468"/>
      <c r="AM139" s="3468"/>
      <c r="AN139" s="3468"/>
      <c r="AO139" s="3468"/>
      <c r="AP139" s="3468"/>
      <c r="AQ139" s="3468"/>
      <c r="AR139" s="3468"/>
      <c r="AS139" s="3468"/>
      <c r="AT139" s="3468"/>
      <c r="AU139" s="3468"/>
      <c r="AV139" s="3468"/>
      <c r="AW139" s="3468"/>
    </row>
    <row r="140" spans="2:55" ht="15.6">
      <c r="C140" s="3323" t="s">
        <v>5730</v>
      </c>
      <c r="J140" s="3469"/>
      <c r="Q140" s="3316" t="s">
        <v>5731</v>
      </c>
      <c r="R140" s="3467">
        <v>64784.700000000012</v>
      </c>
      <c r="S140" s="3464" t="s">
        <v>5729</v>
      </c>
    </row>
    <row r="141" spans="2:55" ht="57.6">
      <c r="C141" s="3330" t="s">
        <v>711</v>
      </c>
      <c r="D141" s="3330" t="s">
        <v>5732</v>
      </c>
      <c r="E141" s="3330" t="s">
        <v>5733</v>
      </c>
      <c r="F141" s="3330" t="s">
        <v>5734</v>
      </c>
      <c r="G141" s="3330" t="s">
        <v>5363</v>
      </c>
      <c r="H141" s="3330" t="s">
        <v>5364</v>
      </c>
      <c r="I141" s="3330" t="s">
        <v>5365</v>
      </c>
      <c r="J141" s="3332" t="s">
        <v>5735</v>
      </c>
      <c r="K141" s="3332" t="s">
        <v>5367</v>
      </c>
      <c r="L141" s="3332" t="s">
        <v>5368</v>
      </c>
      <c r="M141" s="3332" t="s">
        <v>5369</v>
      </c>
      <c r="N141" s="3332" t="s">
        <v>5370</v>
      </c>
      <c r="O141" s="3332" t="s">
        <v>5371</v>
      </c>
      <c r="P141" s="3332" t="s">
        <v>5372</v>
      </c>
      <c r="Q141" s="3334" t="s">
        <v>5373</v>
      </c>
      <c r="R141" s="3331">
        <v>2026</v>
      </c>
      <c r="S141" s="3331">
        <v>2027</v>
      </c>
      <c r="T141" s="3331">
        <v>2028</v>
      </c>
      <c r="U141" s="3331">
        <v>2029</v>
      </c>
      <c r="V141" s="3331">
        <v>2030</v>
      </c>
      <c r="W141" s="3331">
        <v>2031</v>
      </c>
      <c r="X141" s="3331">
        <v>2032</v>
      </c>
      <c r="Y141" s="3331">
        <v>2033</v>
      </c>
      <c r="Z141" s="3331">
        <v>2034</v>
      </c>
      <c r="AA141" s="3331">
        <v>2035</v>
      </c>
      <c r="AB141" s="3331">
        <v>2036</v>
      </c>
      <c r="AC141" s="3331">
        <v>2037</v>
      </c>
      <c r="AD141" s="3331">
        <v>2038</v>
      </c>
      <c r="AE141" s="3331">
        <v>2039</v>
      </c>
      <c r="AF141" s="3331">
        <v>2040</v>
      </c>
      <c r="AG141" s="3331">
        <v>2041</v>
      </c>
      <c r="AH141" s="3331">
        <v>2042</v>
      </c>
      <c r="AI141" s="3331">
        <v>2043</v>
      </c>
      <c r="AJ141" s="3331">
        <v>2044</v>
      </c>
      <c r="AK141" s="3331">
        <v>2045</v>
      </c>
      <c r="AL141" s="3331">
        <v>2046</v>
      </c>
      <c r="AM141" s="3331">
        <v>2047</v>
      </c>
      <c r="AN141" s="3331">
        <v>2048</v>
      </c>
      <c r="AO141" s="3331">
        <v>2049</v>
      </c>
      <c r="AP141" s="3331">
        <v>2050</v>
      </c>
      <c r="AQ141" s="3331">
        <v>2051</v>
      </c>
      <c r="AR141" s="3331">
        <v>2052</v>
      </c>
      <c r="AS141" s="3331">
        <v>2053</v>
      </c>
      <c r="AT141" s="3330" t="s">
        <v>5374</v>
      </c>
      <c r="AV141" s="3329" t="s">
        <v>5736</v>
      </c>
      <c r="AW141" s="3330" t="s">
        <v>5737</v>
      </c>
    </row>
    <row r="142" spans="2:55" s="3336" customFormat="1">
      <c r="B142" s="3337"/>
      <c r="C142" s="3339">
        <v>1</v>
      </c>
      <c r="D142" s="3339" t="s">
        <v>5738</v>
      </c>
      <c r="E142" s="3340" t="s">
        <v>5739</v>
      </c>
      <c r="F142" s="3339"/>
      <c r="G142" s="3341">
        <v>3.2017000000000002</v>
      </c>
      <c r="H142" s="3341">
        <v>3.2031999999999998</v>
      </c>
      <c r="I142" s="3341" t="s">
        <v>5382</v>
      </c>
      <c r="J142" s="3342">
        <v>129553</v>
      </c>
      <c r="K142" s="3343"/>
      <c r="L142" s="3343"/>
      <c r="M142" s="3343"/>
      <c r="N142" s="3344"/>
      <c r="O142" s="3344"/>
      <c r="P142" s="3344"/>
      <c r="Q142" s="3344" t="s">
        <v>5383</v>
      </c>
      <c r="R142" s="3345">
        <v>8936</v>
      </c>
      <c r="S142" s="3345">
        <v>8936</v>
      </c>
      <c r="T142" s="3345">
        <v>8936</v>
      </c>
      <c r="U142" s="3345">
        <v>8936</v>
      </c>
      <c r="V142" s="3345">
        <v>8936</v>
      </c>
      <c r="W142" s="3345">
        <v>8936</v>
      </c>
      <c r="X142" s="3345">
        <v>2234</v>
      </c>
      <c r="Y142" s="3345"/>
      <c r="Z142" s="3345"/>
      <c r="AA142" s="3345"/>
      <c r="AB142" s="3345"/>
      <c r="AC142" s="3345"/>
      <c r="AD142" s="3345"/>
      <c r="AE142" s="3345"/>
      <c r="AF142" s="3345"/>
      <c r="AG142" s="3345"/>
      <c r="AH142" s="3345"/>
      <c r="AI142" s="3345"/>
      <c r="AJ142" s="3345"/>
      <c r="AK142" s="3345"/>
      <c r="AL142" s="3345"/>
      <c r="AM142" s="3345"/>
      <c r="AN142" s="3345"/>
      <c r="AO142" s="3345"/>
      <c r="AP142" s="3345"/>
      <c r="AQ142" s="3345"/>
      <c r="AR142" s="3345"/>
      <c r="AS142" s="3345"/>
      <c r="AT142" s="3349">
        <f t="shared" ref="AT142:AT148" si="29">SUM(R142:AS142)</f>
        <v>55850</v>
      </c>
      <c r="AU142" s="3470"/>
      <c r="AV142" s="3348">
        <f t="shared" ref="AV142:AV148" si="30">SUM(X142:AS142)</f>
        <v>2234</v>
      </c>
      <c r="AW142" s="3349">
        <f t="shared" ref="AW142:AW148" si="31">SUM(R142:W142,AV142)</f>
        <v>55850</v>
      </c>
      <c r="AY142" s="3336" t="b">
        <f t="shared" ref="AY142:AY148" si="32">AT142=AW142</f>
        <v>1</v>
      </c>
    </row>
    <row r="143" spans="2:55">
      <c r="B143" s="3351"/>
      <c r="C143" s="3355"/>
      <c r="D143" s="3355"/>
      <c r="E143" s="3354"/>
      <c r="F143" s="3355"/>
      <c r="G143" s="3355"/>
      <c r="H143" s="3355"/>
      <c r="I143" s="3355"/>
      <c r="J143" s="3356"/>
      <c r="K143" s="3356"/>
      <c r="L143" s="3356"/>
      <c r="M143" s="3356"/>
      <c r="N143" s="3360">
        <f>SUM(O143:P143)</f>
        <v>3.0089999999999999</v>
      </c>
      <c r="O143" s="3360">
        <v>2.7589999999999999</v>
      </c>
      <c r="P143" s="3360">
        <v>0.25</v>
      </c>
      <c r="Q143" s="3360" t="s">
        <v>5386</v>
      </c>
      <c r="R143" s="3361">
        <f>SUM(R142:$AQ142)*$N143/100</f>
        <v>1680.5264999999999</v>
      </c>
      <c r="S143" s="3361">
        <f>SUM(S142:$AQ142)*$N143/100</f>
        <v>1411.6422599999999</v>
      </c>
      <c r="T143" s="3361">
        <f>SUM(T142:$AQ142)*$N143/100</f>
        <v>1142.75802</v>
      </c>
      <c r="U143" s="3361">
        <f>SUM(U142:$AQ142)*$N143/100</f>
        <v>873.87378000000001</v>
      </c>
      <c r="V143" s="3361">
        <f>SUM(V142:$AQ142)*$N143/100</f>
        <v>604.98954000000003</v>
      </c>
      <c r="W143" s="3361">
        <f>SUM(W142:$AQ142)*$N143/100</f>
        <v>336.1053</v>
      </c>
      <c r="X143" s="3361">
        <f>SUM(X142:$AQ142)*$N143/100</f>
        <v>67.221059999999994</v>
      </c>
      <c r="Y143" s="3361"/>
      <c r="Z143" s="3361"/>
      <c r="AA143" s="3361"/>
      <c r="AB143" s="3361"/>
      <c r="AC143" s="3361"/>
      <c r="AD143" s="3361"/>
      <c r="AE143" s="3361"/>
      <c r="AF143" s="3361"/>
      <c r="AG143" s="3361"/>
      <c r="AH143" s="3361"/>
      <c r="AI143" s="3361"/>
      <c r="AJ143" s="3361"/>
      <c r="AK143" s="3361"/>
      <c r="AL143" s="3361"/>
      <c r="AM143" s="3361"/>
      <c r="AN143" s="3361"/>
      <c r="AO143" s="3361"/>
      <c r="AP143" s="3361"/>
      <c r="AQ143" s="3361"/>
      <c r="AR143" s="3361"/>
      <c r="AS143" s="3361"/>
      <c r="AT143" s="3364">
        <f t="shared" si="29"/>
        <v>6117.1164600000002</v>
      </c>
      <c r="AU143" s="3471"/>
      <c r="AV143" s="3363">
        <f t="shared" si="30"/>
        <v>67.221059999999994</v>
      </c>
      <c r="AW143" s="3364">
        <f t="shared" si="31"/>
        <v>6117.1164600000002</v>
      </c>
      <c r="AY143" s="3316" t="b">
        <f t="shared" si="32"/>
        <v>1</v>
      </c>
    </row>
    <row r="144" spans="2:55" s="3336" customFormat="1">
      <c r="B144" s="3337"/>
      <c r="C144" s="3339">
        <v>2</v>
      </c>
      <c r="D144" s="3339" t="s">
        <v>5738</v>
      </c>
      <c r="E144" s="3340" t="s">
        <v>5740</v>
      </c>
      <c r="F144" s="3339"/>
      <c r="G144" s="3472">
        <v>44655</v>
      </c>
      <c r="H144" s="3472">
        <v>55598</v>
      </c>
      <c r="I144" s="3341" t="s">
        <v>5382</v>
      </c>
      <c r="J144" s="3342">
        <v>2209678</v>
      </c>
      <c r="K144" s="3343"/>
      <c r="L144" s="3343"/>
      <c r="M144" s="3343"/>
      <c r="N144" s="3344"/>
      <c r="O144" s="3344"/>
      <c r="P144" s="3344"/>
      <c r="Q144" s="3344" t="s">
        <v>5383</v>
      </c>
      <c r="R144" s="3345">
        <v>81588</v>
      </c>
      <c r="S144" s="3345">
        <v>81588</v>
      </c>
      <c r="T144" s="3345">
        <v>81588</v>
      </c>
      <c r="U144" s="3345">
        <v>81588</v>
      </c>
      <c r="V144" s="3345">
        <v>81588</v>
      </c>
      <c r="W144" s="3345">
        <v>81588</v>
      </c>
      <c r="X144" s="3345">
        <v>81588</v>
      </c>
      <c r="Y144" s="3345">
        <v>81588</v>
      </c>
      <c r="Z144" s="3345">
        <v>81588</v>
      </c>
      <c r="AA144" s="3345">
        <v>81588</v>
      </c>
      <c r="AB144" s="3345">
        <v>81588</v>
      </c>
      <c r="AC144" s="3345">
        <v>81588</v>
      </c>
      <c r="AD144" s="3345">
        <v>81588</v>
      </c>
      <c r="AE144" s="3345">
        <v>81588</v>
      </c>
      <c r="AF144" s="3345">
        <v>81588</v>
      </c>
      <c r="AG144" s="3345">
        <v>81588</v>
      </c>
      <c r="AH144" s="3345">
        <v>81588</v>
      </c>
      <c r="AI144" s="3345">
        <v>81588</v>
      </c>
      <c r="AJ144" s="3345">
        <v>81588</v>
      </c>
      <c r="AK144" s="3345">
        <v>81588</v>
      </c>
      <c r="AL144" s="3345">
        <v>81588</v>
      </c>
      <c r="AM144" s="3345">
        <v>81588</v>
      </c>
      <c r="AN144" s="3345">
        <v>81588</v>
      </c>
      <c r="AO144" s="3345">
        <v>81588</v>
      </c>
      <c r="AP144" s="3345">
        <v>81588</v>
      </c>
      <c r="AQ144" s="3345">
        <v>81588</v>
      </c>
      <c r="AR144" s="3345">
        <v>81588</v>
      </c>
      <c r="AS144" s="3345">
        <v>20400</v>
      </c>
      <c r="AT144" s="3349">
        <f t="shared" si="29"/>
        <v>2223276</v>
      </c>
      <c r="AU144" s="3470"/>
      <c r="AV144" s="3348">
        <f t="shared" si="30"/>
        <v>1733748</v>
      </c>
      <c r="AW144" s="3349">
        <f t="shared" si="31"/>
        <v>2223276</v>
      </c>
      <c r="AY144" s="3336" t="b">
        <f t="shared" si="32"/>
        <v>1</v>
      </c>
    </row>
    <row r="145" spans="2:53">
      <c r="B145" s="3351"/>
      <c r="C145" s="3355"/>
      <c r="D145" s="3355"/>
      <c r="E145" s="3354"/>
      <c r="F145" s="3355"/>
      <c r="G145" s="3355"/>
      <c r="H145" s="3355"/>
      <c r="I145" s="3355"/>
      <c r="J145" s="3356"/>
      <c r="K145" s="3356"/>
      <c r="L145" s="3356"/>
      <c r="M145" s="3356"/>
      <c r="N145" s="3360">
        <f>SUM(O145:P145)</f>
        <v>3.008</v>
      </c>
      <c r="O145" s="3360">
        <v>2.758</v>
      </c>
      <c r="P145" s="3360">
        <v>0.25</v>
      </c>
      <c r="Q145" s="3360" t="s">
        <v>5386</v>
      </c>
      <c r="R145" s="3361">
        <f>SUM(R144:$AS144)*$N145/100</f>
        <v>66876.142079999991</v>
      </c>
      <c r="S145" s="3361">
        <f>SUM(S144:$AS144)*$N145/100</f>
        <v>64421.975039999998</v>
      </c>
      <c r="T145" s="3361">
        <f>SUM(T144:$AS144)*$N145/100</f>
        <v>61967.807999999997</v>
      </c>
      <c r="U145" s="3361">
        <f>SUM(U144:$AS144)*$N145/100</f>
        <v>59513.640959999997</v>
      </c>
      <c r="V145" s="3361">
        <f>SUM(V144:$AS144)*$N145/100</f>
        <v>57059.473919999997</v>
      </c>
      <c r="W145" s="3361">
        <f>SUM(W144:$AS144)*$N145/100</f>
        <v>54605.306880000004</v>
      </c>
      <c r="X145" s="3361">
        <f>SUM(X144:$AS144)*$N145/100</f>
        <v>52151.139840000003</v>
      </c>
      <c r="Y145" s="3361">
        <f>SUM(Y144:$AS144)*$N145/100</f>
        <v>49696.972800000003</v>
      </c>
      <c r="Z145" s="3361">
        <f>SUM(Z144:$AS144)*$N145/100</f>
        <v>47242.805760000003</v>
      </c>
      <c r="AA145" s="3361">
        <f>SUM(AA144:$AS144)*$N145/100</f>
        <v>44788.638720000003</v>
      </c>
      <c r="AB145" s="3361">
        <f>SUM(AB144:$AS144)*$N145/100</f>
        <v>42334.471679999995</v>
      </c>
      <c r="AC145" s="3361">
        <f>SUM(AC144:$AS144)*$N145/100</f>
        <v>39880.304640000002</v>
      </c>
      <c r="AD145" s="3361">
        <f>SUM(AD144:$AS144)*$N145/100</f>
        <v>37426.137599999995</v>
      </c>
      <c r="AE145" s="3361">
        <f>SUM(AE144:$AS144)*$N145/100</f>
        <v>34971.970560000002</v>
      </c>
      <c r="AF145" s="3361">
        <f>SUM(AF144:$AS144)*$N145/100</f>
        <v>32517.803520000001</v>
      </c>
      <c r="AG145" s="3361">
        <f>SUM(AG144:$AS144)*$N145/100</f>
        <v>30063.636480000001</v>
      </c>
      <c r="AH145" s="3361">
        <f>SUM(AH144:$AS144)*$N145/100</f>
        <v>27609.469440000001</v>
      </c>
      <c r="AI145" s="3361">
        <f>SUM(AI144:$AS144)*$N145/100</f>
        <v>25155.3024</v>
      </c>
      <c r="AJ145" s="3361">
        <f>SUM(AJ144:$AS144)*$N145/100</f>
        <v>22701.13536</v>
      </c>
      <c r="AK145" s="3361">
        <f>SUM(AK144:$AS144)*$N145/100</f>
        <v>20246.96832</v>
      </c>
      <c r="AL145" s="3361">
        <f>SUM(AL144:$AS144)*$N145/100</f>
        <v>17792.80128</v>
      </c>
      <c r="AM145" s="3361">
        <f>SUM(AM144:$AS144)*$N145/100</f>
        <v>15338.634240000001</v>
      </c>
      <c r="AN145" s="3361">
        <f>SUM(AN144:$AS144)*$N145/100</f>
        <v>12884.467199999999</v>
      </c>
      <c r="AO145" s="3361">
        <f>SUM(AO144:$AS144)*$N145/100</f>
        <v>10430.300159999999</v>
      </c>
      <c r="AP145" s="3361">
        <f>SUM(AP144:$AS144)*$N145/100</f>
        <v>7976.1331200000004</v>
      </c>
      <c r="AQ145" s="3361">
        <f>SUM(AQ144:$AS144)*$N145/100</f>
        <v>5521.9660800000001</v>
      </c>
      <c r="AR145" s="3361">
        <f>SUM(AR144:$AS144)*$N145/100</f>
        <v>3067.7990399999999</v>
      </c>
      <c r="AS145" s="3361">
        <f>SUM(AS144:$AS144)*$N145/100</f>
        <v>613.63199999999995</v>
      </c>
      <c r="AT145" s="3364">
        <f t="shared" si="29"/>
        <v>944856.83711999992</v>
      </c>
      <c r="AU145" s="3347"/>
      <c r="AV145" s="3363">
        <f t="shared" si="30"/>
        <v>580412.49023999996</v>
      </c>
      <c r="AW145" s="3364">
        <f t="shared" si="31"/>
        <v>944856.83711999992</v>
      </c>
      <c r="AY145" s="3316" t="b">
        <f t="shared" si="32"/>
        <v>1</v>
      </c>
    </row>
    <row r="146" spans="2:53" s="3372" customFormat="1">
      <c r="B146" s="3368"/>
      <c r="C146" s="3370">
        <v>3</v>
      </c>
      <c r="D146" s="3370" t="s">
        <v>5738</v>
      </c>
      <c r="E146" s="3370"/>
      <c r="F146" s="3370"/>
      <c r="G146" s="3387" t="s">
        <v>5724</v>
      </c>
      <c r="H146" s="3387">
        <v>49572</v>
      </c>
      <c r="I146" s="3340" t="s">
        <v>5382</v>
      </c>
      <c r="J146" s="3342">
        <v>801681</v>
      </c>
      <c r="K146" s="3343"/>
      <c r="L146" s="3343"/>
      <c r="M146" s="3343"/>
      <c r="N146" s="3344"/>
      <c r="O146" s="3344"/>
      <c r="P146" s="3344"/>
      <c r="Q146" s="3344" t="s">
        <v>5383</v>
      </c>
      <c r="R146" s="3345"/>
      <c r="S146" s="3345">
        <f t="shared" ref="S146:AB146" si="33">$J$146/40*4</f>
        <v>80168.100000000006</v>
      </c>
      <c r="T146" s="3345">
        <f t="shared" si="33"/>
        <v>80168.100000000006</v>
      </c>
      <c r="U146" s="3345">
        <f t="shared" si="33"/>
        <v>80168.100000000006</v>
      </c>
      <c r="V146" s="3345">
        <f t="shared" si="33"/>
        <v>80168.100000000006</v>
      </c>
      <c r="W146" s="3345">
        <f t="shared" si="33"/>
        <v>80168.100000000006</v>
      </c>
      <c r="X146" s="3345">
        <f t="shared" si="33"/>
        <v>80168.100000000006</v>
      </c>
      <c r="Y146" s="3345">
        <f t="shared" si="33"/>
        <v>80168.100000000006</v>
      </c>
      <c r="Z146" s="3345">
        <f t="shared" si="33"/>
        <v>80168.100000000006</v>
      </c>
      <c r="AA146" s="3345">
        <f t="shared" si="33"/>
        <v>80168.100000000006</v>
      </c>
      <c r="AB146" s="3345">
        <f t="shared" si="33"/>
        <v>80168.100000000006</v>
      </c>
      <c r="AC146" s="3345"/>
      <c r="AD146" s="3345"/>
      <c r="AE146" s="3345"/>
      <c r="AF146" s="3345"/>
      <c r="AG146" s="3345"/>
      <c r="AH146" s="3345"/>
      <c r="AI146" s="3345"/>
      <c r="AJ146" s="3345"/>
      <c r="AK146" s="3345"/>
      <c r="AL146" s="3345"/>
      <c r="AM146" s="3345"/>
      <c r="AN146" s="3345"/>
      <c r="AO146" s="3345"/>
      <c r="AP146" s="3345"/>
      <c r="AQ146" s="3345"/>
      <c r="AR146" s="3345"/>
      <c r="AS146" s="3345"/>
      <c r="AT146" s="3349">
        <f t="shared" si="29"/>
        <v>801680.99999999988</v>
      </c>
      <c r="AU146" s="3473"/>
      <c r="AV146" s="3348">
        <f t="shared" si="30"/>
        <v>400840.5</v>
      </c>
      <c r="AW146" s="3349">
        <f t="shared" si="31"/>
        <v>801681</v>
      </c>
      <c r="AY146" s="3372" t="b">
        <f t="shared" si="32"/>
        <v>1</v>
      </c>
    </row>
    <row r="147" spans="2:53" s="3318" customFormat="1">
      <c r="B147" s="3373"/>
      <c r="C147" s="3354"/>
      <c r="D147" s="3375" t="s">
        <v>5741</v>
      </c>
      <c r="E147" s="3354"/>
      <c r="F147" s="3354"/>
      <c r="G147" s="3354"/>
      <c r="H147" s="3354"/>
      <c r="I147" s="3354"/>
      <c r="J147" s="3356"/>
      <c r="K147" s="3356"/>
      <c r="L147" s="3356"/>
      <c r="M147" s="3356"/>
      <c r="N147" s="3360">
        <f>SUM(O147:P147)</f>
        <v>4.915</v>
      </c>
      <c r="O147" s="3360">
        <v>4.665</v>
      </c>
      <c r="P147" s="3360">
        <v>0.25</v>
      </c>
      <c r="Q147" s="3360" t="s">
        <v>5386</v>
      </c>
      <c r="R147" s="3361">
        <f>SUM(R146:$AS146)*$N147/100</f>
        <v>39402.621149999992</v>
      </c>
      <c r="S147" s="3361">
        <f>SUM(S146:$AS146)*$N147/100</f>
        <v>39402.621149999992</v>
      </c>
      <c r="T147" s="3361">
        <f>SUM(T146:$AS146)*$N147/100</f>
        <v>35462.359034999994</v>
      </c>
      <c r="U147" s="3361">
        <f>SUM(U146:$AS146)*$N147/100</f>
        <v>31522.096919999996</v>
      </c>
      <c r="V147" s="3361">
        <f>SUM(V146:$AS146)*$N147/100</f>
        <v>27581.834804999995</v>
      </c>
      <c r="W147" s="3361">
        <f>SUM(W146:$AS146)*$N147/100</f>
        <v>23641.572689999997</v>
      </c>
      <c r="X147" s="3361">
        <f>SUM(X146:$AS146)*$N147/100</f>
        <v>19701.310575</v>
      </c>
      <c r="Y147" s="3361">
        <f>SUM(Y146:$AS146)*$N147/100</f>
        <v>15761.048460000002</v>
      </c>
      <c r="Z147" s="3361">
        <f>SUM(Z146:$AS146)*$N147/100</f>
        <v>11820.786345000002</v>
      </c>
      <c r="AA147" s="3361">
        <f>SUM(AA146:$AS146)*$N147/100</f>
        <v>7880.5242300000009</v>
      </c>
      <c r="AB147" s="3361">
        <f>SUM(AB146:$AS146)*$N147/100</f>
        <v>3940.2621150000004</v>
      </c>
      <c r="AC147" s="3361">
        <f>SUM(AC146:$AS146)*$N147/100</f>
        <v>0</v>
      </c>
      <c r="AD147" s="3361">
        <f>SUM(AD146:$AS146)*$N147/100</f>
        <v>0</v>
      </c>
      <c r="AE147" s="3361">
        <f>SUM(AE146:$AS146)*$N147/100</f>
        <v>0</v>
      </c>
      <c r="AF147" s="3361">
        <f>SUM(AF146:$AS146)*$N147/100</f>
        <v>0</v>
      </c>
      <c r="AG147" s="3361">
        <f>SUM(AG146:$AS146)*$N147/100</f>
        <v>0</v>
      </c>
      <c r="AH147" s="3361">
        <f>SUM(AH146:$AS146)*$N147/100</f>
        <v>0</v>
      </c>
      <c r="AI147" s="3361">
        <f>SUM(AI146:$AS146)*$N147/100</f>
        <v>0</v>
      </c>
      <c r="AJ147" s="3361">
        <f>SUM(AJ146:$AS146)*$N147/100</f>
        <v>0</v>
      </c>
      <c r="AK147" s="3361">
        <f>SUM(AK146:$AS146)*$N147/100</f>
        <v>0</v>
      </c>
      <c r="AL147" s="3361">
        <f>SUM(AL146:$AS146)*$N147/100</f>
        <v>0</v>
      </c>
      <c r="AM147" s="3361">
        <f>SUM(AM146:$AS146)*$N147/100</f>
        <v>0</v>
      </c>
      <c r="AN147" s="3361">
        <f>SUM(AN146:$AS146)*$N147/100</f>
        <v>0</v>
      </c>
      <c r="AO147" s="3361">
        <f>SUM(AO146:$AS146)*$N147/100</f>
        <v>0</v>
      </c>
      <c r="AP147" s="3361">
        <f>SUM(AP146:$AS146)*$N147/100</f>
        <v>0</v>
      </c>
      <c r="AQ147" s="3361">
        <f>SUM(AQ146:$AS146)*$N147/100</f>
        <v>0</v>
      </c>
      <c r="AR147" s="3361">
        <f>SUM(AR146:$AS146)*$N147/100</f>
        <v>0</v>
      </c>
      <c r="AS147" s="3361">
        <f>SUM(AS146:$AS146)*$N147/100</f>
        <v>0</v>
      </c>
      <c r="AT147" s="3364">
        <f t="shared" si="29"/>
        <v>256117.03747499999</v>
      </c>
      <c r="AU147" s="3371"/>
      <c r="AV147" s="3363">
        <f t="shared" si="30"/>
        <v>59103.931725000002</v>
      </c>
      <c r="AW147" s="3364">
        <f t="shared" si="31"/>
        <v>256117.03747499999</v>
      </c>
      <c r="AY147" s="3318" t="b">
        <f t="shared" si="32"/>
        <v>1</v>
      </c>
    </row>
    <row r="148" spans="2:53" s="3372" customFormat="1">
      <c r="C148" s="3473"/>
      <c r="D148" s="3473"/>
      <c r="E148" s="3473"/>
      <c r="F148" s="3473"/>
      <c r="G148" s="3473"/>
      <c r="H148" s="3473"/>
      <c r="I148" s="3473"/>
      <c r="J148" s="3473"/>
      <c r="K148" s="3473"/>
      <c r="L148" s="3473"/>
      <c r="M148" s="3473"/>
      <c r="N148" s="3473"/>
      <c r="O148" s="3473"/>
      <c r="P148" s="3473"/>
      <c r="Q148" s="3474" t="s">
        <v>5742</v>
      </c>
      <c r="R148" s="3475">
        <f t="shared" ref="R148:AS148" si="34">SUM(R142:R147)</f>
        <v>198483.28972999999</v>
      </c>
      <c r="S148" s="3475">
        <f t="shared" si="34"/>
        <v>275928.33844999998</v>
      </c>
      <c r="T148" s="3475">
        <f t="shared" si="34"/>
        <v>269265.02505499998</v>
      </c>
      <c r="U148" s="3475">
        <f t="shared" si="34"/>
        <v>262601.71165999997</v>
      </c>
      <c r="V148" s="3475">
        <f t="shared" si="34"/>
        <v>255938.398265</v>
      </c>
      <c r="W148" s="3475">
        <f t="shared" si="34"/>
        <v>249275.08486999999</v>
      </c>
      <c r="X148" s="3475">
        <f t="shared" si="34"/>
        <v>235909.77147500002</v>
      </c>
      <c r="Y148" s="3475">
        <f t="shared" si="34"/>
        <v>227214.12125999999</v>
      </c>
      <c r="Z148" s="3475">
        <f t="shared" si="34"/>
        <v>220819.69210499999</v>
      </c>
      <c r="AA148" s="3475">
        <f t="shared" si="34"/>
        <v>214425.26295000003</v>
      </c>
      <c r="AB148" s="3475">
        <f t="shared" si="34"/>
        <v>208030.83379499998</v>
      </c>
      <c r="AC148" s="3475">
        <f t="shared" si="34"/>
        <v>121468.30464</v>
      </c>
      <c r="AD148" s="3475">
        <f t="shared" si="34"/>
        <v>119014.13759999999</v>
      </c>
      <c r="AE148" s="3475">
        <f t="shared" si="34"/>
        <v>116559.97056</v>
      </c>
      <c r="AF148" s="3475">
        <f t="shared" si="34"/>
        <v>114105.80352</v>
      </c>
      <c r="AG148" s="3475">
        <f t="shared" si="34"/>
        <v>111651.63648</v>
      </c>
      <c r="AH148" s="3475">
        <f t="shared" si="34"/>
        <v>109197.46944</v>
      </c>
      <c r="AI148" s="3475">
        <f t="shared" si="34"/>
        <v>106743.3024</v>
      </c>
      <c r="AJ148" s="3475">
        <f t="shared" si="34"/>
        <v>104289.13536</v>
      </c>
      <c r="AK148" s="3475">
        <f t="shared" si="34"/>
        <v>101834.96832</v>
      </c>
      <c r="AL148" s="3475">
        <f t="shared" si="34"/>
        <v>99380.80128</v>
      </c>
      <c r="AM148" s="3475">
        <f t="shared" si="34"/>
        <v>96926.634239999999</v>
      </c>
      <c r="AN148" s="3475">
        <f t="shared" si="34"/>
        <v>94472.467199999999</v>
      </c>
      <c r="AO148" s="3475">
        <f t="shared" si="34"/>
        <v>92018.300159999999</v>
      </c>
      <c r="AP148" s="3475">
        <f t="shared" si="34"/>
        <v>89564.133119999999</v>
      </c>
      <c r="AQ148" s="3475">
        <f t="shared" si="34"/>
        <v>87109.966079999998</v>
      </c>
      <c r="AR148" s="3475">
        <f t="shared" si="34"/>
        <v>84655.799039999998</v>
      </c>
      <c r="AS148" s="3475">
        <f t="shared" si="34"/>
        <v>21013.632000000001</v>
      </c>
      <c r="AT148" s="3476">
        <f t="shared" si="29"/>
        <v>4287897.9910549996</v>
      </c>
      <c r="AU148" s="3473"/>
      <c r="AV148" s="3477">
        <f t="shared" si="30"/>
        <v>2776406.1430250001</v>
      </c>
      <c r="AW148" s="3477">
        <f t="shared" si="31"/>
        <v>4287897.9910549996</v>
      </c>
      <c r="AY148" s="3372" t="b">
        <f t="shared" si="32"/>
        <v>1</v>
      </c>
      <c r="BA148" s="3462">
        <f>SUM(R142:AS147)</f>
        <v>4287897.9910550015</v>
      </c>
    </row>
    <row r="149" spans="2:53">
      <c r="BA149" s="3322">
        <f>BA148-AW148</f>
        <v>0</v>
      </c>
    </row>
    <row r="151" spans="2:53" ht="28.8">
      <c r="R151" s="3331">
        <v>2026</v>
      </c>
      <c r="S151" s="3331">
        <v>2027</v>
      </c>
      <c r="T151" s="3331">
        <v>2028</v>
      </c>
      <c r="U151" s="3331">
        <v>2029</v>
      </c>
      <c r="V151" s="3331">
        <v>2030</v>
      </c>
      <c r="W151" s="3331">
        <v>2031</v>
      </c>
      <c r="X151" s="3331">
        <v>2032</v>
      </c>
      <c r="Y151" s="3331">
        <v>2033</v>
      </c>
      <c r="Z151" s="3331">
        <v>2034</v>
      </c>
      <c r="AA151" s="3331">
        <v>2035</v>
      </c>
      <c r="AB151" s="3331">
        <v>2036</v>
      </c>
      <c r="AC151" s="3331">
        <v>2037</v>
      </c>
      <c r="AD151" s="3331">
        <v>2038</v>
      </c>
      <c r="AE151" s="3331">
        <v>2039</v>
      </c>
      <c r="AF151" s="3331">
        <v>2040</v>
      </c>
      <c r="AG151" s="3331">
        <v>2041</v>
      </c>
      <c r="AH151" s="3331">
        <v>2042</v>
      </c>
      <c r="AI151" s="3331">
        <v>2043</v>
      </c>
      <c r="AJ151" s="3331">
        <v>2044</v>
      </c>
      <c r="AK151" s="3331">
        <v>2045</v>
      </c>
      <c r="AL151" s="3331">
        <v>2046</v>
      </c>
      <c r="AM151" s="3331">
        <v>2047</v>
      </c>
      <c r="AN151" s="3331">
        <v>2048</v>
      </c>
      <c r="AO151" s="3331">
        <v>2049</v>
      </c>
      <c r="AP151" s="3331">
        <v>2050</v>
      </c>
      <c r="AQ151" s="3331">
        <v>2051</v>
      </c>
      <c r="AR151" s="3331">
        <v>2052</v>
      </c>
      <c r="AS151" s="3331">
        <v>2053</v>
      </c>
      <c r="AT151" s="3330" t="s">
        <v>5374</v>
      </c>
      <c r="AV151" s="3331" t="s">
        <v>5736</v>
      </c>
      <c r="AW151" s="3330" t="s">
        <v>5737</v>
      </c>
    </row>
    <row r="152" spans="2:53">
      <c r="Q152" s="3478" t="s">
        <v>5743</v>
      </c>
      <c r="R152" s="3479">
        <f t="shared" ref="R152:AS153" si="35">R134</f>
        <v>3907497.16</v>
      </c>
      <c r="S152" s="3479">
        <f t="shared" si="35"/>
        <v>3804714.0236111106</v>
      </c>
      <c r="T152" s="3479">
        <f t="shared" si="35"/>
        <v>4320686.4472222216</v>
      </c>
      <c r="U152" s="3479">
        <f t="shared" si="35"/>
        <v>4242592.4472222216</v>
      </c>
      <c r="V152" s="3479">
        <f t="shared" si="35"/>
        <v>4175079.4472222221</v>
      </c>
      <c r="W152" s="3479">
        <f t="shared" si="35"/>
        <v>4088621.1072222223</v>
      </c>
      <c r="X152" s="3479">
        <f t="shared" si="35"/>
        <v>3429993.9972222219</v>
      </c>
      <c r="Y152" s="3479">
        <f t="shared" si="35"/>
        <v>3267262.037222222</v>
      </c>
      <c r="Z152" s="3479">
        <f t="shared" si="35"/>
        <v>2897527.0472222217</v>
      </c>
      <c r="AA152" s="3479">
        <f t="shared" si="35"/>
        <v>2598958.1847222219</v>
      </c>
      <c r="AB152" s="3479">
        <f t="shared" si="35"/>
        <v>2359563.2722222218</v>
      </c>
      <c r="AC152" s="3479">
        <f t="shared" si="35"/>
        <v>2224707.722222222</v>
      </c>
      <c r="AD152" s="3479">
        <f t="shared" si="35"/>
        <v>2089349.7222222222</v>
      </c>
      <c r="AE152" s="3479">
        <f t="shared" si="35"/>
        <v>1786267.7222222222</v>
      </c>
      <c r="AF152" s="3479">
        <f t="shared" si="35"/>
        <v>1745217.7622222223</v>
      </c>
      <c r="AG152" s="3479">
        <f t="shared" si="35"/>
        <v>1728696.7922222223</v>
      </c>
      <c r="AH152" s="3479">
        <f t="shared" si="35"/>
        <v>1721683.7222222222</v>
      </c>
      <c r="AI152" s="3479">
        <f t="shared" si="35"/>
        <v>1721683.7222222222</v>
      </c>
      <c r="AJ152" s="3479">
        <f t="shared" si="35"/>
        <v>1721683.7222222222</v>
      </c>
      <c r="AK152" s="3479">
        <f t="shared" si="35"/>
        <v>1453015.861111111</v>
      </c>
      <c r="AL152" s="3479">
        <f t="shared" si="35"/>
        <v>1184348</v>
      </c>
      <c r="AM152" s="3479">
        <f t="shared" si="35"/>
        <v>1184348</v>
      </c>
      <c r="AN152" s="3479">
        <f t="shared" si="35"/>
        <v>867315.83000000007</v>
      </c>
      <c r="AO152" s="3479">
        <f t="shared" si="35"/>
        <v>452632</v>
      </c>
      <c r="AP152" s="3479">
        <f t="shared" si="35"/>
        <v>409981</v>
      </c>
      <c r="AQ152" s="3479">
        <f t="shared" si="35"/>
        <v>55587.92</v>
      </c>
      <c r="AR152" s="3479">
        <f t="shared" si="35"/>
        <v>0</v>
      </c>
      <c r="AS152" s="3479">
        <f t="shared" si="35"/>
        <v>0</v>
      </c>
      <c r="AT152" s="3480">
        <f>SUM(R152:AS152)</f>
        <v>59439014.670000009</v>
      </c>
      <c r="AV152" s="3481">
        <f>SUM(X152:AS152)</f>
        <v>34899824.037500009</v>
      </c>
      <c r="AW152" s="3349">
        <f>SUM(R152:W152,AV152)</f>
        <v>59439014.670000002</v>
      </c>
    </row>
    <row r="153" spans="2:53">
      <c r="Q153" s="3478" t="s">
        <v>5744</v>
      </c>
      <c r="R153" s="3479">
        <f t="shared" si="35"/>
        <v>1402441.3806191001</v>
      </c>
      <c r="S153" s="3479">
        <f t="shared" si="35"/>
        <v>1591992.1008190999</v>
      </c>
      <c r="T153" s="3479">
        <f t="shared" si="35"/>
        <v>1485933.9172790668</v>
      </c>
      <c r="U153" s="3479">
        <f t="shared" si="35"/>
        <v>1363690.5418524002</v>
      </c>
      <c r="V153" s="3479">
        <f t="shared" si="35"/>
        <v>1243558.0301057333</v>
      </c>
      <c r="W153" s="3479">
        <f t="shared" si="35"/>
        <v>1125361.7590890669</v>
      </c>
      <c r="X153" s="3479">
        <f t="shared" si="35"/>
        <v>1009908.2707477999</v>
      </c>
      <c r="Y153" s="3479">
        <f t="shared" si="35"/>
        <v>910877.17210113339</v>
      </c>
      <c r="Z153" s="3479">
        <f t="shared" si="35"/>
        <v>816742.47685276659</v>
      </c>
      <c r="AA153" s="3479">
        <f t="shared" si="35"/>
        <v>732608.70351609983</v>
      </c>
      <c r="AB153" s="3479">
        <f t="shared" si="35"/>
        <v>657491.48546443321</v>
      </c>
      <c r="AC153" s="3479">
        <f t="shared" si="35"/>
        <v>589169.47291776678</v>
      </c>
      <c r="AD153" s="3479">
        <f t="shared" si="35"/>
        <v>524189.29861109995</v>
      </c>
      <c r="AE153" s="3479">
        <f t="shared" si="35"/>
        <v>463263.37428443332</v>
      </c>
      <c r="AF153" s="3479">
        <f t="shared" si="35"/>
        <v>411896.64937776665</v>
      </c>
      <c r="AG153" s="3479">
        <f t="shared" si="35"/>
        <v>361597.57147909998</v>
      </c>
      <c r="AH153" s="3479">
        <f t="shared" si="35"/>
        <v>311749.55030653335</v>
      </c>
      <c r="AI153" s="3479">
        <f t="shared" si="35"/>
        <v>262079.45071986661</v>
      </c>
      <c r="AJ153" s="3479">
        <f t="shared" si="35"/>
        <v>212409.35113319999</v>
      </c>
      <c r="AK153" s="3479">
        <f t="shared" si="35"/>
        <v>162739.25154653331</v>
      </c>
      <c r="AL153" s="3479">
        <f t="shared" si="35"/>
        <v>121129.18779319999</v>
      </c>
      <c r="AM153" s="3479">
        <f t="shared" si="35"/>
        <v>87579.159873199984</v>
      </c>
      <c r="AN153" s="3479">
        <f t="shared" si="35"/>
        <v>54029.131953199991</v>
      </c>
      <c r="AO153" s="3479">
        <f t="shared" si="35"/>
        <v>29303.884686399997</v>
      </c>
      <c r="AP153" s="3479">
        <f t="shared" si="35"/>
        <v>15006.094726399999</v>
      </c>
      <c r="AQ153" s="3479">
        <f t="shared" si="35"/>
        <v>1749.3202464000001</v>
      </c>
      <c r="AR153" s="3479">
        <f t="shared" si="35"/>
        <v>0</v>
      </c>
      <c r="AS153" s="3479">
        <f t="shared" si="35"/>
        <v>0</v>
      </c>
      <c r="AT153" s="3480">
        <f>SUM(R153:AS153)</f>
        <v>15948496.588101802</v>
      </c>
      <c r="AV153" s="3481">
        <f>SUM(X153:AS153)</f>
        <v>7735518.8583373344</v>
      </c>
      <c r="AW153" s="3480">
        <f>SUM(R153:W153,AV153)</f>
        <v>15948496.588101801</v>
      </c>
    </row>
    <row r="154" spans="2:53">
      <c r="Q154" s="3478" t="s">
        <v>5745</v>
      </c>
      <c r="R154" s="3479">
        <f t="shared" ref="R154:AS154" si="36">R148</f>
        <v>198483.28972999999</v>
      </c>
      <c r="S154" s="3479">
        <f t="shared" si="36"/>
        <v>275928.33844999998</v>
      </c>
      <c r="T154" s="3479">
        <f t="shared" si="36"/>
        <v>269265.02505499998</v>
      </c>
      <c r="U154" s="3479">
        <f t="shared" si="36"/>
        <v>262601.71165999997</v>
      </c>
      <c r="V154" s="3479">
        <f t="shared" si="36"/>
        <v>255938.398265</v>
      </c>
      <c r="W154" s="3479">
        <f t="shared" si="36"/>
        <v>249275.08486999999</v>
      </c>
      <c r="X154" s="3479">
        <f t="shared" si="36"/>
        <v>235909.77147500002</v>
      </c>
      <c r="Y154" s="3479">
        <f t="shared" si="36"/>
        <v>227214.12125999999</v>
      </c>
      <c r="Z154" s="3479">
        <f t="shared" si="36"/>
        <v>220819.69210499999</v>
      </c>
      <c r="AA154" s="3479">
        <f t="shared" si="36"/>
        <v>214425.26295000003</v>
      </c>
      <c r="AB154" s="3479">
        <f t="shared" si="36"/>
        <v>208030.83379499998</v>
      </c>
      <c r="AC154" s="3479">
        <f t="shared" si="36"/>
        <v>121468.30464</v>
      </c>
      <c r="AD154" s="3479">
        <f t="shared" si="36"/>
        <v>119014.13759999999</v>
      </c>
      <c r="AE154" s="3479">
        <f t="shared" si="36"/>
        <v>116559.97056</v>
      </c>
      <c r="AF154" s="3479">
        <f t="shared" si="36"/>
        <v>114105.80352</v>
      </c>
      <c r="AG154" s="3479">
        <f t="shared" si="36"/>
        <v>111651.63648</v>
      </c>
      <c r="AH154" s="3479">
        <f t="shared" si="36"/>
        <v>109197.46944</v>
      </c>
      <c r="AI154" s="3479">
        <f t="shared" si="36"/>
        <v>106743.3024</v>
      </c>
      <c r="AJ154" s="3479">
        <f t="shared" si="36"/>
        <v>104289.13536</v>
      </c>
      <c r="AK154" s="3479">
        <f t="shared" si="36"/>
        <v>101834.96832</v>
      </c>
      <c r="AL154" s="3479">
        <f t="shared" si="36"/>
        <v>99380.80128</v>
      </c>
      <c r="AM154" s="3479">
        <f t="shared" si="36"/>
        <v>96926.634239999999</v>
      </c>
      <c r="AN154" s="3479">
        <f t="shared" si="36"/>
        <v>94472.467199999999</v>
      </c>
      <c r="AO154" s="3479">
        <f t="shared" si="36"/>
        <v>92018.300159999999</v>
      </c>
      <c r="AP154" s="3479">
        <f t="shared" si="36"/>
        <v>89564.133119999999</v>
      </c>
      <c r="AQ154" s="3479">
        <f t="shared" si="36"/>
        <v>87109.966079999998</v>
      </c>
      <c r="AR154" s="3479">
        <f t="shared" si="36"/>
        <v>84655.799039999998</v>
      </c>
      <c r="AS154" s="3479">
        <f t="shared" si="36"/>
        <v>21013.632000000001</v>
      </c>
      <c r="AT154" s="3480">
        <f>SUM(R154:AS154)</f>
        <v>4287897.9910549996</v>
      </c>
      <c r="AV154" s="3361">
        <f>SUM(X154:AS154)</f>
        <v>2776406.1430250001</v>
      </c>
      <c r="AW154" s="3480">
        <f>SUM(R154:W154,AV154)</f>
        <v>4287897.9910549996</v>
      </c>
    </row>
    <row r="155" spans="2:53" s="3372" customFormat="1">
      <c r="Q155" s="3482" t="s">
        <v>5746</v>
      </c>
      <c r="R155" s="3483">
        <f t="shared" ref="R155:AS155" si="37">SUM(R152:R154)</f>
        <v>5508421.8303491008</v>
      </c>
      <c r="S155" s="3483">
        <f t="shared" si="37"/>
        <v>5672634.46288021</v>
      </c>
      <c r="T155" s="3483">
        <f t="shared" si="37"/>
        <v>6075885.3895562878</v>
      </c>
      <c r="U155" s="3483">
        <f t="shared" si="37"/>
        <v>5868884.7007346209</v>
      </c>
      <c r="V155" s="3483">
        <f t="shared" si="37"/>
        <v>5674575.8755929563</v>
      </c>
      <c r="W155" s="3483">
        <f t="shared" si="37"/>
        <v>5463257.9511812897</v>
      </c>
      <c r="X155" s="3483">
        <f t="shared" si="37"/>
        <v>4675812.0394450221</v>
      </c>
      <c r="Y155" s="3483">
        <f t="shared" si="37"/>
        <v>4405353.3305833554</v>
      </c>
      <c r="Z155" s="3483">
        <f t="shared" si="37"/>
        <v>3935089.2161799883</v>
      </c>
      <c r="AA155" s="3483">
        <f t="shared" si="37"/>
        <v>3545992.1511883219</v>
      </c>
      <c r="AB155" s="3483">
        <f t="shared" si="37"/>
        <v>3225085.5914816549</v>
      </c>
      <c r="AC155" s="3483">
        <f t="shared" si="37"/>
        <v>2935345.499779989</v>
      </c>
      <c r="AD155" s="3483">
        <f t="shared" si="37"/>
        <v>2732553.1584333223</v>
      </c>
      <c r="AE155" s="3483">
        <f t="shared" si="37"/>
        <v>2366091.0670666555</v>
      </c>
      <c r="AF155" s="3483">
        <f t="shared" si="37"/>
        <v>2271220.2151199891</v>
      </c>
      <c r="AG155" s="3483">
        <f t="shared" si="37"/>
        <v>2201946.0001813225</v>
      </c>
      <c r="AH155" s="3483">
        <f t="shared" si="37"/>
        <v>2142630.7419687556</v>
      </c>
      <c r="AI155" s="3483">
        <f t="shared" si="37"/>
        <v>2090506.4753420888</v>
      </c>
      <c r="AJ155" s="3483">
        <f t="shared" si="37"/>
        <v>2038382.2087154223</v>
      </c>
      <c r="AK155" s="3483">
        <f t="shared" si="37"/>
        <v>1717590.0809776443</v>
      </c>
      <c r="AL155" s="3483">
        <f t="shared" si="37"/>
        <v>1404857.9890731999</v>
      </c>
      <c r="AM155" s="3483">
        <f t="shared" si="37"/>
        <v>1368853.7941131999</v>
      </c>
      <c r="AN155" s="3483">
        <f t="shared" si="37"/>
        <v>1015817.4291532</v>
      </c>
      <c r="AO155" s="3483">
        <f t="shared" si="37"/>
        <v>573954.18484640005</v>
      </c>
      <c r="AP155" s="3483">
        <f t="shared" si="37"/>
        <v>514551.2278464</v>
      </c>
      <c r="AQ155" s="3483">
        <f t="shared" si="37"/>
        <v>144447.20632639999</v>
      </c>
      <c r="AR155" s="3483">
        <f t="shared" si="37"/>
        <v>84655.799039999998</v>
      </c>
      <c r="AS155" s="3483">
        <f t="shared" si="37"/>
        <v>21013.632000000001</v>
      </c>
      <c r="AT155" s="3483">
        <f>SUM(R155:AS155)</f>
        <v>79675409.249156833</v>
      </c>
      <c r="AV155" s="3483">
        <f>SUM(X155:AS155)</f>
        <v>45411749.038862318</v>
      </c>
      <c r="AW155" s="3483">
        <f>SUM(R155:W155,AV155)</f>
        <v>79675409.249156788</v>
      </c>
    </row>
    <row r="157" spans="2:53" s="3372" customFormat="1">
      <c r="Q157" s="3482" t="s">
        <v>5747</v>
      </c>
      <c r="R157" s="3484">
        <f t="shared" ref="R157:AS157" si="38">R155/$Q$158</f>
        <v>0.13910046542939108</v>
      </c>
      <c r="S157" s="3484">
        <f t="shared" si="38"/>
        <v>0.14324721640779522</v>
      </c>
      <c r="T157" s="3484">
        <f t="shared" si="38"/>
        <v>0.1534302403869012</v>
      </c>
      <c r="U157" s="3484">
        <f t="shared" si="38"/>
        <v>0.1482029914495275</v>
      </c>
      <c r="V157" s="3484">
        <f t="shared" si="38"/>
        <v>0.14329624159509036</v>
      </c>
      <c r="W157" s="3484">
        <f t="shared" si="38"/>
        <v>0.13795997241590646</v>
      </c>
      <c r="X157" s="3484">
        <f t="shared" si="38"/>
        <v>0.11807513131323365</v>
      </c>
      <c r="Y157" s="3484">
        <f t="shared" si="38"/>
        <v>0.11124541974778773</v>
      </c>
      <c r="Z157" s="3484">
        <f t="shared" si="38"/>
        <v>9.9370156886137373E-2</v>
      </c>
      <c r="AA157" s="3484">
        <f t="shared" si="38"/>
        <v>8.9544550840617673E-2</v>
      </c>
      <c r="AB157" s="3484">
        <f t="shared" si="38"/>
        <v>8.1440913684762251E-2</v>
      </c>
      <c r="AC157" s="3484">
        <f t="shared" si="38"/>
        <v>7.4124302348425666E-2</v>
      </c>
      <c r="AD157" s="3484">
        <f t="shared" si="38"/>
        <v>6.9003323974652586E-2</v>
      </c>
      <c r="AE157" s="3484">
        <f t="shared" si="38"/>
        <v>5.9749303668785628E-2</v>
      </c>
      <c r="AF157" s="3484">
        <f t="shared" si="38"/>
        <v>5.7353593959562466E-2</v>
      </c>
      <c r="AG157" s="3484">
        <f t="shared" si="38"/>
        <v>5.5604258880114943E-2</v>
      </c>
      <c r="AH157" s="3484">
        <f t="shared" si="38"/>
        <v>5.4106410625470718E-2</v>
      </c>
      <c r="AI157" s="3484">
        <f t="shared" si="38"/>
        <v>5.2790151636736823E-2</v>
      </c>
      <c r="AJ157" s="3484">
        <f t="shared" si="38"/>
        <v>5.1473892648002929E-2</v>
      </c>
      <c r="AK157" s="3484">
        <f t="shared" si="38"/>
        <v>4.337314516556446E-2</v>
      </c>
      <c r="AL157" s="3484">
        <f t="shared" si="38"/>
        <v>3.5475932337937131E-2</v>
      </c>
      <c r="AM157" s="3484">
        <f t="shared" si="38"/>
        <v>3.4566742658825513E-2</v>
      </c>
      <c r="AN157" s="3484">
        <f t="shared" si="38"/>
        <v>2.5651753176924464E-2</v>
      </c>
      <c r="AO157" s="3484">
        <f t="shared" si="38"/>
        <v>1.4493678354008929E-2</v>
      </c>
      <c r="AP157" s="3484">
        <f t="shared" si="38"/>
        <v>1.299361550096878E-2</v>
      </c>
      <c r="AQ157" s="3484">
        <f t="shared" si="38"/>
        <v>3.6476279865269743E-3</v>
      </c>
      <c r="AR157" s="3484">
        <f t="shared" si="38"/>
        <v>2.1377558601053444E-3</v>
      </c>
      <c r="AS157" s="3484">
        <f t="shared" si="38"/>
        <v>5.3064309190291228E-4</v>
      </c>
      <c r="AV157" s="3485"/>
      <c r="AW157" s="3485"/>
    </row>
    <row r="158" spans="2:53">
      <c r="J158" s="3486" t="s">
        <v>5748</v>
      </c>
      <c r="Q158" s="3487">
        <v>39600312</v>
      </c>
      <c r="R158" s="3488"/>
      <c r="S158" s="3488"/>
      <c r="T158" s="3488"/>
      <c r="U158" s="3488"/>
    </row>
    <row r="159" spans="2:53">
      <c r="Q159" s="3489"/>
      <c r="R159" s="3454"/>
      <c r="S159" s="3454"/>
      <c r="T159" s="3454"/>
      <c r="U159" s="3454"/>
      <c r="V159" s="3454"/>
      <c r="W159" s="3454"/>
      <c r="X159" s="3454"/>
      <c r="Y159" s="3454"/>
      <c r="Z159" s="3454"/>
      <c r="AA159" s="3454"/>
      <c r="AB159" s="3454"/>
      <c r="AC159" s="3454"/>
      <c r="AD159" s="3454"/>
      <c r="AE159" s="3454"/>
      <c r="AF159" s="3454"/>
      <c r="AG159" s="3454"/>
      <c r="AH159" s="3454"/>
      <c r="AI159" s="3454"/>
      <c r="AJ159" s="3454"/>
      <c r="AK159" s="3454"/>
      <c r="AL159" s="3454"/>
      <c r="AM159" s="3454"/>
      <c r="AN159" s="3454"/>
      <c r="AO159" s="3454"/>
      <c r="AP159" s="3454"/>
      <c r="AQ159" s="3454"/>
      <c r="AR159" s="3454"/>
      <c r="AS159" s="3454"/>
      <c r="AT159" s="3454"/>
      <c r="AU159" s="3454"/>
      <c r="AV159" s="3454"/>
      <c r="AW159" s="3454"/>
    </row>
    <row r="160" spans="2:53">
      <c r="F160" s="3490"/>
      <c r="J160" s="3491"/>
      <c r="K160" s="3489"/>
      <c r="L160" s="3489"/>
      <c r="M160" s="3489"/>
      <c r="N160" s="3489"/>
      <c r="O160" s="3489"/>
      <c r="P160" s="3489"/>
      <c r="S160" s="3454"/>
      <c r="T160" s="3454"/>
      <c r="U160" s="3454"/>
      <c r="V160" s="3454"/>
      <c r="W160" s="3454"/>
      <c r="X160" s="3454"/>
      <c r="Y160" s="3454"/>
      <c r="Z160" s="3454"/>
      <c r="AA160" s="3454"/>
      <c r="AB160" s="3454"/>
      <c r="AC160" s="3454"/>
      <c r="AD160" s="3454"/>
      <c r="AE160" s="3454"/>
      <c r="AF160" s="3454"/>
      <c r="AG160" s="3454"/>
      <c r="AH160" s="3454"/>
      <c r="AI160" s="3454"/>
      <c r="AJ160" s="3454"/>
      <c r="AK160" s="3454"/>
      <c r="AL160" s="3454"/>
      <c r="AM160" s="3454"/>
      <c r="AN160" s="3454"/>
      <c r="AO160" s="3454"/>
      <c r="AP160" s="3454"/>
      <c r="AQ160" s="3454"/>
      <c r="AR160" s="3454"/>
      <c r="AS160" s="3454"/>
      <c r="AT160" s="3454"/>
      <c r="AU160" s="3454"/>
      <c r="AV160" s="3454"/>
      <c r="AW160" s="3454"/>
    </row>
    <row r="161" spans="10:49" ht="28.8">
      <c r="N161" s="3492"/>
      <c r="O161" s="3492"/>
      <c r="P161" s="3492"/>
      <c r="Q161" s="3493" t="s">
        <v>5749</v>
      </c>
      <c r="R161" s="3494">
        <v>2026</v>
      </c>
      <c r="S161" s="3494">
        <v>2027</v>
      </c>
      <c r="T161" s="3494">
        <v>2028</v>
      </c>
      <c r="U161" s="3494">
        <v>2029</v>
      </c>
      <c r="V161" s="3494">
        <v>2030</v>
      </c>
      <c r="W161" s="3494">
        <v>2031</v>
      </c>
      <c r="X161" s="3494">
        <v>2032</v>
      </c>
      <c r="Y161" s="3494">
        <v>2033</v>
      </c>
      <c r="Z161" s="3494">
        <v>2034</v>
      </c>
      <c r="AA161" s="3494">
        <v>2035</v>
      </c>
      <c r="AB161" s="3494">
        <v>2036</v>
      </c>
      <c r="AC161" s="3494">
        <v>2037</v>
      </c>
      <c r="AD161" s="3494">
        <v>2038</v>
      </c>
      <c r="AE161" s="3494">
        <v>2039</v>
      </c>
      <c r="AF161" s="3494">
        <v>2040</v>
      </c>
      <c r="AG161" s="3494">
        <v>2041</v>
      </c>
      <c r="AH161" s="3494">
        <v>2042</v>
      </c>
      <c r="AI161" s="3494">
        <v>2043</v>
      </c>
      <c r="AJ161" s="3494">
        <v>2044</v>
      </c>
      <c r="AK161" s="3494">
        <v>2045</v>
      </c>
      <c r="AL161" s="3494">
        <v>2046</v>
      </c>
      <c r="AM161" s="3494">
        <v>2047</v>
      </c>
      <c r="AN161" s="3494">
        <v>2048</v>
      </c>
      <c r="AO161" s="3494">
        <v>2049</v>
      </c>
      <c r="AP161" s="3494">
        <v>2050</v>
      </c>
      <c r="AQ161" s="3494">
        <v>2051</v>
      </c>
      <c r="AR161" s="3494">
        <v>2052</v>
      </c>
      <c r="AS161" s="3494">
        <v>2053</v>
      </c>
      <c r="AT161" s="3495" t="s">
        <v>5374</v>
      </c>
      <c r="AV161" s="3331" t="s">
        <v>5736</v>
      </c>
      <c r="AW161" s="3330" t="s">
        <v>5737</v>
      </c>
    </row>
    <row r="162" spans="10:49">
      <c r="N162" s="3492"/>
      <c r="O162" s="3492"/>
      <c r="P162" s="3492"/>
      <c r="Q162" s="3496" t="s">
        <v>5750</v>
      </c>
      <c r="R162" s="3479">
        <f t="shared" ref="R162:AS162" si="39">SUM(R6:R123)</f>
        <v>5189715.8516191002</v>
      </c>
      <c r="S162" s="3479">
        <f t="shared" si="39"/>
        <v>4666493.6048191013</v>
      </c>
      <c r="T162" s="3479">
        <f t="shared" si="39"/>
        <v>4724680.8681873986</v>
      </c>
      <c r="U162" s="3479">
        <f t="shared" si="39"/>
        <v>4546865.7013773983</v>
      </c>
      <c r="V162" s="3479">
        <f t="shared" si="39"/>
        <v>4381742.3982474003</v>
      </c>
      <c r="W162" s="3479">
        <f t="shared" si="39"/>
        <v>4199609.9958473984</v>
      </c>
      <c r="X162" s="3479">
        <f t="shared" si="39"/>
        <v>3448051.6061228006</v>
      </c>
      <c r="Y162" s="3479">
        <f t="shared" si="39"/>
        <v>3208810.7560928008</v>
      </c>
      <c r="Z162" s="3479">
        <f t="shared" si="39"/>
        <v>2767463.2794610988</v>
      </c>
      <c r="AA162" s="3479">
        <f t="shared" si="39"/>
        <v>2501963.7147410992</v>
      </c>
      <c r="AB162" s="3479">
        <f t="shared" si="39"/>
        <v>2301814.2294311002</v>
      </c>
      <c r="AC162" s="3479">
        <f t="shared" si="39"/>
        <v>2139520.8637510994</v>
      </c>
      <c r="AD162" s="3479">
        <f t="shared" si="39"/>
        <v>1955302.7611111</v>
      </c>
      <c r="AE162" s="3479">
        <f t="shared" si="39"/>
        <v>1607414.9084510996</v>
      </c>
      <c r="AF162" s="3479">
        <f t="shared" si="39"/>
        <v>1531118.2952111</v>
      </c>
      <c r="AG162" s="3479">
        <f t="shared" si="39"/>
        <v>1480418.3189791003</v>
      </c>
      <c r="AH162" s="3479">
        <f t="shared" si="39"/>
        <v>1439677.2994732</v>
      </c>
      <c r="AI162" s="3479">
        <f t="shared" si="39"/>
        <v>1406127.2715531997</v>
      </c>
      <c r="AJ162" s="3479">
        <f t="shared" si="39"/>
        <v>1372577.2436332002</v>
      </c>
      <c r="AK162" s="3479">
        <f t="shared" si="39"/>
        <v>1339027.2157132002</v>
      </c>
      <c r="AL162" s="3479">
        <f t="shared" si="39"/>
        <v>1305477.1877931999</v>
      </c>
      <c r="AM162" s="3479">
        <f t="shared" si="39"/>
        <v>1271927.1598732003</v>
      </c>
      <c r="AN162" s="3479">
        <f t="shared" si="39"/>
        <v>921344.96195319993</v>
      </c>
      <c r="AO162" s="3479">
        <f t="shared" si="39"/>
        <v>481935.88468640001</v>
      </c>
      <c r="AP162" s="3479">
        <f t="shared" si="39"/>
        <v>424987.09472640004</v>
      </c>
      <c r="AQ162" s="3479">
        <f t="shared" si="39"/>
        <v>57337.24024639999</v>
      </c>
      <c r="AR162" s="3479">
        <f t="shared" si="39"/>
        <v>0</v>
      </c>
      <c r="AS162" s="3479">
        <f t="shared" si="39"/>
        <v>0</v>
      </c>
      <c r="AT162" s="3480">
        <f>SUM(R162:AS162)</f>
        <v>60671405.713101819</v>
      </c>
      <c r="AV162" s="3481">
        <f>SUM(X162:AS162)</f>
        <v>32962297.293003991</v>
      </c>
      <c r="AW162" s="3349">
        <f>SUM(R162:W162,AV162)</f>
        <v>60671405.713101789</v>
      </c>
    </row>
    <row r="163" spans="10:49">
      <c r="N163" s="3492"/>
      <c r="O163" s="3492"/>
      <c r="P163" s="3492"/>
      <c r="Q163" s="3496" t="s">
        <v>5745</v>
      </c>
      <c r="R163" s="3479">
        <f>R148</f>
        <v>198483.28972999999</v>
      </c>
      <c r="S163" s="3479">
        <f t="shared" ref="S163:AS163" si="40">S148</f>
        <v>275928.33844999998</v>
      </c>
      <c r="T163" s="3479">
        <f t="shared" si="40"/>
        <v>269265.02505499998</v>
      </c>
      <c r="U163" s="3479">
        <f t="shared" si="40"/>
        <v>262601.71165999997</v>
      </c>
      <c r="V163" s="3479">
        <f t="shared" si="40"/>
        <v>255938.398265</v>
      </c>
      <c r="W163" s="3479">
        <f t="shared" si="40"/>
        <v>249275.08486999999</v>
      </c>
      <c r="X163" s="3479">
        <f t="shared" si="40"/>
        <v>235909.77147500002</v>
      </c>
      <c r="Y163" s="3479">
        <f t="shared" si="40"/>
        <v>227214.12125999999</v>
      </c>
      <c r="Z163" s="3479">
        <f t="shared" si="40"/>
        <v>220819.69210499999</v>
      </c>
      <c r="AA163" s="3479">
        <f t="shared" si="40"/>
        <v>214425.26295000003</v>
      </c>
      <c r="AB163" s="3479">
        <f t="shared" si="40"/>
        <v>208030.83379499998</v>
      </c>
      <c r="AC163" s="3479">
        <f t="shared" si="40"/>
        <v>121468.30464</v>
      </c>
      <c r="AD163" s="3479">
        <f t="shared" si="40"/>
        <v>119014.13759999999</v>
      </c>
      <c r="AE163" s="3479">
        <f t="shared" si="40"/>
        <v>116559.97056</v>
      </c>
      <c r="AF163" s="3479">
        <f t="shared" si="40"/>
        <v>114105.80352</v>
      </c>
      <c r="AG163" s="3479">
        <f t="shared" si="40"/>
        <v>111651.63648</v>
      </c>
      <c r="AH163" s="3479">
        <f t="shared" si="40"/>
        <v>109197.46944</v>
      </c>
      <c r="AI163" s="3479">
        <f t="shared" si="40"/>
        <v>106743.3024</v>
      </c>
      <c r="AJ163" s="3479">
        <f t="shared" si="40"/>
        <v>104289.13536</v>
      </c>
      <c r="AK163" s="3479">
        <f t="shared" si="40"/>
        <v>101834.96832</v>
      </c>
      <c r="AL163" s="3479">
        <f t="shared" si="40"/>
        <v>99380.80128</v>
      </c>
      <c r="AM163" s="3479">
        <f t="shared" si="40"/>
        <v>96926.634239999999</v>
      </c>
      <c r="AN163" s="3479">
        <f t="shared" si="40"/>
        <v>94472.467199999999</v>
      </c>
      <c r="AO163" s="3479">
        <f t="shared" si="40"/>
        <v>92018.300159999999</v>
      </c>
      <c r="AP163" s="3479">
        <f t="shared" si="40"/>
        <v>89564.133119999999</v>
      </c>
      <c r="AQ163" s="3479">
        <f t="shared" si="40"/>
        <v>87109.966079999998</v>
      </c>
      <c r="AR163" s="3479">
        <f t="shared" si="40"/>
        <v>84655.799039999998</v>
      </c>
      <c r="AS163" s="3479">
        <f t="shared" si="40"/>
        <v>21013.632000000001</v>
      </c>
      <c r="AT163" s="3480">
        <f>SUM(R163:AS163)</f>
        <v>4287897.9910549996</v>
      </c>
      <c r="AV163" s="3361">
        <f>SUM(X163:AS163)</f>
        <v>2776406.1430250001</v>
      </c>
      <c r="AW163" s="3480">
        <f>SUM(R163:W163,AV163)</f>
        <v>4287897.9910549996</v>
      </c>
    </row>
    <row r="164" spans="10:49" s="3372" customFormat="1">
      <c r="N164" s="3497"/>
      <c r="O164" s="3497"/>
      <c r="P164" s="3497"/>
      <c r="Q164" s="3498" t="s">
        <v>5746</v>
      </c>
      <c r="R164" s="3483">
        <f t="shared" ref="R164:AS164" si="41">SUM(R162:R163)</f>
        <v>5388199.1413491005</v>
      </c>
      <c r="S164" s="3483">
        <f t="shared" si="41"/>
        <v>4942421.943269101</v>
      </c>
      <c r="T164" s="3483">
        <f t="shared" si="41"/>
        <v>4993945.8932423983</v>
      </c>
      <c r="U164" s="3483">
        <f t="shared" si="41"/>
        <v>4809467.4130373979</v>
      </c>
      <c r="V164" s="3483">
        <f t="shared" si="41"/>
        <v>4637680.7965124007</v>
      </c>
      <c r="W164" s="3483">
        <f t="shared" si="41"/>
        <v>4448885.0807173988</v>
      </c>
      <c r="X164" s="3483">
        <f t="shared" si="41"/>
        <v>3683961.3775978005</v>
      </c>
      <c r="Y164" s="3483">
        <f t="shared" si="41"/>
        <v>3436024.8773528007</v>
      </c>
      <c r="Z164" s="3483">
        <f t="shared" si="41"/>
        <v>2988282.9715660987</v>
      </c>
      <c r="AA164" s="3483">
        <f t="shared" si="41"/>
        <v>2716388.977691099</v>
      </c>
      <c r="AB164" s="3483">
        <f t="shared" si="41"/>
        <v>2509845.0632261001</v>
      </c>
      <c r="AC164" s="3483">
        <f t="shared" si="41"/>
        <v>2260989.1683910997</v>
      </c>
      <c r="AD164" s="3483">
        <f t="shared" si="41"/>
        <v>2074316.8987111</v>
      </c>
      <c r="AE164" s="3483">
        <f t="shared" si="41"/>
        <v>1723974.8790110997</v>
      </c>
      <c r="AF164" s="3483">
        <f t="shared" si="41"/>
        <v>1645224.0987311001</v>
      </c>
      <c r="AG164" s="3483">
        <f t="shared" si="41"/>
        <v>1592069.9554591004</v>
      </c>
      <c r="AH164" s="3483">
        <f t="shared" si="41"/>
        <v>1548874.7689131999</v>
      </c>
      <c r="AI164" s="3483">
        <f t="shared" si="41"/>
        <v>1512870.5739531997</v>
      </c>
      <c r="AJ164" s="3483">
        <f t="shared" si="41"/>
        <v>1476866.3789932001</v>
      </c>
      <c r="AK164" s="3483">
        <f t="shared" si="41"/>
        <v>1440862.1840332001</v>
      </c>
      <c r="AL164" s="3483">
        <f t="shared" si="41"/>
        <v>1404857.9890731999</v>
      </c>
      <c r="AM164" s="3483">
        <f t="shared" si="41"/>
        <v>1368853.7941132004</v>
      </c>
      <c r="AN164" s="3483">
        <f t="shared" si="41"/>
        <v>1015817.4291531999</v>
      </c>
      <c r="AO164" s="3483">
        <f t="shared" si="41"/>
        <v>573954.18484640005</v>
      </c>
      <c r="AP164" s="3483">
        <f t="shared" si="41"/>
        <v>514551.22784640006</v>
      </c>
      <c r="AQ164" s="3483">
        <f t="shared" si="41"/>
        <v>144447.20632639999</v>
      </c>
      <c r="AR164" s="3483">
        <f t="shared" si="41"/>
        <v>84655.799039999998</v>
      </c>
      <c r="AS164" s="3483">
        <f t="shared" si="41"/>
        <v>21013.632000000001</v>
      </c>
      <c r="AT164" s="3483">
        <f>SUM(R164:AS164)</f>
        <v>64959303.704156801</v>
      </c>
      <c r="AV164" s="3483">
        <f>SUM(X164:AS164)</f>
        <v>35738703.436028995</v>
      </c>
      <c r="AW164" s="3483">
        <f>SUM(R164:W164,AV164)</f>
        <v>64959303.704156794</v>
      </c>
    </row>
    <row r="165" spans="10:49">
      <c r="N165" s="3492"/>
      <c r="O165" s="3492"/>
      <c r="P165" s="3492"/>
      <c r="Q165" s="3492"/>
    </row>
    <row r="166" spans="10:49" s="3372" customFormat="1">
      <c r="N166" s="3497"/>
      <c r="O166" s="3497"/>
      <c r="P166" s="3497"/>
      <c r="Q166" s="3498" t="s">
        <v>5747</v>
      </c>
      <c r="R166" s="3499">
        <f t="shared" ref="R166:AS166" si="42">R164/$Q$158</f>
        <v>0.13606456285872445</v>
      </c>
      <c r="S166" s="3499">
        <f t="shared" si="42"/>
        <v>0.12480765159802532</v>
      </c>
      <c r="T166" s="3499">
        <f t="shared" si="42"/>
        <v>0.12610875119474813</v>
      </c>
      <c r="U166" s="3499">
        <f t="shared" si="42"/>
        <v>0.12145024041824211</v>
      </c>
      <c r="V166" s="3499">
        <f t="shared" si="42"/>
        <v>0.1171122287246727</v>
      </c>
      <c r="W166" s="3499">
        <f t="shared" si="42"/>
        <v>0.11234469770635643</v>
      </c>
      <c r="X166" s="3499">
        <f t="shared" si="42"/>
        <v>9.3028594764551359E-2</v>
      </c>
      <c r="Y166" s="3499">
        <f t="shared" si="42"/>
        <v>8.6767621359973138E-2</v>
      </c>
      <c r="Z166" s="3499">
        <f t="shared" si="42"/>
        <v>7.546109665919043E-2</v>
      </c>
      <c r="AA166" s="3499">
        <f t="shared" si="42"/>
        <v>6.859514080826179E-2</v>
      </c>
      <c r="AB166" s="3499">
        <f t="shared" si="42"/>
        <v>6.3379426485985768E-2</v>
      </c>
      <c r="AC166" s="3499">
        <f t="shared" si="42"/>
        <v>5.7095236229227173E-2</v>
      </c>
      <c r="AD166" s="3499">
        <f t="shared" si="42"/>
        <v>5.2381327165076375E-2</v>
      </c>
      <c r="AE166" s="3499">
        <f t="shared" si="42"/>
        <v>4.3534376168831691E-2</v>
      </c>
      <c r="AF166" s="3499">
        <f t="shared" si="42"/>
        <v>4.1545735769230811E-2</v>
      </c>
      <c r="AG166" s="3499">
        <f t="shared" si="42"/>
        <v>4.0203469999405571E-2</v>
      </c>
      <c r="AH166" s="3499">
        <f t="shared" si="42"/>
        <v>3.9112691054383607E-2</v>
      </c>
      <c r="AI166" s="3499">
        <f t="shared" si="42"/>
        <v>3.8203501375271981E-2</v>
      </c>
      <c r="AJ166" s="3499">
        <f t="shared" si="42"/>
        <v>3.7294311696160376E-2</v>
      </c>
      <c r="AK166" s="3499">
        <f t="shared" si="42"/>
        <v>3.6385122017048757E-2</v>
      </c>
      <c r="AL166" s="3499">
        <f t="shared" si="42"/>
        <v>3.5475932337937131E-2</v>
      </c>
      <c r="AM166" s="3499">
        <f t="shared" si="42"/>
        <v>3.4566742658825526E-2</v>
      </c>
      <c r="AN166" s="3499">
        <f t="shared" si="42"/>
        <v>2.5651753176924461E-2</v>
      </c>
      <c r="AO166" s="3499">
        <f t="shared" si="42"/>
        <v>1.4493678354008929E-2</v>
      </c>
      <c r="AP166" s="3499">
        <f t="shared" si="42"/>
        <v>1.2993615500968782E-2</v>
      </c>
      <c r="AQ166" s="3499">
        <f t="shared" si="42"/>
        <v>3.6476279865269743E-3</v>
      </c>
      <c r="AR166" s="3499">
        <f t="shared" si="42"/>
        <v>2.1377558601053444E-3</v>
      </c>
      <c r="AS166" s="3499">
        <f t="shared" si="42"/>
        <v>5.3064309190291228E-4</v>
      </c>
      <c r="AV166" s="3485"/>
      <c r="AW166" s="3485"/>
    </row>
    <row r="167" spans="10:49">
      <c r="J167" s="3486"/>
      <c r="Q167" s="3487"/>
      <c r="R167" s="3488"/>
      <c r="S167" s="3488"/>
      <c r="T167" s="3488"/>
      <c r="U167" s="3488"/>
    </row>
    <row r="168" spans="10:49">
      <c r="Q168" s="3500"/>
      <c r="R168" s="3454"/>
      <c r="S168" s="3454"/>
      <c r="T168" s="3454"/>
      <c r="U168" s="3454"/>
      <c r="V168" s="3454"/>
      <c r="W168" s="3454"/>
      <c r="X168" s="3454"/>
      <c r="Y168" s="3454"/>
      <c r="Z168" s="3454"/>
      <c r="AA168" s="3454"/>
      <c r="AB168" s="3454"/>
      <c r="AC168" s="3454"/>
      <c r="AD168" s="3454"/>
      <c r="AE168" s="3454"/>
      <c r="AF168" s="3454"/>
      <c r="AG168" s="3454"/>
      <c r="AH168" s="3454"/>
      <c r="AI168" s="3454"/>
      <c r="AJ168" s="3454"/>
      <c r="AK168" s="3454"/>
      <c r="AL168" s="3454"/>
      <c r="AM168" s="3454"/>
      <c r="AN168" s="3454"/>
      <c r="AO168" s="3454"/>
      <c r="AP168" s="3454"/>
      <c r="AQ168" s="3454"/>
      <c r="AR168" s="3454"/>
      <c r="AS168" s="3454"/>
      <c r="AT168" s="3454"/>
      <c r="AU168" s="3454"/>
      <c r="AV168" s="3454"/>
      <c r="AW168" s="3454"/>
    </row>
    <row r="169" spans="10:49">
      <c r="Q169" s="3501" t="s">
        <v>5751</v>
      </c>
      <c r="R169" s="3502">
        <v>455488.13</v>
      </c>
      <c r="S169" s="3454"/>
      <c r="T169" s="3454"/>
      <c r="U169" s="3454"/>
      <c r="V169" s="3454"/>
      <c r="W169" s="3454"/>
      <c r="X169" s="3454"/>
      <c r="Y169" s="3454"/>
      <c r="Z169" s="3454"/>
      <c r="AA169" s="3454"/>
      <c r="AB169" s="3454"/>
      <c r="AC169" s="3454"/>
      <c r="AD169" s="3454"/>
      <c r="AE169" s="3454"/>
      <c r="AF169" s="3454"/>
      <c r="AG169" s="3454"/>
      <c r="AH169" s="3454"/>
      <c r="AI169" s="3454"/>
      <c r="AJ169" s="3454"/>
      <c r="AK169" s="3454"/>
      <c r="AL169" s="3454"/>
      <c r="AM169" s="3454"/>
      <c r="AN169" s="3454"/>
      <c r="AO169" s="3454"/>
      <c r="AP169" s="3454"/>
      <c r="AQ169" s="3454"/>
      <c r="AR169" s="3454"/>
      <c r="AS169" s="3454"/>
      <c r="AT169" s="3454"/>
      <c r="AU169" s="3454"/>
      <c r="AV169" s="3454"/>
      <c r="AW169" s="3454"/>
    </row>
    <row r="170" spans="10:49">
      <c r="Q170" s="3503"/>
      <c r="R170" s="3504" t="s">
        <v>5383</v>
      </c>
      <c r="S170" s="3505" t="s">
        <v>5752</v>
      </c>
      <c r="T170" s="3454"/>
      <c r="V170" s="3454"/>
      <c r="W170" s="3454"/>
      <c r="X170" s="3454"/>
      <c r="Y170" s="3454"/>
      <c r="Z170" s="3454"/>
      <c r="AA170" s="3454"/>
      <c r="AB170" s="3454"/>
      <c r="AC170" s="3454"/>
      <c r="AD170" s="3454"/>
      <c r="AE170" s="3454"/>
      <c r="AF170" s="3454"/>
      <c r="AG170" s="3454"/>
      <c r="AH170" s="3454"/>
      <c r="AI170" s="3454"/>
      <c r="AJ170" s="3454"/>
      <c r="AK170" s="3454"/>
      <c r="AL170" s="3454"/>
      <c r="AM170" s="3454"/>
      <c r="AN170" s="3454"/>
      <c r="AO170" s="3454"/>
      <c r="AP170" s="3454"/>
      <c r="AQ170" s="3454"/>
      <c r="AR170" s="3454"/>
      <c r="AS170" s="3454"/>
      <c r="AT170" s="3454"/>
      <c r="AU170" s="3454"/>
      <c r="AV170" s="3454"/>
      <c r="AW170" s="3454"/>
    </row>
    <row r="171" spans="10:49">
      <c r="Q171" s="3506" t="s">
        <v>5531</v>
      </c>
      <c r="R171" s="3454">
        <f>R54</f>
        <v>96316</v>
      </c>
      <c r="S171" s="3454">
        <f>R55-S55</f>
        <v>4053.9404399999912</v>
      </c>
      <c r="T171" s="3454" t="s">
        <v>5753</v>
      </c>
      <c r="U171" s="3322">
        <f>R54</f>
        <v>96316</v>
      </c>
      <c r="V171" s="3454"/>
      <c r="W171" s="3454"/>
      <c r="X171" s="3454"/>
      <c r="Y171" s="3454"/>
      <c r="Z171" s="3454"/>
      <c r="AA171" s="3454"/>
      <c r="AB171" s="3454"/>
      <c r="AC171" s="3454"/>
      <c r="AD171" s="3454"/>
      <c r="AE171" s="3454"/>
      <c r="AF171" s="3454"/>
      <c r="AG171" s="3454"/>
      <c r="AH171" s="3454"/>
      <c r="AI171" s="3454"/>
      <c r="AJ171" s="3454"/>
      <c r="AK171" s="3454"/>
      <c r="AL171" s="3454"/>
      <c r="AM171" s="3454"/>
      <c r="AN171" s="3454"/>
      <c r="AO171" s="3454"/>
      <c r="AP171" s="3454"/>
      <c r="AQ171" s="3454"/>
      <c r="AR171" s="3454"/>
      <c r="AS171" s="3454"/>
      <c r="AT171" s="3454"/>
      <c r="AU171" s="3454"/>
      <c r="AV171" s="3454"/>
      <c r="AW171" s="3454"/>
    </row>
    <row r="172" spans="10:49">
      <c r="Q172" s="3506" t="s">
        <v>5555</v>
      </c>
      <c r="R172" s="3454">
        <f>R62</f>
        <v>343508</v>
      </c>
      <c r="S172" s="3454">
        <f>R63-S63</f>
        <v>1308.2833600000013</v>
      </c>
      <c r="T172" s="3454" t="s">
        <v>5753</v>
      </c>
      <c r="U172" s="3322">
        <f>R62</f>
        <v>343508</v>
      </c>
      <c r="V172" s="3454"/>
      <c r="W172" s="3454"/>
      <c r="X172" s="3454"/>
      <c r="Y172" s="3454"/>
      <c r="Z172" s="3454"/>
      <c r="AA172" s="3454"/>
      <c r="AB172" s="3454"/>
      <c r="AC172" s="3454"/>
      <c r="AD172" s="3454"/>
      <c r="AE172" s="3454"/>
      <c r="AF172" s="3454"/>
      <c r="AG172" s="3454"/>
      <c r="AH172" s="3454"/>
      <c r="AI172" s="3454"/>
      <c r="AJ172" s="3454"/>
      <c r="AK172" s="3454"/>
      <c r="AL172" s="3454"/>
      <c r="AM172" s="3454"/>
      <c r="AN172" s="3454"/>
      <c r="AO172" s="3454"/>
      <c r="AP172" s="3454"/>
      <c r="AQ172" s="3454"/>
      <c r="AR172" s="3454"/>
      <c r="AS172" s="3454"/>
      <c r="AT172" s="3454"/>
      <c r="AU172" s="3454"/>
      <c r="AV172" s="3454"/>
      <c r="AW172" s="3454"/>
    </row>
    <row r="173" spans="10:49">
      <c r="Q173" s="3506" t="s">
        <v>5754</v>
      </c>
      <c r="R173" s="3454">
        <f>K22</f>
        <v>11100</v>
      </c>
      <c r="S173" s="3454">
        <f>SUM(R23:Y23)</f>
        <v>1187.7887999999998</v>
      </c>
      <c r="T173" s="3454" t="s">
        <v>5755</v>
      </c>
      <c r="V173" s="3454"/>
      <c r="W173" s="3454"/>
      <c r="X173" s="3454"/>
      <c r="Y173" s="3454"/>
      <c r="Z173" s="3454"/>
      <c r="AA173" s="3454"/>
      <c r="AB173" s="3454"/>
      <c r="AC173" s="3454"/>
      <c r="AD173" s="3454"/>
      <c r="AE173" s="3454"/>
      <c r="AF173" s="3454"/>
      <c r="AG173" s="3454"/>
      <c r="AH173" s="3454"/>
      <c r="AI173" s="3454"/>
      <c r="AJ173" s="3454"/>
      <c r="AK173" s="3454"/>
      <c r="AL173" s="3454"/>
      <c r="AM173" s="3454"/>
      <c r="AN173" s="3454"/>
      <c r="AO173" s="3454"/>
      <c r="AP173" s="3454"/>
      <c r="AQ173" s="3454"/>
      <c r="AR173" s="3454"/>
      <c r="AS173" s="3454"/>
      <c r="AT173" s="3454"/>
      <c r="AU173" s="3454"/>
      <c r="AV173" s="3454"/>
      <c r="AW173" s="3454"/>
    </row>
    <row r="174" spans="10:49">
      <c r="Q174" s="3506" t="s">
        <v>5756</v>
      </c>
      <c r="R174" s="3322">
        <f>K98</f>
        <v>3480</v>
      </c>
      <c r="S174" s="3454">
        <f>SUM(R99:U99)</f>
        <v>303.16813999999999</v>
      </c>
      <c r="T174" s="3454" t="s">
        <v>5755</v>
      </c>
      <c r="V174" s="3454"/>
      <c r="W174" s="3454"/>
      <c r="X174" s="3454"/>
      <c r="Y174" s="3454"/>
      <c r="Z174" s="3454"/>
      <c r="AA174" s="3454"/>
      <c r="AB174" s="3454"/>
      <c r="AC174" s="3454"/>
      <c r="AD174" s="3454"/>
      <c r="AE174" s="3454"/>
      <c r="AF174" s="3454"/>
      <c r="AG174" s="3454"/>
      <c r="AH174" s="3454"/>
      <c r="AI174" s="3454"/>
      <c r="AJ174" s="3454"/>
      <c r="AK174" s="3454"/>
      <c r="AL174" s="3454"/>
      <c r="AM174" s="3454"/>
      <c r="AN174" s="3454"/>
      <c r="AO174" s="3454"/>
      <c r="AP174" s="3454"/>
      <c r="AQ174" s="3454"/>
      <c r="AR174" s="3454"/>
      <c r="AS174" s="3454"/>
      <c r="AT174" s="3454"/>
      <c r="AU174" s="3454"/>
      <c r="AV174" s="3454"/>
      <c r="AW174" s="3454"/>
    </row>
    <row r="175" spans="10:49">
      <c r="R175" s="3454"/>
      <c r="S175" s="3454">
        <f>SUM(S171:S174)</f>
        <v>6853.1807399999925</v>
      </c>
      <c r="T175" s="3454"/>
      <c r="U175" s="3454"/>
      <c r="V175" s="3454"/>
      <c r="W175" s="3454"/>
      <c r="X175" s="3454"/>
      <c r="Y175" s="3454"/>
      <c r="Z175" s="3454"/>
      <c r="AA175" s="3454"/>
      <c r="AB175" s="3454"/>
      <c r="AC175" s="3454"/>
      <c r="AD175" s="3454"/>
      <c r="AE175" s="3454"/>
      <c r="AF175" s="3454"/>
      <c r="AG175" s="3454"/>
      <c r="AH175" s="3454"/>
      <c r="AI175" s="3454"/>
      <c r="AJ175" s="3454"/>
      <c r="AK175" s="3454"/>
      <c r="AL175" s="3454"/>
      <c r="AM175" s="3454"/>
      <c r="AN175" s="3454"/>
      <c r="AO175" s="3454"/>
      <c r="AP175" s="3454"/>
      <c r="AQ175" s="3454"/>
      <c r="AR175" s="3454"/>
      <c r="AS175" s="3454"/>
      <c r="AT175" s="3454"/>
      <c r="AU175" s="3454"/>
      <c r="AV175" s="3454"/>
      <c r="AW175" s="3454"/>
    </row>
    <row r="176" spans="10:49">
      <c r="R176" s="3454">
        <f>R169-R171-R172-R173-R174</f>
        <v>1084.1300000000047</v>
      </c>
    </row>
    <row r="180" spans="15:48" ht="15" thickBot="1"/>
    <row r="181" spans="15:48">
      <c r="O181" s="3507">
        <v>29</v>
      </c>
      <c r="P181" s="3508" t="s">
        <v>5555</v>
      </c>
      <c r="Q181" s="3508" t="s">
        <v>5556</v>
      </c>
      <c r="R181" s="3509">
        <f>85877*4</f>
        <v>343508</v>
      </c>
      <c r="S181" s="3508"/>
      <c r="T181" s="3510"/>
    </row>
    <row r="182" spans="15:48">
      <c r="O182" s="3511">
        <v>25</v>
      </c>
      <c r="P182" s="3316" t="s">
        <v>5531</v>
      </c>
      <c r="Q182" s="3316" t="s">
        <v>5532</v>
      </c>
      <c r="R182" s="3512">
        <f>24079*4</f>
        <v>96316</v>
      </c>
      <c r="T182" s="3513"/>
    </row>
    <row r="183" spans="15:48">
      <c r="O183" s="3511">
        <v>46</v>
      </c>
      <c r="P183" s="3316" t="s">
        <v>5655</v>
      </c>
      <c r="Q183" s="3316" t="s">
        <v>5656</v>
      </c>
      <c r="R183" s="3512">
        <f>13415</f>
        <v>13415</v>
      </c>
      <c r="S183" s="3316" t="s">
        <v>5757</v>
      </c>
      <c r="T183" s="3513"/>
    </row>
    <row r="184" spans="15:48">
      <c r="O184" s="3511">
        <v>47</v>
      </c>
      <c r="P184" s="3316" t="s">
        <v>5662</v>
      </c>
      <c r="Q184" s="3316" t="s">
        <v>5663</v>
      </c>
      <c r="S184" s="3514">
        <f>232*15-1230.87</f>
        <v>2249.13</v>
      </c>
      <c r="T184" s="3515">
        <v>1231</v>
      </c>
      <c r="U184" s="3316" t="s">
        <v>5758</v>
      </c>
      <c r="AV184" s="3322">
        <f>T184-928</f>
        <v>303</v>
      </c>
    </row>
    <row r="185" spans="15:48" ht="15" thickBot="1">
      <c r="O185" s="3516"/>
      <c r="P185" s="3517"/>
      <c r="Q185" s="3517"/>
      <c r="R185" s="3518">
        <f>R169-SUM(R181:R184)-S184</f>
        <v>4.5474735088646412E-12</v>
      </c>
      <c r="S185" s="3517"/>
      <c r="T185" s="3519"/>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Faila apraksts</vt:lpstr>
      <vt:lpstr>BAZE_2026</vt:lpstr>
      <vt:lpstr>INPUT</vt:lpstr>
      <vt:lpstr>Ieņēmumi</vt:lpstr>
      <vt:lpstr>Investīcijas_2026</vt:lpstr>
      <vt:lpstr>Līgumu saraksts_01012026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2026-01-16T07:33:39Z</cp:lastPrinted>
  <dcterms:created xsi:type="dcterms:W3CDTF">2015-07-17T07:55:13Z</dcterms:created>
  <dcterms:modified xsi:type="dcterms:W3CDTF">2026-02-01T13:13:18Z</dcterms:modified>
</cp:coreProperties>
</file>